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8.xml"/>
  <Override ContentType="application/vnd.openxmlformats-officedocument.spreadsheetml.table+xml" PartName="/xl/tables/table13.xml"/>
  <Override ContentType="application/vnd.openxmlformats-officedocument.spreadsheetml.table+xml" PartName="/xl/tables/table4.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15.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5.xml"/>
  <Override ContentType="application/vnd.openxmlformats-officedocument.spreadsheetml.table+xml" PartName="/xl/tables/table3.xml"/>
  <Override ContentType="application/vnd.openxmlformats-officedocument.spreadsheetml.table+xml" PartName="/xl/tables/table17.xml"/>
  <Override ContentType="application/vnd.openxmlformats-officedocument.spreadsheetml.table+xml" PartName="/xl/tables/table10.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14.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nal Desired Orbit" sheetId="1" r:id="rId4"/>
    <sheet state="visible" name="Flybys" sheetId="2" r:id="rId5"/>
    <sheet state="visible" name="Inclination Change" sheetId="3" r:id="rId6"/>
    <sheet state="visible" name="Initial Orbit" sheetId="4" r:id="rId7"/>
    <sheet state="visible" name="Application of Propulsion" sheetId="5" r:id="rId8"/>
    <sheet state="visible" name="Extra Template" sheetId="6"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A9">
      <text>
        <t xml:space="preserve">Parker Solar Probe Utilized this method
	-Jadon Meyers</t>
      </text>
    </comment>
  </commentList>
</comments>
</file>

<file path=xl/comments2.xml><?xml version="1.0" encoding="utf-8"?>
<comments xmlns:r="http://schemas.openxmlformats.org/officeDocument/2006/relationships" xmlns="http://schemas.openxmlformats.org/spreadsheetml/2006/main">
  <authors>
    <author/>
  </authors>
  <commentList>
    <comment authorId="0" ref="B4">
      <text>
        <t xml:space="preserve">1AU-&gt;2AU-&gt;1AU Bielliptic Transfer</t>
      </text>
    </comment>
    <comment authorId="0" ref="B5">
      <text>
        <t xml:space="preserve">https://www.sciencedirect.com/science/article/pii/S0094576521003337
+
Solar Polar Imager</t>
      </text>
    </comment>
    <comment authorId="0" ref="B15">
      <text>
        <t xml:space="preserve">1AU-&gt;2AU-&gt;1AU Bielliptic Transfer</t>
      </text>
    </comment>
    <comment authorId="0" ref="B16">
      <text>
        <t xml:space="preserve">https://www.sciencedirect.com/science/article/pii/S0094576521003337
+
Solar Polar Imager</t>
      </text>
    </comment>
    <comment authorId="0" ref="B26">
      <text>
        <t xml:space="preserve">1AU-&gt;2AU-&gt;1AU Bielliptic Transfer</t>
      </text>
    </comment>
    <comment authorId="0" ref="B27">
      <text>
        <t xml:space="preserve">https://www.sciencedirect.com/science/article/pii/S0094576521003337</t>
      </text>
    </comment>
  </commentList>
</comments>
</file>

<file path=xl/sharedStrings.xml><?xml version="1.0" encoding="utf-8"?>
<sst xmlns="http://schemas.openxmlformats.org/spreadsheetml/2006/main" count="367" uniqueCount="178">
  <si>
    <t>Final Operating Orbit</t>
  </si>
  <si>
    <t>Metric Value Derivations</t>
  </si>
  <si>
    <t>ID</t>
  </si>
  <si>
    <t>Option</t>
  </si>
  <si>
    <t>Time</t>
  </si>
  <si>
    <t>Inclination</t>
  </si>
  <si>
    <t>Perihelion</t>
  </si>
  <si>
    <t>Period</t>
  </si>
  <si>
    <t>∆V Required</t>
  </si>
  <si>
    <t>Feasibility</t>
  </si>
  <si>
    <t>Cost</t>
  </si>
  <si>
    <t>Value</t>
  </si>
  <si>
    <t>Monetary Cost</t>
  </si>
  <si>
    <t>Mission Value</t>
  </si>
  <si>
    <t>Reliability</t>
  </si>
  <si>
    <t>Metric</t>
  </si>
  <si>
    <t>Source</t>
  </si>
  <si>
    <t>Elliptical Orbit (Venus flyby)</t>
  </si>
  <si>
    <t>Time (years)</t>
  </si>
  <si>
    <t>Requierd time to achieve the final orbit</t>
  </si>
  <si>
    <t>Elliptical Orbit (Earth flyby)</t>
  </si>
  <si>
    <t>inclination (deg)</t>
  </si>
  <si>
    <t>The desired inclination of the orbit (&gt;=75 deg is required)</t>
  </si>
  <si>
    <t>Elliptical Orbit (Mars flyby)</t>
  </si>
  <si>
    <t>Perihelion (AU)</t>
  </si>
  <si>
    <t>The shortest distance to the Sun</t>
  </si>
  <si>
    <t>Modified Ulysses orbit (Jupiter flyby)</t>
  </si>
  <si>
    <t>Period (days)</t>
  </si>
  <si>
    <t>How frequently the spacecraft can observe poles of the Sun</t>
  </si>
  <si>
    <t>Science Value</t>
  </si>
  <si>
    <t>Circular orbit (Spiral + Orbit Cranking)</t>
  </si>
  <si>
    <t>∆V (km/s)</t>
  </si>
  <si>
    <t>Required ∆V to achieve the final orbit</t>
  </si>
  <si>
    <t>Communication</t>
  </si>
  <si>
    <t>Non-Keplarian Orbit (beta=0.8)</t>
  </si>
  <si>
    <t>POLARIS Final Orbit</t>
  </si>
  <si>
    <t>Value and Cost Functions</t>
  </si>
  <si>
    <t>REF</t>
  </si>
  <si>
    <t>(Time / 6 years) + (∆V /10)</t>
  </si>
  <si>
    <t>0.9*(2-Perihelion)^2 + 0.1*10/sqrt(Period)</t>
  </si>
  <si>
    <t>Final Operating Orbit - Normalized</t>
  </si>
  <si>
    <t>∆V</t>
  </si>
  <si>
    <t>Figures of Merit Functions</t>
  </si>
  <si>
    <t>X * (1 + dV ) / (1 + Y * feasibility)</t>
  </si>
  <si>
    <t>X * (2-Perihelion)^2 + Y / sqrt(Period) + Z * (inclination-75)</t>
  </si>
  <si>
    <t>Reilability</t>
  </si>
  <si>
    <t>feasibility (%)</t>
  </si>
  <si>
    <t>Aphelion</t>
  </si>
  <si>
    <t>semi-major axis</t>
  </si>
  <si>
    <t>dV required</t>
  </si>
  <si>
    <t>Elliptical Orbit - Venus flyby</t>
  </si>
  <si>
    <t>feasibility</t>
  </si>
  <si>
    <t>Elliptical Orbit - Earth flyby</t>
  </si>
  <si>
    <t>Elliptical Orbit - Mars flyby</t>
  </si>
  <si>
    <t>Modified Ulysses orbit</t>
  </si>
  <si>
    <t>~3 years</t>
  </si>
  <si>
    <t>Circular orbit (Orbit Cranking)</t>
  </si>
  <si>
    <t>Non-Keplarian Orbit</t>
  </si>
  <si>
    <t>Potential ∆V Gain (km/s)</t>
  </si>
  <si>
    <t>Mission Compatibility (out of 10)</t>
  </si>
  <si>
    <t>Time Required from Earth (days)</t>
  </si>
  <si>
    <t>∆V Required (km/s)</t>
  </si>
  <si>
    <t># Gravity assist (Estimated)</t>
  </si>
  <si>
    <t>Orbital Period (days)</t>
  </si>
  <si>
    <t>Venus</t>
  </si>
  <si>
    <t>Jupiter</t>
  </si>
  <si>
    <t>Delta-V Budget Wikipedia</t>
  </si>
  <si>
    <t>Mars</t>
  </si>
  <si>
    <t>Earth</t>
  </si>
  <si>
    <t>Mercury</t>
  </si>
  <si>
    <t>Moon</t>
  </si>
  <si>
    <t>Planetary Flybys</t>
  </si>
  <si>
    <t>∆V Gain</t>
  </si>
  <si>
    <t>Mission Compatibility</t>
  </si>
  <si>
    <t>Time Required from Earth</t>
  </si>
  <si>
    <t>Inclination Gain</t>
  </si>
  <si>
    <t>Succesful Heritage</t>
  </si>
  <si>
    <t>∆V that can be gained from gravity assist</t>
  </si>
  <si>
    <t>How compatible a flyby subject is with our mission goals and instrument package</t>
  </si>
  <si>
    <t>Amount of days to get there (generally)</t>
  </si>
  <si>
    <t>∆V required to enter gravity assist</t>
  </si>
  <si>
    <t>100 * (Time Required/ 8 years) * (∆V Required/10)</t>
  </si>
  <si>
    <t>Planetary Flybys - Normalized</t>
  </si>
  <si>
    <t>100*(Mission Compatibility/10)* ∆V Gain</t>
  </si>
  <si>
    <t>I*/[round(75/inc)] + J*heritage</t>
  </si>
  <si>
    <t>Hohmann Transfer:</t>
  </si>
  <si>
    <t>Weight</t>
  </si>
  <si>
    <t>dV req (direct, pos)</t>
  </si>
  <si>
    <t>dV gain (direct, neg)</t>
  </si>
  <si>
    <t>https://en.wikipedia.org/wiki/List_of_planetary_flybys</t>
  </si>
  <si>
    <t>Mission comp (direct, pos)</t>
  </si>
  <si>
    <t>i gain (direct, pos)</t>
  </si>
  <si>
    <t>Time (inverse)</t>
  </si>
  <si>
    <t># of flybys req (inverse to i)</t>
  </si>
  <si>
    <t>Flyby Heritage</t>
  </si>
  <si>
    <t>orbital velocity (km/s)</t>
  </si>
  <si>
    <t>Semi-major axis (km)</t>
  </si>
  <si>
    <t>dv</t>
  </si>
  <si>
    <t>Inclination (rad)</t>
  </si>
  <si>
    <t>Inclination (deg)</t>
  </si>
  <si>
    <t>round(75 / inclination)</t>
  </si>
  <si>
    <t>Inclination Change Method</t>
  </si>
  <si>
    <t>Additional Req</t>
  </si>
  <si>
    <t>Direct Transfer from 1 AU</t>
  </si>
  <si>
    <t>dV Cost (km/s)</t>
  </si>
  <si>
    <t>43 km/s was max for single impulsive burn</t>
  </si>
  <si>
    <t>Bielliptic Transfer</t>
  </si>
  <si>
    <t>Solar Sail</t>
  </si>
  <si>
    <t>Team confidence in method with technical limitations and past mission usage considerations (0-1)</t>
  </si>
  <si>
    <t>Gravity Assist Inner Planets</t>
  </si>
  <si>
    <t>Gravity Assist Outer Planets</t>
  </si>
  <si>
    <t>Venus GA + Solar Sail</t>
  </si>
  <si>
    <t>dv cost (direct)</t>
  </si>
  <si>
    <t>time (inverse)</t>
  </si>
  <si>
    <t>feasibility (direct)</t>
  </si>
  <si>
    <t>POLARIS Mission</t>
  </si>
  <si>
    <t>feasibility (inverse)</t>
  </si>
  <si>
    <t>additional req</t>
  </si>
  <si>
    <t>100 - (0.3*(dVCost * Time))</t>
  </si>
  <si>
    <t>Inclination Change Method - Normalized</t>
  </si>
  <si>
    <t>(Time * Feasibility)/3.5 * 100</t>
  </si>
  <si>
    <t>dV Cost</t>
  </si>
  <si>
    <t xml:space="preserve"> X * (deltaV cost) / (feasibility + 1) + (1 / feasibility)</t>
  </si>
  <si>
    <t>X / (time required + 1)  + X * (additional requirement)</t>
  </si>
  <si>
    <t>Weights</t>
  </si>
  <si>
    <t>time required</t>
  </si>
  <si>
    <t>https://solarsystem.nasa.gov/missions/ulysses/in-depth/</t>
  </si>
  <si>
    <t>Initial Orbit</t>
  </si>
  <si>
    <t>Mass</t>
  </si>
  <si>
    <t>Compatibility</t>
  </si>
  <si>
    <t>dV to Escape</t>
  </si>
  <si>
    <t>LEO</t>
  </si>
  <si>
    <t>How much mass can be taken to that orbit. Normalized by LEO mass (10,784 kg) (0 to 1)</t>
  </si>
  <si>
    <t>Determined by Atlas V numbers, launch vehicle may add some variance to the actual ratios.</t>
  </si>
  <si>
    <t>Sun Synchronous</t>
  </si>
  <si>
    <t>Launch assumed from Cape Canaveral</t>
  </si>
  <si>
    <t>Heliocentric</t>
  </si>
  <si>
    <t>Determined by how well it fits mission objectives (1-5).</t>
  </si>
  <si>
    <t>Determined by how well the orbit fits with the inclination change and flyby options. LEO (200km) would increase mass significantly, but would need additional propulsion systems to escape the low altitude and low inclined orbit. Sun Synchronous has a similar issue of needing more propulsion, but surpasses the desired inclination. This will decrease delta V costs after escaping Earth. Heliocentric orbits achieve escape velocity which allows the spacecraft to immediately proceed with mission. However, this means the launch window will be more restricted and the spacecraft will not have time to calibrate.</t>
  </si>
  <si>
    <t>delta V needed to escape Earth at that orbit (km/s)</t>
  </si>
  <si>
    <t>60*(dV to Escape/5.505)+30*(1-Mass)+10*(Inclin/75)</t>
  </si>
  <si>
    <t>30*Mass + 30*(Inclin/75) + 40*(Compatibility/5)</t>
  </si>
  <si>
    <t>Application of Propulsion - Brett</t>
  </si>
  <si>
    <t>Metric (on the order of 100) Value Derivations</t>
  </si>
  <si>
    <t>Mass Requirement</t>
  </si>
  <si>
    <t>Platform Mass Allowance</t>
  </si>
  <si>
    <t>Mission Time (Post-Launch)</t>
  </si>
  <si>
    <t xml:space="preserve">Long - Duration </t>
  </si>
  <si>
    <t xml:space="preserve">&gt;6.7 years  </t>
  </si>
  <si>
    <t>Prop Mass Requirement</t>
  </si>
  <si>
    <t>LongDuration: (platform mass coeff)^2*.15     | Short Duration (platform mass coeff)*.65</t>
  </si>
  <si>
    <t>Short - Duration</t>
  </si>
  <si>
    <t>&lt;5 years</t>
  </si>
  <si>
    <t xml:space="preserve">Mass Allowance </t>
  </si>
  <si>
    <t>Coefficient, independent variable in  prop mass requirement eq</t>
  </si>
  <si>
    <t>Time Requirement</t>
  </si>
  <si>
    <t>Placeholders, rough numbers from Polaris Mission concept</t>
  </si>
  <si>
    <t>Potential for Non-Keplerian Orbit</t>
  </si>
  <si>
    <t>Value and Cost Functions (on the order of 100?)</t>
  </si>
  <si>
    <t>0.5*(Metric 2 + Metric 3)</t>
  </si>
  <si>
    <t>Metric 1</t>
  </si>
  <si>
    <t>Long-Duration: Polaris Mission Concept (Solar Sail)</t>
  </si>
  <si>
    <t>Short Duration (Impulse Based, chemical propulsion)</t>
  </si>
  <si>
    <t>Long Duration Propulsion Methods</t>
  </si>
  <si>
    <t>Electron Sail/Engine</t>
  </si>
  <si>
    <t>Shord Duration Propulsion Methods</t>
  </si>
  <si>
    <t xml:space="preserve">Chemical </t>
  </si>
  <si>
    <t>Ion</t>
  </si>
  <si>
    <t>Nuclear</t>
  </si>
  <si>
    <t>Electric Propulsion</t>
  </si>
  <si>
    <t>Basic Solar Sail Physics</t>
  </si>
  <si>
    <t>Comparison of Solar Sail with Electric, Nuclear, and Chemical Prop</t>
  </si>
  <si>
    <t>Category</t>
  </si>
  <si>
    <t>Metric 2</t>
  </si>
  <si>
    <t>Metric 3</t>
  </si>
  <si>
    <t>...</t>
  </si>
  <si>
    <t>Reference</t>
  </si>
  <si>
    <t>Metric N</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</si>
</sst>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00"/>
    <numFmt numFmtId="165" formatCode="0.0000"/>
    <numFmt numFmtId="166" formatCode="0.0"/>
    <numFmt numFmtId="167" formatCode="0.00000"/>
  </numFmts>
  <fonts count="10">
    <font>
      <sz val="10.0"/>
      <color rgb="FF000000"/>
      <name val="Arial"/>
    </font>
    <font>
      <b/>
      <color theme="1"/>
      <name val="Arial"/>
    </font>
    <font/>
    <font>
      <b/>
      <strike/>
      <color theme="1"/>
      <name val="Arial"/>
    </font>
    <font>
      <color theme="1"/>
      <name val="Arial"/>
    </font>
    <font>
      <color rgb="FF000000"/>
      <name val="&quot;Arial&quot;"/>
    </font>
    <font>
      <color rgb="FF000000"/>
      <name val="Roboto"/>
    </font>
    <font>
      <u/>
      <color rgb="FF1155CC"/>
    </font>
    <font>
      <sz val="10.0"/>
      <color theme="1"/>
      <name val="Arial"/>
    </font>
    <font>
      <u/>
      <color rgb="FF0000FF"/>
    </font>
  </fonts>
  <fills count="11">
    <fill>
      <patternFill patternType="none"/>
    </fill>
    <fill>
      <patternFill patternType="lightGray"/>
    </fill>
    <fill>
      <patternFill patternType="solid">
        <fgColor rgb="FF999999"/>
        <bgColor rgb="FF999999"/>
      </patternFill>
    </fill>
    <fill>
      <patternFill patternType="solid">
        <fgColor rgb="FFB7B7B7"/>
        <bgColor rgb="FFB7B7B7"/>
      </patternFill>
    </fill>
    <fill>
      <patternFill patternType="solid">
        <fgColor rgb="FFFFFF00"/>
        <bgColor rgb="FFFFFF00"/>
      </patternFill>
    </fill>
    <fill>
      <patternFill patternType="solid">
        <fgColor theme="0"/>
        <bgColor theme="0"/>
      </patternFill>
    </fill>
    <fill>
      <patternFill patternType="solid">
        <fgColor rgb="FFEFEFEF"/>
        <bgColor rgb="FFEFEFEF"/>
      </patternFill>
    </fill>
    <fill>
      <patternFill patternType="solid">
        <fgColor rgb="FFFFFFFF"/>
        <bgColor rgb="FFFFFFFF"/>
      </patternFill>
    </fill>
    <fill>
      <patternFill patternType="solid">
        <fgColor rgb="FF4A86E8"/>
        <bgColor rgb="FF4A86E8"/>
      </patternFill>
    </fill>
    <fill>
      <patternFill patternType="solid">
        <fgColor rgb="FFBDBDBD"/>
        <bgColor rgb="FFBDBDBD"/>
      </patternFill>
    </fill>
    <fill>
      <patternFill patternType="solid">
        <fgColor rgb="FFFFE599"/>
        <bgColor rgb="FFFFE599"/>
      </patternFill>
    </fill>
  </fills>
  <borders count="44">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rder>
    <border>
      <left style="thin">
        <color rgb="FF000000"/>
      </left>
      <top style="medium">
        <color rgb="FF000000"/>
      </top>
    </border>
    <border>
      <top style="medium">
        <color rgb="FF000000"/>
      </top>
    </border>
    <border>
      <right style="thin">
        <color rgb="FF000000"/>
      </right>
      <top style="medium">
        <color rgb="FF000000"/>
      </top>
    </border>
    <border>
      <right style="medium">
        <color rgb="FF000000"/>
      </right>
      <top style="medium">
        <color rgb="FF000000"/>
      </top>
    </border>
    <border>
      <left style="medium">
        <color rgb="FF000000"/>
      </left>
    </border>
    <border>
      <right style="medium">
        <color rgb="FF000000"/>
      </right>
    </border>
    <border>
      <left style="thin">
        <color rgb="FF000000"/>
      </left>
    </border>
    <border>
      <right style="thin">
        <color rgb="FF000000"/>
      </right>
    </border>
    <border>
      <left style="medium">
        <color rgb="FF000000"/>
      </left>
      <bottom style="medium">
        <color rgb="FF000000"/>
      </bottom>
    </border>
    <border>
      <right style="medium">
        <color rgb="FF000000"/>
      </right>
      <bottom style="medium">
        <color rgb="FF000000"/>
      </bottom>
    </border>
    <border>
      <bottom style="medium">
        <color rgb="FF000000"/>
      </bottom>
    </border>
    <border>
      <left style="thick">
        <color rgb="FFBF9000"/>
      </left>
      <right style="thick">
        <color rgb="FFBF9000"/>
      </right>
      <top style="thick">
        <color rgb="FFBF9000"/>
      </top>
    </border>
    <border>
      <top style="thin">
        <color rgb="FF000000"/>
      </top>
    </border>
    <border>
      <right style="thin">
        <color rgb="FF000000"/>
      </right>
      <top style="thin">
        <color rgb="FF000000"/>
      </top>
    </border>
    <border>
      <left style="thick">
        <color rgb="FFBF9000"/>
      </left>
      <top style="thick">
        <color rgb="FFBF9000"/>
      </top>
    </border>
    <border>
      <top style="thick">
        <color rgb="FFBF9000"/>
      </top>
    </border>
    <border>
      <right style="thick">
        <color rgb="FFBF9000"/>
      </right>
      <top style="thick">
        <color rgb="FFBF9000"/>
      </top>
    </border>
    <border>
      <left style="thick">
        <color rgb="FFBF9000"/>
      </left>
      <right style="thick">
        <color rgb="FFBF9000"/>
      </right>
    </border>
    <border>
      <left style="thick">
        <color rgb="FFBF9000"/>
      </left>
    </border>
    <border>
      <right style="thick">
        <color rgb="FFBF9000"/>
      </right>
    </border>
    <border>
      <left style="thick">
        <color rgb="FFBF9000"/>
      </left>
      <bottom style="thick">
        <color rgb="FFBF9000"/>
      </bottom>
    </border>
    <border>
      <bottom style="thick">
        <color rgb="FFBF9000"/>
      </bottom>
    </border>
    <border>
      <right style="thick">
        <color rgb="FFBF9000"/>
      </right>
      <bottom style="thick">
        <color rgb="FFBF9000"/>
      </bottom>
    </border>
    <border>
      <left style="thin">
        <color rgb="FF000000"/>
      </left>
      <right style="thin">
        <color rgb="FF000000"/>
      </right>
      <top style="thin">
        <color rgb="FF000000"/>
      </top>
    </border>
    <border>
      <left style="thin">
        <color rgb="FF000000"/>
      </left>
      <right style="thin">
        <color rgb="FF000000"/>
      </right>
    </border>
    <border>
      <left style="thick">
        <color rgb="FFBF9000"/>
      </left>
      <right style="thin">
        <color rgb="FF000000"/>
      </right>
      <top style="thick">
        <color rgb="FFBF9000"/>
      </top>
      <bottom style="thin">
        <color rgb="FF000000"/>
      </bottom>
    </border>
    <border>
      <left style="thin">
        <color rgb="FF000000"/>
      </left>
      <right style="thin">
        <color rgb="FF000000"/>
      </right>
      <top style="thick">
        <color rgb="FFBF9000"/>
      </top>
      <bottom style="thin">
        <color rgb="FF000000"/>
      </bottom>
    </border>
    <border>
      <left style="thin">
        <color rgb="FF000000"/>
      </left>
      <right style="thick">
        <color rgb="FFBF9000"/>
      </right>
      <top style="thick">
        <color rgb="FFBF9000"/>
      </top>
      <bottom style="thin">
        <color rgb="FF000000"/>
      </bottom>
    </border>
    <border>
      <left style="thick">
        <color rgb="FFBF9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ck">
        <color rgb="FFBF9000"/>
      </right>
      <top style="thin">
        <color rgb="FF000000"/>
      </top>
      <bottom style="thin">
        <color rgb="FF000000"/>
      </bottom>
    </border>
    <border>
      <left style="thick">
        <color rgb="FFBF9000"/>
      </left>
      <right style="thin">
        <color rgb="FF000000"/>
      </right>
      <top style="thin">
        <color rgb="FF000000"/>
      </top>
      <bottom style="thick">
        <color rgb="FFBF9000"/>
      </bottom>
    </border>
    <border>
      <left style="thin">
        <color rgb="FF000000"/>
      </left>
      <right style="thin">
        <color rgb="FF000000"/>
      </right>
      <top style="thin">
        <color rgb="FF000000"/>
      </top>
      <bottom style="thick">
        <color rgb="FFBF9000"/>
      </bottom>
    </border>
    <border>
      <left style="thin">
        <color rgb="FF000000"/>
      </left>
      <right style="thick">
        <color rgb="FFBF9000"/>
      </right>
      <top style="thin">
        <color rgb="FF000000"/>
      </top>
      <bottom style="thick">
        <color rgb="FFBF9000"/>
      </bottom>
    </border>
    <border>
      <left style="thin">
        <color rgb="FF000000"/>
      </left>
      <right style="thin">
        <color rgb="FF000000"/>
      </right>
      <bottom style="thin">
        <color rgb="FF000000"/>
      </bottom>
    </border>
    <border>
      <bottom style="thin">
        <color rgb="FF000000"/>
      </bottom>
    </border>
    <border>
      <right style="thin">
        <color rgb="FF000000"/>
      </right>
      <bottom style="thin">
        <color rgb="FF000000"/>
      </bottom>
    </border>
    <border>
      <left style="thin">
        <color rgb="FF000000"/>
      </left>
      <bottom style="medium">
        <color rgb="FF000000"/>
      </bottom>
    </border>
    <border>
      <left style="thick">
        <color rgb="FFBF9000"/>
      </left>
      <right style="thick">
        <color rgb="FFBF9000"/>
      </right>
      <bottom style="thick">
        <color rgb="FFBF9000"/>
      </bottom>
    </border>
  </borders>
  <cellStyleXfs count="1">
    <xf borderId="0" fillId="0" fontId="0" numFmtId="0" applyAlignment="1" applyFont="1"/>
  </cellStyleXfs>
  <cellXfs count="223">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2" fillId="0" fontId="2" numFmtId="0" xfId="0" applyBorder="1" applyFont="1"/>
    <xf borderId="3" fillId="0" fontId="2" numFmtId="0" xfId="0" applyBorder="1" applyFont="1"/>
    <xf borderId="4" fillId="3" fontId="1" numFmtId="0" xfId="0" applyAlignment="1" applyBorder="1" applyFill="1" applyFont="1">
      <alignment horizontal="center" readingOrder="0"/>
    </xf>
    <xf borderId="5" fillId="3" fontId="1" numFmtId="0" xfId="0" applyAlignment="1" applyBorder="1" applyFont="1">
      <alignment horizontal="center" readingOrder="0"/>
    </xf>
    <xf borderId="6" fillId="3" fontId="1" numFmtId="0" xfId="0" applyAlignment="1" applyBorder="1" applyFont="1">
      <alignment horizontal="center" readingOrder="0"/>
    </xf>
    <xf borderId="7" fillId="3" fontId="1" numFmtId="0" xfId="0" applyAlignment="1" applyBorder="1" applyFont="1">
      <alignment horizontal="center" readingOrder="0"/>
    </xf>
    <xf borderId="6" fillId="3" fontId="3" numFmtId="0" xfId="0" applyAlignment="1" applyBorder="1" applyFont="1">
      <alignment horizontal="center" readingOrder="0"/>
    </xf>
    <xf borderId="8" fillId="3" fontId="3" numFmtId="0" xfId="0" applyAlignment="1" applyBorder="1" applyFont="1">
      <alignment horizontal="center" readingOrder="0"/>
    </xf>
    <xf borderId="0" fillId="4" fontId="1" numFmtId="0" xfId="0" applyAlignment="1" applyFill="1" applyFont="1">
      <alignment horizontal="center" readingOrder="0"/>
    </xf>
    <xf borderId="9" fillId="0" fontId="1" numFmtId="0" xfId="0" applyAlignment="1" applyBorder="1" applyFont="1">
      <alignment horizontal="center" readingOrder="0"/>
    </xf>
    <xf borderId="10" fillId="0" fontId="1" numFmtId="0" xfId="0" applyAlignment="1" applyBorder="1" applyFont="1">
      <alignment horizontal="center" readingOrder="0"/>
    </xf>
    <xf borderId="9" fillId="5" fontId="4" numFmtId="0" xfId="0" applyAlignment="1" applyBorder="1" applyFill="1" applyFont="1">
      <alignment readingOrder="0"/>
    </xf>
    <xf borderId="11" fillId="5" fontId="4" numFmtId="0" xfId="0" applyAlignment="1" applyBorder="1" applyFont="1">
      <alignment readingOrder="0"/>
    </xf>
    <xf borderId="0" fillId="5" fontId="4" numFmtId="2" xfId="0" applyAlignment="1" applyFont="1" applyNumberFormat="1">
      <alignment readingOrder="0"/>
    </xf>
    <xf borderId="0" fillId="5" fontId="4" numFmtId="0" xfId="0" applyAlignment="1" applyFont="1">
      <alignment horizontal="center" readingOrder="0"/>
    </xf>
    <xf borderId="0" fillId="5" fontId="4" numFmtId="2" xfId="0" applyAlignment="1" applyFont="1" applyNumberFormat="1">
      <alignment horizontal="center" readingOrder="0"/>
    </xf>
    <xf borderId="12" fillId="5" fontId="4" numFmtId="0" xfId="0" applyAlignment="1" applyBorder="1" applyFont="1">
      <alignment horizontal="center" readingOrder="0"/>
    </xf>
    <xf borderId="0" fillId="5" fontId="4" numFmtId="164" xfId="0" applyAlignment="1" applyFont="1" applyNumberFormat="1">
      <alignment horizontal="center" readingOrder="0"/>
    </xf>
    <xf borderId="0" fillId="5" fontId="4" numFmtId="164" xfId="0" applyAlignment="1" applyFont="1" applyNumberFormat="1">
      <alignment horizontal="center"/>
    </xf>
    <xf borderId="10" fillId="5" fontId="4" numFmtId="164" xfId="0" applyAlignment="1" applyBorder="1" applyFont="1" applyNumberFormat="1">
      <alignment horizontal="center"/>
    </xf>
    <xf borderId="0" fillId="5" fontId="4" numFmtId="2" xfId="0" applyAlignment="1" applyFont="1" applyNumberFormat="1">
      <alignment horizontal="center"/>
    </xf>
    <xf borderId="0" fillId="5" fontId="4" numFmtId="165" xfId="0" applyAlignment="1" applyFont="1" applyNumberFormat="1">
      <alignment horizontal="center"/>
    </xf>
    <xf borderId="0" fillId="5" fontId="4" numFmtId="10" xfId="0" applyAlignment="1" applyFont="1" applyNumberFormat="1">
      <alignment horizontal="center"/>
    </xf>
    <xf borderId="9" fillId="0" fontId="4" numFmtId="0" xfId="0" applyAlignment="1" applyBorder="1" applyFont="1">
      <alignment readingOrder="0"/>
    </xf>
    <xf borderId="10" fillId="0" fontId="5" numFmtId="0" xfId="0" applyAlignment="1" applyBorder="1" applyFont="1">
      <alignment readingOrder="0"/>
    </xf>
    <xf borderId="9" fillId="6" fontId="5" numFmtId="0" xfId="0" applyAlignment="1" applyBorder="1" applyFill="1" applyFont="1">
      <alignment readingOrder="0"/>
    </xf>
    <xf borderId="11" fillId="6" fontId="5" numFmtId="0" xfId="0" applyAlignment="1" applyBorder="1" applyFont="1">
      <alignment readingOrder="0"/>
    </xf>
    <xf borderId="0" fillId="6" fontId="4" numFmtId="2" xfId="0" applyFont="1" applyNumberFormat="1"/>
    <xf borderId="0" fillId="6" fontId="4" numFmtId="0" xfId="0" applyAlignment="1" applyFont="1">
      <alignment horizontal="center" readingOrder="0"/>
    </xf>
    <xf borderId="0" fillId="6" fontId="4" numFmtId="2" xfId="0" applyAlignment="1" applyFont="1" applyNumberFormat="1">
      <alignment horizontal="center" readingOrder="0"/>
    </xf>
    <xf borderId="12" fillId="6" fontId="4" numFmtId="0" xfId="0" applyAlignment="1" applyBorder="1" applyFont="1">
      <alignment horizontal="center" readingOrder="0"/>
    </xf>
    <xf borderId="0" fillId="6" fontId="4" numFmtId="164" xfId="0" applyAlignment="1" applyFont="1" applyNumberFormat="1">
      <alignment horizontal="center" readingOrder="0"/>
    </xf>
    <xf borderId="0" fillId="6" fontId="4" numFmtId="164" xfId="0" applyAlignment="1" applyFont="1" applyNumberFormat="1">
      <alignment horizontal="center"/>
    </xf>
    <xf borderId="10" fillId="6" fontId="4" numFmtId="164" xfId="0" applyAlignment="1" applyBorder="1" applyFont="1" applyNumberFormat="1">
      <alignment horizontal="center"/>
    </xf>
    <xf borderId="0" fillId="6" fontId="4" numFmtId="2" xfId="0" applyAlignment="1" applyFont="1" applyNumberFormat="1">
      <alignment horizontal="center"/>
    </xf>
    <xf borderId="0" fillId="6" fontId="4" numFmtId="165" xfId="0" applyAlignment="1" applyFont="1" applyNumberFormat="1">
      <alignment horizontal="center"/>
    </xf>
    <xf borderId="0" fillId="6" fontId="4" numFmtId="10" xfId="0" applyAlignment="1" applyFont="1" applyNumberFormat="1">
      <alignment horizontal="center"/>
    </xf>
    <xf borderId="9" fillId="0" fontId="4" numFmtId="0" xfId="0" applyAlignment="1" applyBorder="1" applyFont="1">
      <alignment readingOrder="0"/>
    </xf>
    <xf borderId="10" fillId="0" fontId="4" numFmtId="0" xfId="0" applyAlignment="1" applyBorder="1" applyFont="1">
      <alignment readingOrder="0"/>
    </xf>
    <xf borderId="0" fillId="0" fontId="4" numFmtId="0" xfId="0" applyAlignment="1" applyFont="1">
      <alignment readingOrder="0"/>
    </xf>
    <xf borderId="9" fillId="5" fontId="5" numFmtId="0" xfId="0" applyAlignment="1" applyBorder="1" applyFont="1">
      <alignment readingOrder="0"/>
    </xf>
    <xf borderId="11" fillId="5" fontId="5" numFmtId="0" xfId="0" applyAlignment="1" applyBorder="1" applyFont="1">
      <alignment readingOrder="0"/>
    </xf>
    <xf borderId="0" fillId="5" fontId="4" numFmtId="2" xfId="0" applyFont="1" applyNumberFormat="1"/>
    <xf borderId="9" fillId="6" fontId="4" numFmtId="0" xfId="0" applyAlignment="1" applyBorder="1" applyFont="1">
      <alignment readingOrder="0"/>
    </xf>
    <xf borderId="11" fillId="6" fontId="4" numFmtId="0" xfId="0" applyAlignment="1" applyBorder="1" applyFont="1">
      <alignment readingOrder="0"/>
    </xf>
    <xf borderId="0" fillId="6" fontId="4" numFmtId="0" xfId="0" applyAlignment="1" applyFont="1">
      <alignment readingOrder="0"/>
    </xf>
    <xf borderId="0" fillId="6" fontId="4" numFmtId="166" xfId="0" applyAlignment="1" applyFont="1" applyNumberFormat="1">
      <alignment horizontal="center" readingOrder="0"/>
    </xf>
    <xf borderId="0" fillId="5" fontId="4" numFmtId="166" xfId="0" applyAlignment="1" applyFont="1" applyNumberFormat="1">
      <alignment readingOrder="0"/>
    </xf>
    <xf borderId="0" fillId="5" fontId="5" numFmtId="0" xfId="0" applyAlignment="1" applyFont="1">
      <alignment horizontal="center" readingOrder="0"/>
    </xf>
    <xf borderId="13" fillId="0" fontId="4" numFmtId="0" xfId="0" applyAlignment="1" applyBorder="1" applyFont="1">
      <alignment readingOrder="0"/>
    </xf>
    <xf borderId="14" fillId="0" fontId="4" numFmtId="0" xfId="0" applyAlignment="1" applyBorder="1" applyFont="1">
      <alignment readingOrder="0"/>
    </xf>
    <xf borderId="13" fillId="5" fontId="4" numFmtId="0" xfId="0" applyAlignment="1" applyBorder="1" applyFont="1">
      <alignment readingOrder="0"/>
    </xf>
    <xf borderId="15" fillId="5" fontId="4" numFmtId="0" xfId="0" applyAlignment="1" applyBorder="1" applyFont="1">
      <alignment readingOrder="0"/>
    </xf>
    <xf borderId="15" fillId="5" fontId="1" numFmtId="0" xfId="0" applyBorder="1" applyFont="1"/>
    <xf borderId="14" fillId="5" fontId="1" numFmtId="0" xfId="0" applyBorder="1" applyFont="1"/>
    <xf borderId="1" fillId="3" fontId="1" numFmtId="0" xfId="0" applyAlignment="1" applyBorder="1" applyFont="1">
      <alignment readingOrder="0"/>
    </xf>
    <xf borderId="0" fillId="6" fontId="1" numFmtId="0" xfId="0" applyAlignment="1" applyFont="1">
      <alignment readingOrder="0"/>
    </xf>
    <xf borderId="0" fillId="6" fontId="4" numFmtId="0" xfId="0" applyFont="1"/>
    <xf borderId="10" fillId="7" fontId="6" numFmtId="0" xfId="0" applyAlignment="1" applyBorder="1" applyFill="1" applyFont="1">
      <alignment readingOrder="0"/>
    </xf>
    <xf borderId="0" fillId="5" fontId="4" numFmtId="0" xfId="0" applyFont="1"/>
    <xf borderId="0" fillId="5" fontId="4" numFmtId="0" xfId="0" applyAlignment="1" applyFont="1">
      <alignment readingOrder="0"/>
    </xf>
    <xf borderId="13" fillId="6" fontId="4" numFmtId="0" xfId="0" applyAlignment="1" applyBorder="1" applyFont="1">
      <alignment readingOrder="0"/>
    </xf>
    <xf borderId="14" fillId="6" fontId="4" numFmtId="0" xfId="0" applyAlignment="1" applyBorder="1" applyFont="1">
      <alignment readingOrder="0"/>
    </xf>
    <xf borderId="1" fillId="8" fontId="1" numFmtId="0" xfId="0" applyAlignment="1" applyBorder="1" applyFill="1" applyFont="1">
      <alignment horizontal="center" readingOrder="0"/>
    </xf>
    <xf borderId="2" fillId="6" fontId="2" numFmtId="0" xfId="0" applyBorder="1" applyFont="1"/>
    <xf borderId="3" fillId="6" fontId="2" numFmtId="0" xfId="0" applyBorder="1" applyFont="1"/>
    <xf borderId="9" fillId="5" fontId="1" numFmtId="0" xfId="0" applyAlignment="1" applyBorder="1" applyFont="1">
      <alignment horizontal="center" readingOrder="0"/>
    </xf>
    <xf borderId="16" fillId="5" fontId="1" numFmtId="0" xfId="0" applyAlignment="1" applyBorder="1" applyFont="1">
      <alignment horizontal="center" readingOrder="0"/>
    </xf>
    <xf borderId="17" fillId="5" fontId="1" numFmtId="0" xfId="0" applyAlignment="1" applyBorder="1" applyFont="1">
      <alignment horizontal="center" readingOrder="0"/>
    </xf>
    <xf borderId="18" fillId="5" fontId="1" numFmtId="0" xfId="0" applyAlignment="1" applyBorder="1" applyFont="1">
      <alignment horizontal="center" readingOrder="0"/>
    </xf>
    <xf borderId="0" fillId="5" fontId="1" numFmtId="0" xfId="0" applyAlignment="1" applyFont="1">
      <alignment horizontal="center" readingOrder="0"/>
    </xf>
    <xf borderId="0" fillId="5" fontId="3" numFmtId="0" xfId="0" applyAlignment="1" applyFont="1">
      <alignment horizontal="center" readingOrder="0"/>
    </xf>
    <xf borderId="19" fillId="4" fontId="1" numFmtId="0" xfId="0" applyAlignment="1" applyBorder="1" applyFont="1">
      <alignment horizontal="center" readingOrder="0"/>
    </xf>
    <xf borderId="20" fillId="4" fontId="1" numFmtId="0" xfId="0" applyAlignment="1" applyBorder="1" applyFont="1">
      <alignment horizontal="center" readingOrder="0"/>
    </xf>
    <xf borderId="21" fillId="4" fontId="1" numFmtId="0" xfId="0" applyAlignment="1" applyBorder="1" applyFont="1">
      <alignment horizontal="center" readingOrder="0"/>
    </xf>
    <xf borderId="1" fillId="9" fontId="1" numFmtId="0" xfId="0" applyAlignment="1" applyBorder="1" applyFill="1" applyFont="1">
      <alignment readingOrder="0"/>
    </xf>
    <xf borderId="22" fillId="6" fontId="4" numFmtId="0" xfId="0" applyAlignment="1" applyBorder="1" applyFont="1">
      <alignment readingOrder="0"/>
    </xf>
    <xf borderId="0" fillId="6" fontId="4" numFmtId="2" xfId="0" applyAlignment="1" applyFont="1" applyNumberFormat="1">
      <alignment readingOrder="0"/>
    </xf>
    <xf borderId="0" fillId="6" fontId="4" numFmtId="4" xfId="0" applyAlignment="1" applyFont="1" applyNumberFormat="1">
      <alignment horizontal="center" readingOrder="0"/>
    </xf>
    <xf borderId="0" fillId="6" fontId="1" numFmtId="164" xfId="0" applyAlignment="1" applyFont="1" applyNumberFormat="1">
      <alignment horizontal="center" readingOrder="0"/>
    </xf>
    <xf borderId="23" fillId="10" fontId="4" numFmtId="2" xfId="0" applyAlignment="1" applyBorder="1" applyFill="1" applyFont="1" applyNumberFormat="1">
      <alignment horizontal="center"/>
    </xf>
    <xf borderId="0" fillId="10" fontId="4" numFmtId="2" xfId="0" applyAlignment="1" applyFont="1" applyNumberFormat="1">
      <alignment horizontal="center"/>
    </xf>
    <xf borderId="24" fillId="10" fontId="4" numFmtId="10" xfId="0" applyAlignment="1" applyBorder="1" applyFont="1" applyNumberFormat="1">
      <alignment horizontal="center"/>
    </xf>
    <xf borderId="22" fillId="5" fontId="5" numFmtId="0" xfId="0" applyAlignment="1" applyBorder="1" applyFont="1">
      <alignment readingOrder="0"/>
    </xf>
    <xf borderId="0" fillId="5" fontId="4" numFmtId="4" xfId="0" applyAlignment="1" applyFont="1" applyNumberFormat="1">
      <alignment horizontal="center" readingOrder="0"/>
    </xf>
    <xf borderId="0" fillId="5" fontId="1" numFmtId="164" xfId="0" applyAlignment="1" applyFont="1" applyNumberFormat="1">
      <alignment horizontal="center" readingOrder="0"/>
    </xf>
    <xf borderId="10" fillId="6" fontId="4" numFmtId="0" xfId="0" applyAlignment="1" applyBorder="1" applyFont="1">
      <alignment readingOrder="0"/>
    </xf>
    <xf borderId="22" fillId="6" fontId="5" numFmtId="0" xfId="0" applyAlignment="1" applyBorder="1" applyFont="1">
      <alignment readingOrder="0"/>
    </xf>
    <xf borderId="14" fillId="0" fontId="4" numFmtId="0" xfId="0" applyAlignment="1" applyBorder="1" applyFont="1">
      <alignment readingOrder="0"/>
    </xf>
    <xf borderId="22" fillId="5" fontId="4" numFmtId="0" xfId="0" applyAlignment="1" applyBorder="1" applyFont="1">
      <alignment readingOrder="0"/>
    </xf>
    <xf borderId="25" fillId="10" fontId="4" numFmtId="2" xfId="0" applyAlignment="1" applyBorder="1" applyFont="1" applyNumberFormat="1">
      <alignment horizontal="center"/>
    </xf>
    <xf borderId="26" fillId="10" fontId="4" numFmtId="2" xfId="0" applyAlignment="1" applyBorder="1" applyFont="1" applyNumberFormat="1">
      <alignment horizontal="center"/>
    </xf>
    <xf borderId="27" fillId="10" fontId="4" numFmtId="10" xfId="0" applyAlignment="1" applyBorder="1" applyFont="1" applyNumberFormat="1">
      <alignment horizontal="center"/>
    </xf>
    <xf borderId="15" fillId="6" fontId="4" numFmtId="0" xfId="0" applyAlignment="1" applyBorder="1" applyFont="1">
      <alignment readingOrder="0"/>
    </xf>
    <xf borderId="15" fillId="6" fontId="4" numFmtId="0" xfId="0" applyBorder="1" applyFont="1"/>
    <xf borderId="0" fillId="5" fontId="1" numFmtId="0" xfId="0" applyAlignment="1" applyFont="1">
      <alignment readingOrder="0"/>
    </xf>
    <xf borderId="0" fillId="5" fontId="1" numFmtId="0" xfId="0" applyFont="1"/>
    <xf borderId="0" fillId="5" fontId="4" numFmtId="0" xfId="0" applyAlignment="1" applyFont="1">
      <alignment horizontal="center"/>
    </xf>
    <xf borderId="0" fillId="0" fontId="1" numFmtId="0" xfId="0" applyAlignment="1" applyFont="1">
      <alignment horizontal="center" readingOrder="0"/>
    </xf>
    <xf borderId="0" fillId="0" fontId="1" numFmtId="0" xfId="0" applyAlignment="1" applyFont="1">
      <alignment horizontal="left" readingOrder="0"/>
    </xf>
    <xf borderId="28" fillId="0" fontId="1" numFmtId="0" xfId="0" applyAlignment="1" applyBorder="1" applyFont="1">
      <alignment readingOrder="0"/>
    </xf>
    <xf borderId="17" fillId="0" fontId="1" numFmtId="0" xfId="0" applyAlignment="1" applyBorder="1" applyFont="1">
      <alignment readingOrder="0"/>
    </xf>
    <xf borderId="17" fillId="0" fontId="4" numFmtId="0" xfId="0" applyBorder="1" applyFont="1"/>
    <xf borderId="18" fillId="0" fontId="4" numFmtId="0" xfId="0" applyAlignment="1" applyBorder="1" applyFont="1">
      <alignment readingOrder="0"/>
    </xf>
    <xf borderId="0" fillId="0" fontId="4" numFmtId="0" xfId="0" applyAlignment="1" applyFont="1">
      <alignment readingOrder="0"/>
    </xf>
    <xf borderId="0" fillId="0" fontId="4" numFmtId="0" xfId="0" applyFont="1"/>
    <xf borderId="0" fillId="0" fontId="4" numFmtId="0" xfId="0" applyAlignment="1" applyFont="1">
      <alignment horizontal="center" readingOrder="0"/>
    </xf>
    <xf borderId="0" fillId="0" fontId="4" numFmtId="0" xfId="0" applyAlignment="1" applyFont="1">
      <alignment horizontal="center" readingOrder="0"/>
    </xf>
    <xf borderId="29" fillId="0" fontId="4" numFmtId="0" xfId="0" applyBorder="1" applyFont="1"/>
    <xf borderId="0" fillId="0" fontId="1" numFmtId="0" xfId="0" applyAlignment="1" applyFont="1">
      <alignment readingOrder="0"/>
    </xf>
    <xf borderId="12" fillId="0" fontId="4" numFmtId="0" xfId="0" applyAlignment="1" applyBorder="1" applyFont="1">
      <alignment readingOrder="0"/>
    </xf>
    <xf borderId="0" fillId="0" fontId="5" numFmtId="0" xfId="0" applyAlignment="1" applyFont="1">
      <alignment readingOrder="0"/>
    </xf>
    <xf borderId="0" fillId="0" fontId="5" numFmtId="0" xfId="0" applyAlignment="1" applyFont="1">
      <alignment horizontal="center" readingOrder="0"/>
    </xf>
    <xf borderId="17" fillId="0" fontId="4" numFmtId="0" xfId="0" applyBorder="1" applyFont="1"/>
    <xf borderId="18" fillId="0" fontId="4" numFmtId="9" xfId="0" applyAlignment="1" applyBorder="1" applyFont="1" applyNumberFormat="1">
      <alignment readingOrder="0"/>
    </xf>
    <xf borderId="17" fillId="0" fontId="4" numFmtId="0" xfId="0" applyAlignment="1" applyBorder="1" applyFont="1">
      <alignment readingOrder="0"/>
    </xf>
    <xf borderId="0" fillId="0" fontId="4" numFmtId="0" xfId="0" applyFont="1"/>
    <xf borderId="0" fillId="0" fontId="7" numFmtId="0" xfId="0" applyAlignment="1" applyFont="1">
      <alignment readingOrder="0"/>
    </xf>
    <xf borderId="0" fillId="0" fontId="4" numFmtId="0" xfId="0" applyAlignment="1" applyFont="1">
      <alignment readingOrder="0"/>
    </xf>
    <xf borderId="0" fillId="2" fontId="1" numFmtId="0" xfId="0" applyAlignment="1" applyFont="1">
      <alignment horizontal="center" readingOrder="0"/>
    </xf>
    <xf borderId="0" fillId="3" fontId="1" numFmtId="0" xfId="0" applyAlignment="1" applyFont="1">
      <alignment horizontal="center" readingOrder="0"/>
    </xf>
    <xf borderId="0" fillId="3" fontId="3" numFmtId="0" xfId="0" applyAlignment="1" applyFont="1">
      <alignment horizontal="center" readingOrder="0"/>
    </xf>
    <xf borderId="0" fillId="3" fontId="1" numFmtId="0" xfId="0" applyAlignment="1" applyFont="1">
      <alignment horizontal="center" readingOrder="0"/>
    </xf>
    <xf borderId="0" fillId="5" fontId="4" numFmtId="166" xfId="0" applyFont="1" applyNumberFormat="1"/>
    <xf borderId="10" fillId="0" fontId="4" numFmtId="0" xfId="0" applyAlignment="1" applyBorder="1" applyFont="1">
      <alignment readingOrder="0"/>
    </xf>
    <xf borderId="0" fillId="6" fontId="4" numFmtId="166" xfId="0" applyAlignment="1" applyFont="1" applyNumberFormat="1">
      <alignment readingOrder="0"/>
    </xf>
    <xf borderId="0" fillId="6" fontId="4" numFmtId="166" xfId="0" applyFont="1" applyNumberFormat="1"/>
    <xf borderId="13" fillId="0" fontId="4" numFmtId="0" xfId="0" applyAlignment="1" applyBorder="1" applyFont="1">
      <alignment horizontal="center" readingOrder="0"/>
    </xf>
    <xf borderId="0" fillId="6" fontId="1" numFmtId="0" xfId="0" applyAlignment="1" applyFont="1">
      <alignment readingOrder="0"/>
    </xf>
    <xf borderId="0" fillId="5" fontId="1" numFmtId="2" xfId="0" applyFont="1" applyNumberFormat="1"/>
    <xf borderId="0" fillId="5" fontId="1" numFmtId="166" xfId="0" applyFont="1" applyNumberFormat="1"/>
    <xf borderId="0" fillId="5" fontId="1" numFmtId="0" xfId="0" applyAlignment="1" applyFont="1">
      <alignment readingOrder="0"/>
    </xf>
    <xf borderId="0" fillId="8" fontId="1" numFmtId="0" xfId="0" applyAlignment="1" applyFont="1">
      <alignment horizontal="center" readingOrder="0"/>
    </xf>
    <xf borderId="30" fillId="4" fontId="1" numFmtId="0" xfId="0" applyAlignment="1" applyBorder="1" applyFont="1">
      <alignment horizontal="center" readingOrder="0"/>
    </xf>
    <xf borderId="31" fillId="4" fontId="1" numFmtId="0" xfId="0" applyAlignment="1" applyBorder="1" applyFont="1">
      <alignment horizontal="center" readingOrder="0"/>
    </xf>
    <xf borderId="32" fillId="4" fontId="1" numFmtId="0" xfId="0" applyAlignment="1" applyBorder="1" applyFont="1">
      <alignment horizontal="center" readingOrder="0"/>
    </xf>
    <xf borderId="0" fillId="5" fontId="1" numFmtId="0" xfId="0" applyAlignment="1" applyFont="1">
      <alignment horizontal="center" readingOrder="0"/>
    </xf>
    <xf borderId="19" fillId="6" fontId="1" numFmtId="0" xfId="0" applyAlignment="1" applyBorder="1" applyFont="1">
      <alignment horizontal="center" readingOrder="0"/>
    </xf>
    <xf borderId="21" fillId="6" fontId="1" numFmtId="0" xfId="0" applyAlignment="1" applyBorder="1" applyFont="1">
      <alignment horizontal="center" readingOrder="0"/>
    </xf>
    <xf borderId="0" fillId="6" fontId="1" numFmtId="0" xfId="0" applyAlignment="1" applyFont="1">
      <alignment horizontal="center" readingOrder="0"/>
    </xf>
    <xf borderId="0" fillId="6" fontId="3" numFmtId="0" xfId="0" applyAlignment="1" applyFont="1">
      <alignment horizontal="center" readingOrder="0"/>
    </xf>
    <xf borderId="33" fillId="10" fontId="4" numFmtId="0" xfId="0" applyBorder="1" applyFont="1"/>
    <xf borderId="34" fillId="10" fontId="4" numFmtId="0" xfId="0" applyBorder="1" applyFont="1"/>
    <xf borderId="35" fillId="10" fontId="4" numFmtId="0" xfId="0" applyBorder="1" applyFont="1"/>
    <xf borderId="23" fillId="5" fontId="4" numFmtId="0" xfId="0" applyAlignment="1" applyBorder="1" applyFont="1">
      <alignment readingOrder="0"/>
    </xf>
    <xf borderId="24" fillId="5" fontId="4" numFmtId="0" xfId="0" applyAlignment="1" applyBorder="1" applyFont="1">
      <alignment readingOrder="0"/>
    </xf>
    <xf borderId="33" fillId="10" fontId="4" numFmtId="2" xfId="0" applyBorder="1" applyFont="1" applyNumberFormat="1"/>
    <xf borderId="34" fillId="10" fontId="4" numFmtId="2" xfId="0" applyAlignment="1" applyBorder="1" applyFont="1" applyNumberFormat="1">
      <alignment readingOrder="0"/>
    </xf>
    <xf borderId="35" fillId="10" fontId="4" numFmtId="9" xfId="0" applyBorder="1" applyFont="1" applyNumberFormat="1"/>
    <xf borderId="23" fillId="6" fontId="4" numFmtId="0" xfId="0" applyAlignment="1" applyBorder="1" applyFont="1">
      <alignment readingOrder="0"/>
    </xf>
    <xf borderId="24" fillId="6" fontId="4" numFmtId="0" xfId="0" applyAlignment="1" applyBorder="1" applyFont="1">
      <alignment readingOrder="0"/>
    </xf>
    <xf borderId="25" fillId="5" fontId="4" numFmtId="0" xfId="0" applyAlignment="1" applyBorder="1" applyFont="1">
      <alignment readingOrder="0"/>
    </xf>
    <xf borderId="27" fillId="5" fontId="4" numFmtId="0" xfId="0" applyAlignment="1" applyBorder="1" applyFont="1">
      <alignment readingOrder="0"/>
    </xf>
    <xf borderId="36" fillId="10" fontId="4" numFmtId="2" xfId="0" applyBorder="1" applyFont="1" applyNumberFormat="1"/>
    <xf borderId="37" fillId="10" fontId="4" numFmtId="2" xfId="0" applyAlignment="1" applyBorder="1" applyFont="1" applyNumberFormat="1">
      <alignment readingOrder="0"/>
    </xf>
    <xf borderId="38" fillId="10" fontId="4" numFmtId="9" xfId="0" applyBorder="1" applyFont="1" applyNumberFormat="1"/>
    <xf borderId="0" fillId="5" fontId="4" numFmtId="9" xfId="0" applyFont="1" applyNumberFormat="1"/>
    <xf borderId="28" fillId="0" fontId="4" numFmtId="0" xfId="0" applyAlignment="1" applyBorder="1" applyFont="1">
      <alignment readingOrder="0"/>
    </xf>
    <xf borderId="0" fillId="0" fontId="1" numFmtId="0" xfId="0" applyAlignment="1" applyFont="1">
      <alignment readingOrder="0"/>
    </xf>
    <xf borderId="18" fillId="0" fontId="4" numFmtId="0" xfId="0" applyAlignment="1" applyBorder="1" applyFont="1">
      <alignment readingOrder="0"/>
    </xf>
    <xf borderId="39" fillId="0" fontId="4" numFmtId="0" xfId="0" applyBorder="1" applyFont="1"/>
    <xf borderId="40" fillId="0" fontId="1" numFmtId="0" xfId="0" applyAlignment="1" applyBorder="1" applyFont="1">
      <alignment readingOrder="0"/>
    </xf>
    <xf borderId="40" fillId="0" fontId="4" numFmtId="0" xfId="0" applyBorder="1" applyFont="1"/>
    <xf borderId="41" fillId="0" fontId="4" numFmtId="0" xfId="0" applyAlignment="1" applyBorder="1" applyFont="1">
      <alignment readingOrder="0"/>
    </xf>
    <xf borderId="0" fillId="0" fontId="4" numFmtId="166" xfId="0" applyFont="1" applyNumberFormat="1"/>
    <xf borderId="8" fillId="3" fontId="1" numFmtId="0" xfId="0" applyAlignment="1" applyBorder="1" applyFont="1">
      <alignment horizontal="center" readingOrder="0"/>
    </xf>
    <xf borderId="4" fillId="3" fontId="3" numFmtId="0" xfId="0" applyAlignment="1" applyBorder="1" applyFont="1">
      <alignment horizontal="center" readingOrder="0"/>
    </xf>
    <xf borderId="10" fillId="5" fontId="4" numFmtId="0" xfId="0" applyAlignment="1" applyBorder="1" applyFont="1">
      <alignment readingOrder="0"/>
    </xf>
    <xf borderId="9" fillId="5" fontId="4" numFmtId="2" xfId="0" applyAlignment="1" applyBorder="1" applyFont="1" applyNumberFormat="1">
      <alignment readingOrder="0"/>
    </xf>
    <xf borderId="11" fillId="5" fontId="4" numFmtId="1" xfId="0" applyAlignment="1" applyBorder="1" applyFont="1" applyNumberFormat="1">
      <alignment readingOrder="0"/>
    </xf>
    <xf borderId="9" fillId="5" fontId="4" numFmtId="1" xfId="0" applyBorder="1" applyFont="1" applyNumberFormat="1"/>
    <xf borderId="10" fillId="5" fontId="4" numFmtId="1" xfId="0" applyBorder="1" applyFont="1" applyNumberFormat="1"/>
    <xf borderId="0" fillId="5" fontId="4" numFmtId="167" xfId="0" applyFont="1" applyNumberFormat="1"/>
    <xf borderId="0" fillId="5" fontId="4" numFmtId="10" xfId="0" applyFont="1" applyNumberFormat="1"/>
    <xf borderId="9" fillId="6" fontId="4" numFmtId="2" xfId="0" applyAlignment="1" applyBorder="1" applyFont="1" applyNumberFormat="1">
      <alignment readingOrder="0"/>
    </xf>
    <xf borderId="11" fillId="6" fontId="4" numFmtId="1" xfId="0" applyAlignment="1" applyBorder="1" applyFont="1" applyNumberFormat="1">
      <alignment readingOrder="0"/>
    </xf>
    <xf borderId="9" fillId="6" fontId="4" numFmtId="1" xfId="0" applyBorder="1" applyFont="1" applyNumberFormat="1"/>
    <xf borderId="10" fillId="6" fontId="4" numFmtId="1" xfId="0" applyBorder="1" applyFont="1" applyNumberFormat="1"/>
    <xf borderId="0" fillId="6" fontId="4" numFmtId="167" xfId="0" applyFont="1" applyNumberFormat="1"/>
    <xf borderId="0" fillId="6" fontId="4" numFmtId="10" xfId="0" applyFont="1" applyNumberFormat="1"/>
    <xf borderId="0" fillId="5" fontId="4" numFmtId="0" xfId="0" applyAlignment="1" applyFont="1">
      <alignment readingOrder="0"/>
    </xf>
    <xf borderId="13" fillId="0" fontId="4" numFmtId="0" xfId="0" applyAlignment="1" applyBorder="1" applyFont="1">
      <alignment readingOrder="0"/>
    </xf>
    <xf borderId="13" fillId="6" fontId="4" numFmtId="0" xfId="0" applyAlignment="1" applyBorder="1" applyFont="1">
      <alignment readingOrder="0"/>
    </xf>
    <xf borderId="15" fillId="6" fontId="4" numFmtId="0" xfId="0" applyAlignment="1" applyBorder="1" applyFont="1">
      <alignment readingOrder="0"/>
    </xf>
    <xf borderId="42" fillId="6" fontId="4" numFmtId="1" xfId="0" applyAlignment="1" applyBorder="1" applyFont="1" applyNumberFormat="1">
      <alignment readingOrder="0"/>
    </xf>
    <xf borderId="13" fillId="6" fontId="4" numFmtId="1" xfId="0" applyBorder="1" applyFont="1" applyNumberFormat="1"/>
    <xf borderId="14" fillId="6" fontId="4" numFmtId="1" xfId="0" applyBorder="1" applyFont="1" applyNumberFormat="1"/>
    <xf borderId="0" fillId="3" fontId="1" numFmtId="0" xfId="0" applyAlignment="1" applyFont="1">
      <alignment readingOrder="0"/>
    </xf>
    <xf borderId="0" fillId="6" fontId="4" numFmtId="1" xfId="0" applyFont="1" applyNumberFormat="1"/>
    <xf borderId="4" fillId="5" fontId="1" numFmtId="0" xfId="0" applyAlignment="1" applyBorder="1" applyFont="1">
      <alignment horizontal="center" readingOrder="0"/>
    </xf>
    <xf borderId="6" fillId="5" fontId="1" numFmtId="0" xfId="0" applyAlignment="1" applyBorder="1" applyFont="1">
      <alignment horizontal="center" readingOrder="0"/>
    </xf>
    <xf borderId="6" fillId="5" fontId="3" numFmtId="0" xfId="0" applyAlignment="1" applyBorder="1" applyFont="1">
      <alignment horizontal="center" readingOrder="0"/>
    </xf>
    <xf borderId="0" fillId="6" fontId="1" numFmtId="1" xfId="0" applyAlignment="1" applyFont="1" applyNumberFormat="1">
      <alignment horizontal="center" readingOrder="0"/>
    </xf>
    <xf borderId="33" fillId="10" fontId="8" numFmtId="164" xfId="0" applyAlignment="1" applyBorder="1" applyFont="1" applyNumberFormat="1">
      <alignment readingOrder="0"/>
    </xf>
    <xf borderId="34" fillId="10" fontId="4" numFmtId="4" xfId="0" applyBorder="1" applyFont="1" applyNumberFormat="1"/>
    <xf borderId="35" fillId="10" fontId="4" numFmtId="10" xfId="0" applyBorder="1" applyFont="1" applyNumberFormat="1"/>
    <xf borderId="0" fillId="5" fontId="1" numFmtId="1" xfId="0" applyAlignment="1" applyFont="1" applyNumberFormat="1">
      <alignment horizontal="center" readingOrder="0"/>
    </xf>
    <xf borderId="0" fillId="5" fontId="4" numFmtId="1" xfId="0" applyFont="1" applyNumberFormat="1"/>
    <xf borderId="43" fillId="5" fontId="4" numFmtId="0" xfId="0" applyAlignment="1" applyBorder="1" applyFont="1">
      <alignment readingOrder="0"/>
    </xf>
    <xf borderId="15" fillId="5" fontId="4" numFmtId="2" xfId="0" applyAlignment="1" applyBorder="1" applyFont="1" applyNumberFormat="1">
      <alignment readingOrder="0"/>
    </xf>
    <xf borderId="15" fillId="5" fontId="1" numFmtId="1" xfId="0" applyAlignment="1" applyBorder="1" applyFont="1" applyNumberFormat="1">
      <alignment horizontal="center" readingOrder="0"/>
    </xf>
    <xf borderId="15" fillId="5" fontId="4" numFmtId="1" xfId="0" applyBorder="1" applyFont="1" applyNumberFormat="1"/>
    <xf borderId="36" fillId="10" fontId="8" numFmtId="0" xfId="0" applyAlignment="1" applyBorder="1" applyFont="1">
      <alignment readingOrder="0"/>
    </xf>
    <xf borderId="37" fillId="10" fontId="4" numFmtId="4" xfId="0" applyBorder="1" applyFont="1" applyNumberFormat="1"/>
    <xf borderId="38" fillId="10" fontId="4" numFmtId="10" xfId="0" applyBorder="1" applyFont="1" applyNumberFormat="1"/>
    <xf borderId="0" fillId="7" fontId="8" numFmtId="0" xfId="0" applyAlignment="1" applyFont="1">
      <alignment readingOrder="0"/>
    </xf>
    <xf borderId="0" fillId="0" fontId="4" numFmtId="1" xfId="0" applyAlignment="1" applyFont="1" applyNumberFormat="1">
      <alignment readingOrder="0"/>
    </xf>
    <xf borderId="0" fillId="0" fontId="9" numFmtId="0" xfId="0" applyAlignment="1" applyFont="1">
      <alignment readingOrder="0"/>
    </xf>
    <xf borderId="0" fillId="0" fontId="1" numFmtId="0" xfId="0" applyAlignment="1" applyFont="1">
      <alignment readingOrder="0"/>
    </xf>
    <xf borderId="0" fillId="0" fontId="4" numFmtId="2" xfId="0" applyAlignment="1" applyFont="1" applyNumberFormat="1">
      <alignment readingOrder="0"/>
    </xf>
    <xf borderId="0" fillId="0" fontId="4" numFmtId="2" xfId="0" applyFont="1" applyNumberFormat="1"/>
    <xf borderId="10" fillId="0" fontId="4" numFmtId="2" xfId="0" applyBorder="1" applyFont="1" applyNumberFormat="1"/>
    <xf borderId="0" fillId="0" fontId="4" numFmtId="2" xfId="0" applyAlignment="1" applyFont="1" applyNumberFormat="1">
      <alignment readingOrder="0"/>
    </xf>
    <xf borderId="15" fillId="0" fontId="4" numFmtId="0" xfId="0" applyAlignment="1" applyBorder="1" applyFont="1">
      <alignment readingOrder="0"/>
    </xf>
    <xf borderId="15" fillId="0" fontId="4" numFmtId="2" xfId="0" applyAlignment="1" applyBorder="1" applyFont="1" applyNumberFormat="1">
      <alignment readingOrder="0"/>
    </xf>
    <xf borderId="15" fillId="0" fontId="4" numFmtId="0" xfId="0" applyAlignment="1" applyBorder="1" applyFont="1">
      <alignment readingOrder="0"/>
    </xf>
    <xf borderId="15" fillId="0" fontId="4" numFmtId="2" xfId="0" applyBorder="1" applyFont="1" applyNumberFormat="1"/>
    <xf borderId="14" fillId="0" fontId="4" numFmtId="2" xfId="0" applyBorder="1" applyFont="1" applyNumberFormat="1"/>
    <xf borderId="0" fillId="0" fontId="4" numFmtId="0" xfId="0" applyAlignment="1" applyFont="1">
      <alignment readingOrder="0" shrinkToFit="0" vertical="top" wrapText="1"/>
    </xf>
    <xf borderId="0" fillId="7" fontId="6" numFmtId="0" xfId="0" applyAlignment="1" applyFont="1">
      <alignment readingOrder="0"/>
    </xf>
    <xf borderId="0" fillId="0" fontId="4" numFmtId="0" xfId="0" applyAlignment="1" applyFont="1">
      <alignment readingOrder="0"/>
    </xf>
  </cellXfs>
  <cellStyles count="1">
    <cellStyle xfId="0" name="Normal" builtinId="0"/>
  </cellStyles>
  <dxfs count="4">
    <dxf>
      <font/>
      <fill>
        <patternFill patternType="none"/>
      </fill>
      <border/>
    </dxf>
    <dxf>
      <font/>
      <fill>
        <patternFill patternType="solid">
          <fgColor rgb="FFB7B7B7"/>
          <bgColor rgb="FFB7B7B7"/>
        </patternFill>
      </fill>
      <border/>
    </dxf>
    <dxf>
      <font/>
      <fill>
        <patternFill patternType="solid">
          <fgColor theme="0"/>
          <bgColor theme="0"/>
        </patternFill>
      </fill>
      <border/>
    </dxf>
    <dxf>
      <font/>
      <fill>
        <patternFill patternType="solid">
          <fgColor rgb="FFEFEFEF"/>
          <bgColor rgb="FFEFEFEF"/>
        </patternFill>
      </fill>
      <border/>
    </dxf>
  </dxfs>
  <tableStyles count="18">
    <tableStyle count="3" pivot="0" name="Final Desired Orbit-style">
      <tableStyleElement dxfId="1" type="headerRow"/>
      <tableStyleElement dxfId="2" type="firstRowStripe"/>
      <tableStyleElement dxfId="3" type="secondRowStripe"/>
    </tableStyle>
    <tableStyle count="3" pivot="0" name="Final Desired Orbit-style 2">
      <tableStyleElement dxfId="1" type="headerRow"/>
      <tableStyleElement dxfId="2" type="firstRowStripe"/>
      <tableStyleElement dxfId="3" type="secondRowStripe"/>
    </tableStyle>
    <tableStyle count="2" pivot="0" name="Final Desired Orbit-style 3">
      <tableStyleElement dxfId="2" type="firstRowStripe"/>
      <tableStyleElement dxfId="3" type="secondRowStripe"/>
    </tableStyle>
    <tableStyle count="2" pivot="0" name="Final Desired Orbit-style 4">
      <tableStyleElement dxfId="2" type="firstRowStripe"/>
      <tableStyleElement dxfId="3" type="secondRowStripe"/>
    </tableStyle>
    <tableStyle count="2" pivot="0" name="Final Desired Orbit-style 5">
      <tableStyleElement dxfId="2" type="firstRowStripe"/>
      <tableStyleElement dxfId="3" type="secondRowStripe"/>
    </tableStyle>
    <tableStyle count="3" pivot="0" name="Final Desired Orbit-style 6">
      <tableStyleElement dxfId="1" type="headerRow"/>
      <tableStyleElement dxfId="2" type="firstRowStripe"/>
      <tableStyleElement dxfId="3" type="secondRowStripe"/>
    </tableStyle>
    <tableStyle count="2" pivot="0" name="Flybys-style">
      <tableStyleElement dxfId="2" type="firstRowStripe"/>
      <tableStyleElement dxfId="3" type="secondRowStripe"/>
    </tableStyle>
    <tableStyle count="2" pivot="0" name="Flybys-style 2">
      <tableStyleElement dxfId="2" type="firstRowStripe"/>
      <tableStyleElement dxfId="3" type="secondRowStripe"/>
    </tableStyle>
    <tableStyle count="3" pivot="0" name="Flybys-style 3">
      <tableStyleElement dxfId="1" type="headerRow"/>
      <tableStyleElement dxfId="2" type="firstRowStripe"/>
      <tableStyleElement dxfId="3" type="secondRowStripe"/>
    </tableStyle>
    <tableStyle count="2" pivot="0" name="Inclination Change-style">
      <tableStyleElement dxfId="2" type="firstRowStripe"/>
      <tableStyleElement dxfId="3" type="secondRowStripe"/>
    </tableStyle>
    <tableStyle count="2" pivot="0" name="Inclination Change-style 2">
      <tableStyleElement dxfId="2" type="firstRowStripe"/>
      <tableStyleElement dxfId="3" type="secondRowStripe"/>
    </tableStyle>
    <tableStyle count="3" pivot="0" name="Inclination Change-style 3">
      <tableStyleElement dxfId="1" type="headerRow"/>
      <tableStyleElement dxfId="2" type="firstRowStripe"/>
      <tableStyleElement dxfId="3" type="secondRowStripe"/>
    </tableStyle>
    <tableStyle count="3" pivot="0" name="Initial Orbit-style">
      <tableStyleElement dxfId="1" type="headerRow"/>
      <tableStyleElement dxfId="2" type="firstRowStripe"/>
      <tableStyleElement dxfId="3" type="secondRowStripe"/>
    </tableStyle>
    <tableStyle count="3" pivot="0" name="Initial Orbit-style 2">
      <tableStyleElement dxfId="1" type="headerRow"/>
      <tableStyleElement dxfId="2" type="firstRowStripe"/>
      <tableStyleElement dxfId="3" type="secondRowStripe"/>
    </tableStyle>
    <tableStyle count="3" pivot="0" name="Application of Propulsion-style">
      <tableStyleElement dxfId="1" type="headerRow"/>
      <tableStyleElement dxfId="2" type="firstRowStripe"/>
      <tableStyleElement dxfId="3" type="secondRowStripe"/>
    </tableStyle>
    <tableStyle count="3" pivot="0" name="Application of Propulsion-style 2">
      <tableStyleElement dxfId="1" type="headerRow"/>
      <tableStyleElement dxfId="2" type="firstRowStripe"/>
      <tableStyleElement dxfId="3" type="secondRowStripe"/>
    </tableStyle>
    <tableStyle count="3" pivot="0" name="Extra Template-style">
      <tableStyleElement dxfId="1" type="headerRow"/>
      <tableStyleElement dxfId="2" type="firstRowStripe"/>
      <tableStyleElement dxfId="3" type="secondRowStripe"/>
    </tableStyle>
    <tableStyle count="3" pivot="0" name="Extra Template-style 2">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Final Desired Orbit</a:t>
            </a:r>
          </a:p>
        </c:rich>
      </c:tx>
      <c:overlay val="0"/>
    </c:title>
    <c:plotArea>
      <c:layout/>
      <c:scatterChart>
        <c:scatterStyle val="lineMarker"/>
        <c:varyColors val="0"/>
        <c:ser>
          <c:idx val="0"/>
          <c:order val="0"/>
          <c:spPr>
            <a:ln>
              <a:noFill/>
            </a:ln>
          </c:spPr>
          <c:marker>
            <c:symbol val="circle"/>
            <c:size val="7"/>
            <c:spPr>
              <a:solidFill>
                <a:schemeClr val="accent1"/>
              </a:solidFill>
              <a:ln cmpd="sng">
                <a:solidFill>
                  <a:schemeClr val="accent1"/>
                </a:solidFill>
              </a:ln>
            </c:spPr>
          </c:marker>
          <c:dPt>
            <c:idx val="0"/>
            <c:marker>
              <c:symbol val="none"/>
            </c:marker>
          </c:dPt>
          <c:dPt>
            <c:idx val="5"/>
            <c:marker>
              <c:symbol val="none"/>
            </c:marker>
          </c:dPt>
          <c:xVal>
            <c:numRef>
              <c:f>'Final Desired Orbit'!$I$3:$I$8</c:f>
            </c:numRef>
          </c:xVal>
          <c:yVal>
            <c:numRef>
              <c:f>'Final Desired Orbit'!$J$3:$J$8</c:f>
              <c:numCache/>
            </c:numRef>
          </c:yVal>
        </c:ser>
        <c:dLbls>
          <c:showLegendKey val="0"/>
          <c:showVal val="0"/>
          <c:showCatName val="0"/>
          <c:showSerName val="0"/>
          <c:showPercent val="0"/>
          <c:showBubbleSize val="0"/>
        </c:dLbls>
        <c:axId val="620346940"/>
        <c:axId val="1666535084"/>
      </c:scatterChart>
      <c:valAx>
        <c:axId val="620346940"/>
        <c:scaling>
          <c:orientation val="minMax"/>
          <c:max val="2.4"/>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Cost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66535084"/>
      </c:valAx>
      <c:valAx>
        <c:axId val="166653508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Value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20346940"/>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Planet Flyby Pareto</a:t>
            </a:r>
          </a:p>
        </c:rich>
      </c:tx>
      <c:overlay val="0"/>
    </c:title>
    <c:plotArea>
      <c:layout/>
      <c:scatterChart>
        <c:scatterStyle val="lineMarker"/>
        <c:varyColors val="0"/>
        <c:ser>
          <c:idx val="0"/>
          <c:order val="0"/>
          <c:spPr>
            <a:ln>
              <a:noFill/>
            </a:ln>
          </c:spPr>
          <c:marker>
            <c:symbol val="circle"/>
            <c:size val="7"/>
            <c:spPr>
              <a:solidFill>
                <a:srgbClr val="F6B26B"/>
              </a:solidFill>
              <a:ln cmpd="sng">
                <a:solidFill>
                  <a:srgbClr val="F6B26B"/>
                </a:solidFill>
              </a:ln>
            </c:spPr>
          </c:marker>
          <c:dPt>
            <c:idx val="0"/>
            <c:marker>
              <c:symbol val="none"/>
            </c:marker>
          </c:dPt>
          <c:dPt>
            <c:idx val="2"/>
            <c:marker>
              <c:symbol val="none"/>
            </c:marker>
          </c:dPt>
          <c:dPt>
            <c:idx val="3"/>
            <c:marker>
              <c:symbol val="none"/>
            </c:marker>
          </c:dPt>
          <c:dPt>
            <c:idx val="4"/>
            <c:marker>
              <c:symbol val="none"/>
            </c:marker>
          </c:dPt>
          <c:dPt>
            <c:idx val="5"/>
            <c:marker>
              <c:symbol val="none"/>
            </c:marker>
          </c:dPt>
          <c:xVal>
            <c:numRef>
              <c:f>Flybys!$C$23:$C$28</c:f>
            </c:numRef>
          </c:xVal>
          <c:yVal>
            <c:numRef>
              <c:f>Flybys!$D$23:$D$28</c:f>
              <c:numCache/>
            </c:numRef>
          </c:yVal>
        </c:ser>
        <c:dLbls>
          <c:showLegendKey val="0"/>
          <c:showVal val="0"/>
          <c:showCatName val="0"/>
          <c:showSerName val="0"/>
          <c:showPercent val="0"/>
          <c:showBubbleSize val="0"/>
        </c:dLbls>
        <c:axId val="1378324375"/>
        <c:axId val="1327550170"/>
      </c:scatterChart>
      <c:valAx>
        <c:axId val="1378324375"/>
        <c:scaling>
          <c:orientation val="minMax"/>
          <c:max val="1.0"/>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Cost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27550170"/>
      </c:valAx>
      <c:valAx>
        <c:axId val="1327550170"/>
        <c:scaling>
          <c:orientation val="minMax"/>
          <c:max val="1.2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Value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78324375"/>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Inclination Change Method Pareto</a:t>
            </a:r>
          </a:p>
        </c:rich>
      </c:tx>
      <c:overlay val="0"/>
    </c:title>
    <c:plotArea>
      <c:layout/>
      <c:scatterChart>
        <c:scatterStyle val="lineMarker"/>
        <c:varyColors val="0"/>
        <c:ser>
          <c:idx val="0"/>
          <c:order val="0"/>
          <c:spPr>
            <a:ln>
              <a:noFill/>
            </a:ln>
          </c:spPr>
          <c:marker>
            <c:symbol val="circle"/>
            <c:size val="7"/>
            <c:spPr>
              <a:solidFill>
                <a:schemeClr val="accent1"/>
              </a:solidFill>
              <a:ln cmpd="sng">
                <a:solidFill>
                  <a:schemeClr val="accent1"/>
                </a:solidFill>
              </a:ln>
            </c:spPr>
          </c:marker>
          <c:xVal>
            <c:numRef>
              <c:f>'Inclination Change'!$G$3:$G$7</c:f>
            </c:numRef>
          </c:xVal>
          <c:yVal>
            <c:numRef>
              <c:f>'Inclination Change'!$H$3:$H$7</c:f>
              <c:numCache/>
            </c:numRef>
          </c:yVal>
        </c:ser>
        <c:dLbls>
          <c:showLegendKey val="0"/>
          <c:showVal val="0"/>
          <c:showCatName val="0"/>
          <c:showSerName val="0"/>
          <c:showPercent val="0"/>
          <c:showBubbleSize val="0"/>
        </c:dLbls>
        <c:axId val="312959575"/>
        <c:axId val="1613220490"/>
      </c:scatterChart>
      <c:valAx>
        <c:axId val="312959575"/>
        <c:scaling>
          <c:orientation val="minMax"/>
          <c:max val="100.0"/>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Cost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13220490"/>
      </c:valAx>
      <c:valAx>
        <c:axId val="161322049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Value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12959575"/>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Value vs. Cost</a:t>
            </a:r>
          </a:p>
        </c:rich>
      </c:tx>
      <c:overlay val="0"/>
    </c:title>
    <c:plotArea>
      <c:layout/>
      <c:scatterChart>
        <c:scatterStyle val="lineMarker"/>
        <c:varyColors val="0"/>
        <c:ser>
          <c:idx val="0"/>
          <c:order val="0"/>
          <c:tx>
            <c:strRef>
              <c:f>'Initial Orbit'!$H$2</c:f>
            </c:strRef>
          </c:tx>
          <c:spPr>
            <a:ln>
              <a:noFill/>
            </a:ln>
          </c:spPr>
          <c:marker>
            <c:symbol val="circle"/>
            <c:size val="7"/>
            <c:spPr>
              <a:solidFill>
                <a:schemeClr val="accent1"/>
              </a:solidFill>
              <a:ln cmpd="sng">
                <a:solidFill>
                  <a:schemeClr val="accent1"/>
                </a:solidFill>
              </a:ln>
            </c:spPr>
          </c:marker>
          <c:dPt>
            <c:idx val="0"/>
            <c:marker>
              <c:symbol val="none"/>
            </c:marker>
          </c:dPt>
          <c:xVal>
            <c:numRef>
              <c:f>'Initial Orbit'!$G$3:$G$5</c:f>
            </c:numRef>
          </c:xVal>
          <c:yVal>
            <c:numRef>
              <c:f>'Initial Orbit'!$H$3:$H$5</c:f>
              <c:numCache/>
            </c:numRef>
          </c:yVal>
        </c:ser>
        <c:dLbls>
          <c:showLegendKey val="0"/>
          <c:showVal val="0"/>
          <c:showCatName val="0"/>
          <c:showSerName val="0"/>
          <c:showPercent val="0"/>
          <c:showBubbleSize val="0"/>
        </c:dLbls>
        <c:axId val="1420857538"/>
        <c:axId val="1605327218"/>
      </c:scatterChart>
      <c:valAx>
        <c:axId val="142085753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Cost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05327218"/>
      </c:valAx>
      <c:valAx>
        <c:axId val="160532721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Value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20857538"/>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image" Target="../media/image2.png"/><Relationship Id="rId3"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16</xdr:col>
      <xdr:colOff>304800</xdr:colOff>
      <xdr:row>33</xdr:row>
      <xdr:rowOff>95250</xdr:rowOff>
    </xdr:from>
    <xdr:ext cx="8039100" cy="49815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14</xdr:col>
      <xdr:colOff>133350</xdr:colOff>
      <xdr:row>11</xdr:row>
      <xdr:rowOff>104775</xdr:rowOff>
    </xdr:from>
    <xdr:ext cx="6248400" cy="3867150"/>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485775</xdr:colOff>
      <xdr:row>30</xdr:row>
      <xdr:rowOff>95250</xdr:rowOff>
    </xdr:from>
    <xdr:ext cx="1266825" cy="238125"/>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4010025</xdr:colOff>
      <xdr:row>21</xdr:row>
      <xdr:rowOff>104775</xdr:rowOff>
    </xdr:from>
    <xdr:ext cx="7486650" cy="4867275"/>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12</xdr:col>
      <xdr:colOff>781050</xdr:colOff>
      <xdr:row>36</xdr:row>
      <xdr:rowOff>142875</xdr:rowOff>
    </xdr:from>
    <xdr:ext cx="8296275" cy="257175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781050</xdr:colOff>
      <xdr:row>51</xdr:row>
      <xdr:rowOff>123825</xdr:rowOff>
    </xdr:from>
    <xdr:ext cx="4962525" cy="2647950"/>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866775</xdr:colOff>
      <xdr:row>15</xdr:row>
      <xdr:rowOff>123825</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962025</xdr:colOff>
      <xdr:row>15</xdr:row>
      <xdr:rowOff>28575</xdr:rowOff>
    </xdr:from>
    <xdr:ext cx="4467225" cy="5743575"/>
    <xdr:pic>
      <xdr:nvPicPr>
        <xdr:cNvPr id="0" name="image4.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32:F32" displayName="Table_1" id="1">
  <tableColumns count="6">
    <tableColumn name="Column1" id="1"/>
    <tableColumn name="Column2" id="2"/>
    <tableColumn name="Column3" id="3"/>
    <tableColumn name="Column4" id="4"/>
    <tableColumn name="Column5" id="5"/>
    <tableColumn name="Column6" id="6"/>
  </tableColumns>
  <tableStyleInfo name="Final Desired Orbit-style" showColumnStripes="0" showFirstColumn="1" showLastColumn="1" showRowStripes="1"/>
  <extLst>
    <ext uri="GoogleSheetsCustomDataVersion1">
      <go:sheetsCustomData xmlns:go="http://customooxmlschemas.google.com/" headerRowCount="1"/>
    </ext>
  </extLst>
</table>
</file>

<file path=xl/tables/table10.xml><?xml version="1.0" encoding="utf-8"?>
<table xmlns="http://schemas.openxmlformats.org/spreadsheetml/2006/main" headerRowCount="0" ref="J26:K30" displayName="Table_10" id="10">
  <tableColumns count="2">
    <tableColumn name="Column1" id="1"/>
    <tableColumn name="Column2" id="2"/>
  </tableColumns>
  <tableStyleInfo name="Inclination Change-style" showColumnStripes="0" showFirstColumn="1" showLastColumn="1" showRowStripes="1"/>
</table>
</file>

<file path=xl/tables/table11.xml><?xml version="1.0" encoding="utf-8"?>
<table xmlns="http://schemas.openxmlformats.org/spreadsheetml/2006/main" headerRowCount="0" ref="A25:C29" displayName="Table_11" id="11">
  <tableColumns count="3">
    <tableColumn name="Column1" id="1"/>
    <tableColumn name="Column2" id="2"/>
    <tableColumn name="Column3" id="3"/>
  </tableColumns>
  <tableStyleInfo name="Inclination Change-style 2" showColumnStripes="0" showFirstColumn="1" showLastColumn="1" showRowStripes="1"/>
</table>
</file>

<file path=xl/tables/table12.xml><?xml version="1.0" encoding="utf-8"?>
<table xmlns="http://schemas.openxmlformats.org/spreadsheetml/2006/main" headerRowCount="0" ref="M2:O7" displayName="Table_12" id="12">
  <tableColumns count="3">
    <tableColumn name="Column1" id="1"/>
    <tableColumn name="Column2" id="2"/>
    <tableColumn name="Column3" id="3"/>
  </tableColumns>
  <tableStyleInfo name="Inclination Change-style 3"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ref="A2:H21" displayName="Table_13" id="13">
  <tableColumns count="8">
    <tableColumn name="ID" id="1"/>
    <tableColumn name="Option" id="2"/>
    <tableColumn name="Mass" id="3"/>
    <tableColumn name="Inclination" id="4"/>
    <tableColumn name="Compatibility" id="5"/>
    <tableColumn name="dV to Escape" id="6"/>
    <tableColumn name="Cost" id="7"/>
    <tableColumn name="Value" id="8"/>
  </tableColumns>
  <tableStyleInfo name="Initial Orbit-style" showColumnStripes="0" showFirstColumn="1" showLastColumn="1" showRowStripes="1"/>
</table>
</file>

<file path=xl/tables/table14.xml><?xml version="1.0" encoding="utf-8"?>
<table xmlns="http://schemas.openxmlformats.org/spreadsheetml/2006/main" ref="J2:K8" displayName="Table_14" id="14">
  <tableColumns count="2">
    <tableColumn name="Metric" id="1"/>
    <tableColumn name="Source" id="2"/>
  </tableColumns>
  <tableStyleInfo name="Initial Orbit-style 2" showColumnStripes="0" showFirstColumn="1" showLastColumn="1" showRowStripes="1"/>
</table>
</file>

<file path=xl/tables/table15.xml><?xml version="1.0" encoding="utf-8"?>
<table xmlns="http://schemas.openxmlformats.org/spreadsheetml/2006/main" headerRowCount="0" ref="A2:H20"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Application of Propulsion-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ref="J2:K7" displayName="Table_16" id="16">
  <tableColumns count="2">
    <tableColumn name="Metric" id="1"/>
    <tableColumn name="Source" id="2"/>
  </tableColumns>
  <tableStyleInfo name="Application of Propulsion-style 2" showColumnStripes="0" showFirstColumn="1" showLastColumn="1" showRowStripes="1"/>
</table>
</file>

<file path=xl/tables/table17.xml><?xml version="1.0" encoding="utf-8"?>
<table xmlns="http://schemas.openxmlformats.org/spreadsheetml/2006/main" ref="A2:H20" displayName="Table_17" id="17">
  <tableColumns count="8">
    <tableColumn name="ID" id="1"/>
    <tableColumn name="Option" id="2"/>
    <tableColumn name="Metric 1" id="3"/>
    <tableColumn name="Metric 2" id="4"/>
    <tableColumn name="Metric 3" id="5"/>
    <tableColumn name="..." id="6"/>
    <tableColumn name="Cost" id="7"/>
    <tableColumn name="Value" id="8"/>
  </tableColumns>
  <tableStyleInfo name="Extra Template-style" showColumnStripes="0" showFirstColumn="1" showLastColumn="1" showRowStripes="1"/>
</table>
</file>

<file path=xl/tables/table18.xml><?xml version="1.0" encoding="utf-8"?>
<table xmlns="http://schemas.openxmlformats.org/spreadsheetml/2006/main" ref="J2:K7" displayName="Table_18" id="18">
  <tableColumns count="2">
    <tableColumn name="Metric" id="1"/>
    <tableColumn name="Source" id="2"/>
  </tableColumns>
  <tableStyleInfo name="Extra Template-style 2" showColumnStripes="0" showFirstColumn="1" showLastColumn="1" showRowStripes="1"/>
</table>
</file>

<file path=xl/tables/table2.xml><?xml version="1.0" encoding="utf-8"?>
<table xmlns="http://schemas.openxmlformats.org/spreadsheetml/2006/main" headerRowCount="0" ref="A23:J23" displayName="Table_2" id="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Final Desired Orbit-style 2"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A33:G38" displayName="Table_3" id="3">
  <tableColumns count="7">
    <tableColumn name="Column1" id="1"/>
    <tableColumn name="Column2" id="2"/>
    <tableColumn name="Column3" id="3"/>
    <tableColumn name="Column4" id="4"/>
    <tableColumn name="Column5" id="5"/>
    <tableColumn name="Column6" id="6"/>
    <tableColumn name="Column7" id="7"/>
  </tableColumns>
  <tableStyleInfo name="Final Desired Orbit-style 3" showColumnStripes="0" showFirstColumn="1" showLastColumn="1" showRowStripes="1"/>
</table>
</file>

<file path=xl/tables/table4.xml><?xml version="1.0" encoding="utf-8"?>
<table xmlns="http://schemas.openxmlformats.org/spreadsheetml/2006/main" headerRowCount="0" ref="A24:J29" displayName="Table_4" id="4">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Final Desired Orbit-style 4" showColumnStripes="0" showFirstColumn="1" showLastColumn="1" showRowStripes="1"/>
</table>
</file>

<file path=xl/tables/table5.xml><?xml version="1.0" encoding="utf-8"?>
<table xmlns="http://schemas.openxmlformats.org/spreadsheetml/2006/main" headerRowCount="0" ref="N25:O29" displayName="Table_5" id="5">
  <tableColumns count="2">
    <tableColumn name="Column1" id="1"/>
    <tableColumn name="Column2" id="2"/>
  </tableColumns>
  <tableStyleInfo name="Final Desired Orbit-style 5" showColumnStripes="0" showFirstColumn="1" showLastColumn="1" showRowStripes="1"/>
</table>
</file>

<file path=xl/tables/table6.xml><?xml version="1.0" encoding="utf-8"?>
<table xmlns="http://schemas.openxmlformats.org/spreadsheetml/2006/main" ref="P2:Q7" displayName="Table_6" id="6">
  <tableColumns count="2">
    <tableColumn name="Metric" id="1"/>
    <tableColumn name="Source" id="2"/>
  </tableColumns>
  <tableStyleInfo name="Final Desired Orbit-style 6" showColumnStripes="0" showFirstColumn="1" showLastColumn="1" showRowStripes="1"/>
</table>
</file>

<file path=xl/tables/table7.xml><?xml version="1.0" encoding="utf-8"?>
<table xmlns="http://schemas.openxmlformats.org/spreadsheetml/2006/main" headerRowCount="0" ref="K25:M29" displayName="Table_7" id="7">
  <tableColumns count="3">
    <tableColumn name="Column1" id="1"/>
    <tableColumn name="Column2" id="2"/>
    <tableColumn name="Column3" id="3"/>
  </tableColumns>
  <tableStyleInfo name="Flybys-style" showColumnStripes="0" showFirstColumn="1" showLastColumn="1" showRowStripes="1"/>
</table>
</file>

<file path=xl/tables/table8.xml><?xml version="1.0" encoding="utf-8"?>
<table xmlns="http://schemas.openxmlformats.org/spreadsheetml/2006/main" headerRowCount="0" ref="A23:D28" displayName="Table_8" id="8">
  <tableColumns count="4">
    <tableColumn name="Column1" id="1"/>
    <tableColumn name="Column2" id="2"/>
    <tableColumn name="Column3" id="3"/>
    <tableColumn name="Column4" id="4"/>
  </tableColumns>
  <tableStyleInfo name="Flybys-style 2" showColumnStripes="0" showFirstColumn="1" showLastColumn="1" showRowStripes="1"/>
</table>
</file>

<file path=xl/tables/table9.xml><?xml version="1.0" encoding="utf-8"?>
<table xmlns="http://schemas.openxmlformats.org/spreadsheetml/2006/main" ref="O2:P7" displayName="Table_9" id="9">
  <tableColumns count="2">
    <tableColumn name="Metric" id="1"/>
    <tableColumn name="Source" id="2"/>
  </tableColumns>
  <tableStyleInfo name="Flybys-style 3"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en.wikipedia.org/wiki/Delta-v_budget" TargetMode="External"/><Relationship Id="rId2" Type="http://schemas.openxmlformats.org/officeDocument/2006/relationships/drawing" Target="../drawings/drawing1.xml"/><Relationship Id="rId11" Type="http://schemas.openxmlformats.org/officeDocument/2006/relationships/table" Target="../tables/table3.xml"/><Relationship Id="rId10" Type="http://schemas.openxmlformats.org/officeDocument/2006/relationships/table" Target="../tables/table2.xml"/><Relationship Id="rId13" Type="http://schemas.openxmlformats.org/officeDocument/2006/relationships/table" Target="../tables/table5.xml"/><Relationship Id="rId12" Type="http://schemas.openxmlformats.org/officeDocument/2006/relationships/table" Target="../tables/table4.xml"/><Relationship Id="rId9" Type="http://schemas.openxmlformats.org/officeDocument/2006/relationships/table" Target="../tables/table1.xml"/><Relationship Id="rId14" Type="http://schemas.openxmlformats.org/officeDocument/2006/relationships/table" Target="../tables/table6.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en.wikipedia.org/wiki/List_of_planetary_flybys" TargetMode="External"/><Relationship Id="rId3" Type="http://schemas.openxmlformats.org/officeDocument/2006/relationships/drawing" Target="../drawings/drawing2.xml"/><Relationship Id="rId4" Type="http://schemas.openxmlformats.org/officeDocument/2006/relationships/vmlDrawing" Target="../drawings/vmlDrawing1.vml"/><Relationship Id="rId10" Type="http://schemas.openxmlformats.org/officeDocument/2006/relationships/table" Target="../tables/table9.xml"/><Relationship Id="rId9" Type="http://schemas.openxmlformats.org/officeDocument/2006/relationships/table" Target="../tables/table8.xml"/><Relationship Id="rId8" Type="http://schemas.openxmlformats.org/officeDocument/2006/relationships/table" Target="../tables/table7.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solarsystem.nasa.gov/missions/ulysses/in-depth/" TargetMode="External"/><Relationship Id="rId3" Type="http://schemas.openxmlformats.org/officeDocument/2006/relationships/drawing" Target="../drawings/drawing3.xml"/><Relationship Id="rId4" Type="http://schemas.openxmlformats.org/officeDocument/2006/relationships/vmlDrawing" Target="../drawings/vmlDrawing2.vml"/><Relationship Id="rId10" Type="http://schemas.openxmlformats.org/officeDocument/2006/relationships/table" Target="../tables/table12.xml"/><Relationship Id="rId9" Type="http://schemas.openxmlformats.org/officeDocument/2006/relationships/table" Target="../tables/table11.xml"/><Relationship Id="rId8" Type="http://schemas.openxmlformats.org/officeDocument/2006/relationships/table" Target="../tables/table1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4" Type="http://schemas.openxmlformats.org/officeDocument/2006/relationships/table" Target="../tables/table13.xml"/><Relationship Id="rId5" Type="http://schemas.openxmlformats.org/officeDocument/2006/relationships/table" Target="../tables/table14.xml"/></Relationships>
</file>

<file path=xl/worksheets/_rels/sheet5.xml.rels><?xml version="1.0" encoding="UTF-8" standalone="yes"?><Relationships xmlns="http://schemas.openxmlformats.org/package/2006/relationships"><Relationship Id="rId1" Type="http://schemas.openxmlformats.org/officeDocument/2006/relationships/hyperlink" Target="http://ffden-2.phys.uaf.edu/webproj/212_spring_2015/Robert_Miller/physics.html" TargetMode="External"/><Relationship Id="rId2" Type="http://schemas.openxmlformats.org/officeDocument/2006/relationships/hyperlink" Target="https://ntrs.nasa.gov/api/citations/19720011121/downloads/19720011121.pdf" TargetMode="External"/><Relationship Id="rId3" Type="http://schemas.openxmlformats.org/officeDocument/2006/relationships/drawing" Target="../drawings/drawing5.xml"/><Relationship Id="rId6" Type="http://schemas.openxmlformats.org/officeDocument/2006/relationships/table" Target="../tables/table15.xml"/><Relationship Id="rId7" Type="http://schemas.openxmlformats.org/officeDocument/2006/relationships/table" Target="../tables/table16.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4" Type="http://schemas.openxmlformats.org/officeDocument/2006/relationships/table" Target="../tables/table17.xml"/><Relationship Id="rId5" Type="http://schemas.openxmlformats.org/officeDocument/2006/relationships/table" Target="../tables/table1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14"/>
    <col customWidth="1" min="2" max="2" width="33.0"/>
    <col customWidth="1" min="3" max="3" width="24.71"/>
    <col customWidth="1" min="4" max="4" width="32.14"/>
    <col customWidth="1" min="5" max="5" width="34.57"/>
    <col customWidth="1" min="6" max="6" width="19.57"/>
    <col customWidth="1" min="7" max="7" width="17.29"/>
    <col customWidth="1" min="8" max="9" width="16.29"/>
    <col customWidth="1" min="10" max="10" width="8.57"/>
    <col customWidth="1" min="16" max="16" width="15.71"/>
    <col customWidth="1" min="17" max="17" width="51.57"/>
  </cols>
  <sheetData>
    <row r="1">
      <c r="A1" s="1" t="s">
        <v>0</v>
      </c>
      <c r="B1" s="2"/>
      <c r="C1" s="2"/>
      <c r="D1" s="2"/>
      <c r="E1" s="2"/>
      <c r="F1" s="2"/>
      <c r="G1" s="2"/>
      <c r="H1" s="2"/>
      <c r="I1" s="2"/>
      <c r="J1" s="3"/>
      <c r="P1" s="1" t="s">
        <v>1</v>
      </c>
      <c r="Q1" s="3"/>
    </row>
    <row r="2">
      <c r="A2" s="4" t="s">
        <v>2</v>
      </c>
      <c r="B2" s="5" t="s">
        <v>3</v>
      </c>
      <c r="C2" s="6" t="s">
        <v>4</v>
      </c>
      <c r="D2" s="6" t="s">
        <v>5</v>
      </c>
      <c r="E2" s="6" t="s">
        <v>6</v>
      </c>
      <c r="F2" s="6" t="s">
        <v>7</v>
      </c>
      <c r="G2" s="7" t="s">
        <v>8</v>
      </c>
      <c r="H2" s="6" t="s">
        <v>9</v>
      </c>
      <c r="I2" s="8" t="s">
        <v>10</v>
      </c>
      <c r="J2" s="9" t="s">
        <v>11</v>
      </c>
      <c r="K2" s="10" t="s">
        <v>12</v>
      </c>
      <c r="L2" s="10" t="s">
        <v>13</v>
      </c>
      <c r="M2" s="10" t="s">
        <v>14</v>
      </c>
      <c r="P2" s="11" t="s">
        <v>15</v>
      </c>
      <c r="Q2" s="12" t="s">
        <v>16</v>
      </c>
    </row>
    <row r="3">
      <c r="A3" s="13">
        <v>5.1</v>
      </c>
      <c r="B3" s="14" t="s">
        <v>17</v>
      </c>
      <c r="C3" s="15">
        <f>O33</f>
        <v>2.789322382</v>
      </c>
      <c r="D3" s="16">
        <v>75.0</v>
      </c>
      <c r="E3" s="16">
        <v>0.15</v>
      </c>
      <c r="F3" s="17">
        <f t="shared" ref="F3:F7" si="1">G24</f>
        <v>106.6072434</v>
      </c>
      <c r="G3" s="18">
        <v>2.5</v>
      </c>
      <c r="H3" s="19">
        <v>0.85</v>
      </c>
      <c r="I3" s="20">
        <f t="shared" ref="I3:I8" si="2">C3/6+G3/10</f>
        <v>0.7148870637</v>
      </c>
      <c r="J3" s="21">
        <f t="shared" ref="J3:J8" si="3">0.9*(2-E3)^2+0.1*10/sqrt(F3)</f>
        <v>3.177101565</v>
      </c>
      <c r="K3" s="22">
        <f t="shared" ref="K3:K9" si="4">$O$23*(1+G3)/(1+$O$24*H3)</f>
        <v>1.891891892</v>
      </c>
      <c r="L3" s="23">
        <f t="shared" ref="L3:L9" si="5">$O$25*(2-E3)^2+$O$26/sqrt(F3)+$O$27*(D3-75)</f>
        <v>3.089935157</v>
      </c>
      <c r="M3" s="24">
        <f t="shared" ref="M3:M9" si="6">H3</f>
        <v>0.85</v>
      </c>
      <c r="P3" s="25" t="s">
        <v>18</v>
      </c>
      <c r="Q3" s="26" t="s">
        <v>19</v>
      </c>
    </row>
    <row r="4">
      <c r="A4" s="27">
        <v>5.2</v>
      </c>
      <c r="B4" s="28" t="s">
        <v>20</v>
      </c>
      <c r="C4" s="29">
        <f>O36</f>
        <v>3.041149897</v>
      </c>
      <c r="D4" s="30">
        <v>75.0</v>
      </c>
      <c r="E4" s="31">
        <v>0.2</v>
      </c>
      <c r="F4" s="31">
        <f t="shared" si="1"/>
        <v>174.0213172</v>
      </c>
      <c r="G4" s="32">
        <v>11.2</v>
      </c>
      <c r="H4" s="33">
        <v>0.8</v>
      </c>
      <c r="I4" s="34">
        <f t="shared" si="2"/>
        <v>1.626858316</v>
      </c>
      <c r="J4" s="35">
        <f t="shared" si="3"/>
        <v>2.991805161</v>
      </c>
      <c r="K4" s="36">
        <f t="shared" si="4"/>
        <v>6.777777778</v>
      </c>
      <c r="L4" s="37">
        <f t="shared" si="5"/>
        <v>2.923580516</v>
      </c>
      <c r="M4" s="38">
        <f t="shared" si="6"/>
        <v>0.8</v>
      </c>
      <c r="P4" s="39" t="s">
        <v>21</v>
      </c>
      <c r="Q4" s="40" t="s">
        <v>22</v>
      </c>
      <c r="S4" s="41" t="s">
        <v>10</v>
      </c>
    </row>
    <row r="5">
      <c r="A5" s="42">
        <v>5.3</v>
      </c>
      <c r="B5" s="43" t="s">
        <v>23</v>
      </c>
      <c r="C5" s="44">
        <f>O35</f>
        <v>11.99504449</v>
      </c>
      <c r="D5" s="16">
        <v>75.0</v>
      </c>
      <c r="E5" s="17">
        <v>0.3</v>
      </c>
      <c r="F5" s="17">
        <f t="shared" si="1"/>
        <v>319.6975737</v>
      </c>
      <c r="G5" s="18">
        <v>2.9</v>
      </c>
      <c r="H5" s="19">
        <v>0.8</v>
      </c>
      <c r="I5" s="20">
        <f t="shared" si="2"/>
        <v>2.289174082</v>
      </c>
      <c r="J5" s="21">
        <f t="shared" si="3"/>
        <v>2.656928134</v>
      </c>
      <c r="K5" s="22">
        <f t="shared" si="4"/>
        <v>2.166666667</v>
      </c>
      <c r="L5" s="23">
        <f t="shared" si="5"/>
        <v>2.606592813</v>
      </c>
      <c r="M5" s="24">
        <f t="shared" si="6"/>
        <v>0.8</v>
      </c>
      <c r="P5" s="39" t="s">
        <v>24</v>
      </c>
      <c r="Q5" s="40" t="s">
        <v>25</v>
      </c>
      <c r="S5" s="41" t="s">
        <v>14</v>
      </c>
    </row>
    <row r="6">
      <c r="A6" s="45">
        <v>5.4</v>
      </c>
      <c r="B6" s="46" t="s">
        <v>26</v>
      </c>
      <c r="C6" s="47">
        <v>5.5</v>
      </c>
      <c r="D6" s="30">
        <v>79.11</v>
      </c>
      <c r="E6" s="31">
        <v>0.9</v>
      </c>
      <c r="F6" s="48">
        <f t="shared" si="1"/>
        <v>2042.083658</v>
      </c>
      <c r="G6" s="32">
        <v>8.8</v>
      </c>
      <c r="H6" s="33">
        <v>0.7</v>
      </c>
      <c r="I6" s="34">
        <f t="shared" si="2"/>
        <v>1.796666667</v>
      </c>
      <c r="J6" s="35">
        <f t="shared" si="3"/>
        <v>1.111129074</v>
      </c>
      <c r="K6" s="36">
        <f t="shared" si="4"/>
        <v>5.764705882</v>
      </c>
      <c r="L6" s="37">
        <f t="shared" si="5"/>
        <v>1.502212907</v>
      </c>
      <c r="M6" s="38">
        <f t="shared" si="6"/>
        <v>0.7</v>
      </c>
      <c r="P6" s="25" t="s">
        <v>27</v>
      </c>
      <c r="Q6" s="40" t="s">
        <v>28</v>
      </c>
      <c r="S6" s="41" t="s">
        <v>29</v>
      </c>
    </row>
    <row r="7">
      <c r="A7" s="13">
        <v>5.5</v>
      </c>
      <c r="B7" s="14" t="s">
        <v>30</v>
      </c>
      <c r="C7" s="49">
        <v>4.9</v>
      </c>
      <c r="D7" s="16">
        <v>90.0</v>
      </c>
      <c r="E7" s="50">
        <v>0.48</v>
      </c>
      <c r="F7" s="17">
        <f t="shared" si="1"/>
        <v>121.4701465</v>
      </c>
      <c r="G7" s="18">
        <v>0.0</v>
      </c>
      <c r="H7" s="19">
        <v>0.9</v>
      </c>
      <c r="I7" s="20">
        <f t="shared" si="2"/>
        <v>0.8166666667</v>
      </c>
      <c r="J7" s="21">
        <f t="shared" si="3"/>
        <v>2.17009299</v>
      </c>
      <c r="K7" s="22">
        <f t="shared" si="4"/>
        <v>0.5263157895</v>
      </c>
      <c r="L7" s="23">
        <f t="shared" si="5"/>
        <v>3.588433299</v>
      </c>
      <c r="M7" s="24">
        <f t="shared" si="6"/>
        <v>0.9</v>
      </c>
      <c r="P7" s="51" t="s">
        <v>31</v>
      </c>
      <c r="Q7" s="52" t="s">
        <v>32</v>
      </c>
      <c r="S7" s="41" t="s">
        <v>33</v>
      </c>
    </row>
    <row r="8">
      <c r="A8" s="27">
        <v>5.6</v>
      </c>
      <c r="B8" s="28" t="s">
        <v>34</v>
      </c>
      <c r="C8" s="47">
        <v>7.0</v>
      </c>
      <c r="D8" s="30">
        <v>75.0</v>
      </c>
      <c r="E8" s="30">
        <v>0.48</v>
      </c>
      <c r="F8" s="31">
        <v>271.6</v>
      </c>
      <c r="G8" s="32">
        <v>0.0</v>
      </c>
      <c r="H8" s="33">
        <v>0.5</v>
      </c>
      <c r="I8" s="34">
        <f t="shared" si="2"/>
        <v>1.166666667</v>
      </c>
      <c r="J8" s="35">
        <f t="shared" si="3"/>
        <v>2.140038539</v>
      </c>
      <c r="K8" s="36">
        <f t="shared" si="4"/>
        <v>0.6666666667</v>
      </c>
      <c r="L8" s="37">
        <f t="shared" si="5"/>
        <v>2.085427854</v>
      </c>
      <c r="M8" s="38">
        <f t="shared" si="6"/>
        <v>0.5</v>
      </c>
    </row>
    <row r="9">
      <c r="A9" s="53">
        <v>5.7</v>
      </c>
      <c r="B9" s="54" t="s">
        <v>35</v>
      </c>
      <c r="C9" s="54">
        <v>8.23</v>
      </c>
      <c r="D9" s="54">
        <v>75.0</v>
      </c>
      <c r="E9" s="54">
        <v>0.48</v>
      </c>
      <c r="F9" s="54">
        <v>120.0</v>
      </c>
      <c r="G9" s="54">
        <v>2.5</v>
      </c>
      <c r="H9" s="54">
        <v>0.7</v>
      </c>
      <c r="I9" s="55"/>
      <c r="J9" s="56"/>
      <c r="K9" s="22">
        <f t="shared" si="4"/>
        <v>2.058823529</v>
      </c>
      <c r="L9" s="23">
        <f t="shared" si="5"/>
        <v>2.088488709</v>
      </c>
      <c r="M9" s="24">
        <f t="shared" si="6"/>
        <v>0.7</v>
      </c>
      <c r="P9" s="57" t="s">
        <v>36</v>
      </c>
      <c r="Q9" s="3"/>
    </row>
    <row r="10">
      <c r="A10" s="58" t="s">
        <v>37</v>
      </c>
      <c r="B10" s="58" t="s">
        <v>35</v>
      </c>
      <c r="C10" s="58">
        <v>8.23</v>
      </c>
      <c r="D10" s="58">
        <v>75.0</v>
      </c>
      <c r="E10" s="58">
        <v>0.48</v>
      </c>
      <c r="F10" s="58">
        <v>120.0</v>
      </c>
      <c r="G10" s="58">
        <v>2.5</v>
      </c>
      <c r="H10" s="58">
        <v>0.7</v>
      </c>
      <c r="I10" s="59"/>
      <c r="J10" s="59"/>
      <c r="K10" s="58"/>
      <c r="L10" s="58"/>
      <c r="M10" s="59"/>
      <c r="P10" s="39" t="s">
        <v>10</v>
      </c>
      <c r="Q10" s="60" t="s">
        <v>38</v>
      </c>
    </row>
    <row r="11">
      <c r="A11" s="61"/>
      <c r="B11" s="61"/>
      <c r="C11" s="61"/>
      <c r="D11" s="61"/>
      <c r="E11" s="61"/>
      <c r="F11" s="61"/>
      <c r="G11" s="61"/>
      <c r="H11" s="61"/>
      <c r="I11" s="61"/>
      <c r="J11" s="61"/>
      <c r="K11" s="61"/>
      <c r="L11" s="62"/>
      <c r="M11" s="61"/>
      <c r="P11" s="63" t="s">
        <v>11</v>
      </c>
      <c r="Q11" s="64" t="s">
        <v>39</v>
      </c>
    </row>
    <row r="12">
      <c r="A12" s="65" t="s">
        <v>40</v>
      </c>
      <c r="B12" s="66"/>
      <c r="C12" s="66"/>
      <c r="D12" s="66"/>
      <c r="E12" s="66"/>
      <c r="F12" s="66"/>
      <c r="G12" s="66"/>
      <c r="H12" s="66"/>
      <c r="I12" s="66"/>
      <c r="J12" s="67"/>
    </row>
    <row r="13">
      <c r="A13" s="68" t="s">
        <v>2</v>
      </c>
      <c r="B13" s="69" t="s">
        <v>3</v>
      </c>
      <c r="C13" s="70" t="s">
        <v>4</v>
      </c>
      <c r="D13" s="70" t="s">
        <v>5</v>
      </c>
      <c r="E13" s="70" t="s">
        <v>6</v>
      </c>
      <c r="F13" s="70" t="s">
        <v>7</v>
      </c>
      <c r="G13" s="71" t="s">
        <v>41</v>
      </c>
      <c r="H13" s="72" t="str">
        <f t="shared" ref="H13:H19" si="7">H2</f>
        <v>Feasibility</v>
      </c>
      <c r="I13" s="73" t="s">
        <v>10</v>
      </c>
      <c r="J13" s="73" t="s">
        <v>11</v>
      </c>
      <c r="K13" s="74" t="s">
        <v>12</v>
      </c>
      <c r="L13" s="75" t="s">
        <v>13</v>
      </c>
      <c r="M13" s="76" t="s">
        <v>14</v>
      </c>
      <c r="P13" s="77" t="s">
        <v>42</v>
      </c>
      <c r="Q13" s="3"/>
    </row>
    <row r="14">
      <c r="A14" s="45">
        <v>5.1</v>
      </c>
      <c r="B14" s="78" t="s">
        <v>17</v>
      </c>
      <c r="C14" s="79">
        <f t="shared" ref="C14:C19" si="8">C3/$C$9</f>
        <v>0.3389213101</v>
      </c>
      <c r="D14" s="80">
        <f t="shared" ref="D14:D19" si="9">D3/$D$3</f>
        <v>1</v>
      </c>
      <c r="E14" s="80">
        <f t="shared" ref="E14:E19" si="10">E3/$E$3</f>
        <v>1</v>
      </c>
      <c r="F14" s="31">
        <f t="shared" ref="F14:F19" si="11">F3/$F$9</f>
        <v>0.8883936953</v>
      </c>
      <c r="G14" s="32">
        <f t="shared" ref="G14:G19" si="12">G3/$G$9</f>
        <v>1</v>
      </c>
      <c r="H14" s="81">
        <f t="shared" si="7"/>
        <v>0.85</v>
      </c>
      <c r="I14" s="34">
        <f t="shared" ref="I14:I19" si="13">C14/6+G14/10</f>
        <v>0.156486885</v>
      </c>
      <c r="J14" s="34">
        <f t="shared" ref="J14:J19" si="14">0.9*(2-E14)^2+0.1*10/sqrt(F14)</f>
        <v>1.960955738</v>
      </c>
      <c r="K14" s="82">
        <f t="shared" ref="K14:K20" si="15">$O$23*(1+G14)/(1+$O$24*H14)</f>
        <v>1.081081081</v>
      </c>
      <c r="L14" s="83">
        <f t="shared" ref="L14:L20" si="16">L3/$L$9</f>
        <v>1.479507714</v>
      </c>
      <c r="M14" s="84">
        <f t="shared" ref="M14:M20" si="17">M3</f>
        <v>0.85</v>
      </c>
      <c r="P14" s="39" t="s">
        <v>12</v>
      </c>
      <c r="Q14" s="40" t="s">
        <v>43</v>
      </c>
    </row>
    <row r="15">
      <c r="A15" s="42">
        <v>5.2</v>
      </c>
      <c r="B15" s="85" t="s">
        <v>20</v>
      </c>
      <c r="C15" s="15">
        <f t="shared" si="8"/>
        <v>0.3695200361</v>
      </c>
      <c r="D15" s="86">
        <f t="shared" si="9"/>
        <v>1</v>
      </c>
      <c r="E15" s="86">
        <f t="shared" si="10"/>
        <v>1.333333333</v>
      </c>
      <c r="F15" s="17">
        <f t="shared" si="11"/>
        <v>1.450177644</v>
      </c>
      <c r="G15" s="18">
        <f t="shared" si="12"/>
        <v>4.48</v>
      </c>
      <c r="H15" s="87">
        <f t="shared" si="7"/>
        <v>0.8</v>
      </c>
      <c r="I15" s="20">
        <f t="shared" si="13"/>
        <v>0.5095866727</v>
      </c>
      <c r="J15" s="20">
        <f t="shared" si="14"/>
        <v>1.230403933</v>
      </c>
      <c r="K15" s="82">
        <f t="shared" si="15"/>
        <v>3.044444444</v>
      </c>
      <c r="L15" s="83">
        <f t="shared" si="16"/>
        <v>1.399854595</v>
      </c>
      <c r="M15" s="84">
        <f t="shared" si="17"/>
        <v>0.8</v>
      </c>
      <c r="P15" s="39" t="s">
        <v>13</v>
      </c>
      <c r="Q15" s="88" t="s">
        <v>44</v>
      </c>
    </row>
    <row r="16">
      <c r="A16" s="27">
        <v>5.3</v>
      </c>
      <c r="B16" s="89" t="s">
        <v>23</v>
      </c>
      <c r="C16" s="79">
        <f t="shared" si="8"/>
        <v>1.457478067</v>
      </c>
      <c r="D16" s="80">
        <f t="shared" si="9"/>
        <v>1</v>
      </c>
      <c r="E16" s="80">
        <f t="shared" si="10"/>
        <v>2</v>
      </c>
      <c r="F16" s="31">
        <f t="shared" si="11"/>
        <v>2.664146447</v>
      </c>
      <c r="G16" s="32">
        <f t="shared" si="12"/>
        <v>1.16</v>
      </c>
      <c r="H16" s="81">
        <f t="shared" si="7"/>
        <v>0.8</v>
      </c>
      <c r="I16" s="34">
        <f t="shared" si="13"/>
        <v>0.3589130111</v>
      </c>
      <c r="J16" s="34">
        <f t="shared" si="14"/>
        <v>0.6126620121</v>
      </c>
      <c r="K16" s="82">
        <f t="shared" si="15"/>
        <v>1.2</v>
      </c>
      <c r="L16" s="83">
        <f t="shared" si="16"/>
        <v>1.248076086</v>
      </c>
      <c r="M16" s="84">
        <f t="shared" si="17"/>
        <v>0.8</v>
      </c>
      <c r="P16" s="51" t="s">
        <v>45</v>
      </c>
      <c r="Q16" s="90" t="s">
        <v>46</v>
      </c>
    </row>
    <row r="17">
      <c r="A17" s="13">
        <v>5.4</v>
      </c>
      <c r="B17" s="91" t="s">
        <v>26</v>
      </c>
      <c r="C17" s="15">
        <f t="shared" si="8"/>
        <v>0.6682867558</v>
      </c>
      <c r="D17" s="86">
        <f t="shared" si="9"/>
        <v>1.0548</v>
      </c>
      <c r="E17" s="86">
        <f t="shared" si="10"/>
        <v>6</v>
      </c>
      <c r="F17" s="17">
        <f t="shared" si="11"/>
        <v>17.01736382</v>
      </c>
      <c r="G17" s="18">
        <f t="shared" si="12"/>
        <v>3.52</v>
      </c>
      <c r="H17" s="87">
        <f t="shared" si="7"/>
        <v>0.7</v>
      </c>
      <c r="I17" s="20">
        <f t="shared" si="13"/>
        <v>0.463381126</v>
      </c>
      <c r="J17" s="20">
        <f t="shared" si="14"/>
        <v>14.64241186</v>
      </c>
      <c r="K17" s="82">
        <f t="shared" si="15"/>
        <v>2.658823529</v>
      </c>
      <c r="L17" s="83">
        <f t="shared" si="16"/>
        <v>0.7192822737</v>
      </c>
      <c r="M17" s="84">
        <f t="shared" si="17"/>
        <v>0.7</v>
      </c>
    </row>
    <row r="18">
      <c r="A18" s="45">
        <v>5.5</v>
      </c>
      <c r="B18" s="78" t="s">
        <v>30</v>
      </c>
      <c r="C18" s="79">
        <f t="shared" si="8"/>
        <v>0.5953827461</v>
      </c>
      <c r="D18" s="80">
        <f t="shared" si="9"/>
        <v>1.2</v>
      </c>
      <c r="E18" s="80">
        <f t="shared" si="10"/>
        <v>3.2</v>
      </c>
      <c r="F18" s="31">
        <f t="shared" si="11"/>
        <v>1.012251221</v>
      </c>
      <c r="G18" s="32">
        <f t="shared" si="12"/>
        <v>0</v>
      </c>
      <c r="H18" s="81">
        <f t="shared" si="7"/>
        <v>0.9</v>
      </c>
      <c r="I18" s="34">
        <f t="shared" si="13"/>
        <v>0.09923045768</v>
      </c>
      <c r="J18" s="34">
        <f t="shared" si="14"/>
        <v>2.289930106</v>
      </c>
      <c r="K18" s="82">
        <f t="shared" si="15"/>
        <v>0.5263157895</v>
      </c>
      <c r="L18" s="83">
        <f t="shared" si="16"/>
        <v>1.718196169</v>
      </c>
      <c r="M18" s="84">
        <f t="shared" si="17"/>
        <v>0.9</v>
      </c>
    </row>
    <row r="19">
      <c r="A19" s="42">
        <v>5.6</v>
      </c>
      <c r="B19" s="85" t="s">
        <v>34</v>
      </c>
      <c r="C19" s="15">
        <f t="shared" si="8"/>
        <v>0.8505467801</v>
      </c>
      <c r="D19" s="86">
        <f t="shared" si="9"/>
        <v>1</v>
      </c>
      <c r="E19" s="86">
        <f t="shared" si="10"/>
        <v>3.2</v>
      </c>
      <c r="F19" s="17">
        <f t="shared" si="11"/>
        <v>2.263333333</v>
      </c>
      <c r="G19" s="18">
        <f t="shared" si="12"/>
        <v>0</v>
      </c>
      <c r="H19" s="87">
        <f t="shared" si="7"/>
        <v>0.5</v>
      </c>
      <c r="I19" s="20">
        <f t="shared" si="13"/>
        <v>0.1417577967</v>
      </c>
      <c r="J19" s="20">
        <f t="shared" si="14"/>
        <v>1.960700094</v>
      </c>
      <c r="K19" s="92">
        <f t="shared" si="15"/>
        <v>0.6666666667</v>
      </c>
      <c r="L19" s="93">
        <f t="shared" si="16"/>
        <v>0.9985344161</v>
      </c>
      <c r="M19" s="94">
        <f t="shared" si="17"/>
        <v>0.5</v>
      </c>
    </row>
    <row r="20">
      <c r="A20" s="95">
        <v>5.7</v>
      </c>
      <c r="B20" s="95" t="s">
        <v>35</v>
      </c>
      <c r="C20" s="95">
        <v>8.23</v>
      </c>
      <c r="D20" s="95">
        <v>75.0</v>
      </c>
      <c r="E20" s="95">
        <v>0.48</v>
      </c>
      <c r="F20" s="95">
        <v>120.0</v>
      </c>
      <c r="G20" s="95">
        <v>2.5</v>
      </c>
      <c r="H20" s="95">
        <v>0.7</v>
      </c>
      <c r="I20" s="96"/>
      <c r="J20" s="96"/>
      <c r="K20" s="36">
        <f t="shared" si="15"/>
        <v>2.058823529</v>
      </c>
      <c r="L20" s="36">
        <f t="shared" si="16"/>
        <v>1</v>
      </c>
      <c r="M20" s="38">
        <f t="shared" si="17"/>
        <v>0.7</v>
      </c>
    </row>
    <row r="21">
      <c r="A21" s="97" t="s">
        <v>37</v>
      </c>
      <c r="B21" s="97" t="s">
        <v>35</v>
      </c>
      <c r="C21" s="97">
        <v>8.23</v>
      </c>
      <c r="D21" s="97">
        <v>75.0</v>
      </c>
      <c r="E21" s="97">
        <v>0.48</v>
      </c>
      <c r="F21" s="97">
        <v>120.0</v>
      </c>
      <c r="G21" s="97">
        <v>2.5</v>
      </c>
      <c r="H21" s="97">
        <v>0.7</v>
      </c>
      <c r="I21" s="98"/>
      <c r="J21" s="98"/>
      <c r="K21" s="99"/>
      <c r="L21" s="99"/>
      <c r="M21" s="99"/>
    </row>
    <row r="23">
      <c r="A23" s="100"/>
      <c r="B23" s="100" t="s">
        <v>3</v>
      </c>
      <c r="C23" s="100" t="s">
        <v>4</v>
      </c>
      <c r="D23" s="100" t="s">
        <v>5</v>
      </c>
      <c r="E23" s="100" t="s">
        <v>6</v>
      </c>
      <c r="F23" s="100" t="s">
        <v>47</v>
      </c>
      <c r="G23" s="100" t="s">
        <v>7</v>
      </c>
      <c r="H23" s="100"/>
      <c r="I23" s="100" t="s">
        <v>48</v>
      </c>
      <c r="J23" s="101"/>
      <c r="L23" s="102" t="s">
        <v>12</v>
      </c>
      <c r="M23" s="103" t="s">
        <v>49</v>
      </c>
      <c r="N23" s="104"/>
      <c r="O23" s="105">
        <v>1.0</v>
      </c>
    </row>
    <row r="24">
      <c r="A24" s="106"/>
      <c r="B24" s="106" t="s">
        <v>50</v>
      </c>
      <c r="C24" s="107"/>
      <c r="D24" s="108">
        <v>75.0</v>
      </c>
      <c r="E24" s="108">
        <v>0.15</v>
      </c>
      <c r="F24" s="108">
        <v>0.73</v>
      </c>
      <c r="G24" s="109">
        <f t="shared" ref="G24:G28" si="18">2*pi()*sqrt(((E24+F24)*149600000/2)^3/132712440018)/86400</f>
        <v>106.6072434</v>
      </c>
      <c r="H24" s="109"/>
      <c r="I24" s="109">
        <f t="shared" ref="I24:I27" si="19">(E24+F24)*149600000/2</f>
        <v>65824000</v>
      </c>
      <c r="J24" s="108"/>
      <c r="L24" s="110"/>
      <c r="M24" s="111" t="s">
        <v>51</v>
      </c>
      <c r="O24" s="112">
        <v>1.0</v>
      </c>
    </row>
    <row r="25">
      <c r="A25" s="113"/>
      <c r="B25" s="113" t="s">
        <v>52</v>
      </c>
      <c r="C25" s="107"/>
      <c r="D25" s="108">
        <v>75.0</v>
      </c>
      <c r="E25" s="108">
        <v>0.2</v>
      </c>
      <c r="F25" s="108">
        <v>1.02</v>
      </c>
      <c r="G25" s="109">
        <f t="shared" si="18"/>
        <v>174.0213172</v>
      </c>
      <c r="H25" s="109"/>
      <c r="I25" s="109">
        <f t="shared" si="19"/>
        <v>91256000</v>
      </c>
      <c r="J25" s="108"/>
      <c r="L25" s="102" t="s">
        <v>13</v>
      </c>
      <c r="M25" s="103" t="s">
        <v>6</v>
      </c>
      <c r="N25" s="104"/>
      <c r="O25" s="105">
        <v>0.9</v>
      </c>
    </row>
    <row r="26">
      <c r="A26" s="113"/>
      <c r="B26" s="113" t="s">
        <v>53</v>
      </c>
      <c r="C26" s="106"/>
      <c r="D26" s="108"/>
      <c r="E26" s="108">
        <v>0.3</v>
      </c>
      <c r="F26" s="108">
        <v>1.53</v>
      </c>
      <c r="G26" s="109">
        <f t="shared" si="18"/>
        <v>319.6975737</v>
      </c>
      <c r="H26" s="109"/>
      <c r="I26" s="109">
        <f t="shared" si="19"/>
        <v>136884000</v>
      </c>
      <c r="J26" s="108"/>
      <c r="L26" s="110"/>
      <c r="M26" s="111" t="s">
        <v>7</v>
      </c>
      <c r="O26" s="112">
        <v>0.1</v>
      </c>
    </row>
    <row r="27">
      <c r="A27" s="106"/>
      <c r="B27" s="106" t="s">
        <v>54</v>
      </c>
      <c r="C27" s="106" t="s">
        <v>55</v>
      </c>
      <c r="D27" s="108">
        <v>79.11</v>
      </c>
      <c r="E27" s="108">
        <v>0.9</v>
      </c>
      <c r="F27" s="108">
        <v>5.4</v>
      </c>
      <c r="G27" s="109">
        <f t="shared" si="18"/>
        <v>2042.083658</v>
      </c>
      <c r="H27" s="109"/>
      <c r="I27" s="109">
        <f t="shared" si="19"/>
        <v>471240000</v>
      </c>
      <c r="J27" s="108"/>
      <c r="L27" s="110"/>
      <c r="M27" s="111" t="s">
        <v>5</v>
      </c>
      <c r="O27" s="112">
        <v>0.1</v>
      </c>
    </row>
    <row r="28">
      <c r="A28" s="106"/>
      <c r="B28" s="106" t="s">
        <v>56</v>
      </c>
      <c r="C28" s="107"/>
      <c r="D28" s="108">
        <v>75.0</v>
      </c>
      <c r="E28" s="114">
        <v>0.48</v>
      </c>
      <c r="F28" s="114">
        <v>0.48</v>
      </c>
      <c r="G28" s="109">
        <f t="shared" si="18"/>
        <v>121.4701465</v>
      </c>
      <c r="H28" s="109"/>
      <c r="I28" s="109"/>
      <c r="J28" s="109"/>
      <c r="L28" s="102" t="s">
        <v>14</v>
      </c>
      <c r="M28" s="103" t="s">
        <v>51</v>
      </c>
      <c r="N28" s="115"/>
      <c r="O28" s="116">
        <v>1.0</v>
      </c>
    </row>
    <row r="29">
      <c r="A29" s="113"/>
      <c r="B29" s="113" t="s">
        <v>57</v>
      </c>
      <c r="C29" s="107"/>
      <c r="D29" s="108">
        <v>75.0</v>
      </c>
      <c r="E29" s="108"/>
      <c r="F29" s="108"/>
      <c r="G29" s="108">
        <v>270.0</v>
      </c>
      <c r="H29" s="109"/>
      <c r="I29" s="109"/>
      <c r="J29" s="109"/>
      <c r="L29" s="104"/>
      <c r="M29" s="103"/>
      <c r="N29" s="115"/>
      <c r="O29" s="117"/>
    </row>
    <row r="32">
      <c r="A32" s="100"/>
      <c r="B32" s="100" t="s">
        <v>3</v>
      </c>
      <c r="C32" s="100" t="s">
        <v>58</v>
      </c>
      <c r="D32" s="100" t="s">
        <v>59</v>
      </c>
      <c r="E32" s="100" t="s">
        <v>60</v>
      </c>
      <c r="F32" s="100" t="s">
        <v>61</v>
      </c>
      <c r="G32" s="41" t="s">
        <v>62</v>
      </c>
      <c r="H32" s="41"/>
      <c r="I32" s="41" t="s">
        <v>63</v>
      </c>
    </row>
    <row r="33">
      <c r="A33" s="106"/>
      <c r="B33" s="106" t="s">
        <v>64</v>
      </c>
      <c r="C33" s="106">
        <v>11.2</v>
      </c>
      <c r="D33" s="106">
        <v>8.0</v>
      </c>
      <c r="E33" s="41">
        <v>120.0</v>
      </c>
      <c r="F33" s="106">
        <v>2.5</v>
      </c>
      <c r="G33" s="106">
        <v>5.0</v>
      </c>
      <c r="H33" s="41"/>
      <c r="I33" s="41">
        <v>224.7</v>
      </c>
      <c r="J33" s="118">
        <f t="shared" ref="J33:J36" si="20">E33+(G33-1)*I33</f>
        <v>1018.8</v>
      </c>
      <c r="O33" s="118">
        <f t="shared" ref="O33:O36" si="21">J33/365.25</f>
        <v>2.789322382</v>
      </c>
    </row>
    <row r="34">
      <c r="A34" s="106"/>
      <c r="B34" s="106" t="s">
        <v>65</v>
      </c>
      <c r="C34" s="106">
        <v>14.0</v>
      </c>
      <c r="D34" s="106">
        <v>7.0</v>
      </c>
      <c r="E34" s="106">
        <f>2*365</f>
        <v>730</v>
      </c>
      <c r="F34" s="106">
        <v>8.8</v>
      </c>
      <c r="G34" s="106">
        <v>1.0</v>
      </c>
      <c r="H34" s="41"/>
      <c r="I34" s="41">
        <f>11.87*365.25</f>
        <v>4335.5175</v>
      </c>
      <c r="J34" s="118">
        <f t="shared" si="20"/>
        <v>730</v>
      </c>
      <c r="O34" s="118">
        <f t="shared" si="21"/>
        <v>1.998631075</v>
      </c>
      <c r="P34" s="119" t="s">
        <v>66</v>
      </c>
    </row>
    <row r="35">
      <c r="A35" s="106"/>
      <c r="B35" s="106" t="s">
        <v>67</v>
      </c>
      <c r="C35" s="106">
        <v>11.3</v>
      </c>
      <c r="D35" s="106">
        <v>6.0</v>
      </c>
      <c r="E35" s="107">
        <f>8.5*30.5</f>
        <v>259.25</v>
      </c>
      <c r="F35" s="106">
        <v>2.9</v>
      </c>
      <c r="G35" s="106">
        <v>7.0</v>
      </c>
      <c r="H35" s="41"/>
      <c r="I35" s="41">
        <v>686.99</v>
      </c>
      <c r="J35" s="118">
        <f t="shared" si="20"/>
        <v>4381.19</v>
      </c>
      <c r="O35" s="118">
        <f t="shared" si="21"/>
        <v>11.99504449</v>
      </c>
    </row>
    <row r="36">
      <c r="A36" s="41"/>
      <c r="B36" s="41" t="s">
        <v>68</v>
      </c>
      <c r="C36" s="106">
        <v>5.2</v>
      </c>
      <c r="D36" s="106">
        <v>3.0</v>
      </c>
      <c r="E36" s="106">
        <v>15.0</v>
      </c>
      <c r="F36" s="106">
        <v>11.2</v>
      </c>
      <c r="G36" s="106">
        <v>4.0</v>
      </c>
      <c r="H36" s="41"/>
      <c r="I36" s="41">
        <v>365.26</v>
      </c>
      <c r="J36" s="118">
        <f t="shared" si="20"/>
        <v>1110.78</v>
      </c>
      <c r="O36" s="118">
        <f t="shared" si="21"/>
        <v>3.041149897</v>
      </c>
    </row>
    <row r="37">
      <c r="A37" s="106"/>
      <c r="B37" s="106" t="s">
        <v>69</v>
      </c>
      <c r="C37" s="106">
        <v>13.3</v>
      </c>
      <c r="D37" s="106">
        <v>2.0</v>
      </c>
      <c r="E37" s="107">
        <f>3.5*30.5</f>
        <v>106.75</v>
      </c>
      <c r="F37" s="106">
        <v>7.5</v>
      </c>
      <c r="G37" s="120"/>
    </row>
    <row r="38">
      <c r="A38" s="106"/>
      <c r="B38" s="106" t="s">
        <v>70</v>
      </c>
      <c r="C38" s="106">
        <v>0.9</v>
      </c>
      <c r="D38" s="106">
        <v>1.0</v>
      </c>
      <c r="E38" s="106">
        <v>3.0</v>
      </c>
      <c r="F38" s="106">
        <v>6.1</v>
      </c>
      <c r="G38" s="120"/>
    </row>
  </sheetData>
  <mergeCells count="5">
    <mergeCell ref="A1:J1"/>
    <mergeCell ref="P1:Q1"/>
    <mergeCell ref="P9:Q9"/>
    <mergeCell ref="A12:J12"/>
    <mergeCell ref="P13:Q13"/>
  </mergeCells>
  <hyperlinks>
    <hyperlink r:id="rId1" ref="P34"/>
  </hyperlinks>
  <drawing r:id="rId2"/>
  <tableParts count="6">
    <tablePart r:id="rId9"/>
    <tablePart r:id="rId10"/>
    <tablePart r:id="rId11"/>
    <tablePart r:id="rId12"/>
    <tablePart r:id="rId13"/>
    <tablePart r:id="rId14"/>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43"/>
    <col customWidth="1" min="2" max="2" width="8.0"/>
    <col customWidth="1" min="3" max="3" width="16.86"/>
    <col customWidth="1" min="4" max="4" width="20.86"/>
    <col customWidth="1" min="5" max="5" width="24.43"/>
    <col customWidth="1" min="6" max="6" width="12.43"/>
    <col customWidth="1" min="7" max="7" width="16.43"/>
    <col customWidth="1" min="8" max="8" width="18.57"/>
    <col customWidth="1" min="9" max="9" width="13.71"/>
    <col customWidth="1" min="10" max="10" width="7.57"/>
    <col customWidth="1" min="11" max="11" width="20.43"/>
    <col customWidth="1" min="12" max="12" width="25.71"/>
    <col customWidth="1" min="13" max="13" width="26.71"/>
    <col customWidth="1" min="15" max="15" width="24.43"/>
    <col customWidth="1" min="16" max="16" width="69.29"/>
  </cols>
  <sheetData>
    <row r="1">
      <c r="A1" s="121" t="s">
        <v>71</v>
      </c>
      <c r="O1" s="1" t="s">
        <v>1</v>
      </c>
      <c r="P1" s="3"/>
    </row>
    <row r="2">
      <c r="A2" s="122" t="s">
        <v>2</v>
      </c>
      <c r="B2" s="122" t="s">
        <v>3</v>
      </c>
      <c r="C2" s="122" t="s">
        <v>72</v>
      </c>
      <c r="D2" s="122" t="s">
        <v>73</v>
      </c>
      <c r="E2" s="122" t="s">
        <v>74</v>
      </c>
      <c r="F2" s="122" t="s">
        <v>8</v>
      </c>
      <c r="G2" s="122" t="s">
        <v>75</v>
      </c>
      <c r="H2" s="122" t="s">
        <v>76</v>
      </c>
      <c r="I2" s="123" t="s">
        <v>10</v>
      </c>
      <c r="J2" s="123" t="s">
        <v>11</v>
      </c>
      <c r="K2" s="10" t="s">
        <v>12</v>
      </c>
      <c r="L2" s="10" t="s">
        <v>13</v>
      </c>
      <c r="M2" s="10" t="s">
        <v>14</v>
      </c>
      <c r="N2" s="124"/>
      <c r="O2" s="11" t="s">
        <v>15</v>
      </c>
      <c r="P2" s="12" t="s">
        <v>16</v>
      </c>
    </row>
    <row r="3">
      <c r="A3" s="62">
        <v>6.1</v>
      </c>
      <c r="B3" s="62" t="s">
        <v>64</v>
      </c>
      <c r="C3" s="62">
        <v>11.2</v>
      </c>
      <c r="D3" s="62">
        <v>8.0</v>
      </c>
      <c r="E3" s="62">
        <v>120.0</v>
      </c>
      <c r="F3" s="62">
        <v>2.5</v>
      </c>
      <c r="G3" s="44">
        <f t="shared" ref="G3:G7" si="1">H34</f>
        <v>18.40269648</v>
      </c>
      <c r="H3" s="49">
        <v>16.0</v>
      </c>
      <c r="I3" s="125">
        <f t="shared" ref="I3:I7" si="2">100*(E3/(8*365))*F3</f>
        <v>10.2739726</v>
      </c>
      <c r="J3" s="61">
        <f t="shared" ref="J3:J7" si="3">100*C3*(D3/10)</f>
        <v>896</v>
      </c>
      <c r="K3" s="44">
        <f t="shared" ref="K3:K7" si="4">$L$23*F3+$L$24*C3</f>
        <v>1.38</v>
      </c>
      <c r="L3" s="62">
        <f t="shared" ref="L3:L7" si="5">$L$25*D3 +$L$26*G3+$L$27*E3</f>
        <v>54.48188754</v>
      </c>
      <c r="M3" s="61"/>
      <c r="N3" s="61"/>
      <c r="O3" s="25" t="str">
        <f>C2</f>
        <v>∆V Gain</v>
      </c>
      <c r="P3" s="126" t="s">
        <v>77</v>
      </c>
    </row>
    <row r="4">
      <c r="A4" s="47">
        <v>6.2</v>
      </c>
      <c r="B4" s="47" t="s">
        <v>65</v>
      </c>
      <c r="C4" s="47">
        <v>14.0</v>
      </c>
      <c r="D4" s="47">
        <v>7.0</v>
      </c>
      <c r="E4" s="47">
        <f>2*365</f>
        <v>730</v>
      </c>
      <c r="F4" s="47">
        <v>8.8</v>
      </c>
      <c r="G4" s="29">
        <f t="shared" si="1"/>
        <v>64.83110775</v>
      </c>
      <c r="H4" s="127">
        <v>11.0</v>
      </c>
      <c r="I4" s="128">
        <f t="shared" si="2"/>
        <v>220</v>
      </c>
      <c r="J4" s="59">
        <f t="shared" si="3"/>
        <v>980</v>
      </c>
      <c r="K4" s="29">
        <f t="shared" si="4"/>
        <v>7.4</v>
      </c>
      <c r="L4" s="47">
        <f t="shared" si="5"/>
        <v>269.2817754</v>
      </c>
      <c r="M4" s="59"/>
      <c r="N4" s="59"/>
      <c r="O4" s="25" t="str">
        <f>D2</f>
        <v>Mission Compatibility</v>
      </c>
      <c r="P4" s="126" t="s">
        <v>78</v>
      </c>
    </row>
    <row r="5">
      <c r="A5" s="62">
        <v>6.3</v>
      </c>
      <c r="B5" s="62" t="s">
        <v>67</v>
      </c>
      <c r="C5" s="62">
        <v>11.3</v>
      </c>
      <c r="D5" s="62">
        <v>6.0</v>
      </c>
      <c r="E5" s="61">
        <f>8.5*30.5</f>
        <v>259.25</v>
      </c>
      <c r="F5" s="62">
        <v>2.9</v>
      </c>
      <c r="G5" s="44">
        <f t="shared" si="1"/>
        <v>27.08385278</v>
      </c>
      <c r="H5" s="49">
        <v>9.0</v>
      </c>
      <c r="I5" s="125">
        <f t="shared" si="2"/>
        <v>25.74743151</v>
      </c>
      <c r="J5" s="61">
        <f t="shared" si="3"/>
        <v>678</v>
      </c>
      <c r="K5" s="44">
        <f t="shared" si="4"/>
        <v>1.77</v>
      </c>
      <c r="L5" s="62">
        <f t="shared" si="5"/>
        <v>100.9336969</v>
      </c>
      <c r="M5" s="61"/>
      <c r="N5" s="61"/>
      <c r="O5" s="25" t="str">
        <f>E2</f>
        <v>Time Required from Earth</v>
      </c>
      <c r="P5" s="126" t="s">
        <v>79</v>
      </c>
    </row>
    <row r="6">
      <c r="A6" s="47">
        <v>6.4</v>
      </c>
      <c r="B6" s="47" t="s">
        <v>68</v>
      </c>
      <c r="C6" s="47">
        <v>5.2</v>
      </c>
      <c r="D6" s="47">
        <v>3.0</v>
      </c>
      <c r="E6" s="47">
        <v>15.0</v>
      </c>
      <c r="F6" s="47">
        <v>11.2</v>
      </c>
      <c r="G6" s="29">
        <f t="shared" si="1"/>
        <v>10.01580852</v>
      </c>
      <c r="H6" s="127">
        <v>24.0</v>
      </c>
      <c r="I6" s="128">
        <f t="shared" si="2"/>
        <v>5.753424658</v>
      </c>
      <c r="J6" s="59">
        <f t="shared" si="3"/>
        <v>156</v>
      </c>
      <c r="K6" s="29">
        <f t="shared" si="4"/>
        <v>10.68</v>
      </c>
      <c r="L6" s="47">
        <f t="shared" si="5"/>
        <v>13.61106597</v>
      </c>
      <c r="M6" s="59"/>
      <c r="N6" s="59"/>
      <c r="O6" s="129" t="s">
        <v>61</v>
      </c>
      <c r="P6" s="52" t="s">
        <v>80</v>
      </c>
    </row>
    <row r="7">
      <c r="A7" s="62">
        <v>6.5</v>
      </c>
      <c r="B7" s="62" t="s">
        <v>69</v>
      </c>
      <c r="C7" s="62">
        <v>13.3</v>
      </c>
      <c r="D7" s="62">
        <v>2.0</v>
      </c>
      <c r="E7" s="61">
        <f>3.5*30.5</f>
        <v>106.75</v>
      </c>
      <c r="F7" s="62">
        <v>7.5</v>
      </c>
      <c r="G7" s="44">
        <f t="shared" si="1"/>
        <v>15.96976714</v>
      </c>
      <c r="H7" s="49">
        <v>9.0</v>
      </c>
      <c r="I7" s="125">
        <f t="shared" si="2"/>
        <v>27.41866438</v>
      </c>
      <c r="J7" s="61">
        <f t="shared" si="3"/>
        <v>266</v>
      </c>
      <c r="K7" s="44">
        <f t="shared" si="4"/>
        <v>6.17</v>
      </c>
      <c r="L7" s="62">
        <f t="shared" si="5"/>
        <v>44.603837</v>
      </c>
      <c r="M7" s="61"/>
      <c r="N7" s="61"/>
      <c r="O7" s="106"/>
      <c r="P7" s="107"/>
    </row>
    <row r="8">
      <c r="A8" s="47"/>
      <c r="B8" s="47"/>
      <c r="C8" s="47"/>
      <c r="D8" s="47"/>
      <c r="E8" s="47"/>
      <c r="F8" s="47"/>
      <c r="G8" s="128"/>
      <c r="H8" s="128"/>
      <c r="I8" s="128"/>
      <c r="J8" s="59"/>
      <c r="K8" s="58"/>
      <c r="L8" s="58"/>
      <c r="M8" s="58"/>
      <c r="N8" s="130"/>
    </row>
    <row r="9">
      <c r="A9" s="97" t="s">
        <v>37</v>
      </c>
      <c r="B9" s="97" t="s">
        <v>64</v>
      </c>
      <c r="C9" s="98">
        <f t="shared" ref="C9:J9" si="6">C3</f>
        <v>11.2</v>
      </c>
      <c r="D9" s="98">
        <f t="shared" si="6"/>
        <v>8</v>
      </c>
      <c r="E9" s="98">
        <f t="shared" si="6"/>
        <v>120</v>
      </c>
      <c r="F9" s="98">
        <f t="shared" si="6"/>
        <v>2.5</v>
      </c>
      <c r="G9" s="131">
        <f t="shared" si="6"/>
        <v>18.40269648</v>
      </c>
      <c r="H9" s="132">
        <f t="shared" si="6"/>
        <v>16</v>
      </c>
      <c r="I9" s="132">
        <f t="shared" si="6"/>
        <v>10.2739726</v>
      </c>
      <c r="J9" s="98">
        <f t="shared" si="6"/>
        <v>896</v>
      </c>
      <c r="K9" s="97"/>
      <c r="L9" s="97"/>
      <c r="M9" s="97"/>
      <c r="N9" s="133"/>
      <c r="O9" s="57" t="s">
        <v>36</v>
      </c>
      <c r="P9" s="3"/>
    </row>
    <row r="10">
      <c r="A10" s="59"/>
      <c r="B10" s="59"/>
      <c r="C10" s="59"/>
      <c r="D10" s="59"/>
      <c r="E10" s="59"/>
      <c r="F10" s="59"/>
      <c r="G10" s="59"/>
      <c r="H10" s="59"/>
      <c r="I10" s="59"/>
      <c r="J10" s="59"/>
      <c r="K10" s="59"/>
      <c r="L10" s="59"/>
      <c r="M10" s="59"/>
      <c r="N10" s="59"/>
      <c r="O10" s="39" t="s">
        <v>10</v>
      </c>
      <c r="P10" s="60" t="s">
        <v>81</v>
      </c>
    </row>
    <row r="11">
      <c r="A11" s="134" t="s">
        <v>82</v>
      </c>
      <c r="K11" s="135" t="s">
        <v>12</v>
      </c>
      <c r="L11" s="136" t="s">
        <v>13</v>
      </c>
      <c r="M11" s="137" t="s">
        <v>14</v>
      </c>
      <c r="N11" s="138"/>
      <c r="O11" s="63" t="s">
        <v>11</v>
      </c>
      <c r="P11" s="64" t="s">
        <v>83</v>
      </c>
    </row>
    <row r="12">
      <c r="A12" s="139" t="s">
        <v>2</v>
      </c>
      <c r="B12" s="140" t="s">
        <v>3</v>
      </c>
      <c r="C12" s="141" t="s">
        <v>72</v>
      </c>
      <c r="D12" s="141" t="s">
        <v>73</v>
      </c>
      <c r="E12" s="141" t="s">
        <v>74</v>
      </c>
      <c r="F12" s="141" t="s">
        <v>8</v>
      </c>
      <c r="G12" s="141" t="str">
        <f>G2</f>
        <v>Inclination Gain</v>
      </c>
      <c r="H12" s="141" t="s">
        <v>76</v>
      </c>
      <c r="I12" s="142" t="s">
        <v>10</v>
      </c>
      <c r="J12" s="142" t="s">
        <v>11</v>
      </c>
      <c r="K12" s="143"/>
      <c r="L12" s="144"/>
      <c r="M12" s="145"/>
      <c r="N12" s="59"/>
    </row>
    <row r="13">
      <c r="A13" s="146">
        <v>6.1</v>
      </c>
      <c r="B13" s="147" t="s">
        <v>64</v>
      </c>
      <c r="C13" s="15">
        <f t="shared" ref="C13:C17" si="7">C3/$C$9</f>
        <v>1</v>
      </c>
      <c r="D13" s="15">
        <f t="shared" ref="D13:D17" si="8">D3/$D$3</f>
        <v>1</v>
      </c>
      <c r="E13" s="15">
        <f t="shared" ref="E13:E17" si="9">E3/$E$3</f>
        <v>1</v>
      </c>
      <c r="F13" s="15">
        <f t="shared" ref="F13:F17" si="10">F3/$F$3</f>
        <v>1</v>
      </c>
      <c r="G13" s="15">
        <f t="shared" ref="G13:G17" si="11">G3/$G$9</f>
        <v>1</v>
      </c>
      <c r="H13" s="125">
        <f t="shared" ref="H13:H17" si="12">H3/$H$3</f>
        <v>1</v>
      </c>
      <c r="I13" s="125">
        <f t="shared" ref="I13:I17" si="13">100*(E13/(8*365))*F13</f>
        <v>0.03424657534</v>
      </c>
      <c r="J13" s="61">
        <f t="shared" ref="J13:J17" si="14">100*C13*(D13/10)</f>
        <v>10</v>
      </c>
      <c r="K13" s="148">
        <f t="shared" ref="K13:K17" si="15">($L$23*F13+$L$24*C13)/0.9</f>
        <v>1</v>
      </c>
      <c r="L13" s="149">
        <f>($L$25*D13 +$L$26*G13+$L$27*E13)/$L$19</f>
        <v>1</v>
      </c>
      <c r="M13" s="150">
        <f t="shared" ref="M13:M17" si="16">(0.95)^(I34/2)</f>
        <v>0.9025</v>
      </c>
      <c r="N13" s="61">
        <f t="shared" ref="N13:N17" si="17">(0.95)^(I34/2)</f>
        <v>0.9025</v>
      </c>
    </row>
    <row r="14">
      <c r="A14" s="151">
        <v>6.2</v>
      </c>
      <c r="B14" s="152" t="s">
        <v>65</v>
      </c>
      <c r="C14" s="79">
        <f t="shared" si="7"/>
        <v>1.25</v>
      </c>
      <c r="D14" s="79">
        <f t="shared" si="8"/>
        <v>0.875</v>
      </c>
      <c r="E14" s="79">
        <f t="shared" si="9"/>
        <v>6.083333333</v>
      </c>
      <c r="F14" s="79">
        <f t="shared" si="10"/>
        <v>3.52</v>
      </c>
      <c r="G14" s="79">
        <f t="shared" si="11"/>
        <v>3.522913493</v>
      </c>
      <c r="H14" s="128">
        <f t="shared" si="12"/>
        <v>0.6875</v>
      </c>
      <c r="I14" s="128">
        <f t="shared" si="13"/>
        <v>0.7333333333</v>
      </c>
      <c r="J14" s="59">
        <f t="shared" si="14"/>
        <v>10.9375</v>
      </c>
      <c r="K14" s="148">
        <f t="shared" si="15"/>
        <v>3.772222222</v>
      </c>
      <c r="L14" s="149">
        <f t="shared" ref="L14:L17" si="18">$L$25*D14 +$L$26*G14+$L$27*E14</f>
        <v>4.903539445</v>
      </c>
      <c r="M14" s="150">
        <f t="shared" si="16"/>
        <v>0.9746794345</v>
      </c>
      <c r="N14" s="59">
        <f t="shared" si="17"/>
        <v>0.9746794345</v>
      </c>
    </row>
    <row r="15">
      <c r="A15" s="146">
        <v>6.3</v>
      </c>
      <c r="B15" s="147" t="s">
        <v>67</v>
      </c>
      <c r="C15" s="15">
        <f t="shared" si="7"/>
        <v>1.008928571</v>
      </c>
      <c r="D15" s="15">
        <f t="shared" si="8"/>
        <v>0.75</v>
      </c>
      <c r="E15" s="15">
        <f t="shared" si="9"/>
        <v>2.160416667</v>
      </c>
      <c r="F15" s="15">
        <f t="shared" si="10"/>
        <v>1.16</v>
      </c>
      <c r="G15" s="15">
        <f t="shared" si="11"/>
        <v>1.471732841</v>
      </c>
      <c r="H15" s="125">
        <f t="shared" si="12"/>
        <v>0.5625</v>
      </c>
      <c r="I15" s="125">
        <f t="shared" si="13"/>
        <v>0.08582477169</v>
      </c>
      <c r="J15" s="61">
        <f t="shared" si="14"/>
        <v>7.566964286</v>
      </c>
      <c r="K15" s="148">
        <f t="shared" si="15"/>
        <v>1.176785714</v>
      </c>
      <c r="L15" s="149">
        <f t="shared" si="18"/>
        <v>2.203337989</v>
      </c>
      <c r="M15" s="150">
        <f t="shared" si="16"/>
        <v>0.9259454628</v>
      </c>
      <c r="N15" s="61">
        <f t="shared" si="17"/>
        <v>0.9259454628</v>
      </c>
    </row>
    <row r="16">
      <c r="A16" s="151">
        <v>6.4</v>
      </c>
      <c r="B16" s="152" t="s">
        <v>68</v>
      </c>
      <c r="C16" s="79">
        <f t="shared" si="7"/>
        <v>0.4642857143</v>
      </c>
      <c r="D16" s="79">
        <f t="shared" si="8"/>
        <v>0.375</v>
      </c>
      <c r="E16" s="79">
        <f t="shared" si="9"/>
        <v>0.125</v>
      </c>
      <c r="F16" s="79">
        <f t="shared" si="10"/>
        <v>4.48</v>
      </c>
      <c r="G16" s="79">
        <f t="shared" si="11"/>
        <v>0.5442576598</v>
      </c>
      <c r="H16" s="128">
        <f t="shared" si="12"/>
        <v>1.5</v>
      </c>
      <c r="I16" s="128">
        <f t="shared" si="13"/>
        <v>0.01917808219</v>
      </c>
      <c r="J16" s="59">
        <f t="shared" si="14"/>
        <v>1.741071429</v>
      </c>
      <c r="K16" s="148">
        <f t="shared" si="15"/>
        <v>4.926190476</v>
      </c>
      <c r="L16" s="149">
        <f t="shared" si="18"/>
        <v>0.6809803619</v>
      </c>
      <c r="M16" s="150">
        <f t="shared" si="16"/>
        <v>0.8356657801</v>
      </c>
      <c r="N16" s="59">
        <f t="shared" si="17"/>
        <v>0.8356657801</v>
      </c>
    </row>
    <row r="17">
      <c r="A17" s="153">
        <v>6.5</v>
      </c>
      <c r="B17" s="154" t="s">
        <v>69</v>
      </c>
      <c r="C17" s="15">
        <f t="shared" si="7"/>
        <v>1.1875</v>
      </c>
      <c r="D17" s="15">
        <f t="shared" si="8"/>
        <v>0.25</v>
      </c>
      <c r="E17" s="15">
        <f t="shared" si="9"/>
        <v>0.8895833333</v>
      </c>
      <c r="F17" s="15">
        <f t="shared" si="10"/>
        <v>3</v>
      </c>
      <c r="G17" s="15">
        <f t="shared" si="11"/>
        <v>0.8677949536</v>
      </c>
      <c r="H17" s="125">
        <f t="shared" si="12"/>
        <v>0.5625</v>
      </c>
      <c r="I17" s="125">
        <f t="shared" si="13"/>
        <v>0.09139554795</v>
      </c>
      <c r="J17" s="61">
        <f t="shared" si="14"/>
        <v>2.96875</v>
      </c>
      <c r="K17" s="155">
        <f t="shared" si="15"/>
        <v>3.201388889</v>
      </c>
      <c r="L17" s="156">
        <f t="shared" si="18"/>
        <v>1.049331468</v>
      </c>
      <c r="M17" s="157">
        <f t="shared" si="16"/>
        <v>0.8796481896</v>
      </c>
      <c r="N17" s="61">
        <f t="shared" si="17"/>
        <v>0.8796481896</v>
      </c>
    </row>
    <row r="18">
      <c r="A18" s="47"/>
      <c r="B18" s="47"/>
      <c r="C18" s="79"/>
      <c r="D18" s="79"/>
      <c r="E18" s="79"/>
      <c r="F18" s="79"/>
      <c r="G18" s="128"/>
      <c r="H18" s="128"/>
      <c r="I18" s="128"/>
      <c r="J18" s="59"/>
      <c r="K18" s="59"/>
      <c r="L18" s="79"/>
      <c r="M18" s="59"/>
      <c r="N18" s="59"/>
    </row>
    <row r="19">
      <c r="A19" s="97" t="s">
        <v>37</v>
      </c>
      <c r="B19" s="97" t="s">
        <v>64</v>
      </c>
      <c r="C19" s="131">
        <f t="shared" ref="C19:K19" si="19">C13</f>
        <v>1</v>
      </c>
      <c r="D19" s="131">
        <f t="shared" si="19"/>
        <v>1</v>
      </c>
      <c r="E19" s="131">
        <f t="shared" si="19"/>
        <v>1</v>
      </c>
      <c r="F19" s="131">
        <f t="shared" si="19"/>
        <v>1</v>
      </c>
      <c r="G19" s="131">
        <f t="shared" si="19"/>
        <v>1</v>
      </c>
      <c r="H19" s="132">
        <f t="shared" si="19"/>
        <v>1</v>
      </c>
      <c r="I19" s="132">
        <f t="shared" si="19"/>
        <v>0.03424657534</v>
      </c>
      <c r="J19" s="98">
        <f t="shared" si="19"/>
        <v>10</v>
      </c>
      <c r="K19" s="44">
        <f t="shared" si="19"/>
        <v>1</v>
      </c>
      <c r="L19" s="15">
        <f>$L$25*D19 +$L$26*G19+$L$27*E19</f>
        <v>1.7</v>
      </c>
      <c r="M19" s="158">
        <f>M13</f>
        <v>0.9025</v>
      </c>
      <c r="N19" s="61"/>
    </row>
    <row r="20">
      <c r="A20" s="59"/>
      <c r="B20" s="59"/>
      <c r="C20" s="59"/>
      <c r="D20" s="59"/>
      <c r="E20" s="59"/>
      <c r="F20" s="59"/>
      <c r="G20" s="59"/>
      <c r="H20" s="59"/>
      <c r="I20" s="59"/>
      <c r="J20" s="59"/>
      <c r="K20" s="59"/>
      <c r="L20" s="59"/>
      <c r="M20" s="59"/>
      <c r="N20" s="59"/>
    </row>
    <row r="21">
      <c r="M21" s="106" t="s">
        <v>84</v>
      </c>
    </row>
    <row r="22">
      <c r="F22" s="41" t="s">
        <v>85</v>
      </c>
      <c r="L22" s="41" t="s">
        <v>86</v>
      </c>
    </row>
    <row r="23">
      <c r="A23" s="106"/>
      <c r="B23" s="106" t="s">
        <v>64</v>
      </c>
      <c r="C23" s="107">
        <f t="shared" ref="C23:C28" si="20">(I3-MIN($I$3:$I$8))/(MAX($I$3:$I$8)-MIN($I$3:$I$8))</f>
        <v>0.02109974425</v>
      </c>
      <c r="D23" s="107">
        <f t="shared" ref="D23:D28" si="21">(J3-MIN($J$3:$J$8))/(MAX($J$3:$J$8)-MIN($J$3:$J$8))</f>
        <v>0.8980582524</v>
      </c>
      <c r="I23" s="159" t="s">
        <v>12</v>
      </c>
      <c r="J23" s="103" t="s">
        <v>87</v>
      </c>
      <c r="K23" s="104"/>
      <c r="L23" s="105">
        <v>1.0</v>
      </c>
    </row>
    <row r="24">
      <c r="A24" s="106"/>
      <c r="B24" s="106" t="s">
        <v>65</v>
      </c>
      <c r="C24" s="107">
        <f t="shared" si="20"/>
        <v>1</v>
      </c>
      <c r="D24" s="107">
        <f t="shared" si="21"/>
        <v>1</v>
      </c>
      <c r="I24" s="110"/>
      <c r="J24" s="111" t="s">
        <v>88</v>
      </c>
      <c r="L24" s="112">
        <v>-0.1</v>
      </c>
    </row>
    <row r="25">
      <c r="A25" s="106"/>
      <c r="B25" s="106" t="s">
        <v>67</v>
      </c>
      <c r="C25" s="107">
        <f t="shared" si="20"/>
        <v>0.09332241049</v>
      </c>
      <c r="D25" s="107">
        <f t="shared" si="21"/>
        <v>0.6334951456</v>
      </c>
      <c r="F25" s="119" t="s">
        <v>89</v>
      </c>
      <c r="I25" s="159" t="s">
        <v>13</v>
      </c>
      <c r="J25" s="103" t="s">
        <v>90</v>
      </c>
      <c r="K25" s="104"/>
      <c r="L25" s="105">
        <v>0.7</v>
      </c>
    </row>
    <row r="26">
      <c r="A26" s="41"/>
      <c r="B26" s="41" t="s">
        <v>68</v>
      </c>
      <c r="C26" s="107">
        <f t="shared" si="20"/>
        <v>0</v>
      </c>
      <c r="D26" s="107">
        <f t="shared" si="21"/>
        <v>0</v>
      </c>
      <c r="I26" s="110"/>
      <c r="J26" s="111" t="s">
        <v>91</v>
      </c>
      <c r="L26" s="112">
        <v>0.7</v>
      </c>
    </row>
    <row r="27">
      <c r="A27" s="106"/>
      <c r="B27" s="106" t="s">
        <v>69</v>
      </c>
      <c r="C27" s="107">
        <f t="shared" si="20"/>
        <v>0.101122922</v>
      </c>
      <c r="D27" s="107">
        <f t="shared" si="21"/>
        <v>0.1334951456</v>
      </c>
      <c r="I27" s="110"/>
      <c r="J27" s="111" t="s">
        <v>92</v>
      </c>
      <c r="L27" s="112">
        <v>0.3</v>
      </c>
      <c r="M27" s="160"/>
    </row>
    <row r="28">
      <c r="A28" s="106"/>
      <c r="B28" s="106" t="s">
        <v>70</v>
      </c>
      <c r="C28" s="107">
        <f t="shared" si="20"/>
        <v>-0.02685421995</v>
      </c>
      <c r="D28" s="107">
        <f t="shared" si="21"/>
        <v>-0.1893203883</v>
      </c>
      <c r="I28" s="159" t="s">
        <v>14</v>
      </c>
      <c r="J28" s="103" t="s">
        <v>93</v>
      </c>
      <c r="K28" s="115"/>
      <c r="L28" s="161">
        <v>2.0</v>
      </c>
      <c r="M28" s="160"/>
    </row>
    <row r="29">
      <c r="I29" s="162"/>
      <c r="J29" s="163" t="s">
        <v>94</v>
      </c>
      <c r="K29" s="164"/>
      <c r="L29" s="165">
        <v>0.75</v>
      </c>
      <c r="M29" s="160"/>
    </row>
    <row r="33">
      <c r="D33" s="41" t="s">
        <v>95</v>
      </c>
      <c r="E33" s="41" t="s">
        <v>96</v>
      </c>
      <c r="F33" s="41" t="s">
        <v>97</v>
      </c>
      <c r="G33" s="41" t="s">
        <v>98</v>
      </c>
      <c r="H33" s="41" t="s">
        <v>99</v>
      </c>
      <c r="I33" s="41" t="s">
        <v>100</v>
      </c>
      <c r="K33" s="41" t="s">
        <v>94</v>
      </c>
      <c r="L33" s="41" t="s">
        <v>14</v>
      </c>
    </row>
    <row r="34">
      <c r="C34" s="41" t="s">
        <v>64</v>
      </c>
      <c r="D34" s="118">
        <f t="shared" ref="D34:D38" si="22">sqrt(132712440018/E34)</f>
        <v>35.02092145</v>
      </c>
      <c r="E34" s="41">
        <v>1.08207284E8</v>
      </c>
      <c r="F34" s="118">
        <f t="shared" ref="F34:F38" si="23">C3</f>
        <v>11.2</v>
      </c>
      <c r="G34" s="118">
        <f t="shared" ref="G34:G38" si="24">2*asin(F34/(2*D34))</f>
        <v>0.3211876449</v>
      </c>
      <c r="H34" s="118">
        <f t="shared" ref="H34:H38" si="25">G34*180/pi()</f>
        <v>18.40269648</v>
      </c>
      <c r="I34" s="118">
        <f t="shared" ref="I34:I38" si="26">round(75/H34,0)</f>
        <v>4</v>
      </c>
      <c r="K34" s="166">
        <f t="shared" ref="K34:K38" si="27">H3</f>
        <v>16</v>
      </c>
      <c r="M34" s="118">
        <f t="shared" ref="M34:M38" si="28">H34*I34</f>
        <v>73.61078593</v>
      </c>
    </row>
    <row r="35">
      <c r="C35" s="41" t="s">
        <v>65</v>
      </c>
      <c r="D35" s="118">
        <f t="shared" si="22"/>
        <v>13.05833763</v>
      </c>
      <c r="E35" s="41">
        <v>7.78279959E8</v>
      </c>
      <c r="F35" s="118">
        <f t="shared" si="23"/>
        <v>14</v>
      </c>
      <c r="G35" s="118">
        <f t="shared" si="24"/>
        <v>1.131516288</v>
      </c>
      <c r="H35" s="118">
        <f t="shared" si="25"/>
        <v>64.83110775</v>
      </c>
      <c r="I35" s="118">
        <f t="shared" si="26"/>
        <v>1</v>
      </c>
      <c r="K35" s="166">
        <f t="shared" si="27"/>
        <v>11</v>
      </c>
      <c r="M35" s="118">
        <f t="shared" si="28"/>
        <v>64.83110775</v>
      </c>
    </row>
    <row r="36">
      <c r="C36" s="41" t="s">
        <v>67</v>
      </c>
      <c r="D36" s="118">
        <f t="shared" si="22"/>
        <v>24.12912681</v>
      </c>
      <c r="E36" s="41">
        <v>2.27944135E8</v>
      </c>
      <c r="F36" s="118">
        <f t="shared" si="23"/>
        <v>11.3</v>
      </c>
      <c r="G36" s="118">
        <f t="shared" si="24"/>
        <v>0.4727024051</v>
      </c>
      <c r="H36" s="118">
        <f t="shared" si="25"/>
        <v>27.08385278</v>
      </c>
      <c r="I36" s="118">
        <f t="shared" si="26"/>
        <v>3</v>
      </c>
      <c r="K36" s="166">
        <f t="shared" si="27"/>
        <v>9</v>
      </c>
      <c r="M36" s="118">
        <f t="shared" si="28"/>
        <v>81.25155834</v>
      </c>
    </row>
    <row r="37">
      <c r="C37" s="41" t="s">
        <v>68</v>
      </c>
      <c r="D37" s="118">
        <f t="shared" si="22"/>
        <v>29.78468911</v>
      </c>
      <c r="E37" s="41">
        <v>1.49597898E8</v>
      </c>
      <c r="F37" s="118">
        <f t="shared" si="23"/>
        <v>5.2</v>
      </c>
      <c r="G37" s="118">
        <f t="shared" si="24"/>
        <v>0.174808836</v>
      </c>
      <c r="H37" s="118">
        <f t="shared" si="25"/>
        <v>10.01580852</v>
      </c>
      <c r="I37" s="118">
        <f t="shared" si="26"/>
        <v>7</v>
      </c>
      <c r="K37" s="166">
        <f t="shared" si="27"/>
        <v>24</v>
      </c>
      <c r="M37" s="118">
        <f t="shared" si="28"/>
        <v>70.11065966</v>
      </c>
    </row>
    <row r="38">
      <c r="C38" s="41" t="s">
        <v>69</v>
      </c>
      <c r="D38" s="118">
        <f t="shared" si="22"/>
        <v>47.87209191</v>
      </c>
      <c r="E38" s="41">
        <v>5.7909101E7</v>
      </c>
      <c r="F38" s="118">
        <f t="shared" si="23"/>
        <v>13.3</v>
      </c>
      <c r="G38" s="118">
        <f t="shared" si="24"/>
        <v>0.2787250174</v>
      </c>
      <c r="H38" s="118">
        <f t="shared" si="25"/>
        <v>15.96976714</v>
      </c>
      <c r="I38" s="118">
        <f t="shared" si="26"/>
        <v>5</v>
      </c>
      <c r="K38" s="166">
        <f t="shared" si="27"/>
        <v>9</v>
      </c>
      <c r="M38" s="118">
        <f t="shared" si="28"/>
        <v>79.84883571</v>
      </c>
    </row>
  </sheetData>
  <mergeCells count="4">
    <mergeCell ref="A1:J1"/>
    <mergeCell ref="O1:P1"/>
    <mergeCell ref="O9:P9"/>
    <mergeCell ref="A11:J11"/>
  </mergeCells>
  <hyperlinks>
    <hyperlink r:id="rId2" ref="F25"/>
  </hyperlinks>
  <drawing r:id="rId3"/>
  <legacyDrawing r:id="rId4"/>
  <tableParts count="3">
    <tablePart r:id="rId8"/>
    <tablePart r:id="rId9"/>
    <tablePart r:id="rId1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27.86"/>
    <col customWidth="1" min="3" max="3" width="14.29"/>
    <col customWidth="1" min="4" max="4" width="11.86"/>
    <col customWidth="1" min="5" max="5" width="16.86"/>
    <col customWidth="1" min="6" max="6" width="15.43"/>
    <col customWidth="1" min="7" max="7" width="9.0"/>
    <col customWidth="1" min="8" max="8" width="13.29"/>
    <col customWidth="1" min="9" max="9" width="17.29"/>
    <col customWidth="1" min="11" max="11" width="16.57"/>
    <col customWidth="1" min="13" max="13" width="24.57"/>
    <col customWidth="1" min="14" max="14" width="84.14"/>
  </cols>
  <sheetData>
    <row r="1">
      <c r="A1" s="1" t="s">
        <v>101</v>
      </c>
      <c r="B1" s="2"/>
      <c r="C1" s="2"/>
      <c r="D1" s="2"/>
      <c r="E1" s="2"/>
      <c r="F1" s="2"/>
      <c r="G1" s="2"/>
      <c r="H1" s="3"/>
      <c r="M1" s="1" t="s">
        <v>1</v>
      </c>
      <c r="N1" s="3"/>
    </row>
    <row r="2">
      <c r="A2" s="4" t="s">
        <v>2</v>
      </c>
      <c r="B2" s="167" t="s">
        <v>3</v>
      </c>
      <c r="C2" s="4" t="str">
        <f>M3</f>
        <v>dV Cost (km/s)</v>
      </c>
      <c r="D2" s="6" t="str">
        <f>M4</f>
        <v>Time (years)</v>
      </c>
      <c r="E2" s="6" t="str">
        <f>M5</f>
        <v>Feasibility</v>
      </c>
      <c r="F2" s="5" t="s">
        <v>102</v>
      </c>
      <c r="G2" s="168" t="s">
        <v>10</v>
      </c>
      <c r="H2" s="9" t="s">
        <v>11</v>
      </c>
      <c r="I2" s="10" t="s">
        <v>12</v>
      </c>
      <c r="J2" s="10" t="s">
        <v>13</v>
      </c>
      <c r="K2" s="10" t="s">
        <v>14</v>
      </c>
      <c r="M2" s="11" t="s">
        <v>15</v>
      </c>
      <c r="N2" s="12" t="s">
        <v>16</v>
      </c>
      <c r="O2" s="138"/>
    </row>
    <row r="3">
      <c r="A3" s="13">
        <v>8.1</v>
      </c>
      <c r="B3" s="169" t="s">
        <v>103</v>
      </c>
      <c r="C3" s="170">
        <v>42.121</v>
      </c>
      <c r="D3" s="15">
        <v>0.0</v>
      </c>
      <c r="E3" s="62">
        <v>0.01</v>
      </c>
      <c r="F3" s="171">
        <v>0.0</v>
      </c>
      <c r="G3" s="172">
        <f t="shared" ref="G3:G8" si="1">100-(C3*D3*0.3)</f>
        <v>100</v>
      </c>
      <c r="H3" s="173">
        <f t="shared" ref="H3:H8" si="2">D3*(E3) /3.5 * 100</f>
        <v>0</v>
      </c>
      <c r="I3" s="174">
        <f t="shared" ref="I3:I8" si="3">$K$24*C3/(E3+1)+1/E3</f>
        <v>110.4259901</v>
      </c>
      <c r="J3" s="174">
        <f t="shared" ref="J3:J8" si="4">$K$26/(D3+1)+$K$27*F3</f>
        <v>0.8</v>
      </c>
      <c r="K3" s="175">
        <f t="shared" ref="K3:K8" si="5">E3</f>
        <v>0.01</v>
      </c>
      <c r="M3" s="25" t="s">
        <v>104</v>
      </c>
      <c r="N3" s="126"/>
      <c r="O3" s="62" t="s">
        <v>105</v>
      </c>
    </row>
    <row r="4">
      <c r="A4" s="45">
        <v>8.2</v>
      </c>
      <c r="B4" s="88" t="s">
        <v>106</v>
      </c>
      <c r="C4" s="176">
        <v>35.604</v>
      </c>
      <c r="D4" s="79">
        <v>2.0</v>
      </c>
      <c r="E4" s="47">
        <v>0.2</v>
      </c>
      <c r="F4" s="177">
        <v>0.0</v>
      </c>
      <c r="G4" s="178">
        <f t="shared" si="1"/>
        <v>78.6376</v>
      </c>
      <c r="H4" s="179">
        <f t="shared" si="2"/>
        <v>11.42857143</v>
      </c>
      <c r="I4" s="180">
        <f t="shared" si="3"/>
        <v>12.4175</v>
      </c>
      <c r="J4" s="180">
        <f t="shared" si="4"/>
        <v>0.2666666667</v>
      </c>
      <c r="K4" s="181">
        <f t="shared" si="5"/>
        <v>0.2</v>
      </c>
      <c r="M4" s="25" t="s">
        <v>18</v>
      </c>
      <c r="N4" s="126"/>
      <c r="O4" s="182"/>
    </row>
    <row r="5">
      <c r="A5" s="13">
        <v>8.3</v>
      </c>
      <c r="B5" s="169" t="s">
        <v>107</v>
      </c>
      <c r="C5" s="170">
        <v>0.0</v>
      </c>
      <c r="D5" s="15">
        <v>8.6</v>
      </c>
      <c r="E5" s="62">
        <v>0.7</v>
      </c>
      <c r="F5" s="171">
        <v>1.0</v>
      </c>
      <c r="G5" s="172">
        <f t="shared" si="1"/>
        <v>100</v>
      </c>
      <c r="H5" s="173">
        <f t="shared" si="2"/>
        <v>172</v>
      </c>
      <c r="I5" s="174">
        <f t="shared" si="3"/>
        <v>1.428571429</v>
      </c>
      <c r="J5" s="174">
        <f t="shared" si="4"/>
        <v>0.5833333333</v>
      </c>
      <c r="K5" s="175">
        <f t="shared" si="5"/>
        <v>0.7</v>
      </c>
      <c r="M5" s="183" t="s">
        <v>9</v>
      </c>
      <c r="N5" s="52" t="s">
        <v>108</v>
      </c>
      <c r="O5" s="61"/>
    </row>
    <row r="6">
      <c r="A6" s="45">
        <v>8.4</v>
      </c>
      <c r="B6" s="88" t="s">
        <v>109</v>
      </c>
      <c r="C6" s="176">
        <v>10.0</v>
      </c>
      <c r="D6" s="79">
        <v>6.5</v>
      </c>
      <c r="E6" s="47">
        <v>0.9</v>
      </c>
      <c r="F6" s="177">
        <v>1.0</v>
      </c>
      <c r="G6" s="178">
        <f t="shared" si="1"/>
        <v>80.5</v>
      </c>
      <c r="H6" s="179">
        <f t="shared" si="2"/>
        <v>167.1428571</v>
      </c>
      <c r="I6" s="180">
        <f t="shared" si="3"/>
        <v>2.426900585</v>
      </c>
      <c r="J6" s="180">
        <f t="shared" si="4"/>
        <v>0.6066666667</v>
      </c>
      <c r="K6" s="181">
        <f t="shared" si="5"/>
        <v>0.9</v>
      </c>
      <c r="M6" s="106"/>
      <c r="N6" s="107"/>
      <c r="O6" s="61"/>
    </row>
    <row r="7">
      <c r="A7" s="13">
        <v>8.5</v>
      </c>
      <c r="B7" s="169" t="s">
        <v>110</v>
      </c>
      <c r="C7" s="170">
        <v>8.8</v>
      </c>
      <c r="D7" s="15">
        <v>5.5</v>
      </c>
      <c r="E7" s="62">
        <v>0.9</v>
      </c>
      <c r="F7" s="171">
        <v>1.0</v>
      </c>
      <c r="G7" s="172">
        <f t="shared" si="1"/>
        <v>85.48</v>
      </c>
      <c r="H7" s="173">
        <f t="shared" si="2"/>
        <v>141.4285714</v>
      </c>
      <c r="I7" s="174">
        <f t="shared" si="3"/>
        <v>2.269005848</v>
      </c>
      <c r="J7" s="174">
        <f t="shared" si="4"/>
        <v>0.6230769231</v>
      </c>
      <c r="K7" s="175">
        <f t="shared" si="5"/>
        <v>0.9</v>
      </c>
      <c r="M7" s="106"/>
      <c r="N7" s="107"/>
      <c r="O7" s="107"/>
    </row>
    <row r="8">
      <c r="A8" s="63">
        <v>8.6</v>
      </c>
      <c r="B8" s="64" t="s">
        <v>111</v>
      </c>
      <c r="C8" s="184">
        <v>2.5</v>
      </c>
      <c r="D8" s="185">
        <v>8.23</v>
      </c>
      <c r="E8" s="185">
        <v>0.8</v>
      </c>
      <c r="F8" s="186">
        <v>1.0</v>
      </c>
      <c r="G8" s="187">
        <f t="shared" si="1"/>
        <v>93.8275</v>
      </c>
      <c r="H8" s="188">
        <f t="shared" si="2"/>
        <v>188.1142857</v>
      </c>
      <c r="I8" s="180">
        <f t="shared" si="3"/>
        <v>1.597222222</v>
      </c>
      <c r="J8" s="180">
        <f t="shared" si="4"/>
        <v>0.5866738895</v>
      </c>
      <c r="K8" s="181">
        <f t="shared" si="5"/>
        <v>0.8</v>
      </c>
    </row>
    <row r="9">
      <c r="A9" s="97"/>
      <c r="B9" s="97"/>
      <c r="C9" s="61"/>
      <c r="D9" s="61"/>
      <c r="E9" s="61"/>
      <c r="F9" s="61"/>
      <c r="G9" s="61"/>
      <c r="H9" s="61"/>
      <c r="I9" s="97" t="s">
        <v>112</v>
      </c>
      <c r="J9" s="97" t="s">
        <v>113</v>
      </c>
      <c r="K9" s="97" t="s">
        <v>114</v>
      </c>
      <c r="M9" s="189"/>
      <c r="N9" s="189"/>
    </row>
    <row r="10">
      <c r="A10" s="58" t="s">
        <v>37</v>
      </c>
      <c r="B10" s="58" t="s">
        <v>115</v>
      </c>
      <c r="C10" s="59">
        <f t="shared" ref="C10:E10" si="6">C8</f>
        <v>2.5</v>
      </c>
      <c r="D10" s="59">
        <f t="shared" si="6"/>
        <v>8.23</v>
      </c>
      <c r="E10" s="59">
        <f t="shared" si="6"/>
        <v>0.8</v>
      </c>
      <c r="F10" s="59"/>
      <c r="G10" s="190">
        <f t="shared" ref="G10:H10" si="7">G8</f>
        <v>93.8275</v>
      </c>
      <c r="H10" s="190">
        <f t="shared" si="7"/>
        <v>188.1142857</v>
      </c>
      <c r="I10" s="58" t="s">
        <v>116</v>
      </c>
      <c r="J10" s="58" t="s">
        <v>117</v>
      </c>
      <c r="K10" s="59"/>
      <c r="M10" s="57" t="s">
        <v>36</v>
      </c>
      <c r="N10" s="3"/>
    </row>
    <row r="11">
      <c r="A11" s="61"/>
      <c r="B11" s="61"/>
      <c r="C11" s="61"/>
      <c r="D11" s="61"/>
      <c r="E11" s="61"/>
      <c r="F11" s="61"/>
      <c r="G11" s="61"/>
      <c r="H11" s="61"/>
      <c r="I11" s="61"/>
      <c r="J11" s="61"/>
      <c r="K11" s="61"/>
      <c r="M11" s="39" t="s">
        <v>10</v>
      </c>
      <c r="N11" s="60" t="s">
        <v>118</v>
      </c>
    </row>
    <row r="12">
      <c r="A12" s="65" t="s">
        <v>119</v>
      </c>
      <c r="B12" s="66"/>
      <c r="C12" s="66"/>
      <c r="D12" s="66"/>
      <c r="E12" s="66"/>
      <c r="F12" s="66"/>
      <c r="G12" s="66"/>
      <c r="H12" s="67"/>
      <c r="I12" s="135" t="s">
        <v>12</v>
      </c>
      <c r="J12" s="136" t="s">
        <v>13</v>
      </c>
      <c r="K12" s="137" t="s">
        <v>14</v>
      </c>
      <c r="M12" s="63" t="s">
        <v>11</v>
      </c>
      <c r="N12" s="64" t="s">
        <v>120</v>
      </c>
    </row>
    <row r="13">
      <c r="A13" s="191" t="s">
        <v>2</v>
      </c>
      <c r="B13" s="69" t="s">
        <v>3</v>
      </c>
      <c r="C13" s="192" t="s">
        <v>121</v>
      </c>
      <c r="D13" s="192" t="s">
        <v>4</v>
      </c>
      <c r="E13" s="192" t="s">
        <v>9</v>
      </c>
      <c r="F13" s="72" t="str">
        <f t="shared" ref="F13:F19" si="8">F2</f>
        <v>Additional Req</v>
      </c>
      <c r="G13" s="193" t="s">
        <v>10</v>
      </c>
      <c r="H13" s="193" t="s">
        <v>11</v>
      </c>
      <c r="I13" s="143"/>
      <c r="J13" s="144"/>
      <c r="K13" s="145"/>
    </row>
    <row r="14">
      <c r="A14" s="45">
        <v>8.1</v>
      </c>
      <c r="B14" s="78" t="s">
        <v>103</v>
      </c>
      <c r="C14" s="79">
        <f t="shared" ref="C14:C19" si="9">C3/$C$10</f>
        <v>16.8484</v>
      </c>
      <c r="D14" s="79">
        <f t="shared" ref="D14:D19" si="10">D3/$D$10</f>
        <v>0</v>
      </c>
      <c r="E14" s="47">
        <f t="shared" ref="E14:E19" si="11">E3/$E$10</f>
        <v>0.0125</v>
      </c>
      <c r="F14" s="194">
        <f t="shared" si="8"/>
        <v>0</v>
      </c>
      <c r="G14" s="190">
        <f t="shared" ref="G14:G19" si="12">100-(C14*D14*0.3)</f>
        <v>100</v>
      </c>
      <c r="H14" s="190">
        <f t="shared" ref="H14:H19" si="13">D14*(E14) /3.5 * 100</f>
        <v>0</v>
      </c>
      <c r="I14" s="195">
        <f t="shared" ref="I14:I19" si="14">$K$24*C14/(E14+1)+1/E14</f>
        <v>84.16009877</v>
      </c>
      <c r="J14" s="196">
        <f t="shared" ref="J14:J19" si="15">J3/$J$8</f>
        <v>1.363619575</v>
      </c>
      <c r="K14" s="197">
        <f t="shared" ref="K14:K19" si="16">K3</f>
        <v>0.01</v>
      </c>
    </row>
    <row r="15">
      <c r="A15" s="13">
        <v>8.2</v>
      </c>
      <c r="B15" s="91" t="s">
        <v>106</v>
      </c>
      <c r="C15" s="15">
        <f t="shared" si="9"/>
        <v>14.2416</v>
      </c>
      <c r="D15" s="15">
        <f t="shared" si="10"/>
        <v>0.2430133657</v>
      </c>
      <c r="E15" s="62">
        <f t="shared" si="11"/>
        <v>0.25</v>
      </c>
      <c r="F15" s="198">
        <f t="shared" si="8"/>
        <v>0</v>
      </c>
      <c r="G15" s="199">
        <f t="shared" si="12"/>
        <v>98.96173026</v>
      </c>
      <c r="H15" s="199">
        <f t="shared" si="13"/>
        <v>1.735809755</v>
      </c>
      <c r="I15" s="195">
        <f t="shared" si="14"/>
        <v>6.84832</v>
      </c>
      <c r="J15" s="196">
        <f t="shared" si="15"/>
        <v>0.4545398584</v>
      </c>
      <c r="K15" s="197">
        <f t="shared" si="16"/>
        <v>0.2</v>
      </c>
      <c r="M15" s="77" t="s">
        <v>42</v>
      </c>
      <c r="N15" s="3"/>
    </row>
    <row r="16">
      <c r="A16" s="45">
        <v>8.3</v>
      </c>
      <c r="B16" s="78" t="s">
        <v>107</v>
      </c>
      <c r="C16" s="79">
        <f t="shared" si="9"/>
        <v>0</v>
      </c>
      <c r="D16" s="79">
        <f t="shared" si="10"/>
        <v>1.044957473</v>
      </c>
      <c r="E16" s="47">
        <f t="shared" si="11"/>
        <v>0.875</v>
      </c>
      <c r="F16" s="194">
        <f t="shared" si="8"/>
        <v>1</v>
      </c>
      <c r="G16" s="190">
        <f t="shared" si="12"/>
        <v>100</v>
      </c>
      <c r="H16" s="190">
        <f t="shared" si="13"/>
        <v>26.12393682</v>
      </c>
      <c r="I16" s="195">
        <f t="shared" si="14"/>
        <v>1.142857143</v>
      </c>
      <c r="J16" s="196">
        <f t="shared" si="15"/>
        <v>0.9943059403</v>
      </c>
      <c r="K16" s="197">
        <f t="shared" si="16"/>
        <v>0.7</v>
      </c>
      <c r="M16" s="39" t="s">
        <v>12</v>
      </c>
      <c r="N16" s="40" t="s">
        <v>122</v>
      </c>
    </row>
    <row r="17">
      <c r="A17" s="13">
        <v>8.4</v>
      </c>
      <c r="B17" s="91" t="s">
        <v>109</v>
      </c>
      <c r="C17" s="15">
        <f t="shared" si="9"/>
        <v>4</v>
      </c>
      <c r="D17" s="15">
        <f t="shared" si="10"/>
        <v>0.7897934386</v>
      </c>
      <c r="E17" s="62">
        <f t="shared" si="11"/>
        <v>1.125</v>
      </c>
      <c r="F17" s="198">
        <f t="shared" si="8"/>
        <v>1</v>
      </c>
      <c r="G17" s="199">
        <f t="shared" si="12"/>
        <v>99.05224787</v>
      </c>
      <c r="H17" s="199">
        <f t="shared" si="13"/>
        <v>25.38621767</v>
      </c>
      <c r="I17" s="195">
        <f t="shared" si="14"/>
        <v>1.359477124</v>
      </c>
      <c r="J17" s="196">
        <f t="shared" si="15"/>
        <v>1.034078178</v>
      </c>
      <c r="K17" s="197">
        <f t="shared" si="16"/>
        <v>0.9</v>
      </c>
      <c r="M17" s="39" t="s">
        <v>13</v>
      </c>
      <c r="N17" s="40" t="s">
        <v>123</v>
      </c>
    </row>
    <row r="18">
      <c r="A18" s="45">
        <v>8.5</v>
      </c>
      <c r="B18" s="78" t="s">
        <v>110</v>
      </c>
      <c r="C18" s="79">
        <f t="shared" si="9"/>
        <v>3.52</v>
      </c>
      <c r="D18" s="79">
        <f t="shared" si="10"/>
        <v>0.6682867558</v>
      </c>
      <c r="E18" s="47">
        <f t="shared" si="11"/>
        <v>1.125</v>
      </c>
      <c r="F18" s="194">
        <f t="shared" si="8"/>
        <v>1</v>
      </c>
      <c r="G18" s="190">
        <f t="shared" si="12"/>
        <v>99.29428919</v>
      </c>
      <c r="H18" s="190">
        <f t="shared" si="13"/>
        <v>21.48064572</v>
      </c>
      <c r="I18" s="195">
        <f t="shared" si="14"/>
        <v>1.303006536</v>
      </c>
      <c r="J18" s="196">
        <f t="shared" si="15"/>
        <v>1.062049861</v>
      </c>
      <c r="K18" s="197">
        <f t="shared" si="16"/>
        <v>0.9</v>
      </c>
      <c r="M18" s="51" t="s">
        <v>45</v>
      </c>
      <c r="N18" s="90" t="s">
        <v>46</v>
      </c>
    </row>
    <row r="19">
      <c r="A19" s="53">
        <v>8.6</v>
      </c>
      <c r="B19" s="200" t="s">
        <v>111</v>
      </c>
      <c r="C19" s="201">
        <f t="shared" si="9"/>
        <v>1</v>
      </c>
      <c r="D19" s="201">
        <f t="shared" si="10"/>
        <v>1</v>
      </c>
      <c r="E19" s="54">
        <f t="shared" si="11"/>
        <v>1</v>
      </c>
      <c r="F19" s="202">
        <f t="shared" si="8"/>
        <v>1</v>
      </c>
      <c r="G19" s="203">
        <f t="shared" si="12"/>
        <v>99.7</v>
      </c>
      <c r="H19" s="203">
        <f t="shared" si="13"/>
        <v>28.57142857</v>
      </c>
      <c r="I19" s="204">
        <f t="shared" si="14"/>
        <v>1.125</v>
      </c>
      <c r="J19" s="205">
        <f t="shared" si="15"/>
        <v>1</v>
      </c>
      <c r="K19" s="206">
        <f t="shared" si="16"/>
        <v>0.8</v>
      </c>
    </row>
    <row r="20">
      <c r="A20" s="59"/>
      <c r="B20" s="59"/>
      <c r="C20" s="59"/>
      <c r="D20" s="59"/>
      <c r="E20" s="59"/>
      <c r="F20" s="59"/>
      <c r="G20" s="59"/>
      <c r="H20" s="59"/>
      <c r="I20" s="207"/>
      <c r="J20" s="59"/>
      <c r="K20" s="59"/>
    </row>
    <row r="21">
      <c r="A21" s="97" t="s">
        <v>37</v>
      </c>
      <c r="B21" s="97" t="s">
        <v>115</v>
      </c>
      <c r="C21" s="44">
        <f t="shared" ref="C21:E21" si="17">C19</f>
        <v>1</v>
      </c>
      <c r="D21" s="44">
        <f t="shared" si="17"/>
        <v>1</v>
      </c>
      <c r="E21" s="61">
        <f t="shared" si="17"/>
        <v>1</v>
      </c>
      <c r="F21" s="61"/>
      <c r="G21" s="199">
        <f t="shared" ref="G21:H21" si="18">G19</f>
        <v>99.7</v>
      </c>
      <c r="H21" s="199">
        <f t="shared" si="18"/>
        <v>28.57142857</v>
      </c>
      <c r="I21" s="207">
        <f>$K$24*C21/(E21+1)+1/E21</f>
        <v>1.125</v>
      </c>
      <c r="J21" s="61"/>
      <c r="K21" s="61"/>
    </row>
    <row r="22">
      <c r="A22" s="59"/>
      <c r="B22" s="59"/>
      <c r="C22" s="59"/>
      <c r="D22" s="59"/>
      <c r="E22" s="59"/>
      <c r="F22" s="59"/>
      <c r="G22" s="59"/>
      <c r="H22" s="59"/>
      <c r="I22" s="59"/>
      <c r="J22" s="59"/>
      <c r="K22" s="47"/>
    </row>
    <row r="23">
      <c r="A23" s="61"/>
      <c r="B23" s="61"/>
      <c r="C23" s="61"/>
      <c r="D23" s="61"/>
      <c r="E23" s="61"/>
      <c r="F23" s="61"/>
      <c r="G23" s="61"/>
      <c r="H23" s="61"/>
      <c r="I23" s="61"/>
      <c r="J23" s="61"/>
      <c r="K23" s="62" t="s">
        <v>124</v>
      </c>
    </row>
    <row r="24">
      <c r="H24" s="159" t="s">
        <v>12</v>
      </c>
      <c r="I24" s="103" t="s">
        <v>121</v>
      </c>
      <c r="J24" s="104"/>
      <c r="K24" s="105">
        <v>0.25</v>
      </c>
    </row>
    <row r="25">
      <c r="A25" s="106"/>
      <c r="B25" s="106" t="s">
        <v>103</v>
      </c>
      <c r="C25" s="208">
        <f t="shared" ref="C25:C29" si="19">G3</f>
        <v>100</v>
      </c>
      <c r="H25" s="110"/>
      <c r="I25" s="111"/>
      <c r="K25" s="112"/>
    </row>
    <row r="26">
      <c r="A26" s="106"/>
      <c r="B26" s="106" t="s">
        <v>106</v>
      </c>
      <c r="C26" s="208">
        <f t="shared" si="19"/>
        <v>78.6376</v>
      </c>
      <c r="H26" s="159" t="s">
        <v>13</v>
      </c>
      <c r="I26" s="111" t="s">
        <v>125</v>
      </c>
      <c r="J26" s="104"/>
      <c r="K26" s="105">
        <v>0.8</v>
      </c>
    </row>
    <row r="27">
      <c r="A27" s="106"/>
      <c r="B27" s="106" t="s">
        <v>107</v>
      </c>
      <c r="C27" s="208">
        <f t="shared" si="19"/>
        <v>100</v>
      </c>
      <c r="H27" s="110"/>
      <c r="I27" s="111" t="s">
        <v>117</v>
      </c>
      <c r="K27" s="112">
        <v>0.5</v>
      </c>
    </row>
    <row r="28">
      <c r="A28" s="106"/>
      <c r="B28" s="106" t="s">
        <v>109</v>
      </c>
      <c r="C28" s="208">
        <f t="shared" si="19"/>
        <v>80.5</v>
      </c>
      <c r="H28" s="110"/>
      <c r="I28" s="111"/>
      <c r="K28" s="112"/>
    </row>
    <row r="29">
      <c r="A29" s="106"/>
      <c r="B29" s="106" t="s">
        <v>110</v>
      </c>
      <c r="C29" s="208">
        <f t="shared" si="19"/>
        <v>85.48</v>
      </c>
      <c r="H29" s="159" t="s">
        <v>14</v>
      </c>
      <c r="I29" s="111" t="s">
        <v>114</v>
      </c>
      <c r="J29" s="115"/>
      <c r="K29" s="161">
        <v>1.0</v>
      </c>
    </row>
    <row r="30">
      <c r="H30" s="162"/>
      <c r="I30" s="163"/>
      <c r="J30" s="164"/>
      <c r="K30" s="165"/>
    </row>
    <row r="66">
      <c r="N66" s="209" t="s">
        <v>126</v>
      </c>
    </row>
  </sheetData>
  <mergeCells count="5">
    <mergeCell ref="A1:H1"/>
    <mergeCell ref="M1:N1"/>
    <mergeCell ref="M10:N10"/>
    <mergeCell ref="A12:H12"/>
    <mergeCell ref="M15:N15"/>
  </mergeCells>
  <hyperlinks>
    <hyperlink r:id="rId2" ref="N66"/>
  </hyperlinks>
  <drawing r:id="rId3"/>
  <legacyDrawing r:id="rId4"/>
  <tableParts count="3">
    <tablePart r:id="rId8"/>
    <tablePart r:id="rId9"/>
    <tablePart r:id="rId1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6"/>
    <col customWidth="1" min="2" max="2" width="16.14"/>
    <col customWidth="1" min="3" max="3" width="5.86"/>
    <col customWidth="1" min="4" max="4" width="10.71"/>
    <col customWidth="1" min="5" max="6" width="13.14"/>
    <col customWidth="1" min="7" max="7" width="5.86"/>
    <col customWidth="1" min="8" max="8" width="6.14"/>
    <col customWidth="1" min="10" max="10" width="13.14"/>
    <col customWidth="1" min="11" max="11" width="76.14"/>
  </cols>
  <sheetData>
    <row r="1">
      <c r="A1" s="1" t="s">
        <v>127</v>
      </c>
      <c r="B1" s="2"/>
      <c r="C1" s="2"/>
      <c r="D1" s="2"/>
      <c r="E1" s="2"/>
      <c r="F1" s="2"/>
      <c r="G1" s="2"/>
      <c r="H1" s="3"/>
      <c r="J1" s="1" t="s">
        <v>1</v>
      </c>
      <c r="K1" s="3"/>
    </row>
    <row r="2">
      <c r="A2" s="11" t="s">
        <v>2</v>
      </c>
      <c r="B2" s="100" t="s">
        <v>3</v>
      </c>
      <c r="C2" s="100" t="s">
        <v>128</v>
      </c>
      <c r="D2" s="100" t="s">
        <v>5</v>
      </c>
      <c r="E2" s="100" t="s">
        <v>129</v>
      </c>
      <c r="F2" s="210" t="s">
        <v>130</v>
      </c>
      <c r="G2" s="100" t="s">
        <v>10</v>
      </c>
      <c r="H2" s="12" t="s">
        <v>11</v>
      </c>
      <c r="J2" s="11" t="s">
        <v>15</v>
      </c>
      <c r="K2" s="12" t="s">
        <v>16</v>
      </c>
    </row>
    <row r="3">
      <c r="A3" s="25">
        <v>7.1</v>
      </c>
      <c r="B3" s="106" t="s">
        <v>131</v>
      </c>
      <c r="C3" s="106">
        <f>10784/10784</f>
        <v>1</v>
      </c>
      <c r="D3" s="106">
        <v>28.5</v>
      </c>
      <c r="E3" s="106">
        <v>1.0</v>
      </c>
      <c r="F3" s="211">
        <v>5.505</v>
      </c>
      <c r="G3" s="212">
        <f t="shared" ref="G3:G5" si="1">60*(F3/5.505)+30*(1-C3)+10*(D3/75)</f>
        <v>63.8</v>
      </c>
      <c r="H3" s="213">
        <f t="shared" ref="H3:H5" si="2">30*C3+30*(D3/75)+40*(E3/5)</f>
        <v>49.4</v>
      </c>
      <c r="J3" s="39" t="s">
        <v>128</v>
      </c>
      <c r="K3" s="126" t="s">
        <v>132</v>
      </c>
      <c r="M3" s="41" t="s">
        <v>133</v>
      </c>
    </row>
    <row r="4">
      <c r="A4" s="25">
        <v>7.2</v>
      </c>
      <c r="B4" s="106" t="s">
        <v>134</v>
      </c>
      <c r="C4" s="214">
        <f>8346/10784</f>
        <v>0.7739243323</v>
      </c>
      <c r="D4" s="106">
        <v>98.0</v>
      </c>
      <c r="E4" s="106">
        <v>3.0</v>
      </c>
      <c r="F4" s="211">
        <v>5.383</v>
      </c>
      <c r="G4" s="212">
        <f t="shared" si="1"/>
        <v>78.51923642</v>
      </c>
      <c r="H4" s="213">
        <f t="shared" si="2"/>
        <v>86.41772997</v>
      </c>
      <c r="J4" s="25" t="s">
        <v>5</v>
      </c>
      <c r="K4" s="126" t="s">
        <v>99</v>
      </c>
      <c r="M4" s="41" t="s">
        <v>135</v>
      </c>
    </row>
    <row r="5">
      <c r="A5" s="183">
        <v>7.3</v>
      </c>
      <c r="B5" s="215" t="s">
        <v>136</v>
      </c>
      <c r="C5" s="216">
        <f>2746/10784</f>
        <v>0.2546364985</v>
      </c>
      <c r="D5" s="215">
        <v>28.5</v>
      </c>
      <c r="E5" s="215">
        <v>4.0</v>
      </c>
      <c r="F5" s="217">
        <v>0.0</v>
      </c>
      <c r="G5" s="218">
        <f t="shared" si="1"/>
        <v>26.16090504</v>
      </c>
      <c r="H5" s="219">
        <f t="shared" si="2"/>
        <v>51.03909496</v>
      </c>
      <c r="J5" s="25" t="s">
        <v>129</v>
      </c>
      <c r="K5" s="126" t="s">
        <v>137</v>
      </c>
      <c r="M5" s="220" t="s">
        <v>138</v>
      </c>
    </row>
    <row r="6">
      <c r="C6" s="106"/>
      <c r="D6" s="107"/>
      <c r="E6" s="107"/>
      <c r="F6" s="107"/>
      <c r="G6" s="107"/>
      <c r="H6" s="107"/>
      <c r="J6" s="183" t="s">
        <v>130</v>
      </c>
      <c r="K6" s="52" t="s">
        <v>139</v>
      </c>
    </row>
    <row r="7">
      <c r="C7" s="107"/>
      <c r="D7" s="107"/>
      <c r="E7" s="107"/>
      <c r="F7" s="107"/>
      <c r="G7" s="107"/>
      <c r="H7" s="107"/>
      <c r="K7" s="107"/>
    </row>
    <row r="8">
      <c r="A8" s="107"/>
      <c r="B8" s="107"/>
      <c r="C8" s="107"/>
      <c r="D8" s="107"/>
      <c r="E8" s="107"/>
      <c r="F8" s="107"/>
      <c r="G8" s="107"/>
      <c r="H8" s="107"/>
      <c r="K8" s="107"/>
    </row>
    <row r="9">
      <c r="A9" s="107"/>
      <c r="B9" s="107"/>
      <c r="C9" s="107"/>
      <c r="D9" s="107"/>
      <c r="E9" s="107"/>
      <c r="F9" s="107"/>
      <c r="G9" s="107"/>
      <c r="H9" s="107"/>
    </row>
    <row r="10">
      <c r="A10" s="107"/>
      <c r="B10" s="107"/>
      <c r="C10" s="107"/>
      <c r="D10" s="107"/>
      <c r="E10" s="107"/>
      <c r="F10" s="107"/>
      <c r="G10" s="107"/>
      <c r="H10" s="107"/>
      <c r="J10" s="57" t="s">
        <v>36</v>
      </c>
      <c r="K10" s="3"/>
    </row>
    <row r="11">
      <c r="A11" s="107"/>
      <c r="B11" s="107"/>
      <c r="C11" s="107"/>
      <c r="D11" s="107"/>
      <c r="E11" s="107"/>
      <c r="F11" s="107"/>
      <c r="G11" s="107"/>
      <c r="H11" s="107"/>
      <c r="J11" s="39" t="s">
        <v>10</v>
      </c>
      <c r="K11" s="60" t="s">
        <v>140</v>
      </c>
    </row>
    <row r="12">
      <c r="A12" s="107"/>
      <c r="B12" s="107"/>
      <c r="C12" s="107"/>
      <c r="D12" s="107"/>
      <c r="E12" s="107"/>
      <c r="F12" s="107"/>
      <c r="G12" s="107"/>
      <c r="H12" s="107"/>
      <c r="J12" s="63" t="s">
        <v>11</v>
      </c>
      <c r="K12" s="64" t="s">
        <v>141</v>
      </c>
    </row>
    <row r="13">
      <c r="A13" s="107"/>
      <c r="B13" s="107"/>
      <c r="C13" s="107"/>
      <c r="D13" s="107"/>
      <c r="E13" s="107"/>
      <c r="F13" s="107"/>
      <c r="G13" s="107"/>
      <c r="H13" s="107"/>
    </row>
    <row r="14">
      <c r="A14" s="107"/>
      <c r="B14" s="107"/>
      <c r="C14" s="107"/>
      <c r="D14" s="107"/>
      <c r="E14" s="107"/>
      <c r="F14" s="107"/>
      <c r="G14" s="107"/>
      <c r="H14" s="107"/>
    </row>
    <row r="15">
      <c r="A15" s="107"/>
      <c r="B15" s="107"/>
      <c r="C15" s="107"/>
      <c r="D15" s="107"/>
      <c r="E15" s="107"/>
      <c r="F15" s="107"/>
      <c r="G15" s="107"/>
      <c r="H15" s="107"/>
    </row>
    <row r="16">
      <c r="A16" s="107"/>
      <c r="B16" s="107"/>
      <c r="C16" s="107"/>
      <c r="D16" s="107"/>
      <c r="E16" s="107"/>
      <c r="F16" s="107"/>
      <c r="G16" s="107"/>
      <c r="H16" s="107"/>
    </row>
    <row r="17">
      <c r="A17" s="107"/>
      <c r="B17" s="107"/>
      <c r="C17" s="107"/>
      <c r="D17" s="107"/>
      <c r="E17" s="107"/>
      <c r="F17" s="107"/>
      <c r="G17" s="107"/>
      <c r="H17" s="107"/>
    </row>
    <row r="18">
      <c r="A18" s="107"/>
      <c r="B18" s="107"/>
      <c r="C18" s="107"/>
      <c r="D18" s="107"/>
      <c r="E18" s="107"/>
      <c r="F18" s="107"/>
      <c r="G18" s="107"/>
      <c r="H18" s="107"/>
    </row>
    <row r="19">
      <c r="A19" s="107"/>
      <c r="B19" s="107"/>
      <c r="C19" s="107"/>
      <c r="D19" s="107"/>
      <c r="E19" s="107"/>
      <c r="F19" s="107"/>
      <c r="G19" s="107"/>
      <c r="H19" s="107"/>
    </row>
    <row r="20">
      <c r="A20" s="107"/>
      <c r="B20" s="107"/>
      <c r="C20" s="107"/>
      <c r="D20" s="107"/>
      <c r="E20" s="107"/>
      <c r="F20" s="107"/>
      <c r="G20" s="107"/>
      <c r="H20" s="107"/>
    </row>
    <row r="21">
      <c r="A21" s="107"/>
      <c r="B21" s="107"/>
      <c r="C21" s="107"/>
      <c r="D21" s="107"/>
      <c r="E21" s="107"/>
      <c r="F21" s="107"/>
      <c r="G21" s="107"/>
      <c r="H21" s="107"/>
    </row>
  </sheetData>
  <mergeCells count="4">
    <mergeCell ref="A1:H1"/>
    <mergeCell ref="J1:K1"/>
    <mergeCell ref="M5:P13"/>
    <mergeCell ref="J10:K10"/>
  </mergeCells>
  <drawing r:id="rId1"/>
  <tableParts count="2">
    <tablePart r:id="rId4"/>
    <tablePart r:id="rId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0.57"/>
    <col customWidth="1" min="2" max="2" width="14.43"/>
    <col customWidth="1" min="3" max="3" width="17.71"/>
    <col customWidth="1" min="4" max="4" width="23.57"/>
    <col customWidth="1" min="5" max="5" width="25.86"/>
    <col customWidth="1" min="6" max="6" width="20.71"/>
    <col customWidth="1" min="10" max="10" width="43.57"/>
    <col customWidth="1" min="11" max="11" width="72.71"/>
  </cols>
  <sheetData>
    <row r="1">
      <c r="A1" s="121" t="s">
        <v>142</v>
      </c>
      <c r="J1" s="121" t="s">
        <v>143</v>
      </c>
    </row>
    <row r="2">
      <c r="A2" s="100" t="s">
        <v>2</v>
      </c>
      <c r="B2" s="100" t="s">
        <v>3</v>
      </c>
      <c r="C2" s="100" t="s">
        <v>144</v>
      </c>
      <c r="D2" s="100" t="s">
        <v>145</v>
      </c>
      <c r="E2" s="111" t="s">
        <v>146</v>
      </c>
      <c r="F2" s="210"/>
      <c r="G2" s="100" t="s">
        <v>10</v>
      </c>
      <c r="H2" s="100" t="s">
        <v>11</v>
      </c>
      <c r="J2" s="100" t="s">
        <v>15</v>
      </c>
      <c r="K2" s="100" t="s">
        <v>16</v>
      </c>
    </row>
    <row r="3">
      <c r="A3" s="106">
        <v>1.0</v>
      </c>
      <c r="B3" s="106" t="s">
        <v>147</v>
      </c>
      <c r="C3" s="106">
        <f>D3^2*0.15</f>
        <v>3.75</v>
      </c>
      <c r="D3" s="106">
        <v>5.0</v>
      </c>
      <c r="E3" s="41" t="s">
        <v>148</v>
      </c>
      <c r="H3" s="107"/>
      <c r="J3" s="106" t="s">
        <v>149</v>
      </c>
      <c r="K3" s="41" t="s">
        <v>150</v>
      </c>
    </row>
    <row r="4">
      <c r="A4" s="106">
        <v>2.0</v>
      </c>
      <c r="B4" s="106" t="s">
        <v>151</v>
      </c>
      <c r="C4" s="106">
        <f>D4*0.65</f>
        <v>3.25</v>
      </c>
      <c r="D4" s="41">
        <v>5.0</v>
      </c>
      <c r="E4" s="106" t="s">
        <v>152</v>
      </c>
      <c r="G4" s="107"/>
      <c r="H4" s="107"/>
      <c r="J4" s="106" t="s">
        <v>10</v>
      </c>
    </row>
    <row r="5">
      <c r="A5" s="106"/>
      <c r="B5" s="107"/>
      <c r="C5" s="107"/>
      <c r="D5" s="107"/>
      <c r="E5" s="107"/>
      <c r="G5" s="107"/>
      <c r="H5" s="107"/>
      <c r="J5" s="41" t="s">
        <v>153</v>
      </c>
      <c r="K5" s="41" t="s">
        <v>154</v>
      </c>
    </row>
    <row r="6">
      <c r="A6" s="106"/>
      <c r="B6" s="106"/>
      <c r="C6" s="107"/>
      <c r="D6" s="107"/>
      <c r="E6" s="107"/>
      <c r="G6" s="107"/>
      <c r="H6" s="107"/>
      <c r="J6" s="106" t="s">
        <v>155</v>
      </c>
      <c r="K6" s="41" t="s">
        <v>156</v>
      </c>
    </row>
    <row r="7">
      <c r="A7" s="106"/>
      <c r="B7" s="107"/>
      <c r="C7" s="107"/>
      <c r="D7" s="107"/>
      <c r="E7" s="107"/>
      <c r="G7" s="107"/>
      <c r="H7" s="107"/>
      <c r="J7" s="106" t="s">
        <v>157</v>
      </c>
      <c r="K7" s="107"/>
    </row>
    <row r="8">
      <c r="A8" s="107"/>
      <c r="B8" s="107"/>
      <c r="C8" s="107"/>
      <c r="D8" s="107"/>
      <c r="E8" s="107"/>
      <c r="G8" s="107"/>
      <c r="H8" s="107"/>
    </row>
    <row r="9">
      <c r="A9" s="107"/>
      <c r="B9" s="107"/>
      <c r="C9" s="107"/>
      <c r="D9" s="107"/>
      <c r="E9" s="107"/>
      <c r="G9" s="107"/>
      <c r="H9" s="107"/>
      <c r="J9" s="189" t="s">
        <v>158</v>
      </c>
    </row>
    <row r="10">
      <c r="A10" s="107"/>
      <c r="B10" s="107"/>
      <c r="C10" s="107"/>
      <c r="D10" s="107"/>
      <c r="E10" s="107"/>
      <c r="G10" s="107"/>
      <c r="H10" s="107"/>
      <c r="J10" s="41" t="s">
        <v>10</v>
      </c>
      <c r="K10" s="221" t="s">
        <v>159</v>
      </c>
    </row>
    <row r="11">
      <c r="A11" s="107"/>
      <c r="B11" s="107"/>
      <c r="C11" s="107"/>
      <c r="D11" s="107"/>
      <c r="E11" s="107"/>
      <c r="G11" s="107"/>
      <c r="H11" s="107"/>
      <c r="J11" s="47" t="s">
        <v>11</v>
      </c>
      <c r="K11" s="47" t="s">
        <v>160</v>
      </c>
    </row>
    <row r="12">
      <c r="A12" s="107"/>
      <c r="B12" s="107"/>
      <c r="C12" s="107"/>
      <c r="D12" s="107"/>
      <c r="E12" s="107"/>
      <c r="G12" s="107"/>
      <c r="H12" s="107"/>
    </row>
    <row r="13">
      <c r="A13" s="107"/>
      <c r="B13" s="107"/>
      <c r="C13" s="107"/>
      <c r="D13" s="107"/>
      <c r="E13" s="107"/>
      <c r="G13" s="107"/>
      <c r="H13" s="107"/>
    </row>
    <row r="14">
      <c r="A14" s="107"/>
      <c r="B14" s="107"/>
      <c r="C14" s="107"/>
      <c r="D14" s="107"/>
      <c r="E14" s="107"/>
      <c r="G14" s="107"/>
      <c r="H14" s="107"/>
      <c r="J14" s="41" t="s">
        <v>161</v>
      </c>
      <c r="K14" s="222" t="s">
        <v>162</v>
      </c>
    </row>
    <row r="15">
      <c r="A15" s="107"/>
      <c r="B15" s="107"/>
      <c r="C15" s="107"/>
      <c r="D15" s="107"/>
      <c r="E15" s="107"/>
      <c r="G15" s="107"/>
      <c r="H15" s="107"/>
    </row>
    <row r="16">
      <c r="A16" s="107"/>
      <c r="B16" s="107"/>
      <c r="C16" s="107"/>
      <c r="D16" s="107"/>
      <c r="E16" s="107"/>
      <c r="G16" s="107"/>
      <c r="H16" s="107"/>
    </row>
    <row r="17">
      <c r="A17" s="107"/>
      <c r="B17" s="107"/>
      <c r="C17" s="107"/>
      <c r="D17" s="107"/>
      <c r="E17" s="107"/>
      <c r="G17" s="107"/>
      <c r="H17" s="107"/>
    </row>
    <row r="18">
      <c r="A18" s="107"/>
      <c r="B18" s="107"/>
      <c r="C18" s="107"/>
      <c r="D18" s="107"/>
      <c r="E18" s="107"/>
      <c r="G18" s="107"/>
      <c r="H18" s="107"/>
    </row>
    <row r="19">
      <c r="A19" s="107"/>
      <c r="B19" s="107"/>
      <c r="C19" s="107"/>
      <c r="D19" s="107"/>
      <c r="E19" s="107"/>
      <c r="G19" s="107"/>
      <c r="H19" s="107"/>
    </row>
    <row r="20">
      <c r="A20" s="107"/>
      <c r="B20" s="107"/>
      <c r="C20" s="107"/>
      <c r="D20" s="107"/>
      <c r="E20" s="107"/>
      <c r="G20" s="107"/>
      <c r="H20" s="107"/>
    </row>
    <row r="22">
      <c r="A22" s="41" t="s">
        <v>163</v>
      </c>
      <c r="B22" s="41" t="s">
        <v>107</v>
      </c>
      <c r="C22" s="41" t="s">
        <v>164</v>
      </c>
    </row>
    <row r="23">
      <c r="A23" s="41" t="s">
        <v>165</v>
      </c>
      <c r="B23" s="41" t="s">
        <v>166</v>
      </c>
      <c r="C23" s="41" t="s">
        <v>167</v>
      </c>
      <c r="D23" s="41" t="s">
        <v>168</v>
      </c>
      <c r="E23" s="41" t="s">
        <v>169</v>
      </c>
    </row>
    <row r="25">
      <c r="A25" s="119" t="s">
        <v>170</v>
      </c>
    </row>
    <row r="26">
      <c r="A26" s="119" t="s">
        <v>171</v>
      </c>
    </row>
  </sheetData>
  <mergeCells count="3">
    <mergeCell ref="A1:H1"/>
    <mergeCell ref="J1:K1"/>
    <mergeCell ref="J9:K9"/>
  </mergeCells>
  <hyperlinks>
    <hyperlink r:id="rId1" ref="A25"/>
    <hyperlink r:id="rId2" ref="A26"/>
  </hyperlinks>
  <drawing r:id="rId3"/>
  <tableParts count="2">
    <tablePart r:id="rId6"/>
    <tablePart r:id="rId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0"/>
    <col customWidth="1" min="2" max="2" width="26.57"/>
    <col customWidth="1" min="11" max="11" width="59.86"/>
  </cols>
  <sheetData>
    <row r="1">
      <c r="A1" s="121" t="s">
        <v>172</v>
      </c>
      <c r="J1" s="121" t="s">
        <v>143</v>
      </c>
    </row>
    <row r="2">
      <c r="A2" s="100" t="s">
        <v>2</v>
      </c>
      <c r="B2" s="100" t="s">
        <v>3</v>
      </c>
      <c r="C2" s="100" t="s">
        <v>160</v>
      </c>
      <c r="D2" s="100" t="s">
        <v>173</v>
      </c>
      <c r="E2" s="100" t="s">
        <v>174</v>
      </c>
      <c r="F2" s="100" t="s">
        <v>175</v>
      </c>
      <c r="G2" s="100" t="s">
        <v>10</v>
      </c>
      <c r="H2" s="100" t="s">
        <v>11</v>
      </c>
      <c r="J2" s="100" t="s">
        <v>15</v>
      </c>
      <c r="K2" s="100" t="s">
        <v>16</v>
      </c>
    </row>
    <row r="3">
      <c r="A3" s="106">
        <v>1.0</v>
      </c>
      <c r="B3" s="106" t="s">
        <v>176</v>
      </c>
      <c r="C3" s="107"/>
      <c r="D3" s="107"/>
      <c r="E3" s="107"/>
      <c r="F3" s="107"/>
      <c r="G3" s="107"/>
      <c r="H3" s="107"/>
      <c r="J3" s="106" t="s">
        <v>160</v>
      </c>
      <c r="K3" s="107"/>
    </row>
    <row r="4">
      <c r="A4" s="106">
        <v>2.0</v>
      </c>
      <c r="B4" s="107"/>
      <c r="C4" s="107"/>
      <c r="D4" s="107"/>
      <c r="E4" s="107"/>
      <c r="F4" s="107"/>
      <c r="G4" s="107"/>
      <c r="H4" s="107"/>
      <c r="J4" s="106" t="s">
        <v>173</v>
      </c>
      <c r="K4" s="107"/>
    </row>
    <row r="5">
      <c r="A5" s="106">
        <v>3.0</v>
      </c>
      <c r="B5" s="107"/>
      <c r="C5" s="107"/>
      <c r="D5" s="107"/>
      <c r="E5" s="107"/>
      <c r="F5" s="107"/>
      <c r="G5" s="107"/>
      <c r="H5" s="107"/>
      <c r="J5" s="106" t="s">
        <v>174</v>
      </c>
      <c r="K5" s="107"/>
    </row>
    <row r="6">
      <c r="A6" s="106">
        <v>4.0</v>
      </c>
      <c r="B6" s="107"/>
      <c r="C6" s="107"/>
      <c r="D6" s="107"/>
      <c r="E6" s="107"/>
      <c r="F6" s="107"/>
      <c r="G6" s="107"/>
      <c r="H6" s="107"/>
      <c r="J6" s="106" t="s">
        <v>175</v>
      </c>
      <c r="K6" s="107"/>
    </row>
    <row r="7">
      <c r="A7" s="106">
        <v>5.0</v>
      </c>
      <c r="B7" s="107"/>
      <c r="C7" s="107"/>
      <c r="D7" s="107"/>
      <c r="E7" s="107"/>
      <c r="F7" s="107"/>
      <c r="G7" s="107"/>
      <c r="H7" s="107"/>
      <c r="J7" s="106" t="s">
        <v>177</v>
      </c>
      <c r="K7" s="107"/>
    </row>
    <row r="8">
      <c r="A8" s="107"/>
      <c r="B8" s="107"/>
      <c r="C8" s="107"/>
      <c r="D8" s="107"/>
      <c r="E8" s="107"/>
      <c r="F8" s="107"/>
      <c r="G8" s="107"/>
      <c r="H8" s="107"/>
    </row>
    <row r="9">
      <c r="A9" s="107"/>
      <c r="B9" s="107"/>
      <c r="C9" s="107"/>
      <c r="D9" s="107"/>
      <c r="E9" s="107"/>
      <c r="F9" s="107"/>
      <c r="G9" s="107"/>
      <c r="H9" s="107"/>
      <c r="J9" s="189" t="s">
        <v>158</v>
      </c>
    </row>
    <row r="10">
      <c r="A10" s="107"/>
      <c r="B10" s="107"/>
      <c r="C10" s="107"/>
      <c r="D10" s="107"/>
      <c r="E10" s="107"/>
      <c r="F10" s="107"/>
      <c r="G10" s="107"/>
      <c r="H10" s="107"/>
      <c r="J10" s="41" t="s">
        <v>10</v>
      </c>
      <c r="K10" s="221" t="s">
        <v>159</v>
      </c>
    </row>
    <row r="11">
      <c r="A11" s="107"/>
      <c r="B11" s="107"/>
      <c r="C11" s="107"/>
      <c r="D11" s="107"/>
      <c r="E11" s="107"/>
      <c r="F11" s="107"/>
      <c r="G11" s="107"/>
      <c r="H11" s="107"/>
      <c r="J11" s="47" t="s">
        <v>11</v>
      </c>
      <c r="K11" s="47" t="s">
        <v>160</v>
      </c>
    </row>
    <row r="12">
      <c r="A12" s="107"/>
      <c r="B12" s="107"/>
      <c r="C12" s="107"/>
      <c r="D12" s="107"/>
      <c r="E12" s="107"/>
      <c r="F12" s="107"/>
      <c r="G12" s="107"/>
      <c r="H12" s="107"/>
    </row>
    <row r="13">
      <c r="A13" s="107"/>
      <c r="B13" s="107"/>
      <c r="C13" s="107"/>
      <c r="D13" s="107"/>
      <c r="E13" s="107"/>
      <c r="F13" s="107"/>
      <c r="G13" s="107"/>
      <c r="H13" s="107"/>
    </row>
    <row r="14">
      <c r="A14" s="107"/>
      <c r="B14" s="107"/>
      <c r="C14" s="107"/>
      <c r="D14" s="107"/>
      <c r="E14" s="107"/>
      <c r="F14" s="107"/>
      <c r="G14" s="107"/>
      <c r="H14" s="107"/>
    </row>
    <row r="15">
      <c r="A15" s="107"/>
      <c r="B15" s="107"/>
      <c r="C15" s="107"/>
      <c r="D15" s="107"/>
      <c r="E15" s="107"/>
      <c r="F15" s="107"/>
      <c r="G15" s="107"/>
      <c r="H15" s="107"/>
    </row>
    <row r="16">
      <c r="A16" s="107"/>
      <c r="B16" s="107"/>
      <c r="C16" s="107"/>
      <c r="D16" s="107"/>
      <c r="E16" s="107"/>
      <c r="F16" s="107"/>
      <c r="G16" s="107"/>
      <c r="H16" s="107"/>
    </row>
    <row r="17">
      <c r="A17" s="107"/>
      <c r="B17" s="107"/>
      <c r="C17" s="107"/>
      <c r="D17" s="107"/>
      <c r="E17" s="107"/>
      <c r="F17" s="107"/>
      <c r="G17" s="107"/>
      <c r="H17" s="107"/>
    </row>
    <row r="18">
      <c r="A18" s="107"/>
      <c r="B18" s="107"/>
      <c r="C18" s="107"/>
      <c r="D18" s="107"/>
      <c r="E18" s="107"/>
      <c r="F18" s="107"/>
      <c r="G18" s="107"/>
      <c r="H18" s="107"/>
    </row>
    <row r="19">
      <c r="A19" s="107"/>
      <c r="B19" s="107"/>
      <c r="C19" s="107"/>
      <c r="D19" s="107"/>
      <c r="E19" s="107"/>
      <c r="F19" s="107"/>
      <c r="G19" s="107"/>
      <c r="H19" s="107"/>
    </row>
    <row r="20">
      <c r="A20" s="107"/>
      <c r="B20" s="107"/>
      <c r="C20" s="107"/>
      <c r="D20" s="107"/>
      <c r="E20" s="107"/>
      <c r="F20" s="107"/>
      <c r="G20" s="107"/>
      <c r="H20" s="107"/>
    </row>
  </sheetData>
  <mergeCells count="3">
    <mergeCell ref="A1:H1"/>
    <mergeCell ref="J1:K1"/>
    <mergeCell ref="J9:K9"/>
  </mergeCells>
  <drawing r:id="rId1"/>
  <tableParts count="2">
    <tablePart r:id="rId4"/>
    <tablePart r:id="rId5"/>
  </tableParts>
</worksheet>
</file>