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dated Figures of Merit" sheetId="1" r:id="rId4"/>
    <sheet state="visible" name="Second Stage Propulsion - Matri" sheetId="2" r:id="rId5"/>
    <sheet state="visible" name="Second Stage Propulsion - Value" sheetId="3" r:id="rId6"/>
    <sheet state="visible" name="Lift-Off Systems - Matrix" sheetId="4" r:id="rId7"/>
    <sheet state="visible" name="Lift-Off Systems - Value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9">
      <text>
        <t xml:space="preserve">from SMAD chart given below, will not be actual values probably, as chem ref is over 800M, but gives relative values
	-Ethan Roy</t>
      </text>
    </comment>
    <comment authorId="0" ref="C10">
      <text>
        <t xml:space="preserve">average value of 2 missions used in POLARIS selections at 75th percentile (table below)
	-Ethan Roy</t>
      </text>
    </comment>
  </commentList>
</comments>
</file>

<file path=xl/comments2.xml><?xml version="1.0" encoding="utf-8"?>
<comments xmlns:r="http://schemas.openxmlformats.org/officeDocument/2006/relationships" xmlns="http://schemas.openxmlformats.org/spreadsheetml/2006/main">
  <authors>
    <author/>
  </authors>
  <commentList>
    <comment authorId="0" ref="C9">
      <text>
        <t xml:space="preserve">solar sail has theoretical infinite isp, so account for this extremely high value (so we can use it in calculations) by making it a factor of 2 greater than all the others combined
	-Ethan Roy</t>
      </text>
    </comment>
  </commentList>
</comments>
</file>

<file path=xl/comments3.xml><?xml version="1.0" encoding="utf-8"?>
<comments xmlns:r="http://schemas.openxmlformats.org/officeDocument/2006/relationships" xmlns="http://schemas.openxmlformats.org/spreadsheetml/2006/main">
  <authors>
    <author/>
  </authors>
  <commentList>
    <comment authorId="0" ref="L12">
      <text>
        <t xml:space="preserve">not sure if the +1 addition made sense, couldn't think of another way to incorporate the vehicles which haven't launched yet. the relative values still appear to represent the non-launched vehicles, however
	-Ethan Roy</t>
      </text>
    </comment>
    <comment authorId="0" ref="L13">
      <text>
        <t xml:space="preserve">created with thrust, mass, and isp in mind, as cost isn't as important for our purposes. some sensitivity analysis was completed
	-Ethan Roy</t>
      </text>
    </comment>
  </commentList>
</comments>
</file>

<file path=xl/sharedStrings.xml><?xml version="1.0" encoding="utf-8"?>
<sst xmlns="http://schemas.openxmlformats.org/spreadsheetml/2006/main" count="186" uniqueCount="140">
  <si>
    <t>Propulsive Manuevers</t>
  </si>
  <si>
    <t>Launch Vehicle</t>
  </si>
  <si>
    <t>Monetary Cost</t>
  </si>
  <si>
    <t>Reliability</t>
  </si>
  <si>
    <t>Mission Value</t>
  </si>
  <si>
    <t>Tasks</t>
  </si>
  <si>
    <t>normalize to polaris</t>
  </si>
  <si>
    <t>Second Stage Propulsion</t>
  </si>
  <si>
    <t>Metric Value Derivations</t>
  </si>
  <si>
    <t>ID</t>
  </si>
  <si>
    <t>Option</t>
  </si>
  <si>
    <t>Thrust-Weight Ratio</t>
  </si>
  <si>
    <t>Isp (s)</t>
  </si>
  <si>
    <t>Relative Hazard</t>
  </si>
  <si>
    <t>Flight Tested</t>
  </si>
  <si>
    <t>Relative Duration</t>
  </si>
  <si>
    <t>Cost $</t>
  </si>
  <si>
    <t>Metric</t>
  </si>
  <si>
    <t>Source</t>
  </si>
  <si>
    <t>Solar Sail</t>
  </si>
  <si>
    <t>Ratio of expected thrust versus expected weight of the propulsion system scaled to the reference (solar sail).</t>
  </si>
  <si>
    <t>Chemical</t>
  </si>
  <si>
    <t>Isp</t>
  </si>
  <si>
    <t>Isp expected from propulsion system scaled to the reference (solar sail).</t>
  </si>
  <si>
    <t>Ion</t>
  </si>
  <si>
    <t>Expected hazard of propulsion system fuel and components scaled to the reference (solar sail).</t>
  </si>
  <si>
    <t>Nuclear</t>
  </si>
  <si>
    <t>Estimated maturity/flight readiness level of the propulsion system scaled to the reference (solar sail).</t>
  </si>
  <si>
    <t>Reference (Solar Sail)</t>
  </si>
  <si>
    <t>Duraiton of time during which the propulsion system can provide thrust scaled to the reference (solar sail).</t>
  </si>
  <si>
    <t>Thruster Mass (kg)</t>
  </si>
  <si>
    <t>Cost Estimation</t>
  </si>
  <si>
    <t>SS ref</t>
  </si>
  <si>
    <t>POLARIS mission selection (chart below)</t>
  </si>
  <si>
    <t>Chem ref</t>
  </si>
  <si>
    <t>ESC-A upper stage</t>
  </si>
  <si>
    <t>https://www.esa.int/esapub/bulletin/bulletin123/bul123b_berkes.pdf</t>
  </si>
  <si>
    <t>Ion ref</t>
  </si>
  <si>
    <t>NSTAR - Deep space one</t>
  </si>
  <si>
    <t>https://trs.jpl.nasa.gov/bitstream/handle/2014/12165/01-0061.pdf</t>
  </si>
  <si>
    <t>nuc. ref</t>
  </si>
  <si>
    <t>SNAP-10A</t>
  </si>
  <si>
    <t>https://www.osti.gov/includes/opennet/includes/Understanding%20the%20Atom/SNAP%20Nuclear%20Space%20Reactors.pdf</t>
  </si>
  <si>
    <t>Cost and Value Functions</t>
  </si>
  <si>
    <t>Reference (Soyuz 2.1b)</t>
  </si>
  <si>
    <t>(Flight Tested)*0.7 + (1/(Relative Hazard))*0.2 + (Relative Duration)*0.1</t>
  </si>
  <si>
    <t>Reliability*(((Thrust-Weight Ratio)*(Isp))*0.35 + (1/(Relative Hazard))*0.15 + (Flight Tested)*0.2 + (Relative Duration)*0.2 + (1/(Cost))*0.1)</t>
  </si>
  <si>
    <t>Note: Having issues with Thrust-Weight Ratio in Mission Value.</t>
  </si>
  <si>
    <t>Reference</t>
  </si>
  <si>
    <t>Given that existing upcoming missions, such as the Solar Cruiser, and conceptual missions, like Polaris, which utilize a solar sail and taking inspiration from these missions, we have chosen our refence to be a solar sail.  Additionally, this is a newer technology and is being used for several CubeSats. This could potentially allow for a technology demonstration given the needed size and velocity change, and given that a solar sail could allow for the very large velocity change, then it presents additional usefulness and possible efficiency.  For these reasons, the solar sail will be considered the baseline of the second-stage propulsion system.</t>
  </si>
  <si>
    <t>Isp [s]</t>
  </si>
  <si>
    <t>Relative Propulsion Duration (yrs)</t>
  </si>
  <si>
    <t>Cost $ per ?</t>
  </si>
  <si>
    <t>{inf}</t>
  </si>
  <si>
    <t>See SMAD, Section 18.7.2 (Pages 554-558)</t>
  </si>
  <si>
    <t>Solar sail:</t>
  </si>
  <si>
    <t>0.01-100</t>
  </si>
  <si>
    <t>200-468</t>
  </si>
  <si>
    <t>See SMAD, Section 18.3 (Pages 533-550)</t>
  </si>
  <si>
    <t>Thickness:</t>
  </si>
  <si>
    <t>m</t>
  </si>
  <si>
    <t>https://en.wikipedia.org/wiki/Solar_sail</t>
  </si>
  <si>
    <t>0.0081 - 0.5</t>
  </si>
  <si>
    <t>2500 - 8500</t>
  </si>
  <si>
    <t>See SMAD, Section 18.6 (Pages 546-553, 550 specifically)</t>
  </si>
  <si>
    <t>C</t>
  </si>
  <si>
    <t>Material Density:</t>
  </si>
  <si>
    <t>kg/m^3</t>
  </si>
  <si>
    <t>Nuclear (Solid Core)</t>
  </si>
  <si>
    <t>19.7-197</t>
  </si>
  <si>
    <t>20190033337.pdf (nasa.gov)</t>
  </si>
  <si>
    <t>Force/m^2 area:</t>
  </si>
  <si>
    <t>N/m^2</t>
  </si>
  <si>
    <t>F4</t>
  </si>
  <si>
    <t>https://www.nasa.gov/centers/glenn/technology/Ion_Propulsion1.html#:~:text=The%20first%20ion%20thrusters%20did,for%207%20to%2010%20years.</t>
  </si>
  <si>
    <t>TWR: ((F/A) / thickness) / density</t>
  </si>
  <si>
    <r>
      <rPr>
        <rFont val="Arial"/>
        <b/>
        <color theme="1"/>
      </rPr>
      <t>Average T-W</t>
    </r>
    <r>
      <rPr>
        <rFont val="Arial"/>
        <color theme="1"/>
      </rPr>
      <t xml:space="preserve"> (taken from above ranges, 75th percentile as our vehicle will need heavy lift)</t>
    </r>
  </si>
  <si>
    <r>
      <rPr>
        <rFont val="Arial"/>
        <b/>
        <color theme="1"/>
      </rPr>
      <t>Average ISP</t>
    </r>
    <r>
      <rPr>
        <rFont val="Arial"/>
        <color theme="1"/>
      </rPr>
      <t xml:space="preserve"> (taken from above ranges, 75th percentile as our vehicle will need heavy lift)</t>
    </r>
  </si>
  <si>
    <t>solar sail life arbitrarily set to 10 years for comparisons</t>
  </si>
  <si>
    <t>Ion duration 7-10 yrs, avg of 8.5</t>
  </si>
  <si>
    <t>https://ntrs.nasa.gov/citations/19690000736</t>
  </si>
  <si>
    <t>Polaris Reference:</t>
  </si>
  <si>
    <t>Soyuz 2.1b</t>
  </si>
  <si>
    <t>Upper Stage Engine</t>
  </si>
  <si>
    <t>RD-0124</t>
  </si>
  <si>
    <t>https://en.wikipedia.org/wiki/Soyuz-2</t>
  </si>
  <si>
    <t>Reference (Soyuz 2.1b upper stage)</t>
  </si>
  <si>
    <t>10.3-95.3</t>
  </si>
  <si>
    <t>Spacecraft mass (kg)</t>
  </si>
  <si>
    <t>Isp (sec)</t>
  </si>
  <si>
    <t>Polaris_Mission_Concept.pdf</t>
  </si>
  <si>
    <t>Dry mass (kg)</t>
  </si>
  <si>
    <t>Wet mass (kg)</t>
  </si>
  <si>
    <t>Max thrust (kN)</t>
  </si>
  <si>
    <t>Flight Proven</t>
  </si>
  <si>
    <t>(successful missions)</t>
  </si>
  <si>
    <t>Lift-Off Systems</t>
  </si>
  <si>
    <t>Metric (on the order of 100) Value Derivations</t>
  </si>
  <si>
    <t>Thrust</t>
  </si>
  <si>
    <t>Payload Mass</t>
  </si>
  <si>
    <t>Payload Volume</t>
  </si>
  <si>
    <t>Specific Impulse</t>
  </si>
  <si>
    <t>NASA SLS</t>
  </si>
  <si>
    <t>Rating of total expected as scaled to the reference (Soyuz 2.1b).</t>
  </si>
  <si>
    <t>SpaceX F-Heavy</t>
  </si>
  <si>
    <t>Rating of total expected mass to orbit as scaled to the reference (Soyuz 2.1b).</t>
  </si>
  <si>
    <t>SpaceX Starship</t>
  </si>
  <si>
    <t>Rating of total expected volume allowed for the payload as scaled to the reference (Soyuz 2.1b).</t>
  </si>
  <si>
    <t>ULA Atlas V 551</t>
  </si>
  <si>
    <t>Price</t>
  </si>
  <si>
    <t>Rating of total expected price to the reference (Soyuz 2.1b).</t>
  </si>
  <si>
    <t>ULA Delta IV Heavy</t>
  </si>
  <si>
    <t>ULA Vulcan Centaur Heavy</t>
  </si>
  <si>
    <t>Cost, Reliability, Mission Value Functions</t>
  </si>
  <si>
    <t>Cost</t>
  </si>
  <si>
    <t>(Cost of launch vehicle)/(Cost of Reference system)</t>
  </si>
  <si>
    <t>(1 + #Successful launches)/(1 + #Successful reference launches) *1 added on top and bottom to account for vehicles which haven't launched as of yet*</t>
  </si>
  <si>
    <t>Reliability*((Thrust)*0.25 + (Payload Mass)*0.3 + (Payload Volume)*0.1  + (Isp)*0.25 + (Cost)*0.1)</t>
  </si>
  <si>
    <t xml:space="preserve">Reliabilty seems to be skewing the mission value because Soyuz 2.1b has had so many more launches than the other vehicles. </t>
  </si>
  <si>
    <t>Vehicle</t>
  </si>
  <si>
    <t>Max Thrust [N]</t>
  </si>
  <si>
    <t>Specific Impulse [s]</t>
  </si>
  <si>
    <t>Mass to GEO [kg]</t>
  </si>
  <si>
    <t>Payload Height [m]</t>
  </si>
  <si>
    <t>Payload Diameter [m]</t>
  </si>
  <si>
    <t>Number of Boosters</t>
  </si>
  <si>
    <t>Dollar Cost [$]</t>
  </si>
  <si>
    <t># Successful Launches</t>
  </si>
  <si>
    <t>NASA SLS (Block 1 Cargo)</t>
  </si>
  <si>
    <t>Space Launch System | NASA</t>
  </si>
  <si>
    <t>SLS Solid Rocket Booster Fact Sheet (nasa.gov)</t>
  </si>
  <si>
    <t>NASA's SLS Rocket Just Got $3.2 Billion More Expensive | The Motley Fool</t>
  </si>
  <si>
    <t>SpaceX - Falcon Heavy</t>
  </si>
  <si>
    <t>SpaceX - Starship</t>
  </si>
  <si>
    <t>SpaceX now dominates rocket flight, bringing big benefits—and risks—to NASA | Science | AAAS</t>
  </si>
  <si>
    <t>Atlas V (ulalaunch.com)</t>
  </si>
  <si>
    <t>Delta IV (ulalaunch.com)</t>
  </si>
  <si>
    <t>Cost of Delta 4 Heavy launches is down but the real price is a secret - SpaceNews</t>
  </si>
  <si>
    <t>Vulcan (ulalaunch.com)</t>
  </si>
  <si>
    <t>Space Launch Report 2021 Launch Stats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</si>
</sst>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000000"/>
    <numFmt numFmtId="165" formatCode="0.000000"/>
    <numFmt numFmtId="166" formatCode="&quot;$&quot;#,##0.00"/>
    <numFmt numFmtId="167" formatCode="&quot;$&quot;#,##0"/>
  </numFmts>
  <fonts count="14">
    <font>
      <sz val="10.0"/>
      <color rgb="FF000000"/>
      <name val="Arial"/>
    </font>
    <font>
      <color theme="1"/>
      <name val="Arial"/>
    </font>
    <font>
      <b/>
      <color theme="1"/>
      <name val="Arial"/>
    </font>
    <font/>
    <font>
      <color rgb="FF000000"/>
      <name val="Arial"/>
    </font>
    <font>
      <u/>
      <color rgb="FF1155CC"/>
      <name val="Arial"/>
    </font>
    <font>
      <u/>
      <color rgb="FF0000FF"/>
    </font>
    <font>
      <u/>
      <color rgb="FF0000FF"/>
    </font>
    <font>
      <color rgb="FF000000"/>
      <name val="Roboto"/>
    </font>
    <font>
      <sz val="11.0"/>
      <color rgb="FF3C4043"/>
      <name val="Roboto"/>
    </font>
    <font>
      <u/>
      <color rgb="FF0000FF"/>
    </font>
    <font>
      <u/>
      <color rgb="FF0000FF"/>
    </font>
    <font>
      <sz val="10.0"/>
      <color theme="1"/>
      <name val="Arial"/>
    </font>
    <font>
      <u/>
      <color rgb="FF1155CC"/>
    </font>
  </fonts>
  <fills count="9">
    <fill>
      <patternFill patternType="none"/>
    </fill>
    <fill>
      <patternFill patternType="lightGray"/>
    </fill>
    <fill>
      <patternFill patternType="solid">
        <fgColor rgb="FF999999"/>
        <bgColor rgb="FF999999"/>
      </patternFill>
    </fill>
    <fill>
      <patternFill patternType="solid">
        <fgColor rgb="FFB7B7B7"/>
        <bgColor rgb="FFB7B7B7"/>
      </patternFill>
    </fill>
    <fill>
      <patternFill patternType="solid">
        <fgColor theme="0"/>
        <bgColor theme="0"/>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BDBDBD"/>
        <bgColor rgb="FFBDBDBD"/>
      </patternFill>
    </fill>
  </fills>
  <borders count="45">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bottom style="thin">
        <color rgb="FF000000"/>
      </bottom>
    </border>
    <border>
      <left style="thin">
        <color rgb="FF000000"/>
      </left>
      <bottom style="thin">
        <color rgb="FF000000"/>
      </bottom>
    </border>
    <border>
      <bottom style="thin">
        <color rgb="FF000000"/>
      </bottom>
    </border>
    <border>
      <right style="medium">
        <color rgb="FF000000"/>
      </right>
    </border>
    <border>
      <left style="medium">
        <color rgb="FF000000"/>
      </left>
    </border>
    <border>
      <left style="thin">
        <color rgb="FF000000"/>
      </left>
    </border>
    <border>
      <left style="thin">
        <color rgb="FF000000"/>
      </left>
      <top style="thin">
        <color rgb="FF000000"/>
      </top>
    </border>
    <border>
      <right style="medium">
        <color rgb="FF000000"/>
      </right>
      <top style="thin">
        <color rgb="FF000000"/>
      </top>
    </border>
    <border>
      <left style="medium">
        <color rgb="FF000000"/>
      </left>
      <right style="thin">
        <color rgb="FF000000"/>
      </right>
    </border>
    <border>
      <left style="medium">
        <color rgb="FF000000"/>
      </left>
      <right style="thin">
        <color rgb="FF000000"/>
      </right>
      <top style="thin">
        <color rgb="FF000000"/>
      </top>
      <bottom style="medium">
        <color rgb="FF000000"/>
      </bottom>
    </border>
    <border>
      <top style="thin">
        <color rgb="FF000000"/>
      </top>
      <bottom style="medium">
        <color rgb="FF000000"/>
      </bottom>
    </border>
    <border>
      <bottom style="medium">
        <color rgb="FF000000"/>
      </bottom>
    </border>
    <border>
      <left style="thin">
        <color rgb="FF000000"/>
      </left>
      <bottom style="medium">
        <color rgb="FF000000"/>
      </bottom>
    </border>
    <border>
      <right style="medium">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bottom style="medium">
        <color rgb="FF000000"/>
      </bottom>
    </border>
    <border>
      <left style="thin">
        <color rgb="FF000000"/>
      </left>
      <top style="medium">
        <color rgb="FF000000"/>
      </top>
      <bottom style="thin">
        <color rgb="FF000000"/>
      </bottom>
    </border>
    <border>
      <left style="thin">
        <color rgb="FF000000"/>
      </lef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thin">
        <color rgb="FF000000"/>
      </top>
    </border>
    <border>
      <top style="thin">
        <color rgb="FF000000"/>
      </top>
    </border>
    <border>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right style="thin">
        <color rgb="FF000000"/>
      </right>
    </border>
    <border>
      <left style="thin">
        <color rgb="FF000000"/>
      </left>
      <right style="medium">
        <color rgb="FF000000"/>
      </right>
    </border>
    <border>
      <left style="thin">
        <color rgb="FF000000"/>
      </left>
      <right style="medium">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ttom style="medium">
        <color rgb="FF000000"/>
      </bottom>
    </border>
    <border>
      <right style="thin">
        <color rgb="FF000000"/>
      </right>
      <bottom style="medium">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4" fillId="2" fontId="2" numFmtId="0" xfId="0" applyAlignment="1" applyBorder="1" applyFont="1">
      <alignment horizontal="center" readingOrder="0"/>
    </xf>
    <xf borderId="5" fillId="0" fontId="3" numFmtId="0" xfId="0" applyBorder="1" applyFont="1"/>
    <xf borderId="6" fillId="3" fontId="2" numFmtId="0" xfId="0" applyAlignment="1" applyBorder="1" applyFill="1" applyFont="1">
      <alignment horizontal="center" readingOrder="0"/>
    </xf>
    <xf borderId="7" fillId="3" fontId="2" numFmtId="0" xfId="0" applyAlignment="1" applyBorder="1" applyFont="1">
      <alignment horizontal="center" readingOrder="0"/>
    </xf>
    <xf borderId="8" fillId="3" fontId="2" numFmtId="0" xfId="0" applyAlignment="1" applyBorder="1" applyFont="1">
      <alignment horizontal="center" readingOrder="0" vertical="center"/>
    </xf>
    <xf borderId="8" fillId="3" fontId="2" numFmtId="0" xfId="0" applyAlignment="1" applyBorder="1" applyFont="1">
      <alignment horizontal="center" readingOrder="0"/>
    </xf>
    <xf borderId="9" fillId="3" fontId="2" numFmtId="0" xfId="0" applyAlignment="1" applyBorder="1" applyFont="1">
      <alignment horizontal="center" readingOrder="0"/>
    </xf>
    <xf borderId="10" fillId="0" fontId="2" numFmtId="0" xfId="0" applyAlignment="1" applyBorder="1" applyFont="1">
      <alignment horizontal="center" readingOrder="0" shrinkToFit="0" wrapText="1"/>
    </xf>
    <xf borderId="9" fillId="0" fontId="2" numFmtId="0" xfId="0" applyAlignment="1" applyBorder="1" applyFont="1">
      <alignment horizontal="center" readingOrder="0" shrinkToFit="0" wrapText="1"/>
    </xf>
    <xf borderId="10" fillId="4" fontId="1" numFmtId="0" xfId="0" applyAlignment="1" applyBorder="1" applyFill="1" applyFont="1">
      <alignment horizontal="center" readingOrder="0"/>
    </xf>
    <xf borderId="11" fillId="4" fontId="1" numFmtId="0" xfId="0" applyAlignment="1" applyBorder="1" applyFont="1">
      <alignment horizontal="left" readingOrder="0"/>
    </xf>
    <xf borderId="0" fillId="4" fontId="1" numFmtId="0" xfId="0" applyAlignment="1" applyFont="1">
      <alignment horizontal="center" readingOrder="0" shrinkToFit="0" vertical="center" wrapText="1"/>
    </xf>
    <xf borderId="0" fillId="4" fontId="1" numFmtId="0" xfId="0" applyAlignment="1" applyFont="1">
      <alignment horizontal="center" readingOrder="0"/>
    </xf>
    <xf borderId="12" fillId="4" fontId="1" numFmtId="0" xfId="0" applyAlignment="1" applyBorder="1" applyFont="1">
      <alignment horizontal="center"/>
    </xf>
    <xf borderId="0" fillId="4" fontId="1" numFmtId="0" xfId="0" applyAlignment="1" applyFont="1">
      <alignment horizontal="center"/>
    </xf>
    <xf borderId="13" fillId="4" fontId="1" numFmtId="0" xfId="0" applyAlignment="1" applyBorder="1" applyFont="1">
      <alignment horizontal="center"/>
    </xf>
    <xf borderId="10" fillId="0" fontId="1" numFmtId="0" xfId="0" applyAlignment="1" applyBorder="1" applyFont="1">
      <alignment readingOrder="0" shrinkToFit="0" wrapText="1"/>
    </xf>
    <xf borderId="9" fillId="0" fontId="1" numFmtId="0" xfId="0" applyAlignment="1" applyBorder="1" applyFont="1">
      <alignment readingOrder="0" shrinkToFit="0" wrapText="1"/>
    </xf>
    <xf borderId="10" fillId="5" fontId="1" numFmtId="0" xfId="0" applyAlignment="1" applyBorder="1" applyFill="1" applyFont="1">
      <alignment horizontal="center" readingOrder="0"/>
    </xf>
    <xf borderId="11" fillId="5" fontId="1" numFmtId="0" xfId="0" applyAlignment="1" applyBorder="1" applyFont="1">
      <alignment horizontal="left" readingOrder="0"/>
    </xf>
    <xf borderId="0" fillId="5" fontId="1" numFmtId="0" xfId="0" applyAlignment="1" applyFont="1">
      <alignment horizontal="center" readingOrder="0" shrinkToFit="0" vertical="center" wrapText="1"/>
    </xf>
    <xf borderId="0" fillId="5" fontId="1" numFmtId="0" xfId="0" applyAlignment="1" applyFont="1">
      <alignment horizontal="center" readingOrder="0"/>
    </xf>
    <xf borderId="0" fillId="5" fontId="1" numFmtId="164" xfId="0" applyAlignment="1" applyFont="1" applyNumberFormat="1">
      <alignment horizontal="center" readingOrder="0" shrinkToFit="0" vertical="center" wrapText="1"/>
    </xf>
    <xf borderId="12" fillId="5" fontId="1" numFmtId="0" xfId="0" applyAlignment="1" applyBorder="1" applyFont="1">
      <alignment horizontal="center"/>
    </xf>
    <xf borderId="0" fillId="5" fontId="1" numFmtId="0" xfId="0" applyAlignment="1" applyFont="1">
      <alignment horizontal="center"/>
    </xf>
    <xf borderId="9" fillId="5" fontId="1" numFmtId="0" xfId="0" applyAlignment="1" applyBorder="1" applyFont="1">
      <alignment horizontal="center"/>
    </xf>
    <xf borderId="9" fillId="4" fontId="1" numFmtId="0" xfId="0" applyAlignment="1" applyBorder="1" applyFont="1">
      <alignment horizontal="center"/>
    </xf>
    <xf borderId="14" fillId="5" fontId="1" numFmtId="0" xfId="0" applyAlignment="1" applyBorder="1" applyFont="1">
      <alignment horizontal="center" readingOrder="0"/>
    </xf>
    <xf borderId="0" fillId="5" fontId="1" numFmtId="0" xfId="0" applyAlignment="1" applyFont="1">
      <alignment horizontal="left" readingOrder="0"/>
    </xf>
    <xf borderId="8" fillId="5" fontId="1" numFmtId="0" xfId="0" applyAlignment="1" applyBorder="1" applyFont="1">
      <alignment horizontal="center" readingOrder="0" shrinkToFit="0" vertical="center" wrapText="1"/>
    </xf>
    <xf borderId="8" fillId="5" fontId="1" numFmtId="164" xfId="0" applyAlignment="1" applyBorder="1" applyFont="1" applyNumberFormat="1">
      <alignment horizontal="center" readingOrder="0" shrinkToFit="0" vertical="center" wrapText="1"/>
    </xf>
    <xf borderId="15" fillId="4" fontId="1" numFmtId="0" xfId="0" applyAlignment="1" applyBorder="1" applyFont="1">
      <alignment horizontal="center" readingOrder="0" vertical="center"/>
    </xf>
    <xf borderId="16" fillId="4" fontId="1" numFmtId="0" xfId="0" applyAlignment="1" applyBorder="1" applyFont="1">
      <alignment readingOrder="0" shrinkToFit="0" vertical="center" wrapText="1"/>
    </xf>
    <xf borderId="16" fillId="4" fontId="1" numFmtId="0" xfId="0" applyAlignment="1" applyBorder="1" applyFont="1">
      <alignment horizontal="center" readingOrder="0" vertical="center"/>
    </xf>
    <xf borderId="16" fillId="4" fontId="4" numFmtId="0" xfId="0" applyAlignment="1" applyBorder="1" applyFont="1">
      <alignment horizontal="center" readingOrder="0" vertical="center"/>
    </xf>
    <xf borderId="17" fillId="4" fontId="1" numFmtId="0" xfId="0" applyAlignment="1" applyBorder="1" applyFont="1">
      <alignment horizontal="center" readingOrder="0" shrinkToFit="0" vertical="center" wrapText="1"/>
    </xf>
    <xf borderId="18" fillId="4" fontId="1" numFmtId="0" xfId="0" applyAlignment="1" applyBorder="1" applyFont="1">
      <alignment horizontal="center"/>
    </xf>
    <xf borderId="16" fillId="4" fontId="1" numFmtId="0" xfId="0" applyAlignment="1" applyBorder="1" applyFont="1">
      <alignment horizontal="right"/>
    </xf>
    <xf borderId="19" fillId="4" fontId="1" numFmtId="0" xfId="0" applyAlignment="1" applyBorder="1" applyFont="1">
      <alignment horizontal="right"/>
    </xf>
    <xf borderId="0" fillId="0" fontId="1" numFmtId="0" xfId="0" applyAlignment="1" applyFont="1">
      <alignment vertical="center"/>
    </xf>
    <xf borderId="20" fillId="0" fontId="1" numFmtId="0" xfId="0" applyAlignment="1" applyBorder="1" applyFont="1">
      <alignment readingOrder="0" shrinkToFit="0" vertical="center" wrapText="1"/>
    </xf>
    <xf borderId="21" fillId="0" fontId="1" numFmtId="0" xfId="0" applyAlignment="1" applyBorder="1" applyFont="1">
      <alignment readingOrder="0" shrinkToFit="0" vertical="center" wrapText="1"/>
    </xf>
    <xf borderId="0" fillId="4" fontId="1" numFmtId="0" xfId="0" applyFont="1"/>
    <xf borderId="0" fillId="0" fontId="1" numFmtId="0" xfId="0" applyAlignment="1" applyFont="1">
      <alignment shrinkToFit="0" wrapText="1"/>
    </xf>
    <xf borderId="0" fillId="4" fontId="1" numFmtId="0" xfId="0" applyAlignment="1" applyFont="1">
      <alignment readingOrder="0"/>
    </xf>
    <xf borderId="0" fillId="3" fontId="2" numFmtId="0" xfId="0" applyAlignment="1" applyFont="1">
      <alignment readingOrder="0" shrinkToFit="0" wrapText="1"/>
    </xf>
    <xf borderId="0" fillId="5" fontId="5" numFmtId="0" xfId="0" applyAlignment="1" applyFont="1">
      <alignment readingOrder="0"/>
    </xf>
    <xf borderId="0" fillId="5" fontId="1" numFmtId="0" xfId="0" applyFont="1"/>
    <xf borderId="0" fillId="5" fontId="1" numFmtId="0" xfId="0" applyAlignment="1" applyFont="1">
      <alignment readingOrder="0" shrinkToFit="0" wrapText="1"/>
    </xf>
    <xf borderId="0" fillId="4" fontId="1" numFmtId="0" xfId="0" applyAlignment="1" applyFont="1">
      <alignment readingOrder="0" shrinkToFit="0" wrapText="1"/>
    </xf>
    <xf borderId="0" fillId="4" fontId="6" numFmtId="0" xfId="0" applyAlignment="1" applyFont="1">
      <alignment readingOrder="0"/>
    </xf>
    <xf borderId="0" fillId="5" fontId="1" numFmtId="0" xfId="0" applyAlignment="1" applyFont="1">
      <alignment readingOrder="0"/>
    </xf>
    <xf borderId="0" fillId="5" fontId="7" numFmtId="0" xfId="0" applyAlignment="1" applyFont="1">
      <alignment readingOrder="0"/>
    </xf>
    <xf borderId="4" fillId="3" fontId="2" numFmtId="0" xfId="0" applyAlignment="1" applyBorder="1" applyFont="1">
      <alignment readingOrder="0" shrinkToFit="0" wrapText="1"/>
    </xf>
    <xf borderId="10" fillId="0" fontId="1" numFmtId="0" xfId="0" applyAlignment="1" applyBorder="1" applyFont="1">
      <alignment readingOrder="0" shrinkToFit="0" wrapText="1"/>
    </xf>
    <xf borderId="9" fillId="6" fontId="8" numFmtId="0" xfId="0" applyAlignment="1" applyBorder="1" applyFill="1" applyFont="1">
      <alignment readingOrder="0" shrinkToFit="0" wrapText="1"/>
    </xf>
    <xf borderId="22" fillId="4" fontId="1" numFmtId="0" xfId="0" applyAlignment="1" applyBorder="1" applyFont="1">
      <alignment readingOrder="0"/>
    </xf>
    <xf borderId="23" fillId="4" fontId="1" numFmtId="0" xfId="0" applyAlignment="1" applyBorder="1" applyFont="1">
      <alignment horizontal="center" readingOrder="0"/>
    </xf>
    <xf borderId="23" fillId="4" fontId="4" numFmtId="0" xfId="0" applyAlignment="1" applyBorder="1" applyFont="1">
      <alignment horizontal="center" readingOrder="0"/>
    </xf>
    <xf borderId="24" fillId="4" fontId="1" numFmtId="0" xfId="0" applyAlignment="1" applyBorder="1" applyFont="1">
      <alignment horizontal="center" readingOrder="0"/>
    </xf>
    <xf borderId="10" fillId="5" fontId="1" numFmtId="0" xfId="0" applyAlignment="1" applyBorder="1" applyFont="1">
      <alignment readingOrder="0" shrinkToFit="0" wrapText="1"/>
    </xf>
    <xf borderId="9" fillId="5" fontId="1" numFmtId="0" xfId="0" applyAlignment="1" applyBorder="1" applyFont="1">
      <alignment readingOrder="0" shrinkToFit="0" wrapText="1"/>
    </xf>
    <xf borderId="0" fillId="6" fontId="9" numFmtId="0" xfId="0" applyAlignment="1" applyFont="1">
      <alignment horizontal="left" readingOrder="0" shrinkToFit="0" wrapText="1"/>
    </xf>
    <xf borderId="20" fillId="4" fontId="1" numFmtId="0" xfId="0" applyAlignment="1" applyBorder="1" applyFont="1">
      <alignment readingOrder="0" shrinkToFit="0" wrapText="1"/>
    </xf>
    <xf borderId="21" fillId="4" fontId="1" numFmtId="0" xfId="0" applyAlignment="1" applyBorder="1" applyFont="1">
      <alignment readingOrder="0" shrinkToFit="0" wrapText="1"/>
    </xf>
    <xf borderId="4" fillId="3" fontId="2" numFmtId="0" xfId="0" applyAlignment="1" applyBorder="1" applyFont="1">
      <alignment readingOrder="0"/>
    </xf>
    <xf borderId="10" fillId="0" fontId="1" numFmtId="0" xfId="0" applyAlignment="1" applyBorder="1" applyFont="1">
      <alignment readingOrder="0" shrinkToFit="0" vertical="top" wrapText="1"/>
    </xf>
    <xf borderId="9" fillId="0" fontId="3" numFmtId="0" xfId="0" applyBorder="1" applyFont="1"/>
    <xf borderId="10" fillId="0" fontId="3" numFmtId="0" xfId="0" applyBorder="1" applyFont="1"/>
    <xf borderId="20" fillId="0" fontId="3" numFmtId="0" xfId="0" applyBorder="1" applyFont="1"/>
    <xf borderId="21" fillId="0" fontId="3" numFmtId="0" xfId="0" applyBorder="1" applyFont="1"/>
    <xf borderId="25" fillId="0" fontId="2" numFmtId="0" xfId="0" applyAlignment="1" applyBorder="1" applyFont="1">
      <alignment readingOrder="0"/>
    </xf>
    <xf borderId="2" fillId="0" fontId="2" numFmtId="0" xfId="0" applyAlignment="1" applyBorder="1" applyFont="1">
      <alignment horizontal="center" readingOrder="0" vertical="center"/>
    </xf>
    <xf borderId="2" fillId="0" fontId="2" numFmtId="0" xfId="0" applyAlignment="1" applyBorder="1" applyFont="1">
      <alignment horizontal="center" readingOrder="0"/>
    </xf>
    <xf borderId="3" fillId="0" fontId="2" numFmtId="0" xfId="0" applyAlignment="1" applyBorder="1" applyFont="1">
      <alignment horizontal="center" readingOrder="0"/>
    </xf>
    <xf borderId="0" fillId="4" fontId="2" numFmtId="0" xfId="0" applyAlignment="1" applyFont="1">
      <alignment horizontal="center" readingOrder="0" vertical="center"/>
    </xf>
    <xf borderId="0" fillId="4" fontId="2" numFmtId="0" xfId="0" applyAlignment="1" applyFont="1">
      <alignment readingOrder="0"/>
    </xf>
    <xf borderId="0" fillId="4" fontId="2" numFmtId="0" xfId="0" applyAlignment="1" applyFont="1">
      <alignment readingOrder="0"/>
    </xf>
    <xf borderId="14" fillId="0" fontId="1" numFmtId="0" xfId="0" applyAlignment="1" applyBorder="1" applyFont="1">
      <alignment readingOrder="0"/>
    </xf>
    <xf borderId="0" fillId="0" fontId="1" numFmtId="0" xfId="0" applyAlignment="1" applyFont="1">
      <alignment horizontal="center" readingOrder="0" shrinkToFit="0" vertical="center" wrapText="1"/>
    </xf>
    <xf borderId="0" fillId="0" fontId="1" numFmtId="0" xfId="0" applyAlignment="1" applyFont="1">
      <alignment horizontal="center" readingOrder="0"/>
    </xf>
    <xf borderId="9" fillId="0" fontId="1" numFmtId="0" xfId="0" applyBorder="1" applyFont="1"/>
    <xf borderId="0" fillId="4" fontId="1" numFmtId="9" xfId="0" applyAlignment="1" applyFont="1" applyNumberFormat="1">
      <alignment horizontal="center" readingOrder="0" shrinkToFit="0" vertical="center" wrapText="1"/>
    </xf>
    <xf borderId="0" fillId="0" fontId="1" numFmtId="0" xfId="0" applyAlignment="1" applyFont="1">
      <alignment readingOrder="0"/>
    </xf>
    <xf borderId="0" fillId="0" fontId="1" numFmtId="0" xfId="0" applyAlignment="1" applyFont="1">
      <alignment readingOrder="0"/>
    </xf>
    <xf borderId="0" fillId="7" fontId="4" numFmtId="0" xfId="0" applyAlignment="1" applyFill="1" applyFont="1">
      <alignment horizontal="center" readingOrder="0"/>
    </xf>
    <xf borderId="0" fillId="0" fontId="1" numFmtId="0" xfId="0" applyAlignment="1" applyFont="1">
      <alignment horizontal="center"/>
    </xf>
    <xf borderId="0" fillId="6" fontId="8" numFmtId="0" xfId="0" applyAlignment="1" applyFont="1">
      <alignment readingOrder="0"/>
    </xf>
    <xf borderId="0" fillId="6" fontId="8" numFmtId="0" xfId="0" applyAlignment="1" applyFont="1">
      <alignment readingOrder="0"/>
    </xf>
    <xf borderId="0" fillId="0" fontId="1" numFmtId="11" xfId="0" applyAlignment="1" applyFont="1" applyNumberFormat="1">
      <alignment readingOrder="0"/>
    </xf>
    <xf borderId="0" fillId="0" fontId="10" numFmtId="0" xfId="0" applyAlignment="1" applyFont="1">
      <alignment readingOrder="0"/>
    </xf>
    <xf borderId="0" fillId="6" fontId="4" numFmtId="0" xfId="0" applyAlignment="1" applyFont="1">
      <alignment readingOrder="0"/>
    </xf>
    <xf borderId="0" fillId="4" fontId="1" numFmtId="0" xfId="0" applyAlignment="1" applyFont="1">
      <alignment readingOrder="0"/>
    </xf>
    <xf borderId="26" fillId="0" fontId="1" numFmtId="0" xfId="0" applyAlignment="1" applyBorder="1" applyFont="1">
      <alignment readingOrder="0"/>
    </xf>
    <xf borderId="17"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xf>
    <xf borderId="21" fillId="0" fontId="1" numFmtId="0" xfId="0" applyBorder="1" applyFont="1"/>
    <xf borderId="0" fillId="4" fontId="1" numFmtId="0" xfId="0" applyAlignment="1" applyFont="1">
      <alignment horizontal="right" readingOrder="0" shrinkToFit="0" vertical="center" wrapText="1"/>
    </xf>
    <xf borderId="0" fillId="4" fontId="1" numFmtId="0" xfId="0" applyAlignment="1" applyFont="1">
      <alignment readingOrder="0"/>
    </xf>
    <xf borderId="1" fillId="8" fontId="1" numFmtId="0" xfId="0" applyAlignment="1" applyBorder="1" applyFill="1" applyFont="1">
      <alignment readingOrder="0"/>
    </xf>
    <xf borderId="27" fillId="8" fontId="1" numFmtId="0" xfId="0" applyAlignment="1" applyBorder="1" applyFont="1">
      <alignment horizontal="center" readingOrder="0" shrinkToFit="0" vertical="center" wrapText="1"/>
    </xf>
    <xf borderId="3" fillId="8" fontId="1" numFmtId="0" xfId="0" applyAlignment="1" applyBorder="1" applyFont="1">
      <alignment horizontal="center" readingOrder="0" shrinkToFit="0" vertical="center" wrapText="1"/>
    </xf>
    <xf borderId="0" fillId="4" fontId="1" numFmtId="0" xfId="0" applyAlignment="1" applyFont="1">
      <alignment readingOrder="0"/>
    </xf>
    <xf borderId="14" fillId="4" fontId="1" numFmtId="0" xfId="0" applyAlignment="1" applyBorder="1" applyFont="1">
      <alignment readingOrder="0"/>
    </xf>
    <xf borderId="9" fillId="4" fontId="1" numFmtId="0" xfId="0" applyAlignment="1" applyBorder="1" applyFont="1">
      <alignment horizontal="center" readingOrder="0" shrinkToFit="0" vertical="center" wrapText="1"/>
    </xf>
    <xf borderId="14" fillId="7" fontId="1" numFmtId="0" xfId="0" applyAlignment="1" applyBorder="1" applyFont="1">
      <alignment readingOrder="0"/>
    </xf>
    <xf borderId="0" fillId="7" fontId="1" numFmtId="0" xfId="0" applyAlignment="1" applyFont="1">
      <alignment horizontal="center" readingOrder="0" shrinkToFit="0" vertical="center" wrapText="1"/>
    </xf>
    <xf borderId="9" fillId="7" fontId="1" numFmtId="0" xfId="0" applyAlignment="1" applyBorder="1" applyFont="1">
      <alignment horizontal="center" readingOrder="0" shrinkToFit="0" vertical="center" wrapText="1"/>
    </xf>
    <xf borderId="26" fillId="7" fontId="1" numFmtId="0" xfId="0" applyAlignment="1" applyBorder="1" applyFont="1">
      <alignment readingOrder="0"/>
    </xf>
    <xf borderId="17" fillId="7" fontId="1" numFmtId="0" xfId="0" applyAlignment="1" applyBorder="1" applyFont="1">
      <alignment horizontal="center" readingOrder="0" shrinkToFit="0" vertical="center" wrapText="1"/>
    </xf>
    <xf borderId="21" fillId="7" fontId="1" numFmtId="0" xfId="0" applyAlignment="1" applyBorder="1" applyFont="1">
      <alignment horizontal="center" readingOrder="0" shrinkToFit="0" vertical="center" wrapText="1"/>
    </xf>
    <xf borderId="0" fillId="4" fontId="11" numFmtId="0" xfId="0" applyAlignment="1" applyFont="1">
      <alignment readingOrder="0"/>
    </xf>
    <xf borderId="28" fillId="4" fontId="1" numFmtId="0" xfId="0" applyAlignment="1" applyBorder="1" applyFont="1">
      <alignment readingOrder="0" shrinkToFit="0" wrapText="1"/>
    </xf>
    <xf borderId="23" fillId="4" fontId="0" numFmtId="0" xfId="0" applyAlignment="1" applyBorder="1" applyFont="1">
      <alignment horizontal="center" readingOrder="0" vertical="center"/>
    </xf>
    <xf borderId="23" fillId="4" fontId="1" numFmtId="0" xfId="0" applyAlignment="1" applyBorder="1" applyFont="1">
      <alignment horizontal="center" readingOrder="0" shrinkToFit="0" vertical="center" wrapText="1"/>
    </xf>
    <xf borderId="24" fillId="4" fontId="1" numFmtId="0" xfId="0" applyAlignment="1" applyBorder="1" applyFont="1">
      <alignment horizontal="center" readingOrder="0" shrinkToFit="0" vertical="center" wrapText="1"/>
    </xf>
    <xf borderId="0" fillId="0" fontId="1" numFmtId="0" xfId="0" applyAlignment="1" applyFont="1">
      <alignment textRotation="90"/>
    </xf>
    <xf borderId="29" fillId="2" fontId="2" numFmtId="0" xfId="0" applyAlignment="1" applyBorder="1" applyFont="1">
      <alignment horizontal="center" readingOrder="0"/>
    </xf>
    <xf borderId="30" fillId="0" fontId="3" numFmtId="0" xfId="0" applyBorder="1" applyFont="1"/>
    <xf borderId="31" fillId="0" fontId="3" numFmtId="0" xfId="0" applyBorder="1" applyFont="1"/>
    <xf borderId="32" fillId="0" fontId="2" numFmtId="0" xfId="0" applyAlignment="1" applyBorder="1" applyFont="1">
      <alignment horizontal="center" readingOrder="0"/>
    </xf>
    <xf borderId="12" fillId="0" fontId="2" numFmtId="0" xfId="0" applyAlignment="1" applyBorder="1" applyFont="1">
      <alignment horizontal="center" readingOrder="0"/>
    </xf>
    <xf borderId="33" fillId="0" fontId="2" numFmtId="0" xfId="0" applyAlignment="1" applyBorder="1" applyFont="1">
      <alignment horizontal="center" readingOrder="0" shrinkToFit="0" wrapText="1"/>
    </xf>
    <xf borderId="33" fillId="0" fontId="2" numFmtId="0" xfId="0" applyAlignment="1" applyBorder="1" applyFont="1">
      <alignment readingOrder="0"/>
    </xf>
    <xf borderId="34" fillId="0" fontId="2" numFmtId="0" xfId="0" applyAlignment="1" applyBorder="1" applyFont="1">
      <alignment horizontal="center" readingOrder="0"/>
    </xf>
    <xf borderId="23" fillId="0" fontId="2" numFmtId="0" xfId="0" applyAlignment="1" applyBorder="1" applyFont="1">
      <alignment horizontal="center" readingOrder="0"/>
    </xf>
    <xf borderId="13" fillId="0" fontId="2" numFmtId="0" xfId="0" applyAlignment="1" applyBorder="1" applyFont="1">
      <alignment horizontal="center" readingOrder="0"/>
    </xf>
    <xf borderId="0" fillId="4" fontId="2" numFmtId="0" xfId="0" applyAlignment="1" applyFont="1">
      <alignment horizontal="center" readingOrder="0"/>
    </xf>
    <xf borderId="35" fillId="0" fontId="2" numFmtId="0" xfId="0" applyAlignment="1" applyBorder="1" applyFont="1">
      <alignment horizontal="center" readingOrder="0"/>
    </xf>
    <xf borderId="36" fillId="0" fontId="1" numFmtId="0" xfId="0" applyAlignment="1" applyBorder="1" applyFont="1">
      <alignment readingOrder="0"/>
    </xf>
    <xf borderId="12" fillId="0" fontId="1" numFmtId="0" xfId="0" applyAlignment="1" applyBorder="1" applyFont="1">
      <alignment readingOrder="0"/>
    </xf>
    <xf borderId="12" fillId="0" fontId="1" numFmtId="165" xfId="0" applyAlignment="1" applyBorder="1" applyFont="1" applyNumberFormat="1">
      <alignment horizontal="center"/>
    </xf>
    <xf borderId="33" fillId="0" fontId="1" numFmtId="165" xfId="0" applyAlignment="1" applyBorder="1" applyFont="1" applyNumberFormat="1">
      <alignment horizontal="center"/>
    </xf>
    <xf borderId="34" fillId="0" fontId="1" numFmtId="165" xfId="0" applyAlignment="1" applyBorder="1" applyFont="1" applyNumberFormat="1">
      <alignment horizontal="center"/>
    </xf>
    <xf borderId="32" fillId="0" fontId="1" numFmtId="0" xfId="0" applyAlignment="1" applyBorder="1" applyFont="1">
      <alignment readingOrder="0"/>
    </xf>
    <xf borderId="35" fillId="0" fontId="1" numFmtId="0" xfId="0" applyAlignment="1" applyBorder="1" applyFont="1">
      <alignment readingOrder="0"/>
    </xf>
    <xf borderId="11" fillId="0" fontId="1" numFmtId="0" xfId="0" applyAlignment="1" applyBorder="1" applyFont="1">
      <alignment readingOrder="0"/>
    </xf>
    <xf borderId="11" fillId="0" fontId="1" numFmtId="165" xfId="0" applyAlignment="1" applyBorder="1" applyFont="1" applyNumberFormat="1">
      <alignment horizontal="center"/>
    </xf>
    <xf borderId="0" fillId="0" fontId="1" numFmtId="165" xfId="0" applyAlignment="1" applyFont="1" applyNumberFormat="1">
      <alignment horizontal="center"/>
    </xf>
    <xf borderId="37" fillId="0" fontId="1" numFmtId="165" xfId="0" applyAlignment="1" applyBorder="1" applyFont="1" applyNumberFormat="1">
      <alignment horizontal="center"/>
    </xf>
    <xf borderId="10" fillId="0" fontId="1" numFmtId="0" xfId="0" applyAlignment="1" applyBorder="1" applyFont="1">
      <alignment readingOrder="0"/>
    </xf>
    <xf borderId="38" fillId="0" fontId="1" numFmtId="0" xfId="0" applyAlignment="1" applyBorder="1" applyFont="1">
      <alignment readingOrder="0"/>
    </xf>
    <xf borderId="10" fillId="0" fontId="1" numFmtId="0" xfId="0" applyAlignment="1" applyBorder="1" applyFont="1">
      <alignment readingOrder="0" vertical="center"/>
    </xf>
    <xf borderId="38" fillId="0" fontId="1" numFmtId="0" xfId="0" applyAlignment="1" applyBorder="1" applyFont="1">
      <alignment readingOrder="0" shrinkToFit="0" wrapText="1"/>
    </xf>
    <xf borderId="20" fillId="0" fontId="1" numFmtId="0" xfId="0" applyAlignment="1" applyBorder="1" applyFont="1">
      <alignment readingOrder="0"/>
    </xf>
    <xf borderId="39" fillId="0" fontId="1" numFmtId="0" xfId="0" applyAlignment="1" applyBorder="1" applyFont="1">
      <alignment readingOrder="0"/>
    </xf>
    <xf borderId="40" fillId="4" fontId="1" numFmtId="0" xfId="0" applyAlignment="1" applyBorder="1" applyFont="1">
      <alignment readingOrder="0"/>
    </xf>
    <xf borderId="41" fillId="0" fontId="1" numFmtId="0" xfId="0" applyAlignment="1" applyBorder="1" applyFont="1">
      <alignment readingOrder="0"/>
    </xf>
    <xf borderId="7" fillId="0" fontId="1" numFmtId="165" xfId="0" applyAlignment="1" applyBorder="1" applyFont="1" applyNumberFormat="1">
      <alignment horizontal="center"/>
    </xf>
    <xf borderId="8" fillId="0" fontId="1" numFmtId="165" xfId="0" applyAlignment="1" applyBorder="1" applyFont="1" applyNumberFormat="1">
      <alignment horizontal="center"/>
    </xf>
    <xf borderId="42" fillId="0" fontId="1" numFmtId="165" xfId="0" applyAlignment="1" applyBorder="1" applyFont="1" applyNumberFormat="1">
      <alignment horizontal="center"/>
    </xf>
    <xf borderId="20" fillId="7" fontId="1" numFmtId="0" xfId="0" applyAlignment="1" applyBorder="1" applyFont="1">
      <alignment readingOrder="0"/>
    </xf>
    <xf borderId="43" fillId="7" fontId="1" numFmtId="0" xfId="0" applyAlignment="1" applyBorder="1" applyFont="1">
      <alignment readingOrder="0"/>
    </xf>
    <xf borderId="17" fillId="7" fontId="1" numFmtId="4" xfId="0" applyAlignment="1" applyBorder="1" applyFont="1" applyNumberFormat="1">
      <alignment horizontal="center"/>
    </xf>
    <xf borderId="17" fillId="7" fontId="1" numFmtId="3" xfId="0" applyAlignment="1" applyBorder="1" applyFont="1" applyNumberFormat="1">
      <alignment horizontal="center"/>
    </xf>
    <xf borderId="17" fillId="0" fontId="1" numFmtId="0" xfId="0" applyAlignment="1" applyBorder="1" applyFont="1">
      <alignment horizontal="center"/>
    </xf>
    <xf borderId="44" fillId="7" fontId="1" numFmtId="3" xfId="0" applyAlignment="1" applyBorder="1" applyFont="1" applyNumberFormat="1">
      <alignment horizontal="center"/>
    </xf>
    <xf borderId="17" fillId="7" fontId="1" numFmtId="166" xfId="0" applyAlignment="1" applyBorder="1" applyFont="1" applyNumberFormat="1">
      <alignment horizontal="center"/>
    </xf>
    <xf borderId="17" fillId="0" fontId="1" numFmtId="0" xfId="0" applyAlignment="1" applyBorder="1" applyFont="1">
      <alignment horizontal="center" readingOrder="0"/>
    </xf>
    <xf borderId="21" fillId="0" fontId="1" numFmtId="4" xfId="0" applyAlignment="1" applyBorder="1" applyFont="1" applyNumberFormat="1">
      <alignment horizontal="center"/>
    </xf>
    <xf borderId="1" fillId="3" fontId="2" numFmtId="0" xfId="0" applyAlignment="1" applyBorder="1" applyFont="1">
      <alignment readingOrder="0"/>
    </xf>
    <xf borderId="10" fillId="0" fontId="1" numFmtId="0" xfId="0" applyAlignment="1" applyBorder="1" applyFont="1">
      <alignment readingOrder="0"/>
    </xf>
    <xf borderId="38" fillId="6" fontId="12" numFmtId="0" xfId="0" applyAlignment="1" applyBorder="1" applyFont="1">
      <alignment readingOrder="0"/>
    </xf>
    <xf borderId="10" fillId="5" fontId="1" numFmtId="0" xfId="0" applyAlignment="1" applyBorder="1" applyFont="1">
      <alignment readingOrder="0"/>
    </xf>
    <xf borderId="38" fillId="5" fontId="1" numFmtId="0" xfId="0" applyAlignment="1" applyBorder="1" applyFont="1">
      <alignment readingOrder="0" shrinkToFit="0" wrapText="1"/>
    </xf>
    <xf borderId="20" fillId="5" fontId="1" numFmtId="0" xfId="0" applyAlignment="1" applyBorder="1" applyFont="1">
      <alignment readingOrder="0"/>
    </xf>
    <xf borderId="39" fillId="5" fontId="1" numFmtId="0" xfId="0" applyAlignment="1" applyBorder="1" applyFont="1">
      <alignment readingOrder="0" shrinkToFit="0" wrapText="1"/>
    </xf>
    <xf borderId="0" fillId="0" fontId="1" numFmtId="0" xfId="0" applyAlignment="1" applyFont="1">
      <alignment readingOrder="0" shrinkToFit="0" wrapText="1"/>
    </xf>
    <xf borderId="1" fillId="0" fontId="2" numFmtId="0" xfId="0" applyAlignment="1" applyBorder="1" applyFont="1">
      <alignment readingOrder="0"/>
    </xf>
    <xf borderId="27" fillId="0" fontId="2" numFmtId="0" xfId="0" applyAlignment="1" applyBorder="1" applyFont="1">
      <alignment horizontal="center" readingOrder="0" vertical="center"/>
    </xf>
    <xf borderId="3" fillId="0" fontId="2" numFmtId="0" xfId="0" applyAlignment="1" applyBorder="1" applyFont="1">
      <alignment horizontal="center" readingOrder="0" vertical="center"/>
    </xf>
    <xf borderId="12" fillId="0" fontId="1" numFmtId="4" xfId="0" applyAlignment="1" applyBorder="1" applyFont="1" applyNumberFormat="1">
      <alignment horizontal="center" readingOrder="0" vertical="center"/>
    </xf>
    <xf borderId="33" fillId="0" fontId="1" numFmtId="3" xfId="0" applyAlignment="1" applyBorder="1" applyFont="1" applyNumberFormat="1">
      <alignment horizontal="center" readingOrder="0" vertical="center"/>
    </xf>
    <xf borderId="33" fillId="0" fontId="1" numFmtId="4" xfId="0" applyAlignment="1" applyBorder="1" applyFont="1" applyNumberFormat="1">
      <alignment horizontal="center" readingOrder="0" vertical="center"/>
    </xf>
    <xf borderId="33" fillId="0" fontId="1" numFmtId="167" xfId="0" applyAlignment="1" applyBorder="1" applyFont="1" applyNumberFormat="1">
      <alignment horizontal="center" readingOrder="0" vertical="center"/>
    </xf>
    <xf borderId="13" fillId="0" fontId="1" numFmtId="0" xfId="0" applyAlignment="1" applyBorder="1" applyFont="1">
      <alignment horizontal="center" readingOrder="0" vertical="center"/>
    </xf>
    <xf borderId="0" fillId="4" fontId="13" numFmtId="0" xfId="0" applyAlignment="1" applyFont="1">
      <alignment readingOrder="0"/>
    </xf>
    <xf borderId="11" fillId="0" fontId="1" numFmtId="4" xfId="0" applyAlignment="1" applyBorder="1" applyFont="1" applyNumberFormat="1">
      <alignment horizontal="center" readingOrder="0" vertical="center"/>
    </xf>
    <xf borderId="0" fillId="0" fontId="1" numFmtId="3" xfId="0" applyAlignment="1" applyFont="1" applyNumberFormat="1">
      <alignment horizontal="center" readingOrder="0" vertical="center"/>
    </xf>
    <xf borderId="0" fillId="0" fontId="1" numFmtId="4" xfId="0" applyAlignment="1" applyFont="1" applyNumberFormat="1">
      <alignment horizontal="center" readingOrder="0" vertical="center"/>
    </xf>
    <xf borderId="0" fillId="0" fontId="1" numFmtId="167" xfId="0" applyAlignment="1" applyFont="1" applyNumberFormat="1">
      <alignment horizontal="center" readingOrder="0" vertical="center"/>
    </xf>
    <xf borderId="9" fillId="0" fontId="1" numFmtId="0" xfId="0" applyAlignment="1" applyBorder="1" applyFont="1">
      <alignment horizontal="center" readingOrder="0" vertical="center"/>
    </xf>
    <xf borderId="20" fillId="0" fontId="1" numFmtId="0" xfId="0" applyAlignment="1" applyBorder="1" applyFont="1">
      <alignment readingOrder="0"/>
    </xf>
    <xf borderId="18" fillId="0" fontId="1" numFmtId="4" xfId="0" applyAlignment="1" applyBorder="1" applyFont="1" applyNumberFormat="1">
      <alignment horizontal="center" readingOrder="0" vertical="center"/>
    </xf>
    <xf borderId="17" fillId="0" fontId="1" numFmtId="3" xfId="0" applyAlignment="1" applyBorder="1" applyFont="1" applyNumberFormat="1">
      <alignment horizontal="center" readingOrder="0" vertical="center"/>
    </xf>
    <xf borderId="17" fillId="0" fontId="1" numFmtId="4" xfId="0" applyAlignment="1" applyBorder="1" applyFont="1" applyNumberFormat="1">
      <alignment horizontal="center" readingOrder="0" vertical="center"/>
    </xf>
    <xf borderId="17" fillId="0" fontId="1" numFmtId="166" xfId="0" applyAlignment="1" applyBorder="1" applyFont="1" applyNumberFormat="1">
      <alignment horizontal="center" readingOrder="0" vertical="center"/>
    </xf>
    <xf borderId="21" fillId="0" fontId="1" numFmtId="0" xfId="0" applyAlignment="1" applyBorder="1" applyFont="1">
      <alignment horizontal="center" readingOrder="0" vertical="center"/>
    </xf>
    <xf borderId="0" fillId="4" fontId="1" numFmtId="4" xfId="0" applyAlignment="1" applyFont="1" applyNumberFormat="1">
      <alignment horizontal="center" readingOrder="0" vertical="center"/>
    </xf>
    <xf borderId="0" fillId="4" fontId="1" numFmtId="3" xfId="0" applyAlignment="1" applyFont="1" applyNumberFormat="1">
      <alignment horizontal="center" readingOrder="0" vertical="center"/>
    </xf>
    <xf borderId="0" fillId="4" fontId="1" numFmtId="166" xfId="0" applyAlignment="1" applyFont="1" applyNumberFormat="1">
      <alignment horizontal="center" readingOrder="0" vertical="center"/>
    </xf>
    <xf borderId="0" fillId="4" fontId="1" numFmtId="9" xfId="0" applyAlignment="1" applyFont="1" applyNumberFormat="1">
      <alignment horizontal="center" readingOrder="0" vertical="center"/>
    </xf>
    <xf borderId="0" fillId="4" fontId="1" numFmtId="0" xfId="0" applyAlignment="1" applyFont="1">
      <alignment horizontal="center" readingOrder="0" vertical="center"/>
    </xf>
  </cellXfs>
  <cellStyles count="1">
    <cellStyle xfId="0" name="Normal" builtinId="0"/>
  </cellStyles>
  <dxfs count="7">
    <dxf>
      <font/>
      <fill>
        <patternFill patternType="none"/>
      </fill>
      <border/>
    </dxf>
    <dxf>
      <font/>
      <fill>
        <patternFill patternType="solid">
          <fgColor rgb="FFB7B7B7"/>
          <bgColor rgb="FFB7B7B7"/>
        </patternFill>
      </fill>
      <border/>
    </dxf>
    <dxf>
      <font/>
      <fill>
        <patternFill patternType="solid">
          <fgColor theme="0"/>
          <bgColor theme="0"/>
        </patternFill>
      </fill>
      <border/>
    </dxf>
    <dxf>
      <font/>
      <fill>
        <patternFill patternType="solid">
          <fgColor rgb="FFEFEFEF"/>
          <bgColor rgb="FFEFEFEF"/>
        </patternFill>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
    <tableStyle count="3" pivot="0" name="Second Stage Propulsion - Matri-style">
      <tableStyleElement dxfId="1" type="headerRow"/>
      <tableStyleElement dxfId="2" type="firstRowStripe"/>
      <tableStyleElement dxfId="3" type="secondRowStripe"/>
    </tableStyle>
    <tableStyle count="3" pivot="0" name="Second Stage Propulsion - Value-style">
      <tableStyleElement dxfId="4" type="headerRow"/>
      <tableStyleElement dxfId="5" type="firstRowStripe"/>
      <tableStyleElement dxfId="6" type="secondRowStripe"/>
    </tableStyle>
    <tableStyle count="3" pivot="0" name="Lift-Off Systems - Matrix-style">
      <tableStyleElement dxfId="1" type="headerRow"/>
      <tableStyleElement dxfId="2" type="firstRowStripe"/>
      <tableStyleElement dxfId="3" type="secondRowStripe"/>
    </tableStyle>
    <tableStyle count="3" pivot="0" name="Lift-Off Systems - Matrix-style 2">
      <tableStyleElement dxfId="1" type="headerRow"/>
      <tableStyleElement dxfId="2" type="firstRowStripe"/>
      <tableStyleElement dxfId="3" type="secondRowStripe"/>
    </tableStyle>
    <tableStyle count="3" pivot="0" name="Lift-Off Systems - Value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4.png"/><Relationship Id="rId3"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8</xdr:row>
      <xdr:rowOff>0</xdr:rowOff>
    </xdr:from>
    <xdr:ext cx="6105525" cy="50958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333375</xdr:colOff>
      <xdr:row>39</xdr:row>
      <xdr:rowOff>38100</xdr:rowOff>
    </xdr:from>
    <xdr:ext cx="4010025" cy="457200"/>
    <xdr:sp>
      <xdr:nvSpPr>
        <xdr:cNvPr id="3" name="Shape 3"/>
        <xdr:cNvSpPr/>
      </xdr:nvSpPr>
      <xdr:spPr>
        <a:xfrm>
          <a:off x="1500050" y="1655900"/>
          <a:ext cx="4363800" cy="477600"/>
        </a:xfrm>
        <a:prstGeom prst="rect">
          <a:avLst/>
        </a:prstGeom>
        <a:noFill/>
        <a:ln cap="flat" cmpd="sng" w="76200">
          <a:solidFill>
            <a:srgbClr val="FF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333375</xdr:colOff>
      <xdr:row>24</xdr:row>
      <xdr:rowOff>66675</xdr:rowOff>
    </xdr:from>
    <xdr:ext cx="3867150" cy="3952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49</xdr:row>
      <xdr:rowOff>0</xdr:rowOff>
    </xdr:from>
    <xdr:ext cx="5638800" cy="25717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847725</xdr:colOff>
      <xdr:row>19</xdr:row>
      <xdr:rowOff>114300</xdr:rowOff>
    </xdr:from>
    <xdr:ext cx="5743575" cy="3533775"/>
    <xdr:pic>
      <xdr:nvPicPr>
        <xdr:cNvPr id="0" name="image6.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161925</xdr:colOff>
      <xdr:row>15</xdr:row>
      <xdr:rowOff>161925</xdr:rowOff>
    </xdr:from>
    <xdr:ext cx="10506075" cy="44005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352425</xdr:colOff>
      <xdr:row>38</xdr:row>
      <xdr:rowOff>180975</xdr:rowOff>
    </xdr:from>
    <xdr:ext cx="8067675" cy="352425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L2:M7" displayName="Table_1" id="1">
  <tableColumns count="2">
    <tableColumn name="Metric" id="1"/>
    <tableColumn name="Source" id="2"/>
  </tableColumns>
  <tableStyleInfo name="Second Stage Propulsion - Matri-style" showColumnStripes="0" showFirstColumn="1" showLastColumn="1" showRowStripes="1"/>
</table>
</file>

<file path=xl/tables/table2.xml><?xml version="1.0" encoding="utf-8"?>
<table xmlns="http://schemas.openxmlformats.org/spreadsheetml/2006/main" headerRowCount="0" ref="A1:K15" displayName="Table_2" id="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Second Stage Propulsion - Value-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2:J21" displayName="Table_3" id="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Lift-Off Systems - Matrix-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ref="K2:L6" displayName="Table_4" id="4">
  <tableColumns count="2">
    <tableColumn name="Metric" id="1"/>
    <tableColumn name="Source" id="2"/>
  </tableColumns>
  <tableStyleInfo name="Lift-Off Systems - Matrix-style 2" showColumnStripes="0" showFirstColumn="1" showLastColumn="1" showRowStripes="1"/>
</table>
</file>

<file path=xl/tables/table5.xml><?xml version="1.0" encoding="utf-8"?>
<table xmlns="http://schemas.openxmlformats.org/spreadsheetml/2006/main" headerRowCount="0" ref="A1:L11" displayName="Table_5" id="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Lift-Off Systems - Valu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sa.int/esapub/bulletin/bulletin123/bul123b_berkes.pdf" TargetMode="External"/><Relationship Id="rId3" Type="http://schemas.openxmlformats.org/officeDocument/2006/relationships/hyperlink" Target="https://trs.jpl.nasa.gov/bitstream/handle/2014/12165/01-0061.pdf" TargetMode="External"/><Relationship Id="rId4" Type="http://schemas.openxmlformats.org/officeDocument/2006/relationships/hyperlink" Target="https://www.osti.gov/includes/opennet/includes/Understanding%20the%20Atom/SNAP%20Nuclear%20Space%20Reactors.pdf" TargetMode="External"/><Relationship Id="rId5" Type="http://schemas.openxmlformats.org/officeDocument/2006/relationships/drawing" Target="../drawings/drawing2.xml"/><Relationship Id="rId6" Type="http://schemas.openxmlformats.org/officeDocument/2006/relationships/vmlDrawing" Target="../drawings/vmlDrawing1.vml"/><Relationship Id="rId8"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wikipedia.org/wiki/Solar_sail" TargetMode="External"/><Relationship Id="rId3" Type="http://schemas.openxmlformats.org/officeDocument/2006/relationships/hyperlink" Target="https://ntrs.nasa.gov/api/citations/20190033337/downloads/20190033337.pdf" TargetMode="External"/><Relationship Id="rId4" Type="http://schemas.openxmlformats.org/officeDocument/2006/relationships/hyperlink" Target="https://en.wikipedia.org/wiki/Solar_sail" TargetMode="External"/><Relationship Id="rId11" Type="http://schemas.openxmlformats.org/officeDocument/2006/relationships/table" Target="../tables/table2.xml"/><Relationship Id="rId9" Type="http://schemas.openxmlformats.org/officeDocument/2006/relationships/vmlDrawing" Target="../drawings/vmlDrawing2.vml"/><Relationship Id="rId5" Type="http://schemas.openxmlformats.org/officeDocument/2006/relationships/hyperlink" Target="https://www.nasa.gov/centers/glenn/technology/Ion_Propulsion1.html" TargetMode="External"/><Relationship Id="rId6" Type="http://schemas.openxmlformats.org/officeDocument/2006/relationships/hyperlink" Target="https://ntrs.nasa.gov/citations/19690000736" TargetMode="External"/><Relationship Id="rId7" Type="http://schemas.openxmlformats.org/officeDocument/2006/relationships/hyperlink" Target="https://en.wikipedia.org/wiki/Soyuz-2"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6" Type="http://schemas.openxmlformats.org/officeDocument/2006/relationships/table" Target="../tables/table3.xml"/><Relationship Id="rId7"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1" Type="http://schemas.openxmlformats.org/officeDocument/2006/relationships/hyperlink" Target="https://en.wikipedia.org/wiki/Soyuz-2" TargetMode="External"/><Relationship Id="rId10" Type="http://schemas.openxmlformats.org/officeDocument/2006/relationships/hyperlink" Target="https://www.ulalaunch.com/rockets/vulcan-centaur" TargetMode="External"/><Relationship Id="rId13" Type="http://schemas.openxmlformats.org/officeDocument/2006/relationships/drawing" Target="../drawings/drawing5.xml"/><Relationship Id="rId12" Type="http://schemas.openxmlformats.org/officeDocument/2006/relationships/hyperlink" Target="https://www.spacelaunchreport.com/log2021.html" TargetMode="External"/><Relationship Id="rId1" Type="http://schemas.openxmlformats.org/officeDocument/2006/relationships/hyperlink" Target="https://www.nasa.gov/exploration/systems/sls/index.html" TargetMode="External"/><Relationship Id="rId2" Type="http://schemas.openxmlformats.org/officeDocument/2006/relationships/hyperlink" Target="https://www.nasa.gov/sites/default/files/atoms/files/8690_sls_solid_rocket_booster_fact_sheetfinal03072015_508.pdf" TargetMode="External"/><Relationship Id="rId3" Type="http://schemas.openxmlformats.org/officeDocument/2006/relationships/hyperlink" Target="https://www.fool.com/investing/2021/12/20/nasas-sls-rocket-got-32-billion-more-expensive/" TargetMode="External"/><Relationship Id="rId4" Type="http://schemas.openxmlformats.org/officeDocument/2006/relationships/hyperlink" Target="https://www.spacex.com/vehicles/falcon-heavy/" TargetMode="External"/><Relationship Id="rId9" Type="http://schemas.openxmlformats.org/officeDocument/2006/relationships/hyperlink" Target="https://spacenews.com/cost-of-delta-4-heavy-launches-is-down-but-the-real-price-is-a-secret/" TargetMode="External"/><Relationship Id="rId15" Type="http://schemas.openxmlformats.org/officeDocument/2006/relationships/table" Target="../tables/table5.xml"/><Relationship Id="rId5" Type="http://schemas.openxmlformats.org/officeDocument/2006/relationships/hyperlink" Target="https://www.spacex.com/vehicles/starship/" TargetMode="External"/><Relationship Id="rId6" Type="http://schemas.openxmlformats.org/officeDocument/2006/relationships/hyperlink" Target="https://www.science.org/content/article/spacex-now-dominates-rocket-flight-bringing-big-benefits-and-risks-nasa" TargetMode="External"/><Relationship Id="rId7" Type="http://schemas.openxmlformats.org/officeDocument/2006/relationships/hyperlink" Target="https://www.ulalaunch.com/rockets/atlas-v" TargetMode="External"/><Relationship Id="rId8" Type="http://schemas.openxmlformats.org/officeDocument/2006/relationships/hyperlink" Target="https://www.ulalaunch.com/rockets/delta-i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8" max="8" width="27.29"/>
  </cols>
  <sheetData>
    <row r="2">
      <c r="A2" s="1" t="s">
        <v>0</v>
      </c>
      <c r="B2" s="1" t="s">
        <v>1</v>
      </c>
      <c r="D2" s="1" t="s">
        <v>2</v>
      </c>
      <c r="E2" s="1" t="s">
        <v>3</v>
      </c>
      <c r="F2" s="1" t="s">
        <v>4</v>
      </c>
    </row>
    <row r="19">
      <c r="H19" s="1" t="s">
        <v>5</v>
      </c>
    </row>
    <row r="20">
      <c r="H20" s="1" t="s">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14.57"/>
    <col customWidth="1" min="3" max="3" width="19.29"/>
    <col customWidth="1" min="4" max="4" width="14.43"/>
    <col customWidth="1" min="5" max="5" width="15.29"/>
    <col customWidth="1" min="6" max="6" width="12.86"/>
    <col customWidth="1" min="7" max="7" width="16.86"/>
    <col customWidth="1" min="9" max="9" width="18.29"/>
    <col customWidth="1" min="11" max="11" width="10.14"/>
    <col customWidth="1" min="12" max="12" width="24.57"/>
    <col customWidth="1" min="13" max="13" width="93.57"/>
  </cols>
  <sheetData>
    <row r="1">
      <c r="A1" s="2" t="s">
        <v>7</v>
      </c>
      <c r="B1" s="3"/>
      <c r="C1" s="3"/>
      <c r="D1" s="3"/>
      <c r="E1" s="3"/>
      <c r="F1" s="3"/>
      <c r="G1" s="3"/>
      <c r="H1" s="3"/>
      <c r="I1" s="3"/>
      <c r="J1" s="4"/>
      <c r="L1" s="5" t="s">
        <v>8</v>
      </c>
      <c r="M1" s="6"/>
    </row>
    <row r="2">
      <c r="A2" s="7" t="s">
        <v>9</v>
      </c>
      <c r="B2" s="8" t="s">
        <v>10</v>
      </c>
      <c r="C2" s="9" t="s">
        <v>11</v>
      </c>
      <c r="D2" s="10" t="s">
        <v>12</v>
      </c>
      <c r="E2" s="9" t="s">
        <v>13</v>
      </c>
      <c r="F2" s="9" t="s">
        <v>14</v>
      </c>
      <c r="G2" s="9" t="s">
        <v>15</v>
      </c>
      <c r="H2" s="8" t="s">
        <v>16</v>
      </c>
      <c r="I2" s="10" t="s">
        <v>3</v>
      </c>
      <c r="J2" s="11" t="s">
        <v>4</v>
      </c>
      <c r="L2" s="12" t="s">
        <v>17</v>
      </c>
      <c r="M2" s="13" t="s">
        <v>18</v>
      </c>
    </row>
    <row r="3">
      <c r="A3" s="14">
        <v>4.1</v>
      </c>
      <c r="B3" s="15" t="s">
        <v>19</v>
      </c>
      <c r="C3" s="16">
        <f>'Second Stage Propulsion - Value'!B9/$C$7</f>
        <v>1</v>
      </c>
      <c r="D3" s="17">
        <f>'Second Stage Propulsion - Value'!C9/$D$7</f>
        <v>1</v>
      </c>
      <c r="E3" s="16">
        <f>'Second Stage Propulsion - Value'!D2/$E$7</f>
        <v>1</v>
      </c>
      <c r="F3" s="16">
        <f>'Second Stage Propulsion - Value'!E2/$F$7</f>
        <v>1</v>
      </c>
      <c r="G3" s="16">
        <f>'Second Stage Propulsion - Value'!F2/10</f>
        <v>1</v>
      </c>
      <c r="H3" s="18">
        <f t="shared" ref="H3:H6" si="1">D10/$D$10</f>
        <v>1</v>
      </c>
      <c r="I3" s="19">
        <f t="shared" ref="I3:I6" si="2">F3*0.7+(1/E3)*0.2+G3*0.1</f>
        <v>1</v>
      </c>
      <c r="J3" s="20">
        <f t="shared" ref="J3:J6" si="3">I3*((C3*D3)*0.35+(1/E3)*0.15+F3*0.2+G3*0.2+(1/H3)*0.1)</f>
        <v>1</v>
      </c>
      <c r="L3" s="21" t="s">
        <v>11</v>
      </c>
      <c r="M3" s="22" t="s">
        <v>20</v>
      </c>
    </row>
    <row r="4">
      <c r="A4" s="23">
        <v>4.2</v>
      </c>
      <c r="B4" s="24" t="s">
        <v>21</v>
      </c>
      <c r="C4" s="25">
        <f>'Second Stage Propulsion - Value'!B10/$C$7</f>
        <v>828.8121547</v>
      </c>
      <c r="D4" s="26">
        <f>'Second Stage Propulsion - Value'!C10/$D$7</f>
        <v>0.02110304179</v>
      </c>
      <c r="E4" s="25">
        <f>'Second Stage Propulsion - Value'!D3/$E$7</f>
        <v>10</v>
      </c>
      <c r="F4" s="25">
        <f>'Second Stage Propulsion - Value'!E3/$F$7</f>
        <v>1.428571429</v>
      </c>
      <c r="G4" s="27">
        <f>'Second Stage Propulsion - Value'!F3/10</f>
        <v>0.000001141552511</v>
      </c>
      <c r="H4" s="28">
        <f t="shared" si="1"/>
        <v>42.01216142</v>
      </c>
      <c r="I4" s="29">
        <f t="shared" si="2"/>
        <v>1.020000114</v>
      </c>
      <c r="J4" s="30">
        <f t="shared" si="3"/>
        <v>6.553250745</v>
      </c>
      <c r="L4" s="21" t="s">
        <v>22</v>
      </c>
      <c r="M4" s="22" t="s">
        <v>23</v>
      </c>
    </row>
    <row r="5">
      <c r="A5" s="14">
        <v>4.3</v>
      </c>
      <c r="B5" s="15" t="s">
        <v>24</v>
      </c>
      <c r="C5" s="16">
        <f>'Second Stage Propulsion - Value'!B11/$C$7</f>
        <v>4.210773481</v>
      </c>
      <c r="D5" s="17">
        <f>'Second Stage Propulsion - Value'!C11/$D$7</f>
        <v>0.4341648248</v>
      </c>
      <c r="E5" s="16">
        <f>'Second Stage Propulsion - Value'!D4/$E$7</f>
        <v>2.5</v>
      </c>
      <c r="F5" s="16">
        <f>'Second Stage Propulsion - Value'!E4/$F$7</f>
        <v>1.142857143</v>
      </c>
      <c r="G5" s="16">
        <f>8.5/10</f>
        <v>0.85</v>
      </c>
      <c r="H5" s="18">
        <f t="shared" si="1"/>
        <v>0.1061359867</v>
      </c>
      <c r="I5" s="19">
        <f t="shared" si="2"/>
        <v>0.965</v>
      </c>
      <c r="J5" s="31">
        <f t="shared" si="3"/>
        <v>1.969196692</v>
      </c>
      <c r="L5" s="21" t="s">
        <v>13</v>
      </c>
      <c r="M5" s="22" t="s">
        <v>25</v>
      </c>
    </row>
    <row r="6">
      <c r="A6" s="32">
        <v>4.4</v>
      </c>
      <c r="B6" s="33" t="s">
        <v>26</v>
      </c>
      <c r="C6" s="25">
        <f>'Second Stage Propulsion - Value'!B12/$C$7</f>
        <v>1795.856354</v>
      </c>
      <c r="D6" s="26">
        <f>'Second Stage Propulsion - Value'!C12/$D$7</f>
        <v>0.04473213346</v>
      </c>
      <c r="E6" s="34">
        <f>'Second Stage Propulsion - Value'!D5/$E$7</f>
        <v>20</v>
      </c>
      <c r="F6" s="34">
        <f>'Second Stage Propulsion - Value'!E5/$F$7</f>
        <v>0.1428571429</v>
      </c>
      <c r="G6" s="35">
        <f>'Second Stage Propulsion - Value'!F5/10</f>
        <v>0.00002283105023</v>
      </c>
      <c r="H6" s="28">
        <f t="shared" si="1"/>
        <v>0.9441680486</v>
      </c>
      <c r="I6" s="29">
        <f t="shared" si="2"/>
        <v>0.1100022831</v>
      </c>
      <c r="J6" s="30">
        <f t="shared" si="3"/>
        <v>3.108484059</v>
      </c>
      <c r="L6" s="21" t="s">
        <v>14</v>
      </c>
      <c r="M6" s="22" t="s">
        <v>27</v>
      </c>
    </row>
    <row r="7">
      <c r="A7" s="36">
        <v>4.5</v>
      </c>
      <c r="B7" s="37" t="s">
        <v>28</v>
      </c>
      <c r="C7" s="38">
        <f>'Second Stage Propulsion - Value'!B9</f>
        <v>0.0905</v>
      </c>
      <c r="D7" s="39">
        <f>'Second Stage Propulsion - Value'!C9</f>
        <v>19002</v>
      </c>
      <c r="E7" s="40">
        <f>'Second Stage Propulsion - Value'!D6</f>
        <v>0.1</v>
      </c>
      <c r="F7" s="40">
        <f>'Second Stage Propulsion - Value'!E6</f>
        <v>0.7</v>
      </c>
      <c r="G7" s="40">
        <f>'Second Stage Propulsion - Value'!F6/10</f>
        <v>1</v>
      </c>
      <c r="H7" s="41"/>
      <c r="I7" s="42"/>
      <c r="J7" s="43"/>
      <c r="K7" s="44"/>
      <c r="L7" s="45" t="s">
        <v>15</v>
      </c>
      <c r="M7" s="46" t="s">
        <v>29</v>
      </c>
      <c r="N7" s="44"/>
      <c r="O7" s="44"/>
      <c r="P7" s="44"/>
      <c r="Q7" s="44"/>
      <c r="R7" s="44"/>
      <c r="S7" s="44"/>
      <c r="T7" s="44"/>
      <c r="U7" s="44"/>
      <c r="V7" s="44"/>
      <c r="W7" s="44"/>
      <c r="X7" s="44"/>
      <c r="Y7" s="44"/>
      <c r="Z7" s="44"/>
      <c r="AA7" s="44"/>
      <c r="AB7" s="44"/>
      <c r="AC7" s="44"/>
    </row>
    <row r="8">
      <c r="A8" s="47"/>
      <c r="B8" s="47"/>
      <c r="C8" s="47"/>
      <c r="D8" s="47"/>
      <c r="E8" s="47"/>
      <c r="F8" s="47"/>
      <c r="G8" s="47"/>
      <c r="H8" s="47"/>
      <c r="I8" s="47"/>
      <c r="J8" s="47"/>
      <c r="L8" s="48"/>
      <c r="M8" s="48"/>
    </row>
    <row r="9">
      <c r="A9" s="47"/>
      <c r="B9" s="49"/>
      <c r="C9" s="49" t="s">
        <v>30</v>
      </c>
      <c r="D9" s="49" t="s">
        <v>31</v>
      </c>
      <c r="F9" s="49" t="s">
        <v>18</v>
      </c>
      <c r="H9" s="47"/>
      <c r="I9" s="47"/>
      <c r="J9" s="47"/>
      <c r="L9" s="50"/>
      <c r="M9" s="50"/>
    </row>
    <row r="10">
      <c r="A10" s="47"/>
      <c r="B10" s="49" t="s">
        <v>32</v>
      </c>
      <c r="C10" s="51">
        <f>0.75*(195+408)</f>
        <v>452.25</v>
      </c>
      <c r="D10" s="52">
        <f t="shared" ref="D10:D13" si="4">C10*44.1*1000</f>
        <v>19944225</v>
      </c>
      <c r="F10" s="53" t="s">
        <v>33</v>
      </c>
      <c r="H10" s="47"/>
      <c r="I10" s="47"/>
      <c r="J10" s="47"/>
      <c r="L10" s="50"/>
      <c r="M10" s="50"/>
    </row>
    <row r="11">
      <c r="A11" s="47"/>
      <c r="B11" s="49" t="s">
        <v>34</v>
      </c>
      <c r="C11" s="49">
        <v>19000.0</v>
      </c>
      <c r="D11" s="47">
        <f t="shared" si="4"/>
        <v>837900000</v>
      </c>
      <c r="F11" s="54" t="s">
        <v>35</v>
      </c>
      <c r="G11" s="55" t="s">
        <v>36</v>
      </c>
      <c r="H11" s="47"/>
      <c r="I11" s="47"/>
      <c r="J11" s="47"/>
      <c r="L11" s="50"/>
      <c r="M11" s="50"/>
    </row>
    <row r="12">
      <c r="A12" s="47"/>
      <c r="B12" s="49" t="s">
        <v>37</v>
      </c>
      <c r="C12" s="56">
        <v>48.0</v>
      </c>
      <c r="D12" s="52">
        <f t="shared" si="4"/>
        <v>2116800</v>
      </c>
      <c r="F12" s="53" t="s">
        <v>38</v>
      </c>
      <c r="G12" s="57" t="s">
        <v>39</v>
      </c>
      <c r="H12" s="47"/>
      <c r="I12" s="47"/>
      <c r="J12" s="47"/>
      <c r="L12" s="50"/>
      <c r="M12" s="50"/>
    </row>
    <row r="13">
      <c r="A13" s="47"/>
      <c r="B13" s="49" t="s">
        <v>40</v>
      </c>
      <c r="C13" s="49">
        <v>427.0</v>
      </c>
      <c r="D13" s="47">
        <f t="shared" si="4"/>
        <v>18830700</v>
      </c>
      <c r="E13" s="49"/>
      <c r="F13" s="49" t="s">
        <v>41</v>
      </c>
      <c r="G13" s="55" t="s">
        <v>42</v>
      </c>
      <c r="H13" s="47"/>
      <c r="I13" s="47"/>
      <c r="J13" s="47"/>
      <c r="L13" s="58" t="s">
        <v>43</v>
      </c>
      <c r="M13" s="6"/>
    </row>
    <row r="14">
      <c r="A14" s="47"/>
      <c r="B14" s="47"/>
      <c r="C14" s="47"/>
      <c r="D14" s="47"/>
      <c r="E14" s="47"/>
      <c r="F14" s="47"/>
      <c r="G14" s="47"/>
      <c r="H14" s="47"/>
      <c r="I14" s="47"/>
      <c r="J14" s="47"/>
      <c r="L14" s="59" t="s">
        <v>16</v>
      </c>
      <c r="M14" s="60"/>
    </row>
    <row r="15">
      <c r="A15" s="47"/>
      <c r="B15" s="61" t="s">
        <v>44</v>
      </c>
      <c r="C15" s="62">
        <v>6.5</v>
      </c>
      <c r="D15" s="63">
        <v>3.4</v>
      </c>
      <c r="E15" s="62">
        <v>5.0</v>
      </c>
      <c r="F15" s="64">
        <v>10.0</v>
      </c>
      <c r="G15" s="17"/>
      <c r="H15" s="47"/>
      <c r="I15" s="47"/>
      <c r="J15" s="47"/>
      <c r="L15" s="65" t="s">
        <v>3</v>
      </c>
      <c r="M15" s="66" t="s">
        <v>45</v>
      </c>
    </row>
    <row r="16">
      <c r="A16" s="47"/>
      <c r="B16" s="67"/>
      <c r="F16" s="47"/>
      <c r="G16" s="47"/>
      <c r="H16" s="47"/>
      <c r="I16" s="47"/>
      <c r="J16" s="47"/>
      <c r="L16" s="68" t="s">
        <v>4</v>
      </c>
      <c r="M16" s="69" t="s">
        <v>46</v>
      </c>
      <c r="N16" s="1" t="s">
        <v>47</v>
      </c>
    </row>
    <row r="17">
      <c r="A17" s="47"/>
      <c r="B17" s="47"/>
      <c r="C17" s="47"/>
      <c r="D17" s="47"/>
      <c r="E17" s="47"/>
      <c r="F17" s="47"/>
      <c r="G17" s="47"/>
      <c r="H17" s="47"/>
      <c r="I17" s="47"/>
      <c r="J17" s="47"/>
    </row>
    <row r="18">
      <c r="A18" s="47"/>
      <c r="B18" s="47"/>
      <c r="C18" s="47"/>
      <c r="D18" s="47"/>
      <c r="E18" s="47"/>
      <c r="F18" s="47"/>
      <c r="G18" s="47"/>
      <c r="H18" s="47"/>
      <c r="I18" s="47"/>
      <c r="J18" s="47"/>
      <c r="L18" s="70" t="s">
        <v>48</v>
      </c>
      <c r="M18" s="6"/>
    </row>
    <row r="19">
      <c r="A19" s="47"/>
      <c r="B19" s="47"/>
      <c r="C19" s="47"/>
      <c r="D19" s="47"/>
      <c r="E19" s="47"/>
      <c r="F19" s="47"/>
      <c r="G19" s="47"/>
      <c r="H19" s="47"/>
      <c r="I19" s="47"/>
      <c r="J19" s="47"/>
      <c r="L19" s="71" t="s">
        <v>49</v>
      </c>
      <c r="M19" s="72"/>
    </row>
    <row r="20">
      <c r="A20" s="47"/>
      <c r="B20" s="47"/>
      <c r="C20" s="47"/>
      <c r="D20" s="47"/>
      <c r="E20" s="47"/>
      <c r="F20" s="47"/>
      <c r="G20" s="47"/>
      <c r="H20" s="47"/>
      <c r="I20" s="47"/>
      <c r="J20" s="47"/>
      <c r="L20" s="73"/>
      <c r="M20" s="72"/>
    </row>
    <row r="21">
      <c r="A21" s="47"/>
      <c r="B21" s="47"/>
      <c r="C21" s="47"/>
      <c r="D21" s="47"/>
      <c r="E21" s="47"/>
      <c r="F21" s="47"/>
      <c r="G21" s="47"/>
      <c r="H21" s="47"/>
      <c r="I21" s="47"/>
      <c r="J21" s="47"/>
      <c r="L21" s="73"/>
      <c r="M21" s="72"/>
    </row>
    <row r="22">
      <c r="A22" s="47"/>
      <c r="B22" s="47"/>
      <c r="C22" s="47"/>
      <c r="D22" s="47"/>
      <c r="E22" s="47"/>
      <c r="F22" s="47"/>
      <c r="G22" s="47"/>
      <c r="H22" s="47"/>
      <c r="I22" s="47"/>
      <c r="J22" s="47"/>
      <c r="L22" s="73"/>
      <c r="M22" s="72"/>
    </row>
    <row r="23">
      <c r="A23" s="47"/>
      <c r="B23" s="47"/>
      <c r="C23" s="47"/>
      <c r="D23" s="47"/>
      <c r="E23" s="47"/>
      <c r="F23" s="47"/>
      <c r="G23" s="47"/>
      <c r="H23" s="47"/>
      <c r="I23" s="47"/>
      <c r="J23" s="47"/>
      <c r="L23" s="74"/>
      <c r="M23" s="75"/>
    </row>
    <row r="24">
      <c r="A24" s="47"/>
      <c r="B24" s="47"/>
      <c r="C24" s="47"/>
      <c r="D24" s="47"/>
      <c r="E24" s="47"/>
      <c r="F24" s="47"/>
      <c r="G24" s="47"/>
      <c r="H24" s="47"/>
      <c r="I24" s="47"/>
      <c r="J24" s="47"/>
    </row>
  </sheetData>
  <mergeCells count="6">
    <mergeCell ref="A1:J1"/>
    <mergeCell ref="L1:M1"/>
    <mergeCell ref="L13:M13"/>
    <mergeCell ref="B16:E16"/>
    <mergeCell ref="L18:M18"/>
    <mergeCell ref="L19:M23"/>
  </mergeCells>
  <hyperlinks>
    <hyperlink r:id="rId2" ref="G11"/>
    <hyperlink r:id="rId3" ref="G12"/>
    <hyperlink r:id="rId4" ref="G13"/>
  </hyperlinks>
  <drawing r:id="rId5"/>
  <legacyDrawing r:id="rId6"/>
  <tableParts count="1">
    <tablePart r:id="rId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21.57"/>
    <col customWidth="1" min="4" max="4" width="25.86"/>
    <col customWidth="1" min="5" max="5" width="21.57"/>
    <col customWidth="1" min="6" max="6" width="32.0"/>
    <col customWidth="1" min="7" max="9" width="21.57"/>
    <col customWidth="1" min="15" max="15" width="19.14"/>
    <col customWidth="1" min="18" max="18" width="20.43"/>
  </cols>
  <sheetData>
    <row r="1">
      <c r="A1" s="76" t="s">
        <v>10</v>
      </c>
      <c r="B1" s="77" t="s">
        <v>11</v>
      </c>
      <c r="C1" s="77" t="s">
        <v>50</v>
      </c>
      <c r="D1" s="77" t="s">
        <v>13</v>
      </c>
      <c r="E1" s="77" t="s">
        <v>14</v>
      </c>
      <c r="F1" s="78" t="s">
        <v>51</v>
      </c>
      <c r="G1" s="79" t="s">
        <v>52</v>
      </c>
      <c r="H1" s="80"/>
      <c r="I1" s="80"/>
      <c r="J1" s="81"/>
      <c r="K1" s="82"/>
    </row>
    <row r="2">
      <c r="A2" s="83" t="s">
        <v>19</v>
      </c>
      <c r="B2" s="84">
        <v>0.0905</v>
      </c>
      <c r="C2" s="84" t="s">
        <v>53</v>
      </c>
      <c r="D2" s="84">
        <v>0.1</v>
      </c>
      <c r="E2" s="84">
        <v>0.7</v>
      </c>
      <c r="F2" s="85">
        <v>10.0</v>
      </c>
      <c r="G2" s="86"/>
      <c r="H2" s="16"/>
      <c r="I2" s="87"/>
      <c r="J2" s="88" t="s">
        <v>54</v>
      </c>
      <c r="K2" s="89"/>
      <c r="O2" s="1" t="s">
        <v>55</v>
      </c>
    </row>
    <row r="3">
      <c r="A3" s="83" t="s">
        <v>21</v>
      </c>
      <c r="B3" s="84" t="s">
        <v>56</v>
      </c>
      <c r="C3" s="90" t="s">
        <v>57</v>
      </c>
      <c r="D3" s="84">
        <v>1.0</v>
      </c>
      <c r="E3" s="84">
        <v>1.0</v>
      </c>
      <c r="F3" s="91">
        <f>360/60/60/24/365</f>
        <v>0.00001141552511</v>
      </c>
      <c r="G3" s="86"/>
      <c r="H3" s="16"/>
      <c r="I3" s="87"/>
      <c r="J3" s="92" t="s">
        <v>58</v>
      </c>
      <c r="K3" s="93"/>
      <c r="O3" s="1" t="s">
        <v>59</v>
      </c>
      <c r="P3" s="94">
        <v>2.0E-8</v>
      </c>
      <c r="Q3" s="1" t="s">
        <v>60</v>
      </c>
      <c r="R3" s="95" t="s">
        <v>61</v>
      </c>
    </row>
    <row r="4">
      <c r="A4" s="83" t="s">
        <v>24</v>
      </c>
      <c r="B4" s="84" t="s">
        <v>62</v>
      </c>
      <c r="C4" s="84" t="s">
        <v>63</v>
      </c>
      <c r="D4" s="85">
        <v>0.25</v>
      </c>
      <c r="E4" s="84">
        <v>0.8</v>
      </c>
      <c r="F4" s="85">
        <v>8.5</v>
      </c>
      <c r="G4" s="86"/>
      <c r="H4" s="16"/>
      <c r="I4" s="87"/>
      <c r="J4" s="92" t="s">
        <v>64</v>
      </c>
      <c r="K4" s="93"/>
      <c r="N4" s="1" t="s">
        <v>65</v>
      </c>
      <c r="O4" s="1" t="s">
        <v>66</v>
      </c>
      <c r="P4" s="96">
        <v>4511.8245</v>
      </c>
      <c r="Q4" s="1" t="s">
        <v>67</v>
      </c>
    </row>
    <row r="5">
      <c r="A5" s="83" t="s">
        <v>68</v>
      </c>
      <c r="B5" s="84" t="s">
        <v>69</v>
      </c>
      <c r="C5" s="84">
        <v>850.0</v>
      </c>
      <c r="D5" s="84">
        <v>2.0</v>
      </c>
      <c r="E5" s="84">
        <v>0.1</v>
      </c>
      <c r="F5" s="91">
        <f>7200/60/60/24/365</f>
        <v>0.0002283105023</v>
      </c>
      <c r="G5" s="86"/>
      <c r="H5" s="16"/>
      <c r="I5" s="87"/>
      <c r="J5" s="95" t="s">
        <v>70</v>
      </c>
      <c r="K5" s="97"/>
      <c r="O5" s="1" t="s">
        <v>71</v>
      </c>
      <c r="P5" s="94">
        <v>8.17E-6</v>
      </c>
      <c r="Q5" s="1" t="s">
        <v>72</v>
      </c>
      <c r="R5" s="95" t="s">
        <v>61</v>
      </c>
    </row>
    <row r="6">
      <c r="A6" s="98" t="s">
        <v>28</v>
      </c>
      <c r="B6" s="99">
        <v>0.0905</v>
      </c>
      <c r="C6" s="99" t="s">
        <v>53</v>
      </c>
      <c r="D6" s="99">
        <v>0.1</v>
      </c>
      <c r="E6" s="99">
        <v>0.7</v>
      </c>
      <c r="F6" s="100">
        <v>10.0</v>
      </c>
      <c r="G6" s="101"/>
      <c r="H6" s="16"/>
      <c r="I6" s="102" t="s">
        <v>73</v>
      </c>
      <c r="J6" s="95" t="s">
        <v>74</v>
      </c>
      <c r="K6" s="89"/>
      <c r="O6" s="1" t="s">
        <v>75</v>
      </c>
    </row>
    <row r="7">
      <c r="A7" s="103"/>
      <c r="B7" s="16"/>
      <c r="C7" s="16"/>
      <c r="D7" s="87"/>
      <c r="E7" s="16"/>
      <c r="F7" s="16"/>
      <c r="G7" s="16"/>
      <c r="H7" s="16"/>
      <c r="I7" s="87"/>
      <c r="J7" s="49"/>
      <c r="K7" s="97"/>
    </row>
    <row r="8">
      <c r="A8" s="104"/>
      <c r="B8" s="105" t="s">
        <v>76</v>
      </c>
      <c r="C8" s="106" t="s">
        <v>77</v>
      </c>
      <c r="D8" s="87"/>
      <c r="E8" s="16"/>
      <c r="F8" s="16" t="s">
        <v>78</v>
      </c>
      <c r="G8" s="16"/>
      <c r="H8" s="16"/>
      <c r="I8" s="87"/>
      <c r="J8" s="103"/>
      <c r="K8" s="107"/>
    </row>
    <row r="9">
      <c r="A9" s="108" t="s">
        <v>19</v>
      </c>
      <c r="B9" s="16">
        <f>0.0905</f>
        <v>0.0905</v>
      </c>
      <c r="C9" s="109">
        <f>2*(C10+C11+C12)</f>
        <v>19002</v>
      </c>
      <c r="D9" s="87"/>
      <c r="E9" s="16"/>
      <c r="F9" s="16" t="s">
        <v>79</v>
      </c>
      <c r="G9" s="16"/>
      <c r="H9" s="16"/>
      <c r="I9" s="87"/>
      <c r="J9" s="103"/>
      <c r="K9" s="107"/>
    </row>
    <row r="10">
      <c r="A10" s="110" t="s">
        <v>21</v>
      </c>
      <c r="B10" s="111">
        <f>0.75*(0.01+100)</f>
        <v>75.0075</v>
      </c>
      <c r="C10" s="112">
        <v>401.0</v>
      </c>
      <c r="D10" s="87"/>
      <c r="E10" s="16"/>
      <c r="F10" s="16"/>
      <c r="G10" s="16"/>
      <c r="H10" s="16"/>
      <c r="I10" s="87"/>
      <c r="J10" s="103"/>
      <c r="K10" s="107"/>
    </row>
    <row r="11">
      <c r="A11" s="108" t="s">
        <v>24</v>
      </c>
      <c r="B11" s="16">
        <f>0.75*(0.0081+0.5)</f>
        <v>0.381075</v>
      </c>
      <c r="C11" s="109">
        <f>0.75*(2500+8500)</f>
        <v>8250</v>
      </c>
      <c r="D11" s="87"/>
      <c r="E11" s="16"/>
      <c r="F11" s="16"/>
      <c r="G11" s="16"/>
      <c r="H11" s="16"/>
      <c r="I11" s="87"/>
      <c r="J11" s="103"/>
      <c r="K11" s="107"/>
    </row>
    <row r="12">
      <c r="A12" s="113" t="s">
        <v>68</v>
      </c>
      <c r="B12" s="114">
        <f>0.75*(19.7+197)</f>
        <v>162.525</v>
      </c>
      <c r="C12" s="115">
        <f>850</f>
        <v>850</v>
      </c>
      <c r="D12" s="87"/>
      <c r="E12" s="16"/>
      <c r="F12" s="16"/>
      <c r="G12" s="16"/>
      <c r="H12" s="16"/>
      <c r="I12" s="87"/>
      <c r="J12" s="103"/>
      <c r="K12" s="107"/>
    </row>
    <row r="13">
      <c r="A13" s="103"/>
      <c r="B13" s="16"/>
      <c r="C13" s="16"/>
      <c r="D13" s="87"/>
      <c r="E13" s="16"/>
      <c r="F13" s="47"/>
      <c r="G13" s="16"/>
      <c r="H13" s="16"/>
      <c r="I13" s="87"/>
      <c r="J13" s="103"/>
      <c r="K13" s="107" t="s">
        <v>26</v>
      </c>
    </row>
    <row r="14">
      <c r="A14" s="103"/>
      <c r="B14" s="16"/>
      <c r="C14" s="16"/>
      <c r="D14" s="87"/>
      <c r="E14" s="16"/>
      <c r="F14" s="16"/>
      <c r="G14" s="16"/>
      <c r="H14" s="16"/>
      <c r="I14" s="87"/>
      <c r="J14" s="103"/>
      <c r="K14" s="116" t="s">
        <v>80</v>
      </c>
      <c r="O14" s="1" t="s">
        <v>81</v>
      </c>
      <c r="P14" s="1" t="s">
        <v>82</v>
      </c>
      <c r="R14" s="1" t="s">
        <v>83</v>
      </c>
      <c r="S14" s="1" t="s">
        <v>84</v>
      </c>
      <c r="T14" s="95" t="s">
        <v>85</v>
      </c>
    </row>
    <row r="15">
      <c r="A15" s="117" t="s">
        <v>86</v>
      </c>
      <c r="B15" s="118" t="s">
        <v>87</v>
      </c>
      <c r="C15" s="119">
        <v>359.0</v>
      </c>
      <c r="D15" s="119">
        <v>1.0</v>
      </c>
      <c r="E15" s="120">
        <v>1.0</v>
      </c>
      <c r="F15" s="16"/>
      <c r="G15" s="16"/>
      <c r="H15" s="16"/>
      <c r="I15" s="87"/>
      <c r="J15" s="88"/>
      <c r="K15" s="89"/>
      <c r="O15" s="1" t="s">
        <v>88</v>
      </c>
      <c r="P15" s="1">
        <v>733.0</v>
      </c>
      <c r="R15" s="1" t="s">
        <v>89</v>
      </c>
      <c r="S15" s="1">
        <v>359.0</v>
      </c>
    </row>
    <row r="16">
      <c r="B16" s="49"/>
      <c r="C16" s="49"/>
      <c r="D16" s="49"/>
      <c r="E16" s="49"/>
      <c r="F16" s="49"/>
      <c r="G16" s="49"/>
      <c r="H16" s="49"/>
      <c r="I16" s="49"/>
      <c r="N16" s="121"/>
      <c r="O16" s="1" t="s">
        <v>90</v>
      </c>
      <c r="R16" s="1" t="s">
        <v>91</v>
      </c>
      <c r="S16" s="1">
        <v>2355.0</v>
      </c>
    </row>
    <row r="17">
      <c r="R17" s="1" t="s">
        <v>92</v>
      </c>
      <c r="S17" s="1">
        <v>27755.0</v>
      </c>
    </row>
    <row r="18">
      <c r="R18" s="1" t="s">
        <v>93</v>
      </c>
      <c r="S18" s="1">
        <v>294.3</v>
      </c>
    </row>
    <row r="19">
      <c r="R19" s="1" t="s">
        <v>94</v>
      </c>
      <c r="S19" s="1">
        <v>68.0</v>
      </c>
      <c r="T19" s="1" t="s">
        <v>95</v>
      </c>
    </row>
  </sheetData>
  <hyperlinks>
    <hyperlink r:id="rId2" ref="R3"/>
    <hyperlink r:id="rId3" ref="J5"/>
    <hyperlink r:id="rId4" ref="R5"/>
    <hyperlink r:id="rId5" location=":~:text=The%20first%20ion%20thrusters%20did,for%207%20to%2010%20years." ref="J6"/>
    <hyperlink r:id="rId6" ref="K14"/>
    <hyperlink r:id="rId7" ref="T14"/>
  </hyperlinks>
  <drawing r:id="rId8"/>
  <legacyDrawing r:id="rId9"/>
  <tableParts count="1">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26.57"/>
    <col customWidth="1" min="5" max="5" width="15.71"/>
    <col customWidth="1" min="6" max="6" width="16.14"/>
    <col customWidth="1" min="12" max="12" width="77.71"/>
  </cols>
  <sheetData>
    <row r="1">
      <c r="A1" s="122" t="s">
        <v>96</v>
      </c>
      <c r="B1" s="123"/>
      <c r="C1" s="123"/>
      <c r="D1" s="123"/>
      <c r="E1" s="123"/>
      <c r="F1" s="123"/>
      <c r="G1" s="123"/>
      <c r="H1" s="123"/>
      <c r="I1" s="124"/>
      <c r="J1" s="47"/>
      <c r="K1" s="122" t="s">
        <v>97</v>
      </c>
      <c r="L1" s="124"/>
    </row>
    <row r="2">
      <c r="A2" s="125" t="s">
        <v>9</v>
      </c>
      <c r="B2" s="126" t="s">
        <v>10</v>
      </c>
      <c r="C2" s="126" t="s">
        <v>98</v>
      </c>
      <c r="D2" s="127" t="s">
        <v>99</v>
      </c>
      <c r="E2" s="128" t="s">
        <v>100</v>
      </c>
      <c r="F2" s="129" t="s">
        <v>101</v>
      </c>
      <c r="G2" s="130" t="s">
        <v>16</v>
      </c>
      <c r="H2" s="130" t="s">
        <v>3</v>
      </c>
      <c r="I2" s="131" t="s">
        <v>4</v>
      </c>
      <c r="J2" s="132"/>
      <c r="K2" s="125" t="s">
        <v>17</v>
      </c>
      <c r="L2" s="133" t="s">
        <v>18</v>
      </c>
    </row>
    <row r="3">
      <c r="A3" s="134">
        <v>1.0</v>
      </c>
      <c r="B3" s="135" t="s">
        <v>102</v>
      </c>
      <c r="C3" s="136">
        <f>'Lift-Off Systems - Values'!B2/$C$10</f>
        <v>7.826396924</v>
      </c>
      <c r="D3" s="137">
        <f>'Lift-Off Systems - Values'!D2/$D$10</f>
        <v>11.68174769</v>
      </c>
      <c r="E3" s="137">
        <f>'Lift-Off Systems - Values'!E2*('Lift-Off Systems - Values'!F2/2)^2/$E$10</f>
        <v>1.514941966</v>
      </c>
      <c r="F3" s="137">
        <f>'Lift-Off Systems - Values'!C2/$F$10</f>
        <v>1.019498607</v>
      </c>
      <c r="G3" s="136">
        <f>'Lift-Off Systems - Values'!H2/$G$10</f>
        <v>25</v>
      </c>
      <c r="H3" s="137">
        <f>(1+'Lift-Off Systems - Values'!I2)/(1+$H$10)</f>
        <v>0.01449275362</v>
      </c>
      <c r="I3" s="138">
        <f>H3*(C3*0.25+D3*0.3+E3*0.15+F3*0.25+G3*0.05)</f>
        <v>0.1042498476</v>
      </c>
      <c r="J3" s="19"/>
      <c r="K3" s="139" t="s">
        <v>98</v>
      </c>
      <c r="L3" s="140" t="s">
        <v>103</v>
      </c>
    </row>
    <row r="4">
      <c r="A4" s="83">
        <v>2.0</v>
      </c>
      <c r="B4" s="141" t="s">
        <v>104</v>
      </c>
      <c r="C4" s="142">
        <f>'Lift-Off Systems - Values'!B3/$C$10</f>
        <v>4.562358295</v>
      </c>
      <c r="D4" s="143">
        <f>'Lift-Off Systems - Values'!D3/$D$10</f>
        <v>8.215384615</v>
      </c>
      <c r="E4" s="143">
        <f>'Lift-Off Systems - Values'!E3*('Lift-Off Systems - Values'!F3/2)^2/$E$10</f>
        <v>1.834628386</v>
      </c>
      <c r="F4" s="143">
        <f>'Lift-Off Systems - Values'!C3/$F$10</f>
        <v>0.7855153203</v>
      </c>
      <c r="G4" s="142">
        <f>'Lift-Off Systems - Values'!H3/$G$10</f>
        <v>1.125</v>
      </c>
      <c r="H4" s="143">
        <f>(1+'Lift-Off Systems - Values'!I3)/(1+$H$10)</f>
        <v>0.05797101449</v>
      </c>
      <c r="I4" s="144">
        <f t="shared" ref="I4:I10" si="1">H4*(C4*0.25+D4*0.3+E4*0.1+F4*0.25+G4*0.1)</f>
        <v>0.2375389349</v>
      </c>
      <c r="J4" s="19"/>
      <c r="K4" s="145" t="s">
        <v>99</v>
      </c>
      <c r="L4" s="146" t="s">
        <v>105</v>
      </c>
    </row>
    <row r="5">
      <c r="A5" s="83">
        <v>3.0</v>
      </c>
      <c r="B5" s="141" t="s">
        <v>106</v>
      </c>
      <c r="C5" s="142">
        <f>'Lift-Off Systems - Values'!B4/$C$10</f>
        <v>14.39545104</v>
      </c>
      <c r="D5" s="143">
        <f>'Lift-Off Systems - Values'!D4/$D$10</f>
        <v>30.70471385</v>
      </c>
      <c r="E5" s="143">
        <f>'Lift-Off Systems - Values'!E4*('Lift-Off Systems - Values'!F4/2)^2/$E$10</f>
        <v>7.55140303</v>
      </c>
      <c r="F5" s="143">
        <f>'Lift-Off Systems - Values'!C4/$F$10</f>
        <v>0.9192200557</v>
      </c>
      <c r="G5" s="142">
        <f>'Lift-Off Systems - Values'!H4/$G$10</f>
        <v>0.125</v>
      </c>
      <c r="H5" s="143">
        <f>(1+'Lift-Off Systems - Values'!I4)/(1+$H$10)</f>
        <v>0.01449275362</v>
      </c>
      <c r="I5" s="144">
        <f t="shared" si="1"/>
        <v>0.2001119164</v>
      </c>
      <c r="J5" s="19"/>
      <c r="K5" s="147" t="s">
        <v>100</v>
      </c>
      <c r="L5" s="148" t="s">
        <v>107</v>
      </c>
    </row>
    <row r="6">
      <c r="A6" s="83">
        <v>4.0</v>
      </c>
      <c r="B6" s="141" t="s">
        <v>108</v>
      </c>
      <c r="C6" s="142">
        <f>'Lift-Off Systems - Values'!B5/$C$10</f>
        <v>2.454909481</v>
      </c>
      <c r="D6" s="143">
        <f>'Lift-Off Systems - Values'!D5/$D$10</f>
        <v>1.184615385</v>
      </c>
      <c r="E6" s="143">
        <f>'Lift-Off Systems - Values'!E5*('Lift-Off Systems - Values'!F5/2)^2/$E$10</f>
        <v>0.8261597315</v>
      </c>
      <c r="F6" s="143">
        <f>'Lift-Off Systems - Values'!C5/$F$10</f>
        <v>0.8671309192</v>
      </c>
      <c r="G6" s="142">
        <f>'Lift-Off Systems - Values'!H5/$G$10</f>
        <v>1.3625</v>
      </c>
      <c r="H6" s="143">
        <f>(1+'Lift-Off Systems - Values'!I5)/(1+$H$10)</f>
        <v>0.1884057971</v>
      </c>
      <c r="I6" s="144">
        <f t="shared" si="1"/>
        <v>0.2646650573</v>
      </c>
      <c r="J6" s="19"/>
      <c r="K6" s="149" t="s">
        <v>109</v>
      </c>
      <c r="L6" s="150" t="s">
        <v>110</v>
      </c>
    </row>
    <row r="7">
      <c r="A7" s="83">
        <v>5.0</v>
      </c>
      <c r="B7" s="141" t="s">
        <v>111</v>
      </c>
      <c r="C7" s="142">
        <f>'Lift-Off Systems - Values'!B6/$C$10</f>
        <v>1.620419909</v>
      </c>
      <c r="D7" s="143">
        <f>'Lift-Off Systems - Values'!D6/$D$10</f>
        <v>2.024615385</v>
      </c>
      <c r="E7" s="143">
        <f>'Lift-Off Systems - Values'!E6*('Lift-Off Systems - Values'!F6/2)^2/$E$10</f>
        <v>0.727531568</v>
      </c>
      <c r="F7" s="143">
        <f>'Lift-Off Systems - Values'!C6/$F$10</f>
        <v>0.9136490251</v>
      </c>
      <c r="G7" s="142">
        <f>'Lift-Off Systems - Values'!H6/$G$10</f>
        <v>1.8625</v>
      </c>
      <c r="H7" s="143">
        <f>(1+'Lift-Off Systems - Values'!I6)/(1+$H$10)</f>
        <v>0.2028985507</v>
      </c>
      <c r="I7" s="144">
        <f t="shared" si="1"/>
        <v>0.3043285519</v>
      </c>
      <c r="J7" s="19"/>
    </row>
    <row r="8">
      <c r="A8" s="83">
        <v>6.0</v>
      </c>
      <c r="B8" s="141" t="s">
        <v>112</v>
      </c>
      <c r="C8" s="142">
        <f>'Lift-Off Systems - Values'!B7/$C$10</f>
        <v>2.941658008</v>
      </c>
      <c r="D8" s="143">
        <f>'Lift-Off Systems - Values'!D7/$D$10</f>
        <v>2.215384615</v>
      </c>
      <c r="E8" s="143">
        <f>'Lift-Off Systems - Values'!E7*('Lift-Off Systems - Values'!F7/2)^2/$E$10</f>
        <v>2.340934939</v>
      </c>
      <c r="F8" s="143">
        <f>'Lift-Off Systems - Values'!C7/$F$10</f>
        <v>1.276601671</v>
      </c>
      <c r="G8" s="142">
        <f>'Lift-Off Systems - Values'!H7/$G$10</f>
        <v>1.25</v>
      </c>
      <c r="H8" s="143">
        <f>(1+'Lift-Off Systems - Values'!I7)/(1+$H$10)</f>
        <v>0.01449275362</v>
      </c>
      <c r="I8" s="144">
        <f t="shared" si="1"/>
        <v>0.03011991012</v>
      </c>
      <c r="J8" s="19"/>
    </row>
    <row r="9">
      <c r="A9" s="151">
        <v>7.0</v>
      </c>
      <c r="B9" s="152" t="s">
        <v>82</v>
      </c>
      <c r="C9" s="153">
        <f>'Lift-Off Systems - Values'!B8/$C$10</f>
        <v>1</v>
      </c>
      <c r="D9" s="154">
        <f>'Lift-Off Systems - Values'!D8/$D$10</f>
        <v>1</v>
      </c>
      <c r="E9" s="154">
        <f>'Lift-Off Systems - Values'!E8*('Lift-Off Systems - Values'!F8/2)^2/$E$10</f>
        <v>1</v>
      </c>
      <c r="F9" s="154">
        <f>'Lift-Off Systems - Values'!C8/$F$10</f>
        <v>1</v>
      </c>
      <c r="G9" s="153">
        <f>'Lift-Off Systems - Values'!H8/$G$10</f>
        <v>1</v>
      </c>
      <c r="H9" s="154">
        <f>(1+'Lift-Off Systems - Values'!I8)/(1+$H$10)</f>
        <v>1</v>
      </c>
      <c r="I9" s="155">
        <f t="shared" si="1"/>
        <v>1</v>
      </c>
      <c r="J9" s="47"/>
    </row>
    <row r="10">
      <c r="A10" s="156">
        <v>8.0</v>
      </c>
      <c r="B10" s="157" t="s">
        <v>48</v>
      </c>
      <c r="C10" s="158">
        <f>'Lift-Off Systems - Values'!B8</f>
        <v>5001580</v>
      </c>
      <c r="D10" s="159">
        <f>'Lift-Off Systems - Values'!D8</f>
        <v>3250</v>
      </c>
      <c r="E10" s="160">
        <f>'Lift-Off Systems - Values'!E8*('Lift-Off Systems - Values'!F8/2)^2</f>
        <v>48.26917575</v>
      </c>
      <c r="F10" s="161">
        <f>'Lift-Off Systems - Values'!C8</f>
        <v>359</v>
      </c>
      <c r="G10" s="162">
        <f>'Lift-Off Systems - Values'!H8</f>
        <v>80000000</v>
      </c>
      <c r="H10" s="163">
        <v>68.0</v>
      </c>
      <c r="I10" s="164">
        <f t="shared" si="1"/>
        <v>629099591.2</v>
      </c>
      <c r="J10" s="47"/>
      <c r="K10" s="165" t="s">
        <v>113</v>
      </c>
      <c r="L10" s="4"/>
    </row>
    <row r="11">
      <c r="A11" s="47"/>
      <c r="B11" s="47"/>
      <c r="C11" s="47"/>
      <c r="D11" s="47"/>
      <c r="E11" s="47"/>
      <c r="F11" s="47"/>
      <c r="G11" s="47"/>
      <c r="H11" s="47"/>
      <c r="I11" s="47"/>
      <c r="J11" s="47"/>
      <c r="K11" s="166" t="s">
        <v>114</v>
      </c>
      <c r="L11" s="167" t="s">
        <v>115</v>
      </c>
    </row>
    <row r="12">
      <c r="A12" s="47"/>
      <c r="B12" s="47"/>
      <c r="C12" s="47"/>
      <c r="D12" s="47"/>
      <c r="E12" s="47"/>
      <c r="F12" s="47"/>
      <c r="G12" s="47"/>
      <c r="H12" s="47"/>
      <c r="I12" s="47"/>
      <c r="J12" s="47"/>
      <c r="K12" s="168" t="s">
        <v>3</v>
      </c>
      <c r="L12" s="169" t="s">
        <v>116</v>
      </c>
    </row>
    <row r="13">
      <c r="A13" s="47"/>
      <c r="B13" s="47"/>
      <c r="C13" s="47"/>
      <c r="D13" s="47"/>
      <c r="E13" s="47"/>
      <c r="F13" s="47"/>
      <c r="G13" s="47"/>
      <c r="H13" s="47"/>
      <c r="I13" s="47"/>
      <c r="J13" s="47"/>
      <c r="K13" s="170" t="s">
        <v>4</v>
      </c>
      <c r="L13" s="171" t="s">
        <v>117</v>
      </c>
    </row>
    <row r="14">
      <c r="A14" s="47"/>
      <c r="B14" s="47"/>
      <c r="C14" s="47"/>
      <c r="D14" s="47"/>
      <c r="E14" s="47"/>
      <c r="F14" s="47"/>
      <c r="G14" s="47"/>
      <c r="H14" s="47"/>
      <c r="I14" s="47"/>
      <c r="J14" s="47"/>
      <c r="L14" s="172" t="s">
        <v>118</v>
      </c>
    </row>
    <row r="15">
      <c r="A15" s="47"/>
      <c r="B15" s="47"/>
      <c r="C15" s="47"/>
      <c r="D15" s="47"/>
      <c r="E15" s="47"/>
      <c r="F15" s="47"/>
      <c r="G15" s="47"/>
      <c r="H15" s="47"/>
      <c r="I15" s="47"/>
      <c r="J15" s="47"/>
    </row>
    <row r="16">
      <c r="A16" s="47"/>
      <c r="B16" s="47"/>
      <c r="C16" s="47"/>
      <c r="D16" s="47"/>
      <c r="E16" s="47"/>
      <c r="F16" s="47"/>
      <c r="G16" s="47"/>
      <c r="H16" s="47"/>
      <c r="I16" s="47"/>
      <c r="J16" s="47"/>
      <c r="L16" s="172"/>
    </row>
    <row r="17">
      <c r="A17" s="47"/>
      <c r="B17" s="47"/>
      <c r="C17" s="47"/>
      <c r="D17" s="47"/>
      <c r="E17" s="47"/>
      <c r="F17" s="47"/>
      <c r="G17" s="47"/>
      <c r="H17" s="47"/>
      <c r="I17" s="47"/>
      <c r="J17" s="47"/>
    </row>
    <row r="18">
      <c r="A18" s="47"/>
      <c r="B18" s="47"/>
      <c r="C18" s="47"/>
      <c r="D18" s="47"/>
      <c r="E18" s="47"/>
      <c r="F18" s="47"/>
      <c r="G18" s="47"/>
      <c r="H18" s="47"/>
      <c r="I18" s="47"/>
      <c r="J18" s="47"/>
    </row>
    <row r="19">
      <c r="A19" s="47"/>
      <c r="B19" s="47"/>
      <c r="C19" s="47"/>
      <c r="D19" s="47"/>
      <c r="E19" s="47"/>
      <c r="F19" s="47"/>
      <c r="G19" s="47"/>
      <c r="H19" s="47"/>
      <c r="I19" s="47"/>
      <c r="J19" s="47"/>
    </row>
    <row r="20">
      <c r="A20" s="47"/>
      <c r="B20" s="47"/>
      <c r="C20" s="47"/>
      <c r="D20" s="47"/>
      <c r="E20" s="47"/>
      <c r="F20" s="47"/>
      <c r="G20" s="47"/>
      <c r="H20" s="47"/>
      <c r="I20" s="47"/>
      <c r="J20" s="47"/>
    </row>
    <row r="21">
      <c r="A21" s="47"/>
      <c r="B21" s="47"/>
      <c r="C21" s="47"/>
      <c r="D21" s="47"/>
      <c r="E21" s="47"/>
      <c r="F21" s="47"/>
      <c r="G21" s="47"/>
      <c r="H21" s="47"/>
      <c r="I21" s="47"/>
      <c r="J21" s="47"/>
    </row>
  </sheetData>
  <mergeCells count="3">
    <mergeCell ref="A1:I1"/>
    <mergeCell ref="K1:L1"/>
    <mergeCell ref="K10:L10"/>
  </mergeCells>
  <drawing r:id="rId2"/>
  <legacyDrawing r:id="rId3"/>
  <tableParts count="2">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43"/>
    <col customWidth="1" min="2" max="2" width="14.43"/>
    <col customWidth="1" min="3" max="3" width="19.0"/>
    <col customWidth="1" min="4" max="4" width="17.0"/>
    <col customWidth="1" min="5" max="6" width="20.29"/>
    <col customWidth="1" min="7" max="7" width="19.43"/>
    <col customWidth="1" min="8" max="8" width="14.14"/>
    <col customWidth="1" min="9" max="9" width="36.0"/>
  </cols>
  <sheetData>
    <row r="1">
      <c r="A1" s="173" t="s">
        <v>119</v>
      </c>
      <c r="B1" s="174" t="s">
        <v>120</v>
      </c>
      <c r="C1" s="77" t="s">
        <v>121</v>
      </c>
      <c r="D1" s="77" t="s">
        <v>122</v>
      </c>
      <c r="E1" s="77" t="s">
        <v>123</v>
      </c>
      <c r="F1" s="77" t="s">
        <v>124</v>
      </c>
      <c r="G1" s="77" t="s">
        <v>125</v>
      </c>
      <c r="H1" s="77" t="s">
        <v>126</v>
      </c>
      <c r="I1" s="175" t="s">
        <v>127</v>
      </c>
      <c r="J1" s="81"/>
      <c r="K1" s="81"/>
      <c r="L1" s="81"/>
    </row>
    <row r="2">
      <c r="A2" s="139" t="s">
        <v>128</v>
      </c>
      <c r="B2" s="176">
        <v>3.91443503286079E7</v>
      </c>
      <c r="C2" s="177">
        <v>366.0</v>
      </c>
      <c r="D2" s="177">
        <v>37965.68</v>
      </c>
      <c r="E2" s="178">
        <v>11.7</v>
      </c>
      <c r="F2" s="178">
        <v>5.0</v>
      </c>
      <c r="G2" s="177">
        <v>2.0</v>
      </c>
      <c r="H2" s="179">
        <v>2.0E9</v>
      </c>
      <c r="I2" s="180">
        <v>0.0</v>
      </c>
      <c r="J2" s="95" t="s">
        <v>129</v>
      </c>
      <c r="K2" s="55" t="s">
        <v>130</v>
      </c>
      <c r="L2" s="181" t="s">
        <v>131</v>
      </c>
    </row>
    <row r="3">
      <c r="A3" s="145" t="s">
        <v>104</v>
      </c>
      <c r="B3" s="182">
        <v>2.2819E7</v>
      </c>
      <c r="C3" s="183">
        <v>282.0</v>
      </c>
      <c r="D3" s="183">
        <v>26700.0</v>
      </c>
      <c r="E3" s="184">
        <v>13.1</v>
      </c>
      <c r="F3" s="184">
        <v>5.2</v>
      </c>
      <c r="G3" s="183">
        <v>3.0</v>
      </c>
      <c r="H3" s="185">
        <v>9.0E7</v>
      </c>
      <c r="I3" s="186">
        <v>3.0</v>
      </c>
      <c r="J3" s="95" t="s">
        <v>132</v>
      </c>
      <c r="L3" s="47"/>
    </row>
    <row r="4">
      <c r="A4" s="145" t="s">
        <v>106</v>
      </c>
      <c r="B4" s="182">
        <v>7.2E7</v>
      </c>
      <c r="C4" s="183">
        <v>330.0</v>
      </c>
      <c r="D4" s="183">
        <v>99790.32</v>
      </c>
      <c r="E4" s="184">
        <v>18.0</v>
      </c>
      <c r="F4" s="184">
        <v>9.0</v>
      </c>
      <c r="G4" s="183">
        <v>0.0</v>
      </c>
      <c r="H4" s="185">
        <v>1.0E7</v>
      </c>
      <c r="I4" s="186">
        <v>0.0</v>
      </c>
      <c r="J4" s="95" t="s">
        <v>133</v>
      </c>
      <c r="K4" s="95" t="s">
        <v>134</v>
      </c>
      <c r="L4" s="103"/>
    </row>
    <row r="5">
      <c r="A5" s="145" t="s">
        <v>108</v>
      </c>
      <c r="B5" s="182">
        <v>1.22784261604609E7</v>
      </c>
      <c r="C5" s="183">
        <v>311.3</v>
      </c>
      <c r="D5" s="183">
        <v>3850.0</v>
      </c>
      <c r="E5" s="184">
        <v>7.631</v>
      </c>
      <c r="F5" s="184">
        <v>4.572</v>
      </c>
      <c r="G5" s="183">
        <v>5.0</v>
      </c>
      <c r="H5" s="185">
        <v>1.09E8</v>
      </c>
      <c r="I5" s="186">
        <v>12.0</v>
      </c>
      <c r="J5" s="95" t="s">
        <v>135</v>
      </c>
      <c r="K5" s="103"/>
      <c r="L5" s="103"/>
    </row>
    <row r="6">
      <c r="A6" s="145" t="s">
        <v>111</v>
      </c>
      <c r="B6" s="182">
        <v>8104659.80667314</v>
      </c>
      <c r="C6" s="183">
        <v>328.0</v>
      </c>
      <c r="D6" s="183">
        <v>6580.0</v>
      </c>
      <c r="E6" s="184">
        <v>6.72</v>
      </c>
      <c r="F6" s="184">
        <v>4.572</v>
      </c>
      <c r="G6" s="183">
        <v>4.0</v>
      </c>
      <c r="H6" s="185">
        <v>1.49E8</v>
      </c>
      <c r="I6" s="186">
        <v>13.0</v>
      </c>
      <c r="J6" s="95" t="s">
        <v>136</v>
      </c>
      <c r="K6" s="95" t="s">
        <v>137</v>
      </c>
      <c r="L6" s="103"/>
    </row>
    <row r="7">
      <c r="A7" s="145" t="s">
        <v>112</v>
      </c>
      <c r="B7" s="182">
        <v>1.47129378576026E7</v>
      </c>
      <c r="C7" s="183">
        <v>458.3</v>
      </c>
      <c r="D7" s="183">
        <v>7200.0</v>
      </c>
      <c r="E7" s="184">
        <v>15.5</v>
      </c>
      <c r="F7" s="184">
        <v>5.4</v>
      </c>
      <c r="G7" s="183">
        <v>6.0</v>
      </c>
      <c r="H7" s="185">
        <v>1.0E8</v>
      </c>
      <c r="I7" s="186">
        <v>0.0</v>
      </c>
      <c r="J7" s="95" t="s">
        <v>138</v>
      </c>
      <c r="K7" s="103"/>
      <c r="L7" s="103"/>
    </row>
    <row r="8">
      <c r="A8" s="187" t="s">
        <v>82</v>
      </c>
      <c r="B8" s="188">
        <v>5001580.0</v>
      </c>
      <c r="C8" s="189">
        <v>359.0</v>
      </c>
      <c r="D8" s="189">
        <v>3250.0</v>
      </c>
      <c r="E8" s="190">
        <v>11.43</v>
      </c>
      <c r="F8" s="190">
        <v>4.11</v>
      </c>
      <c r="G8" s="189">
        <v>4.0</v>
      </c>
      <c r="H8" s="191">
        <v>8.0E7</v>
      </c>
      <c r="I8" s="192">
        <v>68.0</v>
      </c>
      <c r="J8" s="95" t="s">
        <v>85</v>
      </c>
      <c r="K8" s="103"/>
      <c r="L8" s="103"/>
    </row>
    <row r="9">
      <c r="A9" s="103"/>
      <c r="B9" s="193"/>
      <c r="C9" s="194"/>
      <c r="D9" s="194"/>
      <c r="E9" s="193"/>
      <c r="F9" s="193"/>
      <c r="G9" s="193"/>
      <c r="H9" s="195"/>
      <c r="I9" s="196"/>
      <c r="J9" s="103"/>
      <c r="K9" s="103"/>
      <c r="L9" s="103"/>
    </row>
    <row r="10">
      <c r="A10" s="103"/>
      <c r="B10" s="193"/>
      <c r="C10" s="194"/>
      <c r="D10" s="194"/>
      <c r="E10" s="193"/>
      <c r="F10" s="193"/>
      <c r="G10" s="193"/>
      <c r="H10" s="195"/>
      <c r="I10" s="196"/>
      <c r="J10" s="49"/>
      <c r="K10" s="103"/>
      <c r="L10" s="103"/>
    </row>
    <row r="11">
      <c r="A11" s="103"/>
      <c r="B11" s="197"/>
      <c r="C11" s="197"/>
      <c r="D11" s="197"/>
      <c r="E11" s="197"/>
      <c r="F11" s="197"/>
      <c r="G11" s="197"/>
      <c r="H11" s="197"/>
      <c r="I11" s="55" t="s">
        <v>139</v>
      </c>
      <c r="J11" s="103"/>
      <c r="K11" s="103"/>
      <c r="L11" s="103"/>
    </row>
    <row r="12">
      <c r="L12" s="47"/>
    </row>
  </sheetData>
  <hyperlinks>
    <hyperlink r:id="rId1" ref="J2"/>
    <hyperlink r:id="rId2" ref="K2"/>
    <hyperlink r:id="rId3" ref="L2"/>
    <hyperlink r:id="rId4" ref="J3"/>
    <hyperlink r:id="rId5" ref="J4"/>
    <hyperlink r:id="rId6" location=":~:text=Last%20year%2C%20Musk%20said%20full,flight%20might%20be%20more%20realistic." ref="K4"/>
    <hyperlink r:id="rId7" ref="J5"/>
    <hyperlink r:id="rId8" ref="J6"/>
    <hyperlink r:id="rId9" ref="K6"/>
    <hyperlink r:id="rId10" ref="J7"/>
    <hyperlink r:id="rId11" ref="J8"/>
    <hyperlink r:id="rId12" ref="I11"/>
  </hyperlinks>
  <drawing r:id="rId13"/>
  <tableParts count="1">
    <tablePart r:id="rId15"/>
  </tableParts>
</worksheet>
</file>