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ehyun/Documents/FERMI 20144077 Ueda/Data/"/>
    </mc:Choice>
  </mc:AlternateContent>
  <xr:revisionPtr revIDLastSave="0" documentId="13_ncr:1_{096D06B5-30EA-9140-AAF8-BCE79D6F0D47}" xr6:coauthVersionLast="36" xr6:coauthVersionMax="36" xr10:uidLastSave="{00000000-0000-0000-0000-000000000000}"/>
  <bookViews>
    <workbookView xWindow="0" yWindow="460" windowWidth="33600" windowHeight="20540" xr2:uid="{20374876-1BA4-5248-8AA4-B248845CCD7C}"/>
  </bookViews>
  <sheets>
    <sheet name="summary" sheetId="1" r:id="rId1"/>
    <sheet name="measured" sheetId="6" r:id="rId2"/>
    <sheet name="TDHF" sheetId="7" r:id="rId3"/>
    <sheet name="TDCASSCF" sheetId="8" r:id="rId4"/>
    <sheet name="good1" sheetId="3" r:id="rId5"/>
    <sheet name="good2" sheetId="4" r:id="rId6"/>
    <sheet name="good3" sheetId="2" r:id="rId7"/>
    <sheet name="good4" sheetId="5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5" l="1"/>
  <c r="F3" i="5"/>
  <c r="F4" i="5"/>
  <c r="F5" i="5"/>
  <c r="F6" i="5"/>
  <c r="F7" i="5"/>
  <c r="F8" i="5"/>
  <c r="F9" i="5"/>
  <c r="D2" i="5"/>
  <c r="D3" i="5"/>
  <c r="D4" i="5"/>
  <c r="D5" i="5"/>
  <c r="D6" i="5"/>
  <c r="D7" i="5"/>
  <c r="D8" i="5"/>
  <c r="D9" i="5"/>
  <c r="F2" i="2"/>
  <c r="F3" i="2"/>
  <c r="F4" i="2"/>
  <c r="F5" i="2"/>
  <c r="F6" i="2"/>
  <c r="F7" i="2"/>
  <c r="F8" i="2"/>
  <c r="F9" i="2"/>
  <c r="D2" i="2"/>
  <c r="D3" i="2"/>
  <c r="D4" i="2"/>
  <c r="D5" i="2"/>
  <c r="D6" i="2"/>
  <c r="D7" i="2"/>
  <c r="D8" i="2"/>
  <c r="D9" i="2"/>
  <c r="F2" i="4"/>
  <c r="F3" i="4"/>
  <c r="F4" i="4"/>
  <c r="F5" i="4"/>
  <c r="F6" i="4"/>
  <c r="F7" i="4"/>
  <c r="F8" i="4"/>
  <c r="F9" i="4"/>
  <c r="D2" i="4"/>
  <c r="D3" i="4"/>
  <c r="D4" i="4"/>
  <c r="D5" i="4"/>
  <c r="D6" i="4"/>
  <c r="D7" i="4"/>
  <c r="D8" i="4"/>
  <c r="D9" i="4"/>
  <c r="F2" i="3"/>
  <c r="F3" i="3"/>
  <c r="F4" i="3"/>
  <c r="F5" i="3"/>
  <c r="F6" i="3"/>
  <c r="F7" i="3"/>
  <c r="F8" i="3"/>
  <c r="F9" i="3"/>
  <c r="D2" i="3"/>
  <c r="D3" i="3"/>
  <c r="D4" i="3"/>
  <c r="D5" i="3"/>
  <c r="D6" i="3"/>
  <c r="D7" i="3"/>
  <c r="D8" i="3"/>
  <c r="D9" i="3"/>
  <c r="I5" i="1"/>
  <c r="I4" i="1"/>
  <c r="I2" i="1"/>
  <c r="I3" i="1"/>
  <c r="D2" i="1"/>
  <c r="D3" i="1"/>
  <c r="D4" i="1"/>
  <c r="D5" i="1"/>
  <c r="F3" i="1"/>
  <c r="F4" i="1"/>
  <c r="F5" i="1"/>
  <c r="F2" i="1"/>
  <c r="E3" i="1"/>
  <c r="E4" i="1"/>
  <c r="E5" i="1"/>
  <c r="E2" i="1"/>
  <c r="C3" i="1"/>
  <c r="C4" i="1"/>
  <c r="C5" i="1"/>
  <c r="C2" i="1"/>
  <c r="K5" i="1" l="1"/>
  <c r="J5" i="1"/>
  <c r="H5" i="1"/>
  <c r="K4" i="1"/>
  <c r="J4" i="1"/>
  <c r="H4" i="1"/>
  <c r="K3" i="1"/>
  <c r="J3" i="1"/>
  <c r="H3" i="1"/>
  <c r="K2" i="1"/>
  <c r="J2" i="1"/>
  <c r="H2" i="1"/>
</calcChain>
</file>

<file path=xl/sharedStrings.xml><?xml version="1.0" encoding="utf-8"?>
<sst xmlns="http://schemas.openxmlformats.org/spreadsheetml/2006/main" count="115" uniqueCount="40">
  <si>
    <t>Dataset</t>
  </si>
  <si>
    <t>Photon (eV)</t>
  </si>
  <si>
    <t>beta1 shift (TDCASSCF)</t>
  </si>
  <si>
    <t>Projected (TDHF)</t>
  </si>
  <si>
    <t>Global-fitting (measured)</t>
  </si>
  <si>
    <t>Global-fitting (TDHF)</t>
  </si>
  <si>
    <t>good1</t>
  </si>
  <si>
    <t>good2</t>
  </si>
  <si>
    <t>good3</t>
  </si>
  <si>
    <t>good4</t>
  </si>
  <si>
    <t>beta1 amp (w2w)</t>
  </si>
  <si>
    <t>beta1 shift (w2w)</t>
  </si>
  <si>
    <t>beta3 amp (w2w)</t>
  </si>
  <si>
    <t>beta2 (w2w)</t>
  </si>
  <si>
    <t>beta3 shift (w2w)</t>
  </si>
  <si>
    <t>beta4 (w2w)</t>
  </si>
  <si>
    <t>beta2 (wonly)</t>
  </si>
  <si>
    <t>beta4 (wonly)</t>
  </si>
  <si>
    <t>Global-fitting (mixed)</t>
  </si>
  <si>
    <t>Parameters</t>
  </si>
  <si>
    <t>Target (TDHF)</t>
  </si>
  <si>
    <t>At first guess</t>
  </si>
  <si>
    <t>Optimized</t>
  </si>
  <si>
    <t>beta1 shift error (measured)</t>
  </si>
  <si>
    <t>beta1 shift</t>
  </si>
  <si>
    <t>beta1 shift error</t>
  </si>
  <si>
    <t>beta3 shift</t>
  </si>
  <si>
    <t>beta3 shift error</t>
  </si>
  <si>
    <t>beta1m3 shift</t>
  </si>
  <si>
    <t>beta1m3 shift error</t>
  </si>
  <si>
    <t>beta1 amp</t>
  </si>
  <si>
    <t>beta3 amp</t>
  </si>
  <si>
    <t>beta1m3 amp</t>
  </si>
  <si>
    <t>Global-fitting error (measured)</t>
  </si>
  <si>
    <t>beta1 shift (TDHF)</t>
  </si>
  <si>
    <t>beta1 shift (measured)</t>
  </si>
  <si>
    <t>At first guess, diff</t>
  </si>
  <si>
    <t>Optimized, diff</t>
  </si>
  <si>
    <t>beta2</t>
  </si>
  <si>
    <t>beta4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</si>
</sst>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0" fillId="0" borderId="0" xfId="0" applyNumberFormat="1" applyFont="1"/>
  </cellXfs>
  <cellStyles count="1">
    <cellStyle name="Normal" xfId="0" builtinId="0"/>
  </cellStyles>
  <dxfs count="54"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9AED46-96EE-3548-B37B-5C82C601EEF0}" name="summary" displayName="summary" ref="A1:K5" totalsRowShown="0">
  <autoFilter ref="A1:K5" xr:uid="{813ACA69-3994-6B4E-B2FA-5AD897223F3A}"/>
  <tableColumns count="11">
    <tableColumn id="1" xr3:uid="{8692BE08-1BC6-2F44-BD12-81E0981C4E85}" name="Dataset"/>
    <tableColumn id="2" xr3:uid="{7FCFF3B6-F8F7-014E-8188-54C4E01CBE33}" name="Photon (eV)"/>
    <tableColumn id="3" xr3:uid="{1294F020-9C60-5D43-AF41-B17EDDD23115}" name="beta1 shift (measured)" dataDxfId="53">
      <calculatedColumnFormula>measured[[#This Row],[beta1 shift]]</calculatedColumnFormula>
    </tableColumn>
    <tableColumn id="10" xr3:uid="{BFF8BCD2-1E5B-7D40-827D-046FC9D2FD7E}" name="beta1 shift error (measured)" dataDxfId="52">
      <calculatedColumnFormula>measured[[#This Row],[beta1 shift error]]</calculatedColumnFormula>
    </tableColumn>
    <tableColumn id="4" xr3:uid="{D9418CE0-F194-7745-B976-CC9152B50253}" name="beta1 shift (TDHF)" dataDxfId="51">
      <calculatedColumnFormula>TDHF[[#This Row],[beta1 shift]]</calculatedColumnFormula>
    </tableColumn>
    <tableColumn id="5" xr3:uid="{9E889F71-6E2E-774E-874B-66CBFA1A5124}" name="beta1 shift (TDCASSCF)" dataDxfId="50">
      <calculatedColumnFormula>TDCASSCF[[#This Row],[beta1 shift]]</calculatedColumnFormula>
    </tableColumn>
    <tableColumn id="6" xr3:uid="{FD18D51E-E647-DF4D-807E-B0A0B837D400}" name="Projected (TDHF)" dataDxfId="49"/>
    <tableColumn id="7" xr3:uid="{56696A9F-8682-6946-B572-916E85364A8D}" name="Global-fitting (measured)" dataDxfId="48"/>
    <tableColumn id="11" xr3:uid="{B9083DAD-9B66-4E4D-96F0-A4ED49E0E242}" name="Global-fitting error (measured)" dataDxfId="47">
      <calculatedColumnFormula>(0.044^2+0.029^2)^0.5</calculatedColumnFormula>
    </tableColumn>
    <tableColumn id="8" xr3:uid="{84B21B29-285C-1747-8894-D3E8281F3B23}" name="Global-fitting (TDHF)" dataDxfId="46"/>
    <tableColumn id="9" xr3:uid="{3651E495-5C13-0D47-A136-72C60DEE199B}" name="Global-fitting (mixed)" dataDxfId="4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1DF6C0A-94DD-6F4B-A2D5-FD088B7909A2}" name="measured" displayName="measured" ref="A1:L5" totalsRowShown="0">
  <autoFilter ref="A1:L5" xr:uid="{8338B3D6-FC8B-0847-992F-8F7BF2C1D7F2}"/>
  <tableColumns count="12">
    <tableColumn id="1" xr3:uid="{F43E7FC2-A27F-2342-AD0A-2258A49B7603}" name="Dataset"/>
    <tableColumn id="2" xr3:uid="{0D8A2503-0346-474B-9E05-E5C596350F46}" name="Photon (eV)"/>
    <tableColumn id="4" xr3:uid="{EB6B1E49-3619-BD4D-8504-14117BA9C375}" name="beta1 amp"/>
    <tableColumn id="3" xr3:uid="{54C3FCAB-1AB4-3243-A267-C4F36887055D}" name="beta1 shift" dataDxfId="44"/>
    <tableColumn id="10" xr3:uid="{441EE260-8A9E-714C-964C-331B3F50D12C}" name="beta1 shift error" dataDxfId="43"/>
    <tableColumn id="5" xr3:uid="{55F5D209-0388-1B43-A1E6-AF47BB879B94}" name="beta2" dataDxfId="2"/>
    <tableColumn id="6" xr3:uid="{6BDA6468-F14D-1945-89B3-D07DA4EDEFF2}" name="beta3 amp" dataDxfId="1"/>
    <tableColumn id="12" xr3:uid="{74B9D932-3A08-EE4D-BFD3-D83A478C2213}" name="beta3 shift" dataDxfId="42"/>
    <tableColumn id="11" xr3:uid="{9B42C196-5A31-C345-BEFF-4B6B192B1694}" name="beta3 shift error" dataDxfId="41"/>
    <tableColumn id="7" xr3:uid="{1C91A754-6763-4743-905A-ECA0BA68D083}" name="beta4" dataDxfId="0"/>
    <tableColumn id="13" xr3:uid="{B43AA49C-C7BE-5B4F-948F-761BA40EEFEF}" name="beta1m3 shift" dataDxfId="40"/>
    <tableColumn id="14" xr3:uid="{05AC6EE6-B20F-884D-B287-7F52099EEDF0}" name="beta1m3 shift error" dataDxfId="39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6C14C2F-F531-5343-9AE5-95D5F4693708}" name="TDHF" displayName="TDHF" ref="A1:J5" totalsRowShown="0">
  <autoFilter ref="A1:J5" xr:uid="{97B4E467-050E-214C-8458-6A9DCBE5267F}"/>
  <tableColumns count="10">
    <tableColumn id="1" xr3:uid="{6623B9D1-76EF-FE48-8986-080FE9DEB127}" name="Dataset"/>
    <tableColumn id="2" xr3:uid="{6D19D5A1-75B9-C141-A90C-736658D05B85}" name="Photon (eV)"/>
    <tableColumn id="15" xr3:uid="{7A17F56E-F457-2E42-BD4F-BFCA7F1AB58C}" name="beta1 amp" dataDxfId="38"/>
    <tableColumn id="3" xr3:uid="{2F8F3D78-5300-474B-8251-146D751B8487}" name="beta1 shift" dataDxfId="37"/>
    <tableColumn id="4" xr3:uid="{126954E7-0B32-0D48-BE43-B56594C7EDF8}" name="beta2" dataDxfId="6"/>
    <tableColumn id="16" xr3:uid="{1869311F-4D11-AD44-ACBB-37A4D51372AE}" name="beta3 amp" dataDxfId="36"/>
    <tableColumn id="12" xr3:uid="{301EBE7F-4C62-454D-BE9E-7006763666D6}" name="beta3 shift" dataDxfId="35"/>
    <tableColumn id="5" xr3:uid="{A9183E8D-91F7-1942-A518-619EE60A25B9}" name="beta4" dataDxfId="5"/>
    <tableColumn id="17" xr3:uid="{822AC06C-DB6A-CE4C-9D7C-3EB65607420D}" name="beta1m3 amp" dataDxfId="34"/>
    <tableColumn id="13" xr3:uid="{E15E43D6-BBC5-5743-9C0A-1B33F3FE458A}" name="beta1m3 shift" dataDxfId="33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40F1249-6CEC-5C45-9EC6-88EC86F3F5C3}" name="TDCASSCF" displayName="TDCASSCF" ref="A1:J5" totalsRowShown="0">
  <autoFilter ref="A1:J5" xr:uid="{60E88932-7887-DD44-B705-F2B184FA24E7}"/>
  <tableColumns count="10">
    <tableColumn id="1" xr3:uid="{260C2F96-5EEB-1040-BCF2-3F9DE679B72D}" name="Dataset"/>
    <tableColumn id="2" xr3:uid="{C4A7F33A-6285-914D-A3E0-8E6B54303316}" name="Photon (eV)"/>
    <tableColumn id="15" xr3:uid="{F885CD15-3DA3-604C-B208-0B0292404995}" name="beta1 amp" dataDxfId="32"/>
    <tableColumn id="3" xr3:uid="{500A4546-254C-FA4C-9C9B-1F503C7E21F7}" name="beta1 shift" dataDxfId="31"/>
    <tableColumn id="4" xr3:uid="{A180CAE9-EC29-CC4A-82C6-7C6ED7295BBA}" name="beta2" dataDxfId="4"/>
    <tableColumn id="16" xr3:uid="{42FFBAB4-D433-DF4D-B680-33447C1C1FA9}" name="beta3 amp" dataDxfId="30"/>
    <tableColumn id="12" xr3:uid="{D84A7395-8776-E54B-AECB-76D98464A40F}" name="beta3 shift" dataDxfId="29"/>
    <tableColumn id="5" xr3:uid="{ED7490B3-29BB-014D-BD10-61670799431D}" name="beta4" dataDxfId="3"/>
    <tableColumn id="17" xr3:uid="{C77534EF-9A4C-804C-BA68-741FBE199533}" name="beta1m3 amp" dataDxfId="28"/>
    <tableColumn id="13" xr3:uid="{92CC4E33-46A0-1E40-A49B-FFD5032FCBF8}" name="beta1m3 shift" dataDxfId="27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E38CA7-305B-654A-A843-DE6C85755684}" name="Table24" displayName="Table24" ref="A1:F9" totalsRowShown="0">
  <autoFilter ref="A1:F9" xr:uid="{E75F0B0D-0D94-3E49-A820-FB59873CB593}"/>
  <tableColumns count="6">
    <tableColumn id="1" xr3:uid="{247DAF93-E8E6-5242-B8FF-E9383571B89C}" name="Parameters"/>
    <tableColumn id="2" xr3:uid="{4F0DCD9F-0E8E-4741-8ABF-97422FA0AB22}" name="Target (TDHF)" dataDxfId="26"/>
    <tableColumn id="3" xr3:uid="{08B1E6DA-7404-4245-85DF-6815F398DCE3}" name="At first guess" dataDxfId="25"/>
    <tableColumn id="5" xr3:uid="{ED1568B6-FE8F-9D44-918E-5FF4D0D57D79}" name="At first guess, diff" dataDxfId="24">
      <calculatedColumnFormula>Table24[[#This Row],[Target (TDHF)]]-Table24[[#This Row],[At first guess]]</calculatedColumnFormula>
    </tableColumn>
    <tableColumn id="4" xr3:uid="{E15A215C-CA39-2B41-8443-A31A28ED6C5B}" name="Optimized" dataDxfId="23"/>
    <tableColumn id="6" xr3:uid="{50E84031-88AF-4845-B030-D7E1648F7CFB}" name="Optimized, diff" dataDxfId="22">
      <calculatedColumnFormula>Table24[[#This Row],[Target (TDHF)]]-Table24[[#This Row],[Optimized]]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E474D81-C21B-F442-8B09-9E9E0C22741B}" name="Table245" displayName="Table245" ref="A1:F9" totalsRowShown="0">
  <autoFilter ref="A1:F9" xr:uid="{97BB1FB8-A203-A54E-ACCF-BE6AA12A6A15}"/>
  <tableColumns count="6">
    <tableColumn id="1" xr3:uid="{1C3CDB8B-23FE-1646-849E-5C26C4E81AFA}" name="Parameters"/>
    <tableColumn id="2" xr3:uid="{FE2507B2-B868-4040-BE2D-BFDD16AC2B86}" name="Target (TDHF)" dataDxfId="21"/>
    <tableColumn id="3" xr3:uid="{19852F4E-EF53-8648-BA6B-0548C57A5C18}" name="At first guess" dataDxfId="20"/>
    <tableColumn id="5" xr3:uid="{C3E07C66-A950-3147-9719-A9FDC2A5AFAD}" name="At first guess, diff" dataDxfId="19">
      <calculatedColumnFormula>Table245[[#This Row],[Target (TDHF)]]-Table245[[#This Row],[At first guess]]</calculatedColumnFormula>
    </tableColumn>
    <tableColumn id="4" xr3:uid="{FC11E292-0D5D-EB49-919D-CFC91DCEF9D9}" name="Optimized" dataDxfId="18"/>
    <tableColumn id="6" xr3:uid="{E4DC6A3A-563C-8347-A139-4ADAC1DCD716}" name="Optimized, diff" dataDxfId="17">
      <calculatedColumnFormula>Table245[[#This Row],[Target (TDHF)]]-Table245[[#This Row],[Optimized]]</calculatedColumn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7B929A-80F6-BB47-A80B-26123157E31C}" name="Table2" displayName="Table2" ref="A1:F9" totalsRowShown="0">
  <autoFilter ref="A1:F9" xr:uid="{9B806714-77E1-0E4C-A942-61A46D237004}"/>
  <tableColumns count="6">
    <tableColumn id="1" xr3:uid="{D1A4C508-CEFF-8C48-92B0-319416C4A1C7}" name="Parameters"/>
    <tableColumn id="2" xr3:uid="{368694BC-C8D1-FA41-8146-D3F453CA7079}" name="Target (TDHF)" dataDxfId="16"/>
    <tableColumn id="3" xr3:uid="{5BF0E5F1-690F-464B-AADE-F5BC6D1B8115}" name="At first guess" dataDxfId="15"/>
    <tableColumn id="5" xr3:uid="{08EC8B0D-A54A-A84E-8164-7EA0E9FF66BB}" name="At first guess, diff" dataDxfId="14">
      <calculatedColumnFormula>Table2[[#This Row],[Target (TDHF)]]-Table2[[#This Row],[At first guess]]</calculatedColumnFormula>
    </tableColumn>
    <tableColumn id="4" xr3:uid="{B6503BB4-B3CB-0541-B3D5-9FC40DFAD39C}" name="Optimized" dataDxfId="13"/>
    <tableColumn id="6" xr3:uid="{63C9D9B3-E42B-5B4C-9C29-C753855419CA}" name="Optimized, diff" dataDxfId="12">
      <calculatedColumnFormula>Table2[[#This Row],[Target (TDHF)]]-Table2[[#This Row],[Optimized]]</calculatedColumnFormula>
    </tableColumn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DD117A9-89A2-3445-8EC1-FED1E0E92097}" name="Table2456" displayName="Table2456" ref="A1:F9" totalsRowShown="0">
  <autoFilter ref="A1:F9" xr:uid="{F2D9BC8D-D1A1-B648-9808-923D11AC4011}"/>
  <tableColumns count="6">
    <tableColumn id="1" xr3:uid="{44135CAD-A952-A74F-A35D-FE793136BAF2}" name="Parameters"/>
    <tableColumn id="2" xr3:uid="{7756D713-2051-8744-8B52-F8B9C4805067}" name="Target (TDHF)" dataDxfId="11"/>
    <tableColumn id="3" xr3:uid="{82528208-E8CE-F74B-838C-3CEF9C1F41B3}" name="At first guess" dataDxfId="10"/>
    <tableColumn id="5" xr3:uid="{A12B1083-511D-AD48-BE08-735B514C1EBA}" name="At first guess, diff" dataDxfId="9">
      <calculatedColumnFormula>Table2456[[#This Row],[Target (TDHF)]]-Table2456[[#This Row],[At first guess]]</calculatedColumnFormula>
    </tableColumn>
    <tableColumn id="4" xr3:uid="{A5EEA70D-6387-5B41-A475-BE2C2839FC9B}" name="Optimized" dataDxfId="8"/>
    <tableColumn id="6" xr3:uid="{8558FAC4-2B5D-9E42-B7E9-B906CEE71874}" name="Optimized, diff" dataDxfId="7">
      <calculatedColumnFormula>Table2456[[#This Row],[Target (TDHF)]]-Table2456[[#This Row],[Optimized]]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244B1-3BB2-7E42-A782-966AE2A6289F}">
  <dimension ref="A1:K5"/>
  <sheetViews>
    <sheetView tabSelected="1" workbookViewId="0">
      <selection activeCell="H12" sqref="H12"/>
    </sheetView>
  </sheetViews>
  <sheetFormatPr baseColWidth="10" defaultRowHeight="16" x14ac:dyDescent="0.2"/>
  <cols>
    <col min="1" max="1" width="10.1640625" bestFit="1" customWidth="1"/>
    <col min="2" max="2" width="13.33203125" bestFit="1" customWidth="1"/>
    <col min="3" max="3" width="23.1640625" bestFit="1" customWidth="1"/>
    <col min="4" max="4" width="28" bestFit="1" customWidth="1"/>
    <col min="5" max="5" width="19.33203125" customWidth="1"/>
    <col min="6" max="6" width="23" bestFit="1" customWidth="1"/>
    <col min="7" max="7" width="17.83203125" bestFit="1" customWidth="1"/>
    <col min="8" max="8" width="25" bestFit="1" customWidth="1"/>
    <col min="9" max="9" width="29.6640625" bestFit="1" customWidth="1"/>
    <col min="10" max="10" width="21.33203125" bestFit="1" customWidth="1"/>
    <col min="11" max="11" width="21.83203125" bestFit="1" customWidth="1"/>
  </cols>
  <sheetData>
    <row r="1" spans="1:11" x14ac:dyDescent="0.2">
      <c r="A1" t="s">
        <v>0</v>
      </c>
      <c r="B1" t="s">
        <v>1</v>
      </c>
      <c r="C1" t="s">
        <v>35</v>
      </c>
      <c r="D1" t="s">
        <v>23</v>
      </c>
      <c r="E1" t="s">
        <v>34</v>
      </c>
      <c r="F1" t="s">
        <v>2</v>
      </c>
      <c r="G1" t="s">
        <v>3</v>
      </c>
      <c r="H1" t="s">
        <v>4</v>
      </c>
      <c r="I1" t="s">
        <v>33</v>
      </c>
      <c r="J1" t="s">
        <v>5</v>
      </c>
      <c r="K1" t="s">
        <v>18</v>
      </c>
    </row>
    <row r="2" spans="1:11" x14ac:dyDescent="0.2">
      <c r="A2" t="s">
        <v>6</v>
      </c>
      <c r="B2">
        <v>15.9</v>
      </c>
      <c r="C2" s="1">
        <f>measured[[#This Row],[beta1 shift]]</f>
        <v>1.4799247720785198</v>
      </c>
      <c r="D2" s="1">
        <f>measured[[#This Row],[beta1 shift error]]</f>
        <v>6.0155483778562155E-2</v>
      </c>
      <c r="E2" s="1">
        <f>TDHF[[#This Row],[beta1 shift]]</f>
        <v>1.5804219100000001</v>
      </c>
      <c r="F2" s="1">
        <f>TDCASSCF[[#This Row],[beta1 shift]]</f>
        <v>1.4641090800000001</v>
      </c>
      <c r="G2" s="1">
        <v>1.2046150760000001</v>
      </c>
      <c r="H2" s="1">
        <f>0--1.61</f>
        <v>1.61</v>
      </c>
      <c r="I2" s="1">
        <f t="shared" ref="I2" si="0">(0.044^2+0.029^2)^0.5</f>
        <v>5.2697248505021589E-2</v>
      </c>
      <c r="J2" s="1">
        <f>0--1.065</f>
        <v>1.0649999999999999</v>
      </c>
      <c r="K2" s="1">
        <f>0--0.878</f>
        <v>0.878</v>
      </c>
    </row>
    <row r="3" spans="1:11" x14ac:dyDescent="0.2">
      <c r="A3" t="s">
        <v>7</v>
      </c>
      <c r="B3">
        <v>14.3</v>
      </c>
      <c r="C3" s="1">
        <f>measured[[#This Row],[beta1 shift]]</f>
        <v>1.6675754113347629</v>
      </c>
      <c r="D3" s="1">
        <f>measured[[#This Row],[beta1 shift error]]</f>
        <v>2.7393486184420435E-2</v>
      </c>
      <c r="E3" s="1">
        <f>TDHF[[#This Row],[beta1 shift]]</f>
        <v>1.7798752900000001</v>
      </c>
      <c r="F3" s="1">
        <f>TDCASSCF[[#This Row],[beta1 shift]]</f>
        <v>1.7039155699999999</v>
      </c>
      <c r="G3" s="1">
        <v>1.1620427879999999</v>
      </c>
      <c r="H3" s="1">
        <f>0--1.629</f>
        <v>1.629</v>
      </c>
      <c r="I3" s="1">
        <f>(0.039^2+0.01^2)^0.5</f>
        <v>4.0261644278394793E-2</v>
      </c>
      <c r="J3" s="1">
        <f>0--1.209</f>
        <v>1.2090000000000001</v>
      </c>
      <c r="K3" s="1">
        <f>0--1.084</f>
        <v>1.0840000000000001</v>
      </c>
    </row>
    <row r="4" spans="1:11" x14ac:dyDescent="0.2">
      <c r="A4" t="s">
        <v>8</v>
      </c>
      <c r="B4">
        <v>19.100000000000001</v>
      </c>
      <c r="C4" s="1">
        <f>measured[[#This Row],[beta1 shift]]</f>
        <v>1.4024472305721041</v>
      </c>
      <c r="D4" s="1">
        <f>measured[[#This Row],[beta1 shift error]]</f>
        <v>1.4169858874582946E-2</v>
      </c>
      <c r="E4" s="1">
        <f>TDHF[[#This Row],[beta1 shift]]</f>
        <v>1.5759194700000001</v>
      </c>
      <c r="F4" s="1">
        <f>TDCASSCF[[#This Row],[beta1 shift]]</f>
        <v>1.44546716</v>
      </c>
      <c r="G4" s="1">
        <v>1.265857813</v>
      </c>
      <c r="H4" s="1">
        <f>0--1.342</f>
        <v>1.3420000000000001</v>
      </c>
      <c r="I4" s="1">
        <f>(0.053^2+0.029^2)^0.5</f>
        <v>6.0415229867972861E-2</v>
      </c>
      <c r="J4" s="1">
        <f>0--1.386</f>
        <v>1.3859999999999999</v>
      </c>
      <c r="K4" s="1">
        <f>0--1.284</f>
        <v>1.284</v>
      </c>
    </row>
    <row r="5" spans="1:11" x14ac:dyDescent="0.2">
      <c r="A5" t="s">
        <v>9</v>
      </c>
      <c r="B5">
        <v>15.9</v>
      </c>
      <c r="C5" s="1">
        <f>measured[[#This Row],[beta1 shift]]</f>
        <v>1.4235252446379301</v>
      </c>
      <c r="D5" s="1">
        <f>measured[[#This Row],[beta1 shift error]]</f>
        <v>6.2072580240375028E-2</v>
      </c>
      <c r="E5" s="1">
        <f>TDHF[[#This Row],[beta1 shift]]</f>
        <v>1.5794215</v>
      </c>
      <c r="F5" s="1">
        <f>TDCASSCF[[#This Row],[beta1 shift]]</f>
        <v>1.4626400100000001</v>
      </c>
      <c r="G5" s="1">
        <v>1.203680919</v>
      </c>
      <c r="H5" s="1">
        <f>0--1.606</f>
        <v>1.6060000000000001</v>
      </c>
      <c r="I5" s="1">
        <f>(0.034^2+0.032^2)^0.5</f>
        <v>4.6690470119715007E-2</v>
      </c>
      <c r="J5" s="1">
        <f>0--1.047</f>
        <v>1.0469999999999999</v>
      </c>
      <c r="K5" s="1">
        <f>0--1.126</f>
        <v>1.1259999999999999</v>
      </c>
    </row>
  </sheetData>
  <pageMargins left="0.7" right="0.7" top="0.75" bottom="0.75" header="0.3" footer="0.3"/>
  <ignoredErrors>
    <ignoredError sqref="I3:I5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1472B-9C19-5E48-BB5C-F13CD0E1E33A}">
  <dimension ref="A1:L5"/>
  <sheetViews>
    <sheetView workbookViewId="0">
      <selection activeCell="J13" sqref="J13"/>
    </sheetView>
  </sheetViews>
  <sheetFormatPr baseColWidth="10" defaultRowHeight="16" x14ac:dyDescent="0.2"/>
  <cols>
    <col min="1" max="1" width="10.1640625" bestFit="1" customWidth="1"/>
    <col min="2" max="2" width="13.33203125" bestFit="1" customWidth="1"/>
    <col min="3" max="4" width="12.5" bestFit="1" customWidth="1"/>
    <col min="5" max="5" width="17" bestFit="1" customWidth="1"/>
    <col min="6" max="6" width="8.33203125" bestFit="1" customWidth="1"/>
    <col min="7" max="8" width="12.5" bestFit="1" customWidth="1"/>
    <col min="9" max="9" width="17" bestFit="1" customWidth="1"/>
    <col min="10" max="10" width="8.33203125" bestFit="1" customWidth="1"/>
    <col min="11" max="11" width="15.1640625" bestFit="1" customWidth="1"/>
    <col min="12" max="12" width="19.83203125" bestFit="1" customWidth="1"/>
  </cols>
  <sheetData>
    <row r="1" spans="1:12" x14ac:dyDescent="0.2">
      <c r="A1" t="s">
        <v>0</v>
      </c>
      <c r="B1" t="s">
        <v>1</v>
      </c>
      <c r="C1" t="s">
        <v>30</v>
      </c>
      <c r="D1" t="s">
        <v>24</v>
      </c>
      <c r="E1" t="s">
        <v>25</v>
      </c>
      <c r="F1" t="s">
        <v>38</v>
      </c>
      <c r="G1" t="s">
        <v>31</v>
      </c>
      <c r="H1" t="s">
        <v>26</v>
      </c>
      <c r="I1" t="s">
        <v>27</v>
      </c>
      <c r="J1" t="s">
        <v>39</v>
      </c>
      <c r="K1" t="s">
        <v>28</v>
      </c>
      <c r="L1" t="s">
        <v>29</v>
      </c>
    </row>
    <row r="2" spans="1:12" x14ac:dyDescent="0.2">
      <c r="A2" t="s">
        <v>6</v>
      </c>
      <c r="B2">
        <v>15.9</v>
      </c>
      <c r="C2">
        <v>0.28004315000000002</v>
      </c>
      <c r="D2" s="1">
        <v>1.4799247720785198</v>
      </c>
      <c r="E2" s="1">
        <v>6.0155483778562155E-2</v>
      </c>
      <c r="F2" s="1">
        <v>0.34675251000000001</v>
      </c>
      <c r="G2" s="1">
        <v>0.39872207999999998</v>
      </c>
      <c r="H2" s="1">
        <v>0.8185329359632787</v>
      </c>
      <c r="I2" s="1">
        <v>4.9042347272002636E-2</v>
      </c>
      <c r="J2" s="1">
        <v>0.43274126000000002</v>
      </c>
      <c r="K2" s="1">
        <v>3.5321753690476543</v>
      </c>
      <c r="L2" s="1">
        <v>5.6204944322058484E-2</v>
      </c>
    </row>
    <row r="3" spans="1:12" x14ac:dyDescent="0.2">
      <c r="A3" t="s">
        <v>7</v>
      </c>
      <c r="B3">
        <v>14.3</v>
      </c>
      <c r="C3">
        <v>0.26743192999999998</v>
      </c>
      <c r="D3" s="1">
        <v>1.6675754113347629</v>
      </c>
      <c r="E3" s="1">
        <v>2.7393486184420435E-2</v>
      </c>
      <c r="F3" s="1">
        <v>-8.7930999999999995E-2</v>
      </c>
      <c r="G3" s="1">
        <v>0.19706858999999999</v>
      </c>
      <c r="H3" s="1">
        <v>3.7165191823155475E-2</v>
      </c>
      <c r="I3" s="1">
        <v>3.8208622609955251E-2</v>
      </c>
      <c r="J3" s="1">
        <v>-3.0673880000000001E-2</v>
      </c>
      <c r="K3" s="1">
        <v>2.4702686697932212</v>
      </c>
      <c r="L3" s="1">
        <v>3.7091314278581866E-2</v>
      </c>
    </row>
    <row r="4" spans="1:12" x14ac:dyDescent="0.2">
      <c r="A4" t="s">
        <v>8</v>
      </c>
      <c r="B4">
        <v>19.100000000000001</v>
      </c>
      <c r="C4">
        <v>0.37245283000000001</v>
      </c>
      <c r="D4" s="1">
        <v>1.4024472305721041</v>
      </c>
      <c r="E4" s="1">
        <v>1.4169858874582946E-2</v>
      </c>
      <c r="F4" s="1">
        <v>0.88440582000000001</v>
      </c>
      <c r="G4" s="1">
        <v>0.26738426999999998</v>
      </c>
      <c r="H4" s="1">
        <v>0.6803880151693571</v>
      </c>
      <c r="I4" s="1">
        <v>1.6123119497096387E-2</v>
      </c>
      <c r="J4" s="1">
        <v>2.4581269999999999E-2</v>
      </c>
      <c r="K4" s="1">
        <v>2.7099050440451453</v>
      </c>
      <c r="L4" s="1">
        <v>1.8633455945591213E-2</v>
      </c>
    </row>
    <row r="5" spans="1:12" x14ac:dyDescent="0.2">
      <c r="A5" t="s">
        <v>9</v>
      </c>
      <c r="B5">
        <v>15.9</v>
      </c>
      <c r="C5">
        <v>0.15287231000000001</v>
      </c>
      <c r="D5" s="1">
        <v>1.4235252446379301</v>
      </c>
      <c r="E5" s="1">
        <v>6.2072580240375028E-2</v>
      </c>
      <c r="F5" s="1">
        <v>0.48062860000000002</v>
      </c>
      <c r="G5" s="1">
        <v>0.23353777000000001</v>
      </c>
      <c r="H5" s="1">
        <v>0.78944114779229491</v>
      </c>
      <c r="I5" s="1">
        <v>5.4747282938405882E-2</v>
      </c>
      <c r="J5" s="1">
        <v>9.5545859999999996E-2</v>
      </c>
      <c r="K5" s="1">
        <v>3.5516381413040969</v>
      </c>
      <c r="L5" s="1">
        <v>5.3654903066609666E-2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281EB-1E68-AC4B-97D7-5078A4AEF2DC}">
  <dimension ref="A1:J5"/>
  <sheetViews>
    <sheetView workbookViewId="0">
      <selection activeCell="H2" sqref="H2:H5"/>
    </sheetView>
  </sheetViews>
  <sheetFormatPr baseColWidth="10" defaultRowHeight="16" x14ac:dyDescent="0.2"/>
  <cols>
    <col min="1" max="1" width="10.1640625" bestFit="1" customWidth="1"/>
    <col min="2" max="2" width="13.33203125" bestFit="1" customWidth="1"/>
    <col min="3" max="4" width="12.5" bestFit="1" customWidth="1"/>
    <col min="5" max="5" width="8.33203125" bestFit="1" customWidth="1"/>
    <col min="6" max="6" width="12.5" customWidth="1"/>
    <col min="7" max="7" width="12.5" bestFit="1" customWidth="1"/>
    <col min="8" max="8" width="8.33203125" bestFit="1" customWidth="1"/>
    <col min="9" max="10" width="15.1640625" bestFit="1" customWidth="1"/>
  </cols>
  <sheetData>
    <row r="1" spans="1:10" x14ac:dyDescent="0.2">
      <c r="A1" t="s">
        <v>0</v>
      </c>
      <c r="B1" t="s">
        <v>1</v>
      </c>
      <c r="C1" t="s">
        <v>30</v>
      </c>
      <c r="D1" t="s">
        <v>24</v>
      </c>
      <c r="E1" t="s">
        <v>38</v>
      </c>
      <c r="F1" t="s">
        <v>31</v>
      </c>
      <c r="G1" t="s">
        <v>26</v>
      </c>
      <c r="H1" t="s">
        <v>39</v>
      </c>
      <c r="I1" t="s">
        <v>32</v>
      </c>
      <c r="J1" t="s">
        <v>28</v>
      </c>
    </row>
    <row r="2" spans="1:10" x14ac:dyDescent="0.2">
      <c r="A2" t="s">
        <v>6</v>
      </c>
      <c r="B2">
        <v>15.9</v>
      </c>
      <c r="C2" s="1">
        <v>0.75980258000000001</v>
      </c>
      <c r="D2" s="1">
        <v>1.5804219100000001</v>
      </c>
      <c r="E2" s="1">
        <v>-0.17863299999999999</v>
      </c>
      <c r="F2" s="1">
        <v>0.95182652999999995</v>
      </c>
      <c r="G2" s="1">
        <v>0.81431617000000001</v>
      </c>
      <c r="H2" s="1">
        <v>0.96616599999999997</v>
      </c>
      <c r="I2" s="1">
        <v>1.02581261</v>
      </c>
      <c r="J2" s="1">
        <v>3.41660203</v>
      </c>
    </row>
    <row r="3" spans="1:10" x14ac:dyDescent="0.2">
      <c r="A3" t="s">
        <v>7</v>
      </c>
      <c r="B3">
        <v>14.3</v>
      </c>
      <c r="C3" s="1">
        <v>0.53306534000000005</v>
      </c>
      <c r="D3" s="1">
        <v>1.7798752900000001</v>
      </c>
      <c r="E3" s="1">
        <v>-0.58843800000000002</v>
      </c>
      <c r="F3" s="1">
        <v>0.40988564999999999</v>
      </c>
      <c r="G3" s="1">
        <v>6.6776779999999994E-2</v>
      </c>
      <c r="H3" s="1">
        <v>0.21940499999999999</v>
      </c>
      <c r="I3" s="1">
        <v>0.86898534000000005</v>
      </c>
      <c r="J3" s="1">
        <v>2.5557952099999999</v>
      </c>
    </row>
    <row r="4" spans="1:10" x14ac:dyDescent="0.2">
      <c r="A4" t="s">
        <v>8</v>
      </c>
      <c r="B4">
        <v>19.100000000000001</v>
      </c>
      <c r="C4" s="1">
        <v>1.1341932800000001</v>
      </c>
      <c r="D4" s="1">
        <v>1.5759194700000001</v>
      </c>
      <c r="E4" s="1">
        <v>-0.57824399999999998</v>
      </c>
      <c r="F4" s="1">
        <v>0.48913411000000001</v>
      </c>
      <c r="G4" s="1">
        <v>0.26875001999999998</v>
      </c>
      <c r="H4" s="1">
        <v>-0.18554000000000001</v>
      </c>
      <c r="I4" s="1">
        <v>1.1794140399999999</v>
      </c>
      <c r="J4" s="1">
        <v>2.2201672100000001</v>
      </c>
    </row>
    <row r="5" spans="1:10" x14ac:dyDescent="0.2">
      <c r="A5" t="s">
        <v>9</v>
      </c>
      <c r="B5">
        <v>15.9</v>
      </c>
      <c r="C5" s="1">
        <v>0.79184779999999999</v>
      </c>
      <c r="D5" s="1">
        <v>1.5794215</v>
      </c>
      <c r="E5" s="1">
        <v>-7.2789999999999999E-3</v>
      </c>
      <c r="F5" s="1">
        <v>0.98951290000000003</v>
      </c>
      <c r="G5" s="1">
        <v>0.81306818999999997</v>
      </c>
      <c r="H5" s="1">
        <v>0.69578799999999996</v>
      </c>
      <c r="I5" s="1">
        <v>1.0661048</v>
      </c>
      <c r="J5" s="1">
        <v>3.4135301199999999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8BEE-04F3-EC4E-91AE-8DB68927045D}">
  <dimension ref="A1:J5"/>
  <sheetViews>
    <sheetView workbookViewId="0">
      <selection activeCell="H2" sqref="H2:H5"/>
    </sheetView>
  </sheetViews>
  <sheetFormatPr baseColWidth="10" defaultRowHeight="16" x14ac:dyDescent="0.2"/>
  <cols>
    <col min="1" max="1" width="10.1640625" bestFit="1" customWidth="1"/>
    <col min="2" max="2" width="13.33203125" bestFit="1" customWidth="1"/>
    <col min="3" max="4" width="12.5" bestFit="1" customWidth="1"/>
    <col min="5" max="5" width="8.33203125" bestFit="1" customWidth="1"/>
    <col min="6" max="6" width="12.5" customWidth="1"/>
    <col min="7" max="7" width="12.5" bestFit="1" customWidth="1"/>
    <col min="8" max="8" width="8.33203125" bestFit="1" customWidth="1"/>
    <col min="9" max="10" width="15.1640625" bestFit="1" customWidth="1"/>
  </cols>
  <sheetData>
    <row r="1" spans="1:10" x14ac:dyDescent="0.2">
      <c r="A1" t="s">
        <v>0</v>
      </c>
      <c r="B1" t="s">
        <v>1</v>
      </c>
      <c r="C1" t="s">
        <v>30</v>
      </c>
      <c r="D1" t="s">
        <v>24</v>
      </c>
      <c r="E1" t="s">
        <v>38</v>
      </c>
      <c r="F1" t="s">
        <v>31</v>
      </c>
      <c r="G1" t="s">
        <v>26</v>
      </c>
      <c r="H1" t="s">
        <v>39</v>
      </c>
      <c r="I1" t="s">
        <v>32</v>
      </c>
      <c r="J1" t="s">
        <v>28</v>
      </c>
    </row>
    <row r="2" spans="1:10" x14ac:dyDescent="0.2">
      <c r="A2" t="s">
        <v>6</v>
      </c>
      <c r="B2">
        <v>15.9</v>
      </c>
      <c r="C2" s="1">
        <v>0.67889792000000004</v>
      </c>
      <c r="D2" s="1">
        <v>1.4641090800000001</v>
      </c>
      <c r="E2" s="1">
        <v>-0.14383199999999999</v>
      </c>
      <c r="F2" s="1">
        <v>1.0939448899999999</v>
      </c>
      <c r="G2" s="1">
        <v>0.84018307000000003</v>
      </c>
      <c r="H2" s="1">
        <v>1.2764040000000001</v>
      </c>
      <c r="I2" s="1">
        <v>1.1598544399999999</v>
      </c>
      <c r="J2" s="1">
        <v>3.6327683899999998</v>
      </c>
    </row>
    <row r="3" spans="1:10" x14ac:dyDescent="0.2">
      <c r="A3" t="s">
        <v>7</v>
      </c>
      <c r="B3">
        <v>14.3</v>
      </c>
      <c r="C3" s="1">
        <v>0.53690568000000005</v>
      </c>
      <c r="D3" s="1">
        <v>1.7039155699999999</v>
      </c>
      <c r="E3" s="1">
        <v>-0.52683000000000002</v>
      </c>
      <c r="F3" s="1">
        <v>0.40808040000000001</v>
      </c>
      <c r="G3" s="1">
        <v>8.0232510000000007E-2</v>
      </c>
      <c r="H3" s="1">
        <v>0.22451099999999999</v>
      </c>
      <c r="I3" s="1">
        <v>0.83528778999999997</v>
      </c>
      <c r="J3" s="1">
        <v>2.5248769599999998</v>
      </c>
    </row>
    <row r="4" spans="1:10" x14ac:dyDescent="0.2">
      <c r="A4" t="s">
        <v>8</v>
      </c>
      <c r="B4">
        <v>19.100000000000001</v>
      </c>
      <c r="C4" s="1">
        <v>1.19704126</v>
      </c>
      <c r="D4" s="1">
        <v>1.44546716</v>
      </c>
      <c r="E4" s="1">
        <v>0.66269299999999998</v>
      </c>
      <c r="F4" s="1">
        <v>0.83186950000000004</v>
      </c>
      <c r="G4" s="1">
        <v>0.63980868000000002</v>
      </c>
      <c r="H4" s="1">
        <v>0.36608600000000002</v>
      </c>
      <c r="I4" s="1">
        <v>0.95957194000000001</v>
      </c>
      <c r="J4" s="1">
        <v>2.6621207</v>
      </c>
    </row>
    <row r="5" spans="1:10" x14ac:dyDescent="0.2">
      <c r="A5" t="s">
        <v>9</v>
      </c>
      <c r="B5">
        <v>15.9</v>
      </c>
      <c r="C5" s="1">
        <v>0.75589994000000005</v>
      </c>
      <c r="D5" s="1">
        <v>1.4626400100000001</v>
      </c>
      <c r="E5" s="1">
        <v>1.6507000000000001E-2</v>
      </c>
      <c r="F5" s="1">
        <v>1.2161745500000001</v>
      </c>
      <c r="G5" s="1">
        <v>0.83920287000000005</v>
      </c>
      <c r="H5" s="1">
        <v>0.91537000000000002</v>
      </c>
      <c r="I5" s="1">
        <v>1.28849769</v>
      </c>
      <c r="J5" s="1">
        <v>3.63121406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EA315-641E-EE4B-9C7A-EF80C2A21926}">
  <dimension ref="A1:F9"/>
  <sheetViews>
    <sheetView workbookViewId="0">
      <selection activeCell="G6" sqref="G6"/>
    </sheetView>
  </sheetViews>
  <sheetFormatPr baseColWidth="10" defaultRowHeight="16" x14ac:dyDescent="0.2"/>
  <cols>
    <col min="1" max="1" width="15.83203125" bestFit="1" customWidth="1"/>
    <col min="2" max="2" width="15.5" style="1" bestFit="1" customWidth="1"/>
    <col min="3" max="3" width="14.5" bestFit="1" customWidth="1"/>
    <col min="4" max="4" width="18.33203125" bestFit="1" customWidth="1"/>
    <col min="5" max="5" width="12.1640625" bestFit="1" customWidth="1"/>
    <col min="6" max="6" width="16" bestFit="1" customWidth="1"/>
  </cols>
  <sheetData>
    <row r="1" spans="1:6" x14ac:dyDescent="0.2">
      <c r="A1" t="s">
        <v>19</v>
      </c>
      <c r="B1" s="1" t="s">
        <v>20</v>
      </c>
      <c r="C1" t="s">
        <v>21</v>
      </c>
      <c r="D1" t="s">
        <v>36</v>
      </c>
      <c r="E1" t="s">
        <v>22</v>
      </c>
      <c r="F1" t="s">
        <v>37</v>
      </c>
    </row>
    <row r="2" spans="1:6" x14ac:dyDescent="0.2">
      <c r="A2" t="s">
        <v>10</v>
      </c>
      <c r="B2" s="1">
        <v>0.76</v>
      </c>
      <c r="C2" s="1">
        <v>0.76</v>
      </c>
      <c r="D2" s="1">
        <f>Table24[[#This Row],[Target (TDHF)]]-Table24[[#This Row],[At first guess]]</f>
        <v>0</v>
      </c>
      <c r="E2" s="1">
        <v>0.76</v>
      </c>
      <c r="F2" s="1">
        <f>Table24[[#This Row],[Target (TDHF)]]-Table24[[#This Row],[Optimized]]</f>
        <v>0</v>
      </c>
    </row>
    <row r="3" spans="1:6" x14ac:dyDescent="0.2">
      <c r="A3" t="s">
        <v>11</v>
      </c>
      <c r="B3" s="1">
        <v>1.58</v>
      </c>
      <c r="C3" s="1">
        <v>1.5780000000000001</v>
      </c>
      <c r="D3" s="1">
        <f>Table24[[#This Row],[Target (TDHF)]]-Table24[[#This Row],[At first guess]]</f>
        <v>2.0000000000000018E-3</v>
      </c>
      <c r="E3" s="1">
        <v>1.58</v>
      </c>
      <c r="F3" s="1">
        <f>Table24[[#This Row],[Target (TDHF)]]-Table24[[#This Row],[Optimized]]</f>
        <v>0</v>
      </c>
    </row>
    <row r="4" spans="1:6" x14ac:dyDescent="0.2">
      <c r="A4" t="s">
        <v>13</v>
      </c>
      <c r="B4" s="1">
        <v>-0.17899999999999999</v>
      </c>
      <c r="C4" s="1">
        <v>-0.17199999999999999</v>
      </c>
      <c r="D4" s="1">
        <f>Table24[[#This Row],[Target (TDHF)]]-Table24[[#This Row],[At first guess]]</f>
        <v>-7.0000000000000062E-3</v>
      </c>
      <c r="E4" s="1">
        <v>-0.18</v>
      </c>
      <c r="F4" s="1">
        <f>Table24[[#This Row],[Target (TDHF)]]-Table24[[#This Row],[Optimized]]</f>
        <v>1.0000000000000009E-3</v>
      </c>
    </row>
    <row r="5" spans="1:6" x14ac:dyDescent="0.2">
      <c r="A5" t="s">
        <v>12</v>
      </c>
      <c r="B5" s="1">
        <v>0.95199999999999996</v>
      </c>
      <c r="C5" s="1">
        <v>0.95899999999999996</v>
      </c>
      <c r="D5" s="1">
        <f>Table24[[#This Row],[Target (TDHF)]]-Table24[[#This Row],[At first guess]]</f>
        <v>-7.0000000000000062E-3</v>
      </c>
      <c r="E5" s="1">
        <v>0.95199999999999996</v>
      </c>
      <c r="F5" s="1">
        <f>Table24[[#This Row],[Target (TDHF)]]-Table24[[#This Row],[Optimized]]</f>
        <v>0</v>
      </c>
    </row>
    <row r="6" spans="1:6" x14ac:dyDescent="0.2">
      <c r="A6" t="s">
        <v>14</v>
      </c>
      <c r="B6" s="1">
        <v>0.81399999999999995</v>
      </c>
      <c r="C6" s="1">
        <v>0.82</v>
      </c>
      <c r="D6" s="1">
        <f>Table24[[#This Row],[Target (TDHF)]]-Table24[[#This Row],[At first guess]]</f>
        <v>-6.0000000000000053E-3</v>
      </c>
      <c r="E6" s="1">
        <v>0.81399999999999995</v>
      </c>
      <c r="F6" s="1">
        <f>Table24[[#This Row],[Target (TDHF)]]-Table24[[#This Row],[Optimized]]</f>
        <v>0</v>
      </c>
    </row>
    <row r="7" spans="1:6" x14ac:dyDescent="0.2">
      <c r="A7" t="s">
        <v>15</v>
      </c>
      <c r="B7" s="1">
        <v>0.96599999999999997</v>
      </c>
      <c r="C7" s="1">
        <v>0.94099999999999995</v>
      </c>
      <c r="D7" s="1">
        <f>Table24[[#This Row],[Target (TDHF)]]-Table24[[#This Row],[At first guess]]</f>
        <v>2.5000000000000022E-2</v>
      </c>
      <c r="E7" s="1">
        <v>0.96599999999999997</v>
      </c>
      <c r="F7" s="1">
        <f>Table24[[#This Row],[Target (TDHF)]]-Table24[[#This Row],[Optimized]]</f>
        <v>0</v>
      </c>
    </row>
    <row r="8" spans="1:6" x14ac:dyDescent="0.2">
      <c r="A8" t="s">
        <v>16</v>
      </c>
      <c r="B8">
        <v>-0.49199999999999999</v>
      </c>
      <c r="C8">
        <v>-0.496</v>
      </c>
      <c r="D8" s="1">
        <f>Table24[[#This Row],[Target (TDHF)]]-Table24[[#This Row],[At first guess]]</f>
        <v>4.0000000000000036E-3</v>
      </c>
      <c r="E8" s="1">
        <v>-0.49199999999999999</v>
      </c>
      <c r="F8" s="1">
        <f>Table24[[#This Row],[Target (TDHF)]]-Table24[[#This Row],[Optimized]]</f>
        <v>0</v>
      </c>
    </row>
    <row r="9" spans="1:6" x14ac:dyDescent="0.2">
      <c r="A9" t="s">
        <v>17</v>
      </c>
      <c r="B9" s="1">
        <v>1.4690000000000001</v>
      </c>
      <c r="C9" s="1">
        <v>1.4690000000000001</v>
      </c>
      <c r="D9" s="1">
        <f>Table24[[#This Row],[Target (TDHF)]]-Table24[[#This Row],[At first guess]]</f>
        <v>0</v>
      </c>
      <c r="E9" s="1">
        <v>1.4690000000000001</v>
      </c>
      <c r="F9" s="1">
        <f>Table24[[#This Row],[Target (TDHF)]]-Table24[[#This Row],[Optimized]]</f>
        <v>0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FEEF2-6D62-A643-81A6-E4C9DC2DE06E}">
  <dimension ref="A1:F9"/>
  <sheetViews>
    <sheetView workbookViewId="0">
      <selection activeCell="J24" sqref="J24"/>
    </sheetView>
  </sheetViews>
  <sheetFormatPr baseColWidth="10" defaultRowHeight="16" x14ac:dyDescent="0.2"/>
  <cols>
    <col min="1" max="1" width="15.83203125" bestFit="1" customWidth="1"/>
    <col min="2" max="2" width="15.5" style="1" bestFit="1" customWidth="1"/>
    <col min="3" max="3" width="14.5" bestFit="1" customWidth="1"/>
    <col min="4" max="4" width="18.33203125" bestFit="1" customWidth="1"/>
    <col min="5" max="5" width="12.1640625" bestFit="1" customWidth="1"/>
    <col min="6" max="6" width="16" bestFit="1" customWidth="1"/>
  </cols>
  <sheetData>
    <row r="1" spans="1:6" x14ac:dyDescent="0.2">
      <c r="A1" t="s">
        <v>19</v>
      </c>
      <c r="B1" s="1" t="s">
        <v>20</v>
      </c>
      <c r="C1" t="s">
        <v>21</v>
      </c>
      <c r="D1" t="s">
        <v>36</v>
      </c>
      <c r="E1" t="s">
        <v>22</v>
      </c>
      <c r="F1" t="s">
        <v>37</v>
      </c>
    </row>
    <row r="2" spans="1:6" x14ac:dyDescent="0.2">
      <c r="A2" t="s">
        <v>10</v>
      </c>
      <c r="B2" s="2">
        <v>0.53300000000000003</v>
      </c>
      <c r="C2" s="1">
        <v>0.53200000000000003</v>
      </c>
      <c r="D2" s="1">
        <f>Table245[[#This Row],[Target (TDHF)]]-Table245[[#This Row],[At first guess]]</f>
        <v>1.0000000000000009E-3</v>
      </c>
      <c r="E2" s="1">
        <v>0.53200000000000003</v>
      </c>
      <c r="F2" s="1">
        <f>Table245[[#This Row],[Target (TDHF)]]-Table245[[#This Row],[Optimized]]</f>
        <v>1.0000000000000009E-3</v>
      </c>
    </row>
    <row r="3" spans="1:6" x14ac:dyDescent="0.2">
      <c r="A3" t="s">
        <v>11</v>
      </c>
      <c r="B3" s="1">
        <v>1.78</v>
      </c>
      <c r="C3" s="1">
        <v>1.7829999999999999</v>
      </c>
      <c r="D3" s="1">
        <f>Table245[[#This Row],[Target (TDHF)]]-Table245[[#This Row],[At first guess]]</f>
        <v>-2.9999999999998916E-3</v>
      </c>
      <c r="E3" s="1">
        <v>1.78</v>
      </c>
      <c r="F3" s="1">
        <f>Table245[[#This Row],[Target (TDHF)]]-Table245[[#This Row],[Optimized]]</f>
        <v>0</v>
      </c>
    </row>
    <row r="4" spans="1:6" x14ac:dyDescent="0.2">
      <c r="A4" t="s">
        <v>13</v>
      </c>
      <c r="B4" s="1">
        <v>-0.58799999999999997</v>
      </c>
      <c r="C4" s="1">
        <v>-0.59</v>
      </c>
      <c r="D4" s="1">
        <f>Table245[[#This Row],[Target (TDHF)]]-Table245[[#This Row],[At first guess]]</f>
        <v>2.0000000000000018E-3</v>
      </c>
      <c r="E4" s="1">
        <v>-0.58699999999999997</v>
      </c>
      <c r="F4" s="1">
        <f>Table245[[#This Row],[Target (TDHF)]]-Table245[[#This Row],[Optimized]]</f>
        <v>-1.0000000000000009E-3</v>
      </c>
    </row>
    <row r="5" spans="1:6" x14ac:dyDescent="0.2">
      <c r="A5" t="s">
        <v>12</v>
      </c>
      <c r="B5" s="1">
        <v>0.41</v>
      </c>
      <c r="C5" s="1">
        <v>0.40600000000000003</v>
      </c>
      <c r="D5" s="1">
        <f>Table245[[#This Row],[Target (TDHF)]]-Table245[[#This Row],[At first guess]]</f>
        <v>3.999999999999948E-3</v>
      </c>
      <c r="E5" s="1">
        <v>0.40899999999999997</v>
      </c>
      <c r="F5" s="1">
        <f>Table245[[#This Row],[Target (TDHF)]]-Table245[[#This Row],[Optimized]]</f>
        <v>1.0000000000000009E-3</v>
      </c>
    </row>
    <row r="6" spans="1:6" x14ac:dyDescent="0.2">
      <c r="A6" t="s">
        <v>14</v>
      </c>
      <c r="B6" s="1">
        <v>6.7000000000000004E-2</v>
      </c>
      <c r="C6" s="1">
        <v>6.0999999999999999E-2</v>
      </c>
      <c r="D6" s="1">
        <f>Table245[[#This Row],[Target (TDHF)]]-Table245[[#This Row],[At first guess]]</f>
        <v>6.0000000000000053E-3</v>
      </c>
      <c r="E6" s="1">
        <v>6.7000000000000004E-2</v>
      </c>
      <c r="F6" s="1">
        <f>Table245[[#This Row],[Target (TDHF)]]-Table245[[#This Row],[Optimized]]</f>
        <v>0</v>
      </c>
    </row>
    <row r="7" spans="1:6" x14ac:dyDescent="0.2">
      <c r="A7" t="s">
        <v>15</v>
      </c>
      <c r="B7" s="1">
        <v>0.219</v>
      </c>
      <c r="C7" s="1">
        <v>0.221</v>
      </c>
      <c r="D7" s="1">
        <f>Table245[[#This Row],[Target (TDHF)]]-Table245[[#This Row],[At first guess]]</f>
        <v>-2.0000000000000018E-3</v>
      </c>
      <c r="E7" s="1">
        <v>0.22</v>
      </c>
      <c r="F7" s="1">
        <f>Table245[[#This Row],[Target (TDHF)]]-Table245[[#This Row],[Optimized]]</f>
        <v>-1.0000000000000009E-3</v>
      </c>
    </row>
    <row r="8" spans="1:6" x14ac:dyDescent="0.2">
      <c r="A8" t="s">
        <v>16</v>
      </c>
      <c r="B8">
        <v>-0.80300000000000005</v>
      </c>
      <c r="C8">
        <v>-0.80100000000000005</v>
      </c>
      <c r="D8" s="1">
        <f>Table245[[#This Row],[Target (TDHF)]]-Table245[[#This Row],[At first guess]]</f>
        <v>-2.0000000000000018E-3</v>
      </c>
      <c r="E8" s="1">
        <v>-0.80300000000000005</v>
      </c>
      <c r="F8" s="1">
        <f>Table245[[#This Row],[Target (TDHF)]]-Table245[[#This Row],[Optimized]]</f>
        <v>0</v>
      </c>
    </row>
    <row r="9" spans="1:6" x14ac:dyDescent="0.2">
      <c r="A9" t="s">
        <v>17</v>
      </c>
      <c r="B9" s="1">
        <v>0.28799999999999998</v>
      </c>
      <c r="C9" s="1">
        <v>0.28299999999999997</v>
      </c>
      <c r="D9" s="1">
        <f>Table245[[#This Row],[Target (TDHF)]]-Table245[[#This Row],[At first guess]]</f>
        <v>5.0000000000000044E-3</v>
      </c>
      <c r="E9" s="1">
        <v>0.28799999999999998</v>
      </c>
      <c r="F9" s="1">
        <f>Table245[[#This Row],[Target (TDHF)]]-Table245[[#This Row],[Optimized]]</f>
        <v>0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BC6DE-86CF-B643-829E-AABEF7501AC7}">
  <dimension ref="A1:F9"/>
  <sheetViews>
    <sheetView workbookViewId="0">
      <selection activeCell="L22" sqref="L22"/>
    </sheetView>
  </sheetViews>
  <sheetFormatPr baseColWidth="10" defaultRowHeight="16" x14ac:dyDescent="0.2"/>
  <cols>
    <col min="1" max="1" width="15.83203125" bestFit="1" customWidth="1"/>
    <col min="2" max="2" width="15.5" style="1" bestFit="1" customWidth="1"/>
    <col min="3" max="3" width="14.5" bestFit="1" customWidth="1"/>
    <col min="4" max="4" width="18.33203125" bestFit="1" customWidth="1"/>
    <col min="5" max="5" width="12.1640625" bestFit="1" customWidth="1"/>
    <col min="6" max="6" width="16" bestFit="1" customWidth="1"/>
  </cols>
  <sheetData>
    <row r="1" spans="1:6" x14ac:dyDescent="0.2">
      <c r="A1" t="s">
        <v>19</v>
      </c>
      <c r="B1" s="1" t="s">
        <v>20</v>
      </c>
      <c r="C1" t="s">
        <v>21</v>
      </c>
      <c r="D1" t="s">
        <v>36</v>
      </c>
      <c r="E1" t="s">
        <v>22</v>
      </c>
      <c r="F1" t="s">
        <v>37</v>
      </c>
    </row>
    <row r="2" spans="1:6" x14ac:dyDescent="0.2">
      <c r="A2" t="s">
        <v>10</v>
      </c>
      <c r="B2" s="1">
        <v>1.1339999999999999</v>
      </c>
      <c r="C2" s="1">
        <v>1.1599999999999999</v>
      </c>
      <c r="D2" s="1">
        <f>Table2[[#This Row],[Target (TDHF)]]-Table2[[#This Row],[At first guess]]</f>
        <v>-2.6000000000000023E-2</v>
      </c>
      <c r="E2" s="1">
        <v>1.149</v>
      </c>
      <c r="F2" s="1">
        <f>Table2[[#This Row],[Target (TDHF)]]-Table2[[#This Row],[Optimized]]</f>
        <v>-1.5000000000000124E-2</v>
      </c>
    </row>
    <row r="3" spans="1:6" x14ac:dyDescent="0.2">
      <c r="A3" t="s">
        <v>11</v>
      </c>
      <c r="B3" s="1">
        <v>1.5760000000000001</v>
      </c>
      <c r="C3" s="1">
        <v>1.5609999999999999</v>
      </c>
      <c r="D3" s="1">
        <f>Table2[[#This Row],[Target (TDHF)]]-Table2[[#This Row],[At first guess]]</f>
        <v>1.5000000000000124E-2</v>
      </c>
      <c r="E3" s="1">
        <v>1.5740000000000001</v>
      </c>
      <c r="F3" s="1">
        <f>Table2[[#This Row],[Target (TDHF)]]-Table2[[#This Row],[Optimized]]</f>
        <v>2.0000000000000018E-3</v>
      </c>
    </row>
    <row r="4" spans="1:6" x14ac:dyDescent="0.2">
      <c r="A4" t="s">
        <v>13</v>
      </c>
      <c r="B4" s="1">
        <v>0.57799999999999996</v>
      </c>
      <c r="C4" s="1">
        <v>0.61299999999999999</v>
      </c>
      <c r="D4" s="1">
        <f>Table2[[#This Row],[Target (TDHF)]]-Table2[[#This Row],[At first guess]]</f>
        <v>-3.5000000000000031E-2</v>
      </c>
      <c r="E4" s="1">
        <v>0.56399999999999995</v>
      </c>
      <c r="F4" s="1">
        <f>Table2[[#This Row],[Target (TDHF)]]-Table2[[#This Row],[Optimized]]</f>
        <v>1.4000000000000012E-2</v>
      </c>
    </row>
    <row r="5" spans="1:6" x14ac:dyDescent="0.2">
      <c r="A5" t="s">
        <v>12</v>
      </c>
      <c r="B5" s="1">
        <v>0.48899999999999999</v>
      </c>
      <c r="C5" s="1">
        <v>0.47899999999999998</v>
      </c>
      <c r="D5" s="1">
        <f>Table2[[#This Row],[Target (TDHF)]]-Table2[[#This Row],[At first guess]]</f>
        <v>1.0000000000000009E-2</v>
      </c>
      <c r="E5" s="1">
        <v>0.498</v>
      </c>
      <c r="F5" s="1">
        <f>Table2[[#This Row],[Target (TDHF)]]-Table2[[#This Row],[Optimized]]</f>
        <v>-9.000000000000008E-3</v>
      </c>
    </row>
    <row r="6" spans="1:6" x14ac:dyDescent="0.2">
      <c r="A6" t="s">
        <v>14</v>
      </c>
      <c r="B6" s="1">
        <v>0.26900000000000002</v>
      </c>
      <c r="C6" s="1">
        <v>0.29799999999999999</v>
      </c>
      <c r="D6" s="1">
        <f>Table2[[#This Row],[Target (TDHF)]]-Table2[[#This Row],[At first guess]]</f>
        <v>-2.899999999999997E-2</v>
      </c>
      <c r="E6" s="1">
        <v>0.27</v>
      </c>
      <c r="F6" s="1">
        <f>Table2[[#This Row],[Target (TDHF)]]-Table2[[#This Row],[Optimized]]</f>
        <v>-1.0000000000000009E-3</v>
      </c>
    </row>
    <row r="7" spans="1:6" x14ac:dyDescent="0.2">
      <c r="A7" t="s">
        <v>15</v>
      </c>
      <c r="B7" s="1">
        <v>-0.186</v>
      </c>
      <c r="C7" s="1">
        <v>-0.221</v>
      </c>
      <c r="D7" s="1">
        <f>Table2[[#This Row],[Target (TDHF)]]-Table2[[#This Row],[At first guess]]</f>
        <v>3.5000000000000003E-2</v>
      </c>
      <c r="E7" s="1">
        <v>-0.188</v>
      </c>
      <c r="F7" s="1">
        <f>Table2[[#This Row],[Target (TDHF)]]-Table2[[#This Row],[Optimized]]</f>
        <v>2.0000000000000018E-3</v>
      </c>
    </row>
    <row r="8" spans="1:6" x14ac:dyDescent="0.2">
      <c r="A8" t="s">
        <v>16</v>
      </c>
      <c r="B8" s="1">
        <v>0.502</v>
      </c>
      <c r="C8" s="1">
        <v>0.55300000000000005</v>
      </c>
      <c r="D8" s="1">
        <f>Table2[[#This Row],[Target (TDHF)]]-Table2[[#This Row],[At first guess]]</f>
        <v>-5.1000000000000045E-2</v>
      </c>
      <c r="E8" s="1">
        <v>0.5</v>
      </c>
      <c r="F8" s="1">
        <f>Table2[[#This Row],[Target (TDHF)]]-Table2[[#This Row],[Optimized]]</f>
        <v>2.0000000000000018E-3</v>
      </c>
    </row>
    <row r="9" spans="1:6" x14ac:dyDescent="0.2">
      <c r="A9" t="s">
        <v>17</v>
      </c>
      <c r="B9" s="1">
        <v>-0.34499999999999997</v>
      </c>
      <c r="C9" s="1">
        <v>-0.34399999999999997</v>
      </c>
      <c r="D9" s="1">
        <f>Table2[[#This Row],[Target (TDHF)]]-Table2[[#This Row],[At first guess]]</f>
        <v>-1.0000000000000009E-3</v>
      </c>
      <c r="E9" s="1">
        <v>-0.35299999999999998</v>
      </c>
      <c r="F9" s="1">
        <f>Table2[[#This Row],[Target (TDHF)]]-Table2[[#This Row],[Optimized]]</f>
        <v>8.0000000000000071E-3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F10F6-DE5B-2B48-9805-DAEA8114DB08}">
  <dimension ref="A1:F9"/>
  <sheetViews>
    <sheetView workbookViewId="0">
      <selection activeCell="B7" sqref="B7"/>
    </sheetView>
  </sheetViews>
  <sheetFormatPr baseColWidth="10" defaultRowHeight="16" x14ac:dyDescent="0.2"/>
  <cols>
    <col min="1" max="1" width="15.83203125" bestFit="1" customWidth="1"/>
    <col min="2" max="2" width="15.5" style="1" bestFit="1" customWidth="1"/>
    <col min="3" max="3" width="14.5" bestFit="1" customWidth="1"/>
    <col min="4" max="4" width="18.33203125" bestFit="1" customWidth="1"/>
    <col min="5" max="5" width="12.1640625" bestFit="1" customWidth="1"/>
    <col min="6" max="6" width="16" bestFit="1" customWidth="1"/>
  </cols>
  <sheetData>
    <row r="1" spans="1:6" x14ac:dyDescent="0.2">
      <c r="A1" t="s">
        <v>19</v>
      </c>
      <c r="B1" s="1" t="s">
        <v>20</v>
      </c>
      <c r="C1" t="s">
        <v>21</v>
      </c>
      <c r="D1" t="s">
        <v>36</v>
      </c>
      <c r="E1" t="s">
        <v>22</v>
      </c>
      <c r="F1" t="s">
        <v>37</v>
      </c>
    </row>
    <row r="2" spans="1:6" x14ac:dyDescent="0.2">
      <c r="A2" t="s">
        <v>10</v>
      </c>
      <c r="B2" s="2">
        <v>0.79200000000000004</v>
      </c>
      <c r="C2" s="1">
        <v>0.78500000000000003</v>
      </c>
      <c r="D2" s="1">
        <f>Table2456[[#This Row],[Target (TDHF)]]-Table2456[[#This Row],[At first guess]]</f>
        <v>7.0000000000000062E-3</v>
      </c>
      <c r="E2" s="1">
        <v>0.79800000000000004</v>
      </c>
      <c r="F2" s="1">
        <f>Table2456[[#This Row],[Target (TDHF)]]-Table2456[[#This Row],[Optimized]]</f>
        <v>-6.0000000000000053E-3</v>
      </c>
    </row>
    <row r="3" spans="1:6" x14ac:dyDescent="0.2">
      <c r="A3" t="s">
        <v>11</v>
      </c>
      <c r="B3" s="1">
        <v>1.579</v>
      </c>
      <c r="C3" s="1">
        <v>1.577</v>
      </c>
      <c r="D3" s="1">
        <f>Table2456[[#This Row],[Target (TDHF)]]-Table2456[[#This Row],[At first guess]]</f>
        <v>2.0000000000000018E-3</v>
      </c>
      <c r="E3" s="1">
        <v>1.579</v>
      </c>
      <c r="F3" s="1">
        <f>Table2456[[#This Row],[Target (TDHF)]]-Table2456[[#This Row],[Optimized]]</f>
        <v>0</v>
      </c>
    </row>
    <row r="4" spans="1:6" x14ac:dyDescent="0.2">
      <c r="A4" t="s">
        <v>13</v>
      </c>
      <c r="B4" s="1">
        <v>-7.0000000000000001E-3</v>
      </c>
      <c r="C4" s="1">
        <v>1E-3</v>
      </c>
      <c r="D4" s="1">
        <f>Table2456[[#This Row],[Target (TDHF)]]-Table2456[[#This Row],[At first guess]]</f>
        <v>-8.0000000000000002E-3</v>
      </c>
      <c r="E4" s="1">
        <v>-1.4999999999999999E-2</v>
      </c>
      <c r="F4" s="1">
        <f>Table2456[[#This Row],[Target (TDHF)]]-Table2456[[#This Row],[Optimized]]</f>
        <v>8.0000000000000002E-3</v>
      </c>
    </row>
    <row r="5" spans="1:6" x14ac:dyDescent="0.2">
      <c r="A5" t="s">
        <v>12</v>
      </c>
      <c r="B5" s="1">
        <v>0.99</v>
      </c>
      <c r="C5" s="1">
        <v>0.99299999999999999</v>
      </c>
      <c r="D5" s="1">
        <f>Table2456[[#This Row],[Target (TDHF)]]-Table2456[[#This Row],[At first guess]]</f>
        <v>-3.0000000000000027E-3</v>
      </c>
      <c r="E5" s="1">
        <v>0.996</v>
      </c>
      <c r="F5" s="1">
        <f>Table2456[[#This Row],[Target (TDHF)]]-Table2456[[#This Row],[Optimized]]</f>
        <v>-6.0000000000000053E-3</v>
      </c>
    </row>
    <row r="6" spans="1:6" x14ac:dyDescent="0.2">
      <c r="A6" t="s">
        <v>14</v>
      </c>
      <c r="B6" s="1">
        <v>0.81299999999999994</v>
      </c>
      <c r="C6" s="1">
        <v>0.81899999999999995</v>
      </c>
      <c r="D6" s="1">
        <f>Table2456[[#This Row],[Target (TDHF)]]-Table2456[[#This Row],[At first guess]]</f>
        <v>-6.0000000000000053E-3</v>
      </c>
      <c r="E6" s="1">
        <v>0.81399999999999995</v>
      </c>
      <c r="F6" s="1">
        <f>Table2456[[#This Row],[Target (TDHF)]]-Table2456[[#This Row],[Optimized]]</f>
        <v>-1.0000000000000009E-3</v>
      </c>
    </row>
    <row r="7" spans="1:6" x14ac:dyDescent="0.2">
      <c r="A7" t="s">
        <v>15</v>
      </c>
      <c r="B7" s="1">
        <v>0.69599999999999995</v>
      </c>
      <c r="C7" s="1">
        <v>0.65600000000000003</v>
      </c>
      <c r="D7" s="1">
        <f>Table2456[[#This Row],[Target (TDHF)]]-Table2456[[#This Row],[At first guess]]</f>
        <v>3.9999999999999925E-2</v>
      </c>
      <c r="E7" s="1">
        <v>0.69</v>
      </c>
      <c r="F7" s="1">
        <f>Table2456[[#This Row],[Target (TDHF)]]-Table2456[[#This Row],[Optimized]]</f>
        <v>6.0000000000000053E-3</v>
      </c>
    </row>
    <row r="8" spans="1:6" x14ac:dyDescent="0.2">
      <c r="A8" t="s">
        <v>16</v>
      </c>
      <c r="B8">
        <v>-0.49099999999999999</v>
      </c>
      <c r="C8">
        <v>-0.499</v>
      </c>
      <c r="D8" s="1">
        <f>Table2456[[#This Row],[Target (TDHF)]]-Table2456[[#This Row],[At first guess]]</f>
        <v>8.0000000000000071E-3</v>
      </c>
      <c r="E8" s="1">
        <v>-0.49099999999999999</v>
      </c>
      <c r="F8" s="1">
        <f>Table2456[[#This Row],[Target (TDHF)]]-Table2456[[#This Row],[Optimized]]</f>
        <v>0</v>
      </c>
    </row>
    <row r="9" spans="1:6" x14ac:dyDescent="0.2">
      <c r="A9" t="s">
        <v>17</v>
      </c>
      <c r="B9" s="1">
        <v>1.4690000000000001</v>
      </c>
      <c r="C9" s="1">
        <v>1.4690000000000001</v>
      </c>
      <c r="D9" s="1">
        <f>Table2456[[#This Row],[Target (TDHF)]]-Table2456[[#This Row],[At first guess]]</f>
        <v>0</v>
      </c>
      <c r="E9" s="1">
        <v>1.4690000000000001</v>
      </c>
      <c r="F9" s="1">
        <f>Table2456[[#This Row],[Target (TDHF)]]-Table2456[[#This Row],[Optimized]]</f>
        <v>0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measured</vt:lpstr>
      <vt:lpstr>TDHF</vt:lpstr>
      <vt:lpstr>TDCASSCF</vt:lpstr>
      <vt:lpstr>good1</vt:lpstr>
      <vt:lpstr>good2</vt:lpstr>
      <vt:lpstr>good3</vt:lpstr>
      <vt:lpstr>good4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Daehyun You</dc:creator>
  <cp:lastModifiedBy>Daehyun You</cp:lastModifiedBy>
  <dcterms:created xsi:type="dcterms:W3CDTF">2018-10-02T05:09:03Z</dcterms:created>
  <dcterms:modified xsi:type="dcterms:W3CDTF">2018-10-02T14:30:58Z</dcterms:modified>
</cp:coreProperties>
</file>