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\\KANT\daehyun\Documents\FERMI 20140477 [Wigner Delay]\"/>
    </mc:Choice>
  </mc:AlternateContent>
  <bookViews>
    <workbookView xWindow="33615" yWindow="465" windowWidth="38400" windowHeight="21135" tabRatio="500" activeTab="2" xr2:uid="{00000000-000D-0000-FFFF-FFFF00000000}"/>
  </bookViews>
  <sheets>
    <sheet name="1st sep" sheetId="1" r:id="rId1"/>
    <sheet name="19th sep" sheetId="5" r:id="rId2"/>
    <sheet name="betas" sheetId="6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5" l="1"/>
  <c r="N3" i="5"/>
  <c r="H2" i="1"/>
  <c r="J2" i="1"/>
  <c r="K2" i="1"/>
  <c r="H3" i="1"/>
  <c r="J3" i="1"/>
  <c r="K3" i="1"/>
  <c r="H4" i="1"/>
  <c r="G4" i="1"/>
  <c r="J4" i="1"/>
  <c r="K4" i="1"/>
  <c r="J5" i="1"/>
  <c r="K5" i="1"/>
  <c r="H6" i="1"/>
  <c r="G6" i="1"/>
  <c r="J6" i="1"/>
  <c r="K6" i="1"/>
  <c r="H2" i="6"/>
  <c r="I2" i="6"/>
  <c r="P2" i="6"/>
  <c r="Q2" i="6"/>
  <c r="H3" i="6"/>
  <c r="I3" i="6"/>
  <c r="P3" i="6"/>
  <c r="Q3" i="6"/>
  <c r="H4" i="6"/>
  <c r="I4" i="6"/>
  <c r="P4" i="6"/>
  <c r="Q4" i="6"/>
  <c r="H5" i="6"/>
  <c r="I5" i="6"/>
  <c r="P5" i="6"/>
  <c r="Q5" i="6"/>
  <c r="H3" i="5"/>
  <c r="L3" i="5"/>
  <c r="E3" i="5"/>
  <c r="H4" i="5"/>
  <c r="L4" i="5"/>
  <c r="E4" i="5"/>
  <c r="L5" i="5"/>
  <c r="I3" i="5"/>
  <c r="M3" i="5"/>
  <c r="I4" i="5"/>
  <c r="M4" i="5"/>
  <c r="M5" i="5"/>
  <c r="J4" i="5"/>
  <c r="N4" i="5"/>
  <c r="N5" i="5"/>
  <c r="G2" i="5"/>
  <c r="K2" i="5"/>
  <c r="G3" i="5"/>
  <c r="K3" i="5"/>
  <c r="G4" i="5"/>
  <c r="K4" i="5"/>
  <c r="K5" i="5"/>
  <c r="G6" i="5"/>
  <c r="K6" i="5"/>
  <c r="H2" i="5"/>
  <c r="L2" i="5"/>
  <c r="H6" i="5"/>
  <c r="L6" i="5"/>
  <c r="C5" i="5"/>
  <c r="J2" i="5"/>
  <c r="N2" i="5"/>
  <c r="J6" i="5"/>
  <c r="N6" i="5"/>
  <c r="I2" i="5"/>
  <c r="M2" i="5"/>
  <c r="I6" i="5"/>
  <c r="M6" i="5"/>
  <c r="E6" i="5"/>
  <c r="D5" i="5"/>
  <c r="E5" i="5"/>
  <c r="E2" i="5"/>
  <c r="I6" i="1"/>
  <c r="I4" i="1"/>
  <c r="I3" i="1"/>
  <c r="I2" i="1"/>
  <c r="I5" i="1"/>
  <c r="E3" i="1"/>
  <c r="E4" i="1"/>
  <c r="C5" i="1"/>
  <c r="D5" i="1"/>
  <c r="E2" i="1"/>
  <c r="E5" i="1"/>
  <c r="E6" i="1"/>
</calcChain>
</file>

<file path=xl/sharedStrings.xml><?xml version="1.0" encoding="utf-8"?>
<sst xmlns="http://schemas.openxmlformats.org/spreadsheetml/2006/main" count="60" uniqueCount="45">
  <si>
    <t>theory</t>
  </si>
  <si>
    <t>good1</t>
  </si>
  <si>
    <t>good4</t>
  </si>
  <si>
    <t>delta0</t>
  </si>
  <si>
    <t>good2</t>
  </si>
  <si>
    <t>good3</t>
  </si>
  <si>
    <t>data_set</t>
  </si>
  <si>
    <t>eta1</t>
  </si>
  <si>
    <t>eta1_err</t>
  </si>
  <si>
    <t>eta2</t>
  </si>
  <si>
    <t>eta2_btm</t>
  </si>
  <si>
    <t>eta2_top</t>
  </si>
  <si>
    <t>eta2_err</t>
  </si>
  <si>
    <t>average</t>
  </si>
  <si>
    <t>eta1_weight</t>
  </si>
  <si>
    <t>eta2_weight</t>
  </si>
  <si>
    <t>eta_model1</t>
  </si>
  <si>
    <t>eta_model3</t>
  </si>
  <si>
    <t>eta_model2</t>
  </si>
  <si>
    <t>eta_model4</t>
  </si>
  <si>
    <t>eta_model1_</t>
  </si>
  <si>
    <t>eta_model2_</t>
  </si>
  <si>
    <t>eta_model3_</t>
  </si>
  <si>
    <t>eta_model4_</t>
  </si>
  <si>
    <t>eta_weight</t>
  </si>
  <si>
    <t>eta_tohoku</t>
  </si>
  <si>
    <t>eta_err</t>
  </si>
  <si>
    <t>beta4_err</t>
  </si>
  <si>
    <t>beta4</t>
  </si>
  <si>
    <t>beta3_elena_err</t>
  </si>
  <si>
    <t>beta3_elena</t>
  </si>
  <si>
    <t>beta3_shift_err</t>
  </si>
  <si>
    <t>beta3_shift</t>
  </si>
  <si>
    <t>beta3_amp_err</t>
  </si>
  <si>
    <t>beta3_amp</t>
  </si>
  <si>
    <t>beta2_err</t>
  </si>
  <si>
    <t>beta2</t>
  </si>
  <si>
    <t>beta1_elena_err</t>
  </si>
  <si>
    <t>beta1_elena</t>
  </si>
  <si>
    <t>beta1_shift_err</t>
  </si>
  <si>
    <t>beta1_shift</t>
  </si>
  <si>
    <t>beta1_amp_err</t>
  </si>
  <si>
    <t>beta1_amp</t>
  </si>
  <si>
    <t>delta0_err</t>
  </si>
  <si>
    <t>photon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</si>
</sst>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5" x14ac:knownFonts="1">
    <font>
      <sz val="12"/>
      <color theme="1"/>
      <name val="Yu Gothic"/>
      <family val="2"/>
      <scheme val="minor"/>
    </font>
    <font>
      <sz val="8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2"/>
      <color theme="10"/>
      <name val="Yu Gothic"/>
      <family val="2"/>
      <scheme val="minor"/>
    </font>
    <font>
      <u/>
      <sz val="12"/>
      <color theme="1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3"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2" formatCode="0.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7" formatCode="0.0"/>
    </dxf>
    <dxf>
      <numFmt numFmtId="2" formatCode="0.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7" formatCode="0.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Tohoku Univ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sep'!$D$2:$D$6</c:f>
                <c:numCache>
                  <c:formatCode>General</c:formatCode>
                  <c:ptCount val="3"/>
                  <c:pt idx="0">
                    <c:v>4.3999999999999997E-2</c:v>
                  </c:pt>
                  <c:pt idx="1">
                    <c:v>4.5800167149210348E-2</c:v>
                  </c:pt>
                  <c:pt idx="2">
                    <c:v>7.0999999999999994E-2</c:v>
                  </c:pt>
                </c:numCache>
              </c:numRef>
            </c:plus>
            <c:minus>
              <c:numRef>
                <c:f>'1st sep'!$D$2:$D$6</c:f>
                <c:numCache>
                  <c:formatCode>General</c:formatCode>
                  <c:ptCount val="3"/>
                  <c:pt idx="0">
                    <c:v>4.3999999999999997E-2</c:v>
                  </c:pt>
                  <c:pt idx="1">
                    <c:v>4.5800167149210348E-2</c:v>
                  </c:pt>
                  <c:pt idx="2">
                    <c:v>7.0999999999999994E-2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'1st sep'!$C$2:$C$6</c:f>
              <c:numCache>
                <c:formatCode>0.000</c:formatCode>
                <c:ptCount val="3"/>
                <c:pt idx="0">
                  <c:v>4.8849999999999998</c:v>
                </c:pt>
                <c:pt idx="1">
                  <c:v>4.5981188134626354</c:v>
                </c:pt>
                <c:pt idx="2">
                  <c:v>4.5289999999999999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E-442B-A80D-8B2105B7A0A2}"/>
            </c:ext>
          </c:extLst>
        </c:ser>
        <c:ser>
          <c:idx val="1"/>
          <c:order val="1"/>
          <c:tx>
            <c:v>Elena's Report (1st Sep)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sep'!$J$2:$J$6</c:f>
                <c:numCache>
                  <c:formatCode>General</c:formatCode>
                  <c:ptCount val="3"/>
                  <c:pt idx="0">
                    <c:v>0.39269908169872414</c:v>
                  </c:pt>
                  <c:pt idx="1">
                    <c:v>0.29168955511144917</c:v>
                  </c:pt>
                  <c:pt idx="2">
                    <c:v>7.8539816339744828E-2</c:v>
                  </c:pt>
                </c:numCache>
              </c:numRef>
            </c:plus>
            <c:minus>
              <c:numRef>
                <c:f>'1st sep'!$J$2:$J$6</c:f>
                <c:numCache>
                  <c:formatCode>General</c:formatCode>
                  <c:ptCount val="3"/>
                  <c:pt idx="0">
                    <c:v>0.39269908169872414</c:v>
                  </c:pt>
                  <c:pt idx="1">
                    <c:v>0.29168955511144917</c:v>
                  </c:pt>
                  <c:pt idx="2">
                    <c:v>7.8539816339744828E-2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'1st sep'!$I$2:$I$6</c:f>
              <c:numCache>
                <c:formatCode>0.000</c:formatCode>
                <c:ptCount val="3"/>
                <c:pt idx="0">
                  <c:v>5.4852825522757591</c:v>
                </c:pt>
                <c:pt idx="1">
                  <c:v>4.8491731606853223</c:v>
                </c:pt>
                <c:pt idx="2">
                  <c:v>4.5103269601218825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E-442B-A80D-8B2105B7A0A2}"/>
            </c:ext>
          </c:extLst>
        </c:ser>
        <c:ser>
          <c:idx val="2"/>
          <c:order val="2"/>
          <c:tx>
            <c:v>Theory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'1st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'1st sep'!$L$2:$L$6</c:f>
              <c:numCache>
                <c:formatCode>0.00</c:formatCode>
                <c:ptCount val="3"/>
                <c:pt idx="0">
                  <c:v>4.22</c:v>
                </c:pt>
                <c:pt idx="1">
                  <c:v>4.28</c:v>
                </c:pt>
                <c:pt idx="2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E-442B-A80D-8B2105B7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40800"/>
        <c:axId val="1704950592"/>
      </c:scatterChart>
      <c:valAx>
        <c:axId val="1677640800"/>
        <c:scaling>
          <c:orientation val="minMax"/>
          <c:max val="2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Photon Energy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950592"/>
        <c:crosses val="autoZero"/>
        <c:crossBetween val="midCat"/>
      </c:valAx>
      <c:valAx>
        <c:axId val="1704950592"/>
        <c:scaling>
          <c:orientation val="minMax"/>
          <c:max val="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η</a:t>
                </a:r>
                <a:r>
                  <a:rPr lang="en-US" sz="1000" b="0" i="0" u="none" strike="noStrike" baseline="0">
                    <a:effectLst/>
                  </a:rPr>
                  <a:t>_fd − </a:t>
                </a:r>
                <a:r>
                  <a:rPr lang="el-GR" sz="1000" b="0" i="0" u="none" strike="noStrike" baseline="0">
                    <a:effectLst/>
                  </a:rPr>
                  <a:t>η</a:t>
                </a:r>
                <a:r>
                  <a:rPr lang="en-US" sz="1000" b="0" i="0" u="none" strike="noStrike" baseline="0">
                    <a:effectLst/>
                  </a:rPr>
                  <a:t>_d (</a:t>
                </a:r>
                <a:r>
                  <a:rPr lang="en-US"/>
                  <a:t>radian)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6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Tohoku Univ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'19th sep'!$D$2:$D$6</c:f>
                <c:numCache>
                  <c:formatCode>General</c:formatCode>
                  <c:ptCount val="3"/>
                  <c:pt idx="0">
                    <c:v>4.3999999999999997E-2</c:v>
                  </c:pt>
                  <c:pt idx="1">
                    <c:v>4.5800167149210348E-2</c:v>
                  </c:pt>
                  <c:pt idx="2">
                    <c:v>7.0999999999999994E-2</c:v>
                  </c:pt>
                </c:numCache>
              </c:numRef>
            </c:plus>
            <c:minus>
              <c:numRef>
                <c:f>'19th sep'!$D$2:$D$6</c:f>
                <c:numCache>
                  <c:formatCode>General</c:formatCode>
                  <c:ptCount val="3"/>
                  <c:pt idx="0">
                    <c:v>4.3999999999999997E-2</c:v>
                  </c:pt>
                  <c:pt idx="1">
                    <c:v>4.5800167149210348E-2</c:v>
                  </c:pt>
                  <c:pt idx="2">
                    <c:v>7.0999999999999994E-2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'19th sep'!$C$2:$C$6</c:f>
              <c:numCache>
                <c:formatCode>0.000</c:formatCode>
                <c:ptCount val="3"/>
                <c:pt idx="0">
                  <c:v>4.8849999999999998</c:v>
                </c:pt>
                <c:pt idx="1">
                  <c:v>4.5981188134626354</c:v>
                </c:pt>
                <c:pt idx="2">
                  <c:v>4.5289999999999999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B-4E6A-850D-7C5AF80847CA}"/>
            </c:ext>
          </c:extLst>
        </c:ser>
        <c:ser>
          <c:idx val="1"/>
          <c:order val="1"/>
          <c:tx>
            <c:v>1st Sep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sep'!$J$2:$J$6</c:f>
                <c:numCache>
                  <c:formatCode>General</c:formatCode>
                  <c:ptCount val="3"/>
                  <c:pt idx="0">
                    <c:v>0.39269908169872414</c:v>
                  </c:pt>
                  <c:pt idx="1">
                    <c:v>0.29168955511144917</c:v>
                  </c:pt>
                  <c:pt idx="2">
                    <c:v>7.8539816339744828E-2</c:v>
                  </c:pt>
                </c:numCache>
              </c:numRef>
            </c:plus>
            <c:minus>
              <c:numRef>
                <c:f>'1st sep'!$J$2:$J$6</c:f>
                <c:numCache>
                  <c:formatCode>General</c:formatCode>
                  <c:ptCount val="3"/>
                  <c:pt idx="0">
                    <c:v>0.39269908169872414</c:v>
                  </c:pt>
                  <c:pt idx="1">
                    <c:v>0.29168955511144917</c:v>
                  </c:pt>
                  <c:pt idx="2">
                    <c:v>7.8539816339744828E-2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'1st sep'!$I$2:$I$6</c:f>
              <c:numCache>
                <c:formatCode>0.000</c:formatCode>
                <c:ptCount val="3"/>
                <c:pt idx="0">
                  <c:v>5.4852825522757591</c:v>
                </c:pt>
                <c:pt idx="1">
                  <c:v>4.8491731606853223</c:v>
                </c:pt>
                <c:pt idx="2">
                  <c:v>4.5103269601218825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E-442B-A80D-8B2105B7A0A2}"/>
            </c:ext>
          </c:extLst>
        </c:ser>
        <c:ser>
          <c:idx val="5"/>
          <c:order val="2"/>
          <c:tx>
            <c:v>Model1 and Model2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'19th sep'!$L$2:$L$6</c:f>
              <c:numCache>
                <c:formatCode>0.000</c:formatCode>
                <c:ptCount val="3"/>
                <c:pt idx="0">
                  <c:v>4.7784242052180552</c:v>
                </c:pt>
                <c:pt idx="1">
                  <c:v>4.8656791689022576</c:v>
                </c:pt>
                <c:pt idx="2">
                  <c:v>4.2747075111026485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B-4E6A-850D-7C5AF80847CA}"/>
            </c:ext>
          </c:extLst>
        </c:ser>
        <c:ser>
          <c:idx val="6"/>
          <c:order val="3"/>
          <c:tx>
            <c:v>Model3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'19th sep'!$M$2:$M$6</c:f>
              <c:numCache>
                <c:formatCode>0.000</c:formatCode>
                <c:ptCount val="3"/>
                <c:pt idx="0">
                  <c:v>4.8726719848257485</c:v>
                </c:pt>
                <c:pt idx="1">
                  <c:v>4.5436023015218527</c:v>
                </c:pt>
                <c:pt idx="2">
                  <c:v>4.1176278784231588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4B-4E6A-850D-7C5AF80847CA}"/>
            </c:ext>
          </c:extLst>
        </c:ser>
        <c:ser>
          <c:idx val="7"/>
          <c:order val="4"/>
          <c:tx>
            <c:v>Model4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'19th sep'!$N$2:$N$6</c:f>
              <c:numCache>
                <c:formatCode>0.000</c:formatCode>
                <c:ptCount val="3"/>
                <c:pt idx="0">
                  <c:v>4.8412560582898507</c:v>
                </c:pt>
                <c:pt idx="1">
                  <c:v>4.4948242816442674</c:v>
                </c:pt>
                <c:pt idx="2">
                  <c:v>4.1176278784231588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4B-4E6A-850D-7C5AF80847CA}"/>
            </c:ext>
          </c:extLst>
        </c:ser>
        <c:ser>
          <c:idx val="8"/>
          <c:order val="5"/>
          <c:tx>
            <c:v>Theory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'19th sep'!$O$2:$O$6</c:f>
              <c:numCache>
                <c:formatCode>0.00</c:formatCode>
                <c:ptCount val="3"/>
                <c:pt idx="0">
                  <c:v>4.22</c:v>
                </c:pt>
                <c:pt idx="1">
                  <c:v>4.28</c:v>
                </c:pt>
                <c:pt idx="2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4B-4E6A-850D-7C5AF8084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585488"/>
        <c:axId val="1707589248"/>
      </c:scatterChart>
      <c:valAx>
        <c:axId val="1707585488"/>
        <c:scaling>
          <c:orientation val="minMax"/>
          <c:max val="2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Photon Energy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7589248"/>
        <c:crosses val="autoZero"/>
        <c:crossBetween val="midCat"/>
      </c:valAx>
      <c:valAx>
        <c:axId val="1707589248"/>
        <c:scaling>
          <c:orientation val="minMax"/>
          <c:max val="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</a:t>
                </a:r>
                <a:r>
                  <a:rPr lang="en-US"/>
                  <a:t>_fd − </a:t>
                </a:r>
                <a:r>
                  <a:rPr lang="el-GR" sz="1000" b="0" i="0" u="none" strike="noStrike" baseline="0">
                    <a:effectLst/>
                  </a:rPr>
                  <a:t>η</a:t>
                </a:r>
                <a:r>
                  <a:rPr lang="en-US"/>
                  <a:t>_d (radian)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758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Tohoku Univ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'19th sep'!$D$2:$D$6</c:f>
                <c:numCache>
                  <c:formatCode>General</c:formatCode>
                  <c:ptCount val="3"/>
                  <c:pt idx="0">
                    <c:v>4.3999999999999997E-2</c:v>
                  </c:pt>
                  <c:pt idx="1">
                    <c:v>4.5800167149210348E-2</c:v>
                  </c:pt>
                  <c:pt idx="2">
                    <c:v>7.0999999999999994E-2</c:v>
                  </c:pt>
                </c:numCache>
              </c:numRef>
            </c:plus>
            <c:minus>
              <c:numRef>
                <c:f>'19th sep'!$D$2:$D$6</c:f>
                <c:numCache>
                  <c:formatCode>General</c:formatCode>
                  <c:ptCount val="3"/>
                  <c:pt idx="0">
                    <c:v>4.3999999999999997E-2</c:v>
                  </c:pt>
                  <c:pt idx="1">
                    <c:v>4.5800167149210348E-2</c:v>
                  </c:pt>
                  <c:pt idx="2">
                    <c:v>7.0999999999999994E-2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'19th sep'!$C$2:$C$6</c:f>
              <c:numCache>
                <c:formatCode>0.000</c:formatCode>
                <c:ptCount val="3"/>
                <c:pt idx="0">
                  <c:v>4.8849999999999998</c:v>
                </c:pt>
                <c:pt idx="1">
                  <c:v>4.5981188134626354</c:v>
                </c:pt>
                <c:pt idx="2">
                  <c:v>4.5289999999999999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5-4F10-A844-3147CA8BA338}"/>
            </c:ext>
          </c:extLst>
        </c:ser>
        <c:ser>
          <c:idx val="5"/>
          <c:order val="1"/>
          <c:tx>
            <c:v>Model1 and Model2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'19th sep'!$L$2:$L$6</c:f>
              <c:numCache>
                <c:formatCode>0.000</c:formatCode>
                <c:ptCount val="3"/>
                <c:pt idx="0">
                  <c:v>4.7784242052180552</c:v>
                </c:pt>
                <c:pt idx="1">
                  <c:v>4.8656791689022576</c:v>
                </c:pt>
                <c:pt idx="2">
                  <c:v>4.2747075111026485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5-4F10-A844-3147CA8BA338}"/>
            </c:ext>
          </c:extLst>
        </c:ser>
        <c:ser>
          <c:idx val="6"/>
          <c:order val="2"/>
          <c:tx>
            <c:v>Model3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'19th sep'!$M$2:$M$6</c:f>
              <c:numCache>
                <c:formatCode>0.000</c:formatCode>
                <c:ptCount val="3"/>
                <c:pt idx="0">
                  <c:v>4.8726719848257485</c:v>
                </c:pt>
                <c:pt idx="1">
                  <c:v>4.5436023015218527</c:v>
                </c:pt>
                <c:pt idx="2">
                  <c:v>4.1176278784231588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5-4F10-A844-3147CA8BA338}"/>
            </c:ext>
          </c:extLst>
        </c:ser>
        <c:ser>
          <c:idx val="7"/>
          <c:order val="3"/>
          <c:tx>
            <c:v>Model4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'19th sep'!$N$2:$N$6</c:f>
              <c:numCache>
                <c:formatCode>0.000</c:formatCode>
                <c:ptCount val="3"/>
                <c:pt idx="0">
                  <c:v>4.8412560582898507</c:v>
                </c:pt>
                <c:pt idx="1">
                  <c:v>4.4948242816442674</c:v>
                </c:pt>
                <c:pt idx="2">
                  <c:v>4.1176278784231588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5-4F10-A844-3147CA8BA338}"/>
            </c:ext>
          </c:extLst>
        </c:ser>
        <c:ser>
          <c:idx val="8"/>
          <c:order val="4"/>
          <c:tx>
            <c:v>Theory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'19th sep'!$O$2:$O$6</c:f>
              <c:numCache>
                <c:formatCode>0.00</c:formatCode>
                <c:ptCount val="3"/>
                <c:pt idx="0">
                  <c:v>4.22</c:v>
                </c:pt>
                <c:pt idx="1">
                  <c:v>4.28</c:v>
                </c:pt>
                <c:pt idx="2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5-4F10-A844-3147CA8B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628496"/>
        <c:axId val="1707632256"/>
      </c:scatterChart>
      <c:valAx>
        <c:axId val="1707628496"/>
        <c:scaling>
          <c:orientation val="minMax"/>
          <c:max val="2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Photon Energy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7632256"/>
        <c:crosses val="autoZero"/>
        <c:crossBetween val="midCat"/>
      </c:valAx>
      <c:valAx>
        <c:axId val="17076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</a:t>
                </a:r>
                <a:r>
                  <a:rPr lang="en-US"/>
                  <a:t>_fd − </a:t>
                </a:r>
                <a:r>
                  <a:rPr lang="el-GR" sz="1000" b="0" i="0" u="none" strike="noStrike" baseline="0">
                    <a:effectLst/>
                  </a:rPr>
                  <a:t>η</a:t>
                </a:r>
                <a:r>
                  <a:rPr lang="en-US"/>
                  <a:t>_d (radian)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76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6</xdr:row>
      <xdr:rowOff>31750</xdr:rowOff>
    </xdr:from>
    <xdr:to>
      <xdr:col>15</xdr:col>
      <xdr:colOff>825500</xdr:colOff>
      <xdr:row>31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69850</xdr:colOff>
      <xdr:row>7</xdr:row>
      <xdr:rowOff>44450</xdr:rowOff>
    </xdr:from>
    <xdr:to>
      <xdr:col>24</xdr:col>
      <xdr:colOff>247650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7</xdr:row>
      <xdr:rowOff>50800</xdr:rowOff>
    </xdr:from>
    <xdr:to>
      <xdr:col>14</xdr:col>
      <xdr:colOff>635000</xdr:colOff>
      <xdr:row>30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6" totalsRowShown="0">
  <autoFilter ref="A1:L6" xr:uid="{00000000-0009-0000-0100-000001000000}"/>
  <tableColumns count="12">
    <tableColumn id="1" xr3:uid="{00000000-0010-0000-0000-000001000000}" name="data_set"/>
    <tableColumn id="2" xr3:uid="{00000000-0010-0000-0000-000002000000}" name="photon" dataDxfId="42"/>
    <tableColumn id="3" xr3:uid="{00000000-0010-0000-0000-000003000000}" name="eta1" dataDxfId="41"/>
    <tableColumn id="4" xr3:uid="{00000000-0010-0000-0000-000004000000}" name="eta1_err" dataDxfId="40"/>
    <tableColumn id="11" xr3:uid="{00000000-0010-0000-0000-00000B000000}" name="eta1_weight" dataDxfId="39">
      <calculatedColumnFormula>1/Table1[[#This Row],[eta1_err]]^2</calculatedColumnFormula>
    </tableColumn>
    <tableColumn id="5" xr3:uid="{00000000-0010-0000-0000-000005000000}" name="delta0" dataDxfId="38"/>
    <tableColumn id="6" xr3:uid="{00000000-0010-0000-0000-000006000000}" name="eta2_btm" dataDxfId="37"/>
    <tableColumn id="7" xr3:uid="{00000000-0010-0000-0000-000007000000}" name="eta2_top" dataDxfId="36"/>
    <tableColumn id="8" xr3:uid="{00000000-0010-0000-0000-000008000000}" name="eta2" dataDxfId="35">
      <calculatedColumnFormula>($I$3*$K$3+$I$4*$K$4)/($K$3+$K$4)</calculatedColumnFormula>
    </tableColumn>
    <tableColumn id="9" xr3:uid="{00000000-0010-0000-0000-000009000000}" name="eta2_err" dataDxfId="34">
      <calculatedColumnFormula>(H2-G2)/2</calculatedColumnFormula>
    </tableColumn>
    <tableColumn id="12" xr3:uid="{00000000-0010-0000-0000-00000C000000}" name="eta2_weight" dataDxfId="33">
      <calculatedColumnFormula>1/Table1[[#This Row],[eta2_err]]^2</calculatedColumnFormula>
    </tableColumn>
    <tableColumn id="10" xr3:uid="{00000000-0010-0000-0000-00000A000000}" name="theory" dataDxfId="3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56" displayName="Table156" ref="A1:O6" totalsRowShown="0">
  <autoFilter ref="A1:O6" xr:uid="{00000000-0009-0000-0100-000005000000}"/>
  <tableColumns count="15">
    <tableColumn id="1" xr3:uid="{00000000-0010-0000-0100-000001000000}" name="data_set"/>
    <tableColumn id="2" xr3:uid="{00000000-0010-0000-0100-000002000000}" name="photon" dataDxfId="31"/>
    <tableColumn id="3" xr3:uid="{00000000-0010-0000-0100-000003000000}" name="eta_tohoku" dataDxfId="30"/>
    <tableColumn id="4" xr3:uid="{00000000-0010-0000-0100-000004000000}" name="eta_err" dataDxfId="29"/>
    <tableColumn id="11" xr3:uid="{00000000-0010-0000-0100-00000B000000}" name="eta_weight" dataDxfId="28">
      <calculatedColumnFormula>1/Table156[[#This Row],[eta_err]]^2</calculatedColumnFormula>
    </tableColumn>
    <tableColumn id="5" xr3:uid="{00000000-0010-0000-0100-000005000000}" name="delta0" dataDxfId="27"/>
    <tableColumn id="13" xr3:uid="{00000000-0010-0000-0100-00000D000000}" name="eta_model1_" dataDxfId="26">
      <calculatedColumnFormula>0.35*PI()</calculatedColumnFormula>
    </tableColumn>
    <tableColumn id="14" xr3:uid="{00000000-0010-0000-0100-00000E000000}" name="eta_model2_" dataDxfId="25">
      <calculatedColumnFormula>0.35*PI()</calculatedColumnFormula>
    </tableColumn>
    <tableColumn id="6" xr3:uid="{00000000-0010-0000-0100-000006000000}" name="eta_model3_" dataDxfId="24"/>
    <tableColumn id="15" xr3:uid="{00000000-0010-0000-0100-00000F000000}" name="eta_model4_" dataDxfId="23">
      <calculatedColumnFormula>0.33*PI()</calculatedColumnFormula>
    </tableColumn>
    <tableColumn id="18" xr3:uid="{00000000-0010-0000-0100-000012000000}" name="eta_model1" dataDxfId="22">
      <calculatedColumnFormula>-Table156[[#This Row],[eta_model1_]]-Table156[[#This Row],[delta0]]+PI()/2+2*PI()</calculatedColumnFormula>
    </tableColumn>
    <tableColumn id="17" xr3:uid="{00000000-0010-0000-0100-000011000000}" name="eta_model2" dataDxfId="21">
      <calculatedColumnFormula>-Table156[[#This Row],[eta_model2_]]-Table156[[#This Row],[delta0]]+PI()/2+2*PI()</calculatedColumnFormula>
    </tableColumn>
    <tableColumn id="8" xr3:uid="{00000000-0010-0000-0100-000008000000}" name="eta_model3" dataDxfId="20">
      <calculatedColumnFormula>($M$3*#REF!+$M$4*#REF!)/(#REF!+#REF!)</calculatedColumnFormula>
    </tableColumn>
    <tableColumn id="19" xr3:uid="{00000000-0010-0000-0100-000013000000}" name="eta_model4" dataDxfId="19">
      <calculatedColumnFormula>-Table156[[#This Row],[eta_model4_]]-Table156[[#This Row],[delta0]]+PI()/2+2*PI()</calculatedColumnFormula>
    </tableColumn>
    <tableColumn id="10" xr3:uid="{00000000-0010-0000-0100-00000A000000}" name="theory" dataDxfId="18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17" displayName="Table17" ref="A1:S5" totalsRowShown="0">
  <autoFilter ref="A1:S5" xr:uid="{00000000-0009-0000-0100-000006000000}"/>
  <tableColumns count="19">
    <tableColumn id="1" xr3:uid="{00000000-0010-0000-0200-000001000000}" name="data_set"/>
    <tableColumn id="8" xr3:uid="{00000000-0010-0000-0200-000008000000}" name="delta0" dataDxfId="17"/>
    <tableColumn id="9" xr3:uid="{00000000-0010-0000-0200-000009000000}" name="delta0_err" dataDxfId="16"/>
    <tableColumn id="2" xr3:uid="{00000000-0010-0000-0200-000002000000}" name="beta1_amp" dataDxfId="15"/>
    <tableColumn id="10" xr3:uid="{00000000-0010-0000-0200-00000A000000}" name="beta1_amp_err" dataDxfId="14"/>
    <tableColumn id="3" xr3:uid="{00000000-0010-0000-0200-000003000000}" name="beta1_shift" dataDxfId="13"/>
    <tableColumn id="11" xr3:uid="{00000000-0010-0000-0200-00000B000000}" name="beta1_shift_err" dataDxfId="12"/>
    <tableColumn id="17" xr3:uid="{00000000-0010-0000-0200-000011000000}" name="beta1_elena" dataDxfId="11">
      <calculatedColumnFormula>MOD(-Table17[[#This Row],[delta0]]-Table17[[#This Row],[beta1_shift]]+PI()/2, 2*PI())</calculatedColumnFormula>
    </tableColumn>
    <tableColumn id="18" xr3:uid="{00000000-0010-0000-0200-000012000000}" name="beta1_elena_err" dataDxfId="10">
      <calculatedColumnFormula>(Table17[[#This Row],[delta0_err]]^2+Table17[[#This Row],[beta1_shift_err]]^2)^0.5</calculatedColumnFormula>
    </tableColumn>
    <tableColumn id="4" xr3:uid="{00000000-0010-0000-0200-000004000000}" name="beta2" dataDxfId="9"/>
    <tableColumn id="13" xr3:uid="{00000000-0010-0000-0200-00000D000000}" name="beta2_err" dataDxfId="8"/>
    <tableColumn id="12" xr3:uid="{00000000-0010-0000-0200-00000C000000}" name="beta3_amp" dataDxfId="7"/>
    <tableColumn id="5" xr3:uid="{00000000-0010-0000-0200-000005000000}" name="beta3_amp_err" dataDxfId="6"/>
    <tableColumn id="6" xr3:uid="{00000000-0010-0000-0200-000006000000}" name="beta3_shift" dataDxfId="5"/>
    <tableColumn id="14" xr3:uid="{00000000-0010-0000-0200-00000E000000}" name="beta3_shift_err" dataDxfId="4"/>
    <tableColumn id="19" xr3:uid="{00000000-0010-0000-0200-000013000000}" name="beta3_elena" dataDxfId="3">
      <calculatedColumnFormula>MOD(-Table17[[#This Row],[delta0]]-Table17[[#This Row],[beta3_shift]]+PI()/2+2*PI(), 2*PI())</calculatedColumnFormula>
    </tableColumn>
    <tableColumn id="20" xr3:uid="{00000000-0010-0000-0200-000014000000}" name="beta3_elena_err" dataDxfId="2">
      <calculatedColumnFormula>(Table17[[#This Row],[delta0_err]]^2+Table17[[#This Row],[beta3_shift_err]]^2)^0.5</calculatedColumnFormula>
    </tableColumn>
    <tableColumn id="15" xr3:uid="{00000000-0010-0000-0200-00000F000000}" name="beta4" dataDxfId="1"/>
    <tableColumn id="7" xr3:uid="{00000000-0010-0000-0200-000007000000}" name="beta4_err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"/>
  <sheetViews>
    <sheetView workbookViewId="0">
      <selection activeCell="M5" sqref="M5"/>
    </sheetView>
  </sheetViews>
  <sheetFormatPr defaultColWidth="11.44140625" defaultRowHeight="19.5" x14ac:dyDescent="0.4"/>
  <cols>
    <col min="1" max="1" width="11" bestFit="1" customWidth="1"/>
    <col min="2" max="2" width="9.77734375" style="3" bestFit="1" customWidth="1"/>
    <col min="3" max="3" width="7.44140625" style="2" bestFit="1" customWidth="1"/>
    <col min="4" max="4" width="10.77734375" style="2" customWidth="1"/>
    <col min="5" max="5" width="14.109375" style="2" hidden="1" customWidth="1"/>
    <col min="6" max="6" width="9" style="2" hidden="1" customWidth="1"/>
    <col min="7" max="7" width="11.77734375" style="2" hidden="1" customWidth="1"/>
    <col min="8" max="8" width="11.33203125" style="2" hidden="1" customWidth="1"/>
    <col min="9" max="9" width="7.44140625" style="2" bestFit="1" customWidth="1"/>
    <col min="10" max="10" width="10.77734375" style="2" bestFit="1" customWidth="1"/>
    <col min="11" max="11" width="14.109375" style="2" hidden="1" customWidth="1"/>
    <col min="12" max="12" width="9.33203125" style="1" bestFit="1" customWidth="1"/>
  </cols>
  <sheetData>
    <row r="1" spans="1:12" x14ac:dyDescent="0.4">
      <c r="A1" t="s">
        <v>6</v>
      </c>
      <c r="B1" s="3" t="s">
        <v>44</v>
      </c>
      <c r="C1" s="2" t="s">
        <v>7</v>
      </c>
      <c r="D1" s="2" t="s">
        <v>8</v>
      </c>
      <c r="E1" s="2" t="s">
        <v>14</v>
      </c>
      <c r="F1" s="2" t="s">
        <v>3</v>
      </c>
      <c r="G1" s="2" t="s">
        <v>10</v>
      </c>
      <c r="H1" s="2" t="s">
        <v>11</v>
      </c>
      <c r="I1" s="2" t="s">
        <v>9</v>
      </c>
      <c r="J1" s="2" t="s">
        <v>12</v>
      </c>
      <c r="K1" s="2" t="s">
        <v>15</v>
      </c>
      <c r="L1" s="1" t="s">
        <v>0</v>
      </c>
    </row>
    <row r="2" spans="1:12" x14ac:dyDescent="0.4">
      <c r="A2" t="s">
        <v>4</v>
      </c>
      <c r="B2" s="3">
        <v>14.3</v>
      </c>
      <c r="C2" s="2">
        <v>4.8849999999999998</v>
      </c>
      <c r="D2" s="2">
        <v>4.3999999999999997E-2</v>
      </c>
      <c r="E2" s="2">
        <f>1/Table1[[#This Row],[eta1_err]]^2</f>
        <v>516.52892561983481</v>
      </c>
      <c r="F2" s="2">
        <v>1.976</v>
      </c>
      <c r="G2" s="2">
        <v>0</v>
      </c>
      <c r="H2" s="2">
        <f>0.25*PI()</f>
        <v>0.78539816339744828</v>
      </c>
      <c r="I2" s="2">
        <f>-(Table1[[#This Row],[eta2_top]]+Table1[[#This Row],[eta2_btm]])/2-Table1[[#This Row],[delta0]]+PI()/2+2*PI()</f>
        <v>5.4852825522757591</v>
      </c>
      <c r="J2" s="2">
        <f>(Table1[[#This Row],[eta2_top]]-Table1[[#This Row],[eta2_btm]])/2</f>
        <v>0.39269908169872414</v>
      </c>
      <c r="K2" s="2">
        <f>1/Table1[[#This Row],[eta2_err]]^2</f>
        <v>6.4845557531096176</v>
      </c>
      <c r="L2" s="1">
        <v>4.22</v>
      </c>
    </row>
    <row r="3" spans="1:12" hidden="1" x14ac:dyDescent="0.4">
      <c r="A3" t="s">
        <v>1</v>
      </c>
      <c r="B3" s="3">
        <v>15.9</v>
      </c>
      <c r="C3" s="2">
        <v>4.5250000000000004</v>
      </c>
      <c r="D3" s="2">
        <v>0.20399999999999999</v>
      </c>
      <c r="E3" s="2">
        <f>1/Table1[[#This Row],[eta1_err]]^2</f>
        <v>24.029219530949639</v>
      </c>
      <c r="F3" s="2">
        <v>2.3039999999999998</v>
      </c>
      <c r="G3" s="2">
        <v>0</v>
      </c>
      <c r="H3" s="2">
        <f>0.5*PI()</f>
        <v>1.5707963267948966</v>
      </c>
      <c r="I3" s="2">
        <f>-(Table1[[#This Row],[eta2_top]]+Table1[[#This Row],[eta2_btm]])/2-Table1[[#This Row],[delta0]]+PI()/2+2*PI()</f>
        <v>4.7645834705770351</v>
      </c>
      <c r="J3" s="2">
        <f>(Table1[[#This Row],[eta2_top]]-Table1[[#This Row],[eta2_btm]])/2</f>
        <v>0.78539816339744828</v>
      </c>
      <c r="K3" s="2">
        <f>1/Table1[[#This Row],[eta2_err]]^2</f>
        <v>1.6211389382774044</v>
      </c>
      <c r="L3" s="1">
        <v>4.28</v>
      </c>
    </row>
    <row r="4" spans="1:12" hidden="1" x14ac:dyDescent="0.4">
      <c r="A4" t="s">
        <v>2</v>
      </c>
      <c r="B4" s="3">
        <v>15.9</v>
      </c>
      <c r="C4" s="2">
        <v>4.6020000000000003</v>
      </c>
      <c r="D4" s="2">
        <v>4.7E-2</v>
      </c>
      <c r="E4" s="2">
        <f>1/Table1[[#This Row],[eta1_err]]^2</f>
        <v>452.69352648257131</v>
      </c>
      <c r="F4" s="2">
        <v>0.47799999999999998</v>
      </c>
      <c r="G4" s="2">
        <f>0.7*PI()</f>
        <v>2.1991148575128552</v>
      </c>
      <c r="H4" s="2">
        <f>0.9*PI()</f>
        <v>2.8274333882308138</v>
      </c>
      <c r="I4" s="2">
        <f>-(Table1[[#This Row],[eta2_top]]+Table1[[#This Row],[eta2_btm]])/2-Table1[[#This Row],[delta0]]+PI()/2+2*PI()</f>
        <v>4.8627075111026485</v>
      </c>
      <c r="J4" s="2">
        <f>(Table1[[#This Row],[eta2_top]]-Table1[[#This Row],[eta2_btm]])/2</f>
        <v>0.31415926535897931</v>
      </c>
      <c r="K4" s="2">
        <f>1/Table1[[#This Row],[eta2_err]]^2</f>
        <v>10.132118364233778</v>
      </c>
      <c r="L4" s="1">
        <v>4.28</v>
      </c>
    </row>
    <row r="5" spans="1:12" x14ac:dyDescent="0.4">
      <c r="A5" t="s">
        <v>13</v>
      </c>
      <c r="B5" s="3">
        <v>15.9</v>
      </c>
      <c r="C5" s="2">
        <f>($C$3*$E$3+$C$4*$E$4)/($E$3+$E$4)</f>
        <v>4.5981188134626354</v>
      </c>
      <c r="D5" s="2">
        <f>(($D$3*$E$3)^2+($D$4*$E$4)^2)^0.5/($E$3+$E$4)</f>
        <v>4.5800167149210348E-2</v>
      </c>
      <c r="E5" s="2">
        <f>1/Table1[[#This Row],[eta1_err]]^2</f>
        <v>476.72274601352109</v>
      </c>
      <c r="I5" s="2">
        <f>($I$3*$K$3+$I$4*$K$4)/($K$3+$K$4)</f>
        <v>4.8491731606853223</v>
      </c>
      <c r="J5" s="2">
        <f>(($J$3*$K$3)^2+($J$4*$K$4)^2)^0.5/($K$3+$K$4)</f>
        <v>0.29168955511144917</v>
      </c>
      <c r="K5" s="2">
        <f>1/Table1[[#This Row],[eta2_err]]^2</f>
        <v>11.753257302511184</v>
      </c>
      <c r="L5" s="1">
        <v>4.28</v>
      </c>
    </row>
    <row r="6" spans="1:12" x14ac:dyDescent="0.4">
      <c r="A6" t="s">
        <v>5</v>
      </c>
      <c r="B6" s="3">
        <v>19.100000000000001</v>
      </c>
      <c r="C6" s="2">
        <v>4.5289999999999999</v>
      </c>
      <c r="D6" s="2">
        <v>7.0999999999999994E-2</v>
      </c>
      <c r="E6" s="2">
        <f>1/Table1[[#This Row],[eta1_err]]^2</f>
        <v>198.37333862328904</v>
      </c>
      <c r="F6" s="2">
        <v>1.0660000000000001</v>
      </c>
      <c r="G6" s="2">
        <f>0.7*PI()</f>
        <v>2.1991148575128552</v>
      </c>
      <c r="H6" s="2">
        <f>0.75*PI()</f>
        <v>2.3561944901923448</v>
      </c>
      <c r="I6" s="2">
        <f>-(Table1[[#This Row],[eta2_top]]+Table1[[#This Row],[eta2_btm]])/2-Table1[[#This Row],[delta0]]+PI()/2+2*PI()</f>
        <v>4.5103269601218825</v>
      </c>
      <c r="J6" s="2">
        <f>(Table1[[#This Row],[eta2_top]]-Table1[[#This Row],[eta2_btm]])/2</f>
        <v>7.8539816339744828E-2</v>
      </c>
      <c r="K6" s="2">
        <f>1/Table1[[#This Row],[eta2_err]]^2</f>
        <v>162.11389382774044</v>
      </c>
      <c r="L6" s="1">
        <v>4.33</v>
      </c>
    </row>
  </sheetData>
  <phoneticPr fontId="1" type="noConversion"/>
  <pageMargins left="0.25" right="0.25" top="0.75" bottom="0.75" header="0.3" footer="0.3"/>
  <pageSetup paperSize="9" scale="75"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"/>
  <sheetViews>
    <sheetView workbookViewId="0">
      <selection activeCell="P6" sqref="P6"/>
    </sheetView>
  </sheetViews>
  <sheetFormatPr defaultColWidth="11.44140625" defaultRowHeight="19.5" x14ac:dyDescent="0.4"/>
  <cols>
    <col min="1" max="1" width="11" bestFit="1" customWidth="1"/>
    <col min="2" max="2" width="9.77734375" style="3" bestFit="1" customWidth="1"/>
    <col min="3" max="3" width="13.33203125" style="2" customWidth="1"/>
    <col min="4" max="4" width="9.77734375" style="2" bestFit="1" customWidth="1"/>
    <col min="5" max="5" width="14.109375" style="2" hidden="1" customWidth="1"/>
    <col min="6" max="6" width="9" style="2" hidden="1" customWidth="1"/>
    <col min="7" max="10" width="14.6640625" style="2" hidden="1" customWidth="1"/>
    <col min="11" max="12" width="13.6640625" style="2" customWidth="1"/>
    <col min="13" max="13" width="13.6640625" style="2" bestFit="1" customWidth="1"/>
    <col min="14" max="14" width="13.6640625" style="2" customWidth="1"/>
    <col min="15" max="15" width="9.33203125" style="1" bestFit="1" customWidth="1"/>
  </cols>
  <sheetData>
    <row r="1" spans="1:15" x14ac:dyDescent="0.4">
      <c r="A1" t="s">
        <v>6</v>
      </c>
      <c r="B1" s="3" t="s">
        <v>44</v>
      </c>
      <c r="C1" s="2" t="s">
        <v>25</v>
      </c>
      <c r="D1" s="2" t="s">
        <v>26</v>
      </c>
      <c r="E1" s="2" t="s">
        <v>24</v>
      </c>
      <c r="F1" s="2" t="s">
        <v>3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16</v>
      </c>
      <c r="L1" s="2" t="s">
        <v>18</v>
      </c>
      <c r="M1" s="2" t="s">
        <v>17</v>
      </c>
      <c r="N1" s="2" t="s">
        <v>19</v>
      </c>
      <c r="O1" s="1" t="s">
        <v>0</v>
      </c>
    </row>
    <row r="2" spans="1:15" x14ac:dyDescent="0.4">
      <c r="A2" t="s">
        <v>4</v>
      </c>
      <c r="B2" s="3">
        <v>14.3</v>
      </c>
      <c r="C2" s="2">
        <v>4.8849999999999998</v>
      </c>
      <c r="D2" s="2">
        <v>4.3999999999999997E-2</v>
      </c>
      <c r="E2" s="2">
        <f>1/Table156[[#This Row],[eta_err]]^2</f>
        <v>516.52892561983481</v>
      </c>
      <c r="F2" s="2">
        <v>1.976</v>
      </c>
      <c r="G2" s="2">
        <f t="shared" ref="G2" si="0">0.35*PI()</f>
        <v>1.0995574287564276</v>
      </c>
      <c r="H2" s="2">
        <f t="shared" ref="H2" si="1">0.35*PI()</f>
        <v>1.0995574287564276</v>
      </c>
      <c r="I2" s="2">
        <f>0.32*PI()</f>
        <v>1.0053096491487339</v>
      </c>
      <c r="J2" s="2">
        <f t="shared" ref="J2" si="2">0.33*PI()</f>
        <v>1.0367255756846319</v>
      </c>
      <c r="K2" s="2">
        <f>-Table156[[#This Row],[eta_model1_]]-Table156[[#This Row],[delta0]]+PI()/2+2*PI()</f>
        <v>4.7784242052180552</v>
      </c>
      <c r="L2" s="2">
        <f>-Table156[[#This Row],[eta_model2_]]-Table156[[#This Row],[delta0]]+PI()/2+2*PI()</f>
        <v>4.7784242052180552</v>
      </c>
      <c r="M2" s="2">
        <f>-Table156[[#This Row],[eta_model3_]]-Table156[[#This Row],[delta0]]+PI()/2+2*PI()</f>
        <v>4.8726719848257485</v>
      </c>
      <c r="N2" s="2">
        <f>-Table156[[#This Row],[eta_model4_]]-Table156[[#This Row],[delta0]]+PI()/2+2*PI()</f>
        <v>4.8412560582898507</v>
      </c>
      <c r="O2" s="1">
        <v>4.22</v>
      </c>
    </row>
    <row r="3" spans="1:15" hidden="1" x14ac:dyDescent="0.4">
      <c r="A3" t="s">
        <v>1</v>
      </c>
      <c r="B3" s="3">
        <v>15.9</v>
      </c>
      <c r="C3" s="2">
        <v>4.5250000000000004</v>
      </c>
      <c r="D3" s="2">
        <v>0.20399999999999999</v>
      </c>
      <c r="E3" s="2">
        <f>1/Table156[[#This Row],[eta_err]]^2</f>
        <v>24.029219530949639</v>
      </c>
      <c r="F3" s="2">
        <v>2.3039999999999998</v>
      </c>
      <c r="G3" s="2">
        <f>0.2*PI()</f>
        <v>0.62831853071795862</v>
      </c>
      <c r="H3" s="2">
        <f>0.2*PI()</f>
        <v>0.62831853071795862</v>
      </c>
      <c r="I3" s="2">
        <f>0.35*PI()</f>
        <v>1.0995574287564276</v>
      </c>
      <c r="J3" s="2">
        <f>1.6*PI()</f>
        <v>5.026548245743669</v>
      </c>
      <c r="K3" s="2">
        <f>-Table156[[#This Row],[eta_model1_]]-Table156[[#This Row],[delta0]]+PI()/2+2*PI()</f>
        <v>4.9216631032565239</v>
      </c>
      <c r="L3" s="2">
        <f>-Table156[[#This Row],[eta_model2_]]-Table156[[#This Row],[delta0]]+PI()/2+2*PI()</f>
        <v>4.9216631032565239</v>
      </c>
      <c r="M3" s="2">
        <f>-Table156[[#This Row],[eta_model3_]]-Table156[[#This Row],[delta0]]+PI()/2+2*PI()</f>
        <v>4.4504242052180558</v>
      </c>
      <c r="N3" s="2">
        <f>-Table156[[#This Row],[eta_model4_]]-Table156[[#This Row],[delta0]]+PI()/2+2*PI()</f>
        <v>0.52343338823081353</v>
      </c>
      <c r="O3" s="1">
        <v>4.28</v>
      </c>
    </row>
    <row r="4" spans="1:15" hidden="1" x14ac:dyDescent="0.4">
      <c r="A4" t="s">
        <v>2</v>
      </c>
      <c r="B4" s="3">
        <v>15.9</v>
      </c>
      <c r="C4" s="2">
        <v>4.6020000000000003</v>
      </c>
      <c r="D4" s="2">
        <v>4.7E-2</v>
      </c>
      <c r="E4" s="2">
        <f>1/Table156[[#This Row],[eta_err]]^2</f>
        <v>452.69352648257131</v>
      </c>
      <c r="F4" s="2">
        <v>0.47799999999999998</v>
      </c>
      <c r="G4" s="2">
        <f>0.8*PI()</f>
        <v>2.5132741228718345</v>
      </c>
      <c r="H4" s="2">
        <f>0.8*PI()</f>
        <v>2.5132741228718345</v>
      </c>
      <c r="I4" s="2">
        <f>0.9*PI()</f>
        <v>2.8274333882308138</v>
      </c>
      <c r="J4" s="2">
        <f>0.85*PI()</f>
        <v>2.6703537555513241</v>
      </c>
      <c r="K4" s="2">
        <f>-Table156[[#This Row],[eta_model1_]]-Table156[[#This Row],[delta0]]+PI()/2+2*PI()</f>
        <v>4.8627075111026485</v>
      </c>
      <c r="L4" s="2">
        <f>-Table156[[#This Row],[eta_model2_]]-Table156[[#This Row],[delta0]]+PI()/2+2*PI()</f>
        <v>4.8627075111026485</v>
      </c>
      <c r="M4" s="2">
        <f>-Table156[[#This Row],[eta_model3_]]-Table156[[#This Row],[delta0]]+PI()/2+2*PI()</f>
        <v>4.5485482457436692</v>
      </c>
      <c r="N4" s="2">
        <f>-Table156[[#This Row],[eta_model4_]]-Table156[[#This Row],[delta0]]+PI()/2+2*PI()</f>
        <v>4.7056278784231589</v>
      </c>
      <c r="O4" s="1">
        <v>4.28</v>
      </c>
    </row>
    <row r="5" spans="1:15" x14ac:dyDescent="0.4">
      <c r="A5" t="s">
        <v>13</v>
      </c>
      <c r="B5" s="3">
        <v>15.9</v>
      </c>
      <c r="C5" s="2">
        <f>($C$3*$E$3+$C$4*$E$4)/($E$3+$E$4)</f>
        <v>4.5981188134626354</v>
      </c>
      <c r="D5" s="2">
        <f>(($D$3*$E$3)^2+($D$4*$E$4)^2)^0.5/($E$3+$E$4)</f>
        <v>4.5800167149210348E-2</v>
      </c>
      <c r="E5" s="2">
        <f>1/Table156[[#This Row],[eta_err]]^2</f>
        <v>476.72274601352109</v>
      </c>
      <c r="K5" s="2">
        <f>(K$3*$E$3+K$4*$E$4)/($E$3+$E$4)</f>
        <v>4.8656791689022576</v>
      </c>
      <c r="L5" s="2">
        <f t="shared" ref="L5:N5" si="3">(L$3*$E$3+L$4*$E$4)/($E$3+$E$4)</f>
        <v>4.8656791689022576</v>
      </c>
      <c r="M5" s="2">
        <f t="shared" si="3"/>
        <v>4.5436023015218527</v>
      </c>
      <c r="N5" s="2">
        <f t="shared" si="3"/>
        <v>4.4948242816442674</v>
      </c>
      <c r="O5" s="1">
        <v>4.28</v>
      </c>
    </row>
    <row r="6" spans="1:15" x14ac:dyDescent="0.4">
      <c r="A6" t="s">
        <v>5</v>
      </c>
      <c r="B6" s="3">
        <v>19.100000000000001</v>
      </c>
      <c r="C6" s="2">
        <v>4.5289999999999999</v>
      </c>
      <c r="D6" s="2">
        <v>7.0999999999999994E-2</v>
      </c>
      <c r="E6" s="2">
        <f>1/Table156[[#This Row],[eta_err]]^2</f>
        <v>198.37333862328904</v>
      </c>
      <c r="F6" s="2">
        <v>1.0660000000000001</v>
      </c>
      <c r="G6" s="2">
        <f>0.8*PI()</f>
        <v>2.5132741228718345</v>
      </c>
      <c r="H6" s="2">
        <f>0.8*PI()</f>
        <v>2.5132741228718345</v>
      </c>
      <c r="I6" s="2">
        <f>0.85*PI()</f>
        <v>2.6703537555513241</v>
      </c>
      <c r="J6" s="2">
        <f>0.85*PI()</f>
        <v>2.6703537555513241</v>
      </c>
      <c r="K6" s="2">
        <f>-Table156[[#This Row],[eta_model1_]]-Table156[[#This Row],[delta0]]+PI()/2+2*PI()</f>
        <v>4.2747075111026485</v>
      </c>
      <c r="L6" s="2">
        <f>-Table156[[#This Row],[eta_model2_]]-Table156[[#This Row],[delta0]]+PI()/2+2*PI()</f>
        <v>4.2747075111026485</v>
      </c>
      <c r="M6" s="2">
        <f>-Table156[[#This Row],[eta_model3_]]-Table156[[#This Row],[delta0]]+PI()/2+2*PI()</f>
        <v>4.1176278784231588</v>
      </c>
      <c r="N6" s="2">
        <f>-Table156[[#This Row],[eta_model4_]]-Table156[[#This Row],[delta0]]+PI()/2+2*PI()</f>
        <v>4.1176278784231588</v>
      </c>
      <c r="O6" s="1">
        <v>4.33</v>
      </c>
    </row>
  </sheetData>
  <phoneticPr fontId="2"/>
  <pageMargins left="0.25" right="0.25" top="0.75" bottom="0.75" header="0.3" footer="0.3"/>
  <pageSetup paperSize="9" scale="97" orientation="landscape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"/>
  <sheetViews>
    <sheetView tabSelected="1" workbookViewId="0">
      <selection activeCell="Q9" sqref="Q9"/>
    </sheetView>
  </sheetViews>
  <sheetFormatPr defaultColWidth="11.5546875" defaultRowHeight="19.5" x14ac:dyDescent="0.4"/>
  <cols>
    <col min="1" max="1" width="11" customWidth="1"/>
    <col min="2" max="2" width="9" hidden="1" customWidth="1"/>
    <col min="3" max="3" width="12.44140625" hidden="1" customWidth="1"/>
    <col min="4" max="4" width="13.109375" bestFit="1" customWidth="1"/>
    <col min="5" max="5" width="16.6640625" bestFit="1" customWidth="1"/>
    <col min="6" max="6" width="13.109375" hidden="1" customWidth="1"/>
    <col min="7" max="7" width="16.6640625" hidden="1" customWidth="1"/>
    <col min="8" max="8" width="14.109375" bestFit="1" customWidth="1"/>
    <col min="9" max="9" width="17.44140625" bestFit="1" customWidth="1"/>
    <col min="10" max="10" width="8.44140625" bestFit="1" customWidth="1"/>
    <col min="11" max="11" width="12" bestFit="1" customWidth="1"/>
    <col min="12" max="12" width="13.109375" bestFit="1" customWidth="1"/>
    <col min="13" max="13" width="16.6640625" bestFit="1" customWidth="1"/>
    <col min="14" max="14" width="13.109375" hidden="1" customWidth="1"/>
    <col min="15" max="15" width="16.6640625" hidden="1" customWidth="1"/>
    <col min="16" max="16" width="16.6640625" customWidth="1"/>
    <col min="17" max="17" width="17.44140625" bestFit="1" customWidth="1"/>
    <col min="18" max="18" width="8.44140625" bestFit="1" customWidth="1"/>
    <col min="19" max="19" width="12" bestFit="1" customWidth="1"/>
  </cols>
  <sheetData>
    <row r="1" spans="1:19" x14ac:dyDescent="0.4">
      <c r="A1" t="s">
        <v>6</v>
      </c>
      <c r="B1" t="s">
        <v>3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30</v>
      </c>
      <c r="Q1" t="s">
        <v>29</v>
      </c>
      <c r="R1" t="s">
        <v>28</v>
      </c>
      <c r="S1" t="s">
        <v>27</v>
      </c>
    </row>
    <row r="2" spans="1:19" x14ac:dyDescent="0.4">
      <c r="A2" t="s">
        <v>1</v>
      </c>
      <c r="B2" s="2">
        <v>2.3039999999999998</v>
      </c>
      <c r="C2" s="2">
        <v>4.7E-2</v>
      </c>
      <c r="D2" s="2">
        <v>0.26900000000000002</v>
      </c>
      <c r="E2" s="2">
        <v>2.1000000000000001E-2</v>
      </c>
      <c r="F2" s="2">
        <v>1.026</v>
      </c>
      <c r="G2" s="2">
        <v>0.19900000000000001</v>
      </c>
      <c r="H2" s="2">
        <f>MOD(-Table17[[#This Row],[delta0]]-Table17[[#This Row],[beta1_shift]]+PI()/2, 2*PI())</f>
        <v>4.5239816339744827</v>
      </c>
      <c r="I2" s="2">
        <f>(Table17[[#This Row],[delta0_err]]^2+Table17[[#This Row],[beta1_shift_err]]^2)^0.5</f>
        <v>0.20447493733951846</v>
      </c>
      <c r="J2" s="2">
        <v>0.33100000000000002</v>
      </c>
      <c r="K2" s="2">
        <v>1.2E-2</v>
      </c>
      <c r="L2" s="2">
        <v>0.40699999999999997</v>
      </c>
      <c r="M2" s="2">
        <v>3.5999999999999997E-2</v>
      </c>
      <c r="N2" s="2">
        <v>1.663</v>
      </c>
      <c r="O2" s="2">
        <v>0.17899999999999999</v>
      </c>
      <c r="P2" s="2">
        <f>MOD(-Table17[[#This Row],[delta0]]-Table17[[#This Row],[beta3_shift]]+PI()/2+2*PI(), 2*PI())</f>
        <v>3.8869816339744832</v>
      </c>
      <c r="Q2" s="2">
        <f>(Table17[[#This Row],[delta0_err]]^2+Table17[[#This Row],[beta3_shift_err]]^2)^0.5</f>
        <v>0.18506755523321747</v>
      </c>
      <c r="R2" s="2">
        <v>0.41899999999999998</v>
      </c>
      <c r="S2" s="2">
        <v>1.9E-2</v>
      </c>
    </row>
    <row r="3" spans="1:19" x14ac:dyDescent="0.4">
      <c r="A3" t="s">
        <v>4</v>
      </c>
      <c r="B3" s="2">
        <v>1.976</v>
      </c>
      <c r="C3" s="2">
        <v>3.3000000000000002E-2</v>
      </c>
      <c r="D3" s="2">
        <v>0.27500000000000002</v>
      </c>
      <c r="E3" s="2">
        <v>3.0000000000000001E-3</v>
      </c>
      <c r="F3" s="2">
        <v>0.99299999999999999</v>
      </c>
      <c r="G3" s="2">
        <v>2.9000000000000001E-2</v>
      </c>
      <c r="H3" s="2">
        <f>MOD(-Table17[[#This Row],[delta0]]-Table17[[#This Row],[beta1_shift]]+PI()/2, 2*PI())</f>
        <v>4.8849816339744834</v>
      </c>
      <c r="I3" s="2">
        <f>(Table17[[#This Row],[delta0_err]]^2+Table17[[#This Row],[beta1_shift_err]]^2)^0.5</f>
        <v>4.3931765272977596E-2</v>
      </c>
      <c r="J3" s="2">
        <v>-0.10100000000000001</v>
      </c>
      <c r="K3" s="2">
        <v>4.0000000000000001E-3</v>
      </c>
      <c r="L3" s="2">
        <v>0.20100000000000001</v>
      </c>
      <c r="M3" s="2">
        <v>6.0000000000000001E-3</v>
      </c>
      <c r="N3" s="2">
        <v>2.7210000000000001</v>
      </c>
      <c r="O3" s="2">
        <v>4.7E-2</v>
      </c>
      <c r="P3" s="2">
        <f>MOD(-Table17[[#This Row],[delta0]]-Table17[[#This Row],[beta3_shift]]+PI()/2+2*PI(), 2*PI())</f>
        <v>3.1569816339744827</v>
      </c>
      <c r="Q3" s="2">
        <f>(Table17[[#This Row],[delta0_err]]^2+Table17[[#This Row],[beta3_shift_err]]^2)^0.5</f>
        <v>5.7428216061444916E-2</v>
      </c>
      <c r="R3" s="2">
        <v>-8.4000000000000005E-2</v>
      </c>
      <c r="S3" s="2">
        <v>4.0000000000000001E-3</v>
      </c>
    </row>
    <row r="4" spans="1:19" x14ac:dyDescent="0.4">
      <c r="A4" t="s">
        <v>5</v>
      </c>
      <c r="B4" s="2">
        <v>1.0660000000000001</v>
      </c>
      <c r="C4" s="2">
        <v>4.9000000000000002E-2</v>
      </c>
      <c r="D4" s="2">
        <v>0.378</v>
      </c>
      <c r="E4" s="2">
        <v>1.2999999999999999E-2</v>
      </c>
      <c r="F4" s="2">
        <v>2.2589999999999999</v>
      </c>
      <c r="G4" s="2">
        <v>5.1999999999999998E-2</v>
      </c>
      <c r="H4" s="2">
        <f>MOD(-Table17[[#This Row],[delta0]]-Table17[[#This Row],[beta1_shift]]+PI()/2, 2*PI())</f>
        <v>4.5289816339744826</v>
      </c>
      <c r="I4" s="2">
        <f>(Table17[[#This Row],[delta0_err]]^2+Table17[[#This Row],[beta1_shift_err]]^2)^0.5</f>
        <v>7.1449282711585002E-2</v>
      </c>
      <c r="J4" s="2">
        <v>0.97599999999999998</v>
      </c>
      <c r="K4" s="2">
        <v>3.0000000000000001E-3</v>
      </c>
      <c r="L4" s="2">
        <v>0.29199999999999998</v>
      </c>
      <c r="M4" s="2">
        <v>8.9999999999999993E-3</v>
      </c>
      <c r="N4" s="2">
        <v>2.8679999999999999</v>
      </c>
      <c r="O4" s="2">
        <v>0.05</v>
      </c>
      <c r="P4" s="2">
        <f>MOD(-Table17[[#This Row],[delta0]]-Table17[[#This Row],[beta3_shift]]+PI()/2+2*PI(), 2*PI())</f>
        <v>3.9199816339744826</v>
      </c>
      <c r="Q4" s="2">
        <f>(Table17[[#This Row],[delta0_err]]^2+Table17[[#This Row],[beta3_shift_err]]^2)^0.5</f>
        <v>7.0007142492748559E-2</v>
      </c>
      <c r="R4" s="2">
        <v>0.16200000000000001</v>
      </c>
      <c r="S4" s="2">
        <v>6.0000000000000001E-3</v>
      </c>
    </row>
    <row r="5" spans="1:19" x14ac:dyDescent="0.4">
      <c r="A5" t="s">
        <v>2</v>
      </c>
      <c r="B5" s="2">
        <v>0.47799999999999998</v>
      </c>
      <c r="C5" s="2">
        <v>3.5000000000000003E-2</v>
      </c>
      <c r="D5" s="2">
        <v>0.157</v>
      </c>
      <c r="E5" s="2">
        <v>3.0000000000000001E-3</v>
      </c>
      <c r="F5" s="2">
        <v>2.774</v>
      </c>
      <c r="G5" s="2">
        <v>3.2000000000000001E-2</v>
      </c>
      <c r="H5" s="2">
        <f>MOD(-Table17[[#This Row],[delta0]]-Table17[[#This Row],[beta1_shift]]+PI()/2, 2*PI())</f>
        <v>4.601981633974483</v>
      </c>
      <c r="I5" s="2">
        <f>(Table17[[#This Row],[delta0_err]]^2+Table17[[#This Row],[beta1_shift_err]]^2)^0.5</f>
        <v>4.7423622805517505E-2</v>
      </c>
      <c r="J5" s="2">
        <v>0.47199999999999998</v>
      </c>
      <c r="K5" s="2">
        <v>4.0000000000000001E-3</v>
      </c>
      <c r="L5" s="2">
        <v>0.23599999999999999</v>
      </c>
      <c r="M5" s="2">
        <v>3.0000000000000001E-3</v>
      </c>
      <c r="N5" s="2">
        <v>3.4340000000000002</v>
      </c>
      <c r="O5" s="2">
        <v>3.5000000000000003E-2</v>
      </c>
      <c r="P5" s="2">
        <f>MOD(-Table17[[#This Row],[delta0]]-Table17[[#This Row],[beta3_shift]]+PI()/2+2*PI(), 2*PI())</f>
        <v>3.9419816339744829</v>
      </c>
      <c r="Q5" s="2">
        <f>(Table17[[#This Row],[delta0_err]]^2+Table17[[#This Row],[beta3_shift_err]]^2)^0.5</f>
        <v>4.9497474683058332E-2</v>
      </c>
      <c r="R5" s="2">
        <v>0.107</v>
      </c>
      <c r="S5" s="2">
        <v>5.0000000000000001E-3</v>
      </c>
    </row>
  </sheetData>
  <phoneticPr fontId="2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sep</vt:lpstr>
      <vt:lpstr>19th sep</vt:lpstr>
      <vt:lpstr>betas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Daehyun You</cp:lastModifiedBy>
  <cp:lastPrinted>2017-08-31T04:55:07Z</cp:lastPrinted>
  <dcterms:created xsi:type="dcterms:W3CDTF">2017-08-31T03:24:50Z</dcterms:created>
  <dcterms:modified xsi:type="dcterms:W3CDTF">2017-09-22T07:14:07Z</dcterms:modified>
</cp:coreProperties>
</file>