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/>
  <bookViews>
    <workbookView xWindow="12105" yWindow="45" windowWidth="11910" windowHeight="9195" tabRatio="840" firstSheet="1" activeTab="1"/>
  </bookViews>
  <sheets>
    <sheet name="пример заполнения (суточный)" sheetId="3" state="hidden" r:id="rId1"/>
    <sheet name="отчет_еженедельный" sheetId="4" r:id="rId2"/>
    <sheet name="пример заполнения (еженедельно)" sheetId="5" state="hidden" r:id="rId3"/>
    <sheet name="пример заполнения (месячный)" sheetId="7" state="hidden" r:id="rId4"/>
    <sheet name="для расчета" sheetId="8" r:id="rId5"/>
    <sheet name="потребители" sheetId="9" r:id="rId6"/>
    <sheet name="нарастающий" sheetId="10" r:id="rId7"/>
    <sheet name="по" sheetId="11" r:id="rId8"/>
    <sheet name="поступление 24.07.20" sheetId="12" r:id="rId9"/>
  </sheets>
  <externalReferences>
    <externalReference r:id="rId10"/>
    <externalReference r:id="rId11"/>
    <externalReference r:id="rId12"/>
    <externalReference r:id="rId13"/>
    <externalReference r:id="rId14"/>
  </externalReferences>
  <definedNames>
    <definedName name="_xlnm._FilterDatabase" localSheetId="1" hidden="1">отчет_еженедельный!$A$9:$E$102</definedName>
    <definedName name="_xlnm._FilterDatabase" localSheetId="5" hidden="1">потребители!$A$3:$AE$106</definedName>
    <definedName name="_xlnm._FilterDatabase" localSheetId="2" hidden="1">'пример заполнения (еженедельно)'!$A$9:$E$55</definedName>
    <definedName name="_xlnm._FilterDatabase" localSheetId="3" hidden="1">'пример заполнения (месячный)'!$A$9:$U$55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51" i="8" l="1"/>
  <c r="J14" i="9" l="1"/>
  <c r="J13" i="9"/>
  <c r="J12" i="9"/>
  <c r="J11" i="9"/>
  <c r="J10" i="9"/>
  <c r="J9" i="9"/>
  <c r="J8" i="9"/>
  <c r="J7" i="9"/>
  <c r="U63" i="8" l="1"/>
  <c r="U58" i="8"/>
  <c r="U52" i="8"/>
  <c r="U46" i="8"/>
  <c r="U40" i="8"/>
  <c r="U34" i="8"/>
  <c r="K21" i="9" l="1"/>
  <c r="K22" i="9"/>
  <c r="S46" i="8" l="1"/>
  <c r="S33" i="8"/>
  <c r="S40" i="8" l="1"/>
  <c r="S52" i="8"/>
  <c r="S75" i="8"/>
  <c r="S76" i="8"/>
  <c r="S62" i="8"/>
  <c r="U62" i="8" s="1"/>
  <c r="S60" i="8"/>
  <c r="U60" i="8" s="1"/>
  <c r="S77" i="8" l="1"/>
  <c r="S86" i="8" l="1"/>
  <c r="S85" i="8"/>
  <c r="S84" i="8"/>
  <c r="S83" i="8"/>
  <c r="S93" i="8" l="1"/>
  <c r="S61" i="8"/>
  <c r="U61" i="8" s="1"/>
  <c r="S82" i="8"/>
  <c r="S81" i="8"/>
  <c r="S80" i="8"/>
  <c r="S79" i="8"/>
  <c r="S74" i="8"/>
  <c r="S20" i="8" l="1"/>
  <c r="U20" i="8" s="1"/>
  <c r="S88" i="8"/>
  <c r="S69" i="8"/>
  <c r="J20" i="9" l="1"/>
  <c r="J60" i="9" l="1"/>
  <c r="J19" i="9" l="1"/>
  <c r="K100" i="9" l="1"/>
  <c r="V50" i="8" s="1"/>
  <c r="T19" i="8"/>
  <c r="S58" i="8" l="1"/>
  <c r="S29" i="8" l="1"/>
  <c r="U29" i="8" s="1"/>
  <c r="J94" i="9" l="1"/>
  <c r="J91" i="9"/>
  <c r="J90" i="9"/>
  <c r="J86" i="9"/>
  <c r="J81" i="9"/>
  <c r="J80" i="9"/>
  <c r="J79" i="9"/>
  <c r="J46" i="4" s="1"/>
  <c r="J78" i="9"/>
  <c r="J77" i="9"/>
  <c r="J76" i="9"/>
  <c r="J75" i="9"/>
  <c r="J74" i="9"/>
  <c r="J69" i="9"/>
  <c r="J66" i="9"/>
  <c r="J65" i="9"/>
  <c r="J64" i="9"/>
  <c r="J63" i="9"/>
  <c r="J57" i="9"/>
  <c r="J54" i="9"/>
  <c r="J51" i="9"/>
  <c r="J45" i="9"/>
  <c r="J42" i="9"/>
  <c r="J39" i="9"/>
  <c r="J36" i="9"/>
  <c r="J31" i="9"/>
  <c r="J28" i="9"/>
  <c r="J27" i="9"/>
  <c r="J26" i="9"/>
  <c r="J25" i="9"/>
  <c r="J24" i="9"/>
  <c r="J23" i="9"/>
  <c r="L5" i="9" l="1"/>
  <c r="U57" i="8" l="1"/>
  <c r="S28" i="8" l="1"/>
  <c r="U28" i="8" s="1"/>
  <c r="S12" i="8" l="1"/>
  <c r="S11" i="8"/>
  <c r="S59" i="8" l="1"/>
  <c r="U59" i="8" s="1"/>
  <c r="S18" i="8" l="1"/>
  <c r="AO7" i="9"/>
  <c r="L8" i="9" l="1"/>
  <c r="L7" i="9"/>
  <c r="V60" i="8" l="1"/>
  <c r="L9" i="9" l="1"/>
  <c r="J99" i="9" l="1"/>
  <c r="U44" i="8" s="1"/>
  <c r="U45" i="8" s="1"/>
  <c r="K99" i="9"/>
  <c r="V61" i="8"/>
  <c r="U64" i="8" l="1"/>
  <c r="V58" i="8" l="1"/>
  <c r="J50" i="4"/>
  <c r="H8" i="11" l="1"/>
  <c r="H9" i="11"/>
  <c r="H10" i="11"/>
  <c r="H11" i="11"/>
  <c r="I7" i="11"/>
  <c r="K98" i="9" l="1"/>
  <c r="K105" i="9"/>
  <c r="J104" i="9"/>
  <c r="K103" i="9"/>
  <c r="K102" i="9"/>
  <c r="K101" i="9"/>
  <c r="V62" i="8" l="1"/>
  <c r="I5" i="11"/>
  <c r="I6" i="11"/>
  <c r="AK23" i="9" l="1"/>
  <c r="AK28" i="9"/>
  <c r="AK27" i="9"/>
  <c r="AK26" i="9"/>
  <c r="AK25" i="9"/>
  <c r="AK24" i="9"/>
  <c r="AK20" i="9"/>
  <c r="AK19" i="9"/>
  <c r="D8" i="12" l="1"/>
  <c r="E8" i="12"/>
  <c r="H6" i="11" l="1"/>
  <c r="H7" i="11"/>
  <c r="D7" i="12" l="1"/>
  <c r="E7" i="12" s="1"/>
  <c r="D4" i="12" l="1"/>
  <c r="E4" i="12"/>
  <c r="C4" i="12"/>
  <c r="B4" i="12"/>
  <c r="D3" i="12"/>
  <c r="E3" i="12" s="1"/>
  <c r="K15" i="9" l="1"/>
  <c r="AN15" i="9" s="1"/>
  <c r="K16" i="9"/>
  <c r="AN16" i="9" s="1"/>
  <c r="K17" i="9"/>
  <c r="AN17" i="9" s="1"/>
  <c r="K18" i="9"/>
  <c r="AN18" i="9" s="1"/>
  <c r="K29" i="9"/>
  <c r="K30" i="9"/>
  <c r="K32" i="9"/>
  <c r="K33" i="9"/>
  <c r="K34" i="9"/>
  <c r="K35" i="9"/>
  <c r="K37" i="9"/>
  <c r="K38" i="9"/>
  <c r="K40" i="9"/>
  <c r="K41" i="9"/>
  <c r="K43" i="9"/>
  <c r="K44" i="9"/>
  <c r="K46" i="9"/>
  <c r="K47" i="9"/>
  <c r="K48" i="9"/>
  <c r="K49" i="9"/>
  <c r="K50" i="9"/>
  <c r="K52" i="9"/>
  <c r="K53" i="9"/>
  <c r="K55" i="9"/>
  <c r="K56" i="9"/>
  <c r="K58" i="9"/>
  <c r="K59" i="9"/>
  <c r="K61" i="9"/>
  <c r="K62" i="9"/>
  <c r="K67" i="9"/>
  <c r="K68" i="9"/>
  <c r="K70" i="9"/>
  <c r="K71" i="9"/>
  <c r="K72" i="9"/>
  <c r="K73" i="9"/>
  <c r="L1" i="4" l="1"/>
  <c r="K1" i="4"/>
  <c r="J93" i="9" l="1"/>
  <c r="J92" i="9"/>
  <c r="J89" i="9"/>
  <c r="J88" i="9"/>
  <c r="J87" i="9"/>
  <c r="J85" i="9"/>
  <c r="J84" i="9"/>
  <c r="J83" i="9"/>
  <c r="J82" i="9"/>
  <c r="J22" i="9" l="1"/>
  <c r="J21" i="9"/>
  <c r="H3" i="10" l="1"/>
  <c r="J3" i="10" s="1"/>
  <c r="J2" i="10"/>
  <c r="J4" i="10" l="1"/>
  <c r="V63" i="8" l="1"/>
  <c r="AA4" i="9" l="1"/>
  <c r="AA5" i="9" s="1"/>
  <c r="AB4" i="9"/>
  <c r="AB5" i="9" s="1"/>
  <c r="AB19" i="9"/>
  <c r="AC19" i="9" s="1"/>
  <c r="AB20" i="9"/>
  <c r="AC20" i="9" s="1"/>
  <c r="AB23" i="9"/>
  <c r="AC23" i="9" s="1"/>
  <c r="AB24" i="9"/>
  <c r="AC24" i="9" s="1"/>
  <c r="AB25" i="9"/>
  <c r="AC25" i="9" s="1"/>
  <c r="AB26" i="9"/>
  <c r="AC26" i="9" s="1"/>
  <c r="AB27" i="9"/>
  <c r="AC27" i="9" s="1"/>
  <c r="AB28" i="9"/>
  <c r="AC28" i="9" s="1"/>
  <c r="S3" i="8" l="1"/>
  <c r="R21" i="10" l="1"/>
  <c r="R22" i="10"/>
  <c r="R23" i="10"/>
  <c r="R24" i="10"/>
  <c r="R25" i="10"/>
  <c r="R26" i="10"/>
  <c r="R27" i="10"/>
  <c r="R28" i="10"/>
  <c r="R29" i="10"/>
  <c r="R30" i="10"/>
  <c r="R31" i="10"/>
  <c r="R32" i="10"/>
  <c r="R20" i="10"/>
  <c r="U11" i="8" l="1"/>
  <c r="U13" i="8"/>
  <c r="V13" i="8"/>
  <c r="U14" i="8"/>
  <c r="U15" i="8"/>
  <c r="U16" i="8"/>
  <c r="AB22" i="9" l="1"/>
  <c r="AC22" i="9" s="1"/>
  <c r="AB21" i="9"/>
  <c r="AC21" i="9" s="1"/>
  <c r="H5" i="11" l="1"/>
  <c r="I4" i="11"/>
  <c r="H4" i="11"/>
  <c r="I3" i="11"/>
  <c r="H3" i="11"/>
  <c r="V64" i="8" l="1"/>
  <c r="S64" i="8"/>
  <c r="V17" i="8" l="1"/>
  <c r="U17" i="8"/>
  <c r="V57" i="8" l="1"/>
  <c r="V52" i="8" l="1"/>
  <c r="V16" i="8" s="1"/>
  <c r="J5" i="10" l="1"/>
  <c r="H4" i="10"/>
  <c r="H5" i="10" s="1"/>
  <c r="J73" i="9" l="1"/>
  <c r="J72" i="9"/>
  <c r="J71" i="9"/>
  <c r="J70" i="9"/>
  <c r="J68" i="9"/>
  <c r="J67" i="9"/>
  <c r="J62" i="9"/>
  <c r="J61" i="9"/>
  <c r="J59" i="9"/>
  <c r="J58" i="9"/>
  <c r="J56" i="9"/>
  <c r="J55" i="9"/>
  <c r="J53" i="9"/>
  <c r="J52" i="9"/>
  <c r="J50" i="9"/>
  <c r="J49" i="9"/>
  <c r="J48" i="9"/>
  <c r="J47" i="9"/>
  <c r="J46" i="9"/>
  <c r="J44" i="9"/>
  <c r="J43" i="9"/>
  <c r="J41" i="9"/>
  <c r="J40" i="9"/>
  <c r="J38" i="9"/>
  <c r="J37" i="9"/>
  <c r="J35" i="9"/>
  <c r="J34" i="9"/>
  <c r="J33" i="9"/>
  <c r="J32" i="9"/>
  <c r="J30" i="9"/>
  <c r="J29" i="9"/>
  <c r="J18" i="9"/>
  <c r="J17" i="9"/>
  <c r="J16" i="9"/>
  <c r="J15" i="9"/>
  <c r="P36" i="9" l="1"/>
  <c r="W62" i="8" l="1"/>
  <c r="W61" i="8"/>
  <c r="W60" i="8"/>
  <c r="W58" i="8"/>
  <c r="K101" i="4" l="1"/>
  <c r="K100" i="4"/>
  <c r="K99" i="4"/>
  <c r="K98" i="4"/>
  <c r="K96" i="4"/>
  <c r="J101" i="4"/>
  <c r="J100" i="4"/>
  <c r="J99" i="4"/>
  <c r="J98" i="4"/>
  <c r="J96" i="4"/>
  <c r="M96" i="4" l="1"/>
  <c r="L34" i="9"/>
  <c r="U18" i="8" l="1"/>
  <c r="J102" i="4"/>
  <c r="U33" i="8" l="1"/>
  <c r="V33" i="8" s="1"/>
  <c r="U19" i="8"/>
  <c r="U12" i="8"/>
  <c r="U10" i="8" s="1"/>
  <c r="S19" i="8"/>
  <c r="U3" i="8" s="1"/>
  <c r="W64" i="8"/>
  <c r="W59" i="8" s="1"/>
  <c r="K102" i="4"/>
  <c r="J95" i="4"/>
  <c r="V59" i="8"/>
  <c r="V18" i="8" s="1"/>
  <c r="H19" i="4"/>
  <c r="W2" i="8" s="1"/>
  <c r="P61" i="8"/>
  <c r="P62" i="8"/>
  <c r="P63" i="8"/>
  <c r="P60" i="8"/>
  <c r="P52" i="8"/>
  <c r="P46" i="8"/>
  <c r="P40" i="8"/>
  <c r="J98" i="9"/>
  <c r="P15" i="9"/>
  <c r="Q15" i="9"/>
  <c r="P16" i="9"/>
  <c r="Q16" i="9"/>
  <c r="P17" i="9"/>
  <c r="Q17" i="9"/>
  <c r="P18" i="9"/>
  <c r="Q18" i="9"/>
  <c r="P21" i="9"/>
  <c r="Q21" i="9"/>
  <c r="P22" i="9"/>
  <c r="Q22" i="9"/>
  <c r="P29" i="9"/>
  <c r="Q29" i="9"/>
  <c r="P30" i="9"/>
  <c r="Q30" i="9"/>
  <c r="P32" i="9"/>
  <c r="Q32" i="9"/>
  <c r="P33" i="9"/>
  <c r="Q33" i="9"/>
  <c r="P34" i="9"/>
  <c r="Q34" i="9"/>
  <c r="P35" i="9"/>
  <c r="Q35" i="9"/>
  <c r="P37" i="9"/>
  <c r="Q37" i="9"/>
  <c r="P38" i="9"/>
  <c r="Q38" i="9"/>
  <c r="P40" i="9"/>
  <c r="Q40" i="9"/>
  <c r="P41" i="9"/>
  <c r="Q41" i="9"/>
  <c r="P43" i="9"/>
  <c r="Q43" i="9"/>
  <c r="P44" i="9"/>
  <c r="Q44" i="9"/>
  <c r="P46" i="9"/>
  <c r="Q46" i="9"/>
  <c r="P47" i="9"/>
  <c r="Q47" i="9"/>
  <c r="P48" i="9"/>
  <c r="Q48" i="9"/>
  <c r="P49" i="9"/>
  <c r="Q49" i="9"/>
  <c r="P50" i="9"/>
  <c r="Q50" i="9"/>
  <c r="P52" i="9"/>
  <c r="Q52" i="9"/>
  <c r="P53" i="9"/>
  <c r="Q53" i="9"/>
  <c r="P55" i="9"/>
  <c r="Q55" i="9"/>
  <c r="P56" i="9"/>
  <c r="Q56" i="9"/>
  <c r="P58" i="9"/>
  <c r="Q58" i="9"/>
  <c r="P59" i="9"/>
  <c r="Q59" i="9"/>
  <c r="P61" i="9"/>
  <c r="Q61" i="9"/>
  <c r="P62" i="9"/>
  <c r="Q62" i="9"/>
  <c r="P67" i="9"/>
  <c r="Q67" i="9"/>
  <c r="P68" i="9"/>
  <c r="Q68" i="9"/>
  <c r="P70" i="9"/>
  <c r="Q70" i="9"/>
  <c r="P71" i="9"/>
  <c r="Q71" i="9"/>
  <c r="P72" i="9"/>
  <c r="Q72" i="9"/>
  <c r="P73" i="9"/>
  <c r="Q73" i="9"/>
  <c r="P82" i="9"/>
  <c r="Q82" i="9"/>
  <c r="P83" i="9"/>
  <c r="Q83" i="9"/>
  <c r="P84" i="9"/>
  <c r="Q84" i="9"/>
  <c r="P85" i="9"/>
  <c r="Q85" i="9"/>
  <c r="P87" i="9"/>
  <c r="Q87" i="9"/>
  <c r="P88" i="9"/>
  <c r="Q88" i="9"/>
  <c r="P89" i="9"/>
  <c r="Q89" i="9"/>
  <c r="P92" i="9"/>
  <c r="Q92" i="9"/>
  <c r="P93" i="9"/>
  <c r="Q93" i="9"/>
  <c r="J65" i="4" l="1"/>
  <c r="V45" i="8"/>
  <c r="W57" i="8"/>
  <c r="W52" i="8" s="1"/>
  <c r="K95" i="4"/>
  <c r="J54" i="4"/>
  <c r="J49" i="4" s="1"/>
  <c r="L21" i="8"/>
  <c r="M21" i="8"/>
  <c r="L22" i="8"/>
  <c r="M22" i="8"/>
  <c r="L23" i="8"/>
  <c r="M23" i="8"/>
  <c r="L24" i="8"/>
  <c r="M24" i="8"/>
  <c r="L25" i="8"/>
  <c r="M25" i="8"/>
  <c r="L26" i="8"/>
  <c r="M26" i="8"/>
  <c r="L30" i="8"/>
  <c r="M30" i="8"/>
  <c r="L31" i="8"/>
  <c r="M31" i="8"/>
  <c r="L32" i="8"/>
  <c r="M32" i="8"/>
  <c r="L34" i="8"/>
  <c r="M34" i="8"/>
  <c r="L35" i="8"/>
  <c r="M35" i="8"/>
  <c r="L36" i="8"/>
  <c r="M36" i="8"/>
  <c r="L37" i="8"/>
  <c r="M37" i="8"/>
  <c r="L38" i="8"/>
  <c r="M38" i="8"/>
  <c r="L39" i="8"/>
  <c r="M39" i="8"/>
  <c r="L40" i="8"/>
  <c r="M40" i="8"/>
  <c r="L41" i="8"/>
  <c r="M41" i="8"/>
  <c r="L42" i="8"/>
  <c r="M42" i="8"/>
  <c r="L43" i="8"/>
  <c r="M43" i="8"/>
  <c r="L44" i="8"/>
  <c r="M44" i="8"/>
  <c r="L46" i="8"/>
  <c r="M46" i="8"/>
  <c r="L47" i="8"/>
  <c r="M47" i="8"/>
  <c r="L48" i="8"/>
  <c r="M48" i="8"/>
  <c r="L49" i="8"/>
  <c r="M49" i="8"/>
  <c r="L50" i="8"/>
  <c r="M50" i="8"/>
  <c r="L52" i="8"/>
  <c r="L53" i="8"/>
  <c r="M53" i="8"/>
  <c r="L54" i="8"/>
  <c r="M54" i="8"/>
  <c r="L55" i="8"/>
  <c r="M55" i="8"/>
  <c r="L56" i="8"/>
  <c r="M56" i="8"/>
  <c r="L58" i="8"/>
  <c r="M58" i="8"/>
  <c r="L60" i="8"/>
  <c r="M60" i="8"/>
  <c r="L61" i="8"/>
  <c r="M61" i="8"/>
  <c r="L62" i="8"/>
  <c r="M62" i="8"/>
  <c r="L63" i="8"/>
  <c r="M63" i="8"/>
  <c r="G20" i="8"/>
  <c r="F20" i="8"/>
  <c r="G29" i="8"/>
  <c r="G28" i="8" s="1"/>
  <c r="F29" i="8"/>
  <c r="F28" i="8" s="1"/>
  <c r="F59" i="8"/>
  <c r="G59" i="8"/>
  <c r="J69" i="4" l="1"/>
  <c r="J61" i="4" s="1"/>
  <c r="K54" i="4"/>
  <c r="W33" i="8"/>
  <c r="Q62" i="8"/>
  <c r="Q61" i="8"/>
  <c r="Q60" i="8"/>
  <c r="J50" i="10" l="1"/>
  <c r="I50" i="10"/>
  <c r="B75" i="4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C75" i="4"/>
  <c r="D75" i="4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C76" i="4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J28" i="4" l="1"/>
  <c r="J29" i="4"/>
  <c r="E22" i="10" s="1"/>
  <c r="T22" i="10" s="1"/>
  <c r="J30" i="4"/>
  <c r="E23" i="10" s="1"/>
  <c r="T23" i="10" s="1"/>
  <c r="J31" i="4"/>
  <c r="J32" i="4"/>
  <c r="J27" i="4"/>
  <c r="P105" i="9"/>
  <c r="L4" i="9" l="1"/>
  <c r="V29" i="8" s="1"/>
  <c r="V28" i="8" l="1"/>
  <c r="V12" i="8" s="1"/>
  <c r="P104" i="9"/>
  <c r="P103" i="9"/>
  <c r="P102" i="9"/>
  <c r="P101" i="9"/>
  <c r="P100" i="9"/>
  <c r="P99" i="9"/>
  <c r="P98" i="9"/>
  <c r="K50" i="4" l="1"/>
  <c r="K49" i="4" s="1"/>
  <c r="M49" i="4" s="1"/>
  <c r="W29" i="8"/>
  <c r="W28" i="8" s="1"/>
  <c r="J87" i="4"/>
  <c r="J85" i="4"/>
  <c r="J45" i="4"/>
  <c r="E27" i="10" s="1"/>
  <c r="T27" i="10" s="1"/>
  <c r="J44" i="4"/>
  <c r="J43" i="4"/>
  <c r="J42" i="4"/>
  <c r="J47" i="4" l="1"/>
  <c r="J20" i="8"/>
  <c r="J1" i="8"/>
  <c r="K2" i="8" s="1"/>
  <c r="B20" i="4" l="1"/>
  <c r="R62" i="8" l="1"/>
  <c r="R61" i="8"/>
  <c r="R60" i="8"/>
  <c r="O64" i="8" l="1"/>
  <c r="I59" i="8"/>
  <c r="P57" i="8"/>
  <c r="Q57" i="8" s="1"/>
  <c r="P45" i="8"/>
  <c r="P34" i="8"/>
  <c r="J57" i="8"/>
  <c r="I57" i="8"/>
  <c r="H57" i="8"/>
  <c r="L57" i="8" s="1"/>
  <c r="N57" i="8"/>
  <c r="I104" i="9"/>
  <c r="I102" i="9"/>
  <c r="I101" i="9"/>
  <c r="I64" i="8" l="1"/>
  <c r="Q45" i="8"/>
  <c r="R57" i="8"/>
  <c r="R52" i="8" s="1"/>
  <c r="R45" i="8" l="1"/>
  <c r="I98" i="9"/>
  <c r="J88" i="4"/>
  <c r="J68" i="4"/>
  <c r="J86" i="4"/>
  <c r="J67" i="4"/>
  <c r="J40" i="4"/>
  <c r="J39" i="4"/>
  <c r="J38" i="4"/>
  <c r="J84" i="4"/>
  <c r="E32" i="10" s="1"/>
  <c r="T32" i="10" s="1"/>
  <c r="J37" i="4"/>
  <c r="E26" i="10" s="1"/>
  <c r="T26" i="10" s="1"/>
  <c r="J36" i="4"/>
  <c r="E24" i="10" s="1"/>
  <c r="T24" i="10" s="1"/>
  <c r="J35" i="4"/>
  <c r="J34" i="4"/>
  <c r="E25" i="10" s="1"/>
  <c r="T25" i="10" s="1"/>
  <c r="J83" i="4"/>
  <c r="J82" i="4"/>
  <c r="E31" i="10" s="1"/>
  <c r="T31" i="10" s="1"/>
  <c r="J66" i="4"/>
  <c r="J77" i="4"/>
  <c r="J81" i="4"/>
  <c r="J80" i="4"/>
  <c r="J79" i="4"/>
  <c r="E30" i="10" s="1"/>
  <c r="T30" i="10" s="1"/>
  <c r="J78" i="4"/>
  <c r="E29" i="10" s="1"/>
  <c r="T29" i="10" s="1"/>
  <c r="J76" i="4"/>
  <c r="J75" i="4"/>
  <c r="J33" i="4"/>
  <c r="J102" i="9"/>
  <c r="U22" i="8" s="1"/>
  <c r="P44" i="8" l="1"/>
  <c r="E11" i="10" s="1"/>
  <c r="W11" i="10" s="1"/>
  <c r="P22" i="8"/>
  <c r="J22" i="4"/>
  <c r="L15" i="9"/>
  <c r="M15" i="9" s="1"/>
  <c r="L17" i="9"/>
  <c r="M17" i="9" s="1"/>
  <c r="L29" i="9"/>
  <c r="M29" i="9" s="1"/>
  <c r="L52" i="9"/>
  <c r="M52" i="9" s="1"/>
  <c r="L58" i="9"/>
  <c r="M58" i="9" s="1"/>
  <c r="L30" i="9"/>
  <c r="M30" i="9" s="1"/>
  <c r="L53" i="9"/>
  <c r="M53" i="9" s="1"/>
  <c r="L92" i="9"/>
  <c r="M92" i="9" s="1"/>
  <c r="L38" i="9"/>
  <c r="M38" i="9" s="1"/>
  <c r="L67" i="9"/>
  <c r="M67" i="9" s="1"/>
  <c r="L87" i="9"/>
  <c r="M87" i="9" s="1"/>
  <c r="L89" i="9"/>
  <c r="M89" i="9" s="1"/>
  <c r="L44" i="9"/>
  <c r="M44" i="9" s="1"/>
  <c r="I99" i="9"/>
  <c r="N44" i="8" s="1"/>
  <c r="N45" i="8" s="1"/>
  <c r="L43" i="9"/>
  <c r="M43" i="9" s="1"/>
  <c r="I100" i="9"/>
  <c r="N50" i="8" s="1"/>
  <c r="N51" i="8" s="1"/>
  <c r="L68" i="9"/>
  <c r="M68" i="9" s="1"/>
  <c r="L93" i="9"/>
  <c r="M93" i="9" s="1"/>
  <c r="J101" i="9"/>
  <c r="L16" i="9"/>
  <c r="M16" i="9" s="1"/>
  <c r="L18" i="9"/>
  <c r="M18" i="9" s="1"/>
  <c r="L37" i="9"/>
  <c r="M37" i="9" s="1"/>
  <c r="J105" i="9"/>
  <c r="U25" i="8" s="1"/>
  <c r="I105" i="9"/>
  <c r="L59" i="9"/>
  <c r="M59" i="9" s="1"/>
  <c r="J100" i="9"/>
  <c r="L21" i="9"/>
  <c r="M21" i="9" s="1"/>
  <c r="L32" i="9"/>
  <c r="M32" i="9" s="1"/>
  <c r="M34" i="9"/>
  <c r="L41" i="9"/>
  <c r="M41" i="9" s="1"/>
  <c r="L47" i="9"/>
  <c r="M47" i="9" s="1"/>
  <c r="L49" i="9"/>
  <c r="M49" i="9" s="1"/>
  <c r="L56" i="9"/>
  <c r="M56" i="9" s="1"/>
  <c r="L61" i="9"/>
  <c r="M61" i="9" s="1"/>
  <c r="L70" i="9"/>
  <c r="M70" i="9" s="1"/>
  <c r="L72" i="9"/>
  <c r="M72" i="9" s="1"/>
  <c r="L82" i="9"/>
  <c r="M82" i="9" s="1"/>
  <c r="L84" i="9"/>
  <c r="M84" i="9" s="1"/>
  <c r="L22" i="9"/>
  <c r="M22" i="9" s="1"/>
  <c r="L33" i="9"/>
  <c r="M33" i="9" s="1"/>
  <c r="L35" i="9"/>
  <c r="M35" i="9" s="1"/>
  <c r="L40" i="9"/>
  <c r="M40" i="9" s="1"/>
  <c r="L46" i="9"/>
  <c r="M46" i="9" s="1"/>
  <c r="L48" i="9"/>
  <c r="M48" i="9" s="1"/>
  <c r="L50" i="9"/>
  <c r="M50" i="9" s="1"/>
  <c r="L55" i="9"/>
  <c r="M55" i="9" s="1"/>
  <c r="L62" i="9"/>
  <c r="M62" i="9" s="1"/>
  <c r="L71" i="9"/>
  <c r="M71" i="9" s="1"/>
  <c r="L73" i="9"/>
  <c r="M73" i="9" s="1"/>
  <c r="L88" i="9"/>
  <c r="M88" i="9" s="1"/>
  <c r="L83" i="9"/>
  <c r="M83" i="9" s="1"/>
  <c r="L85" i="9"/>
  <c r="M85" i="9" s="1"/>
  <c r="P50" i="8" l="1"/>
  <c r="P51" i="8" s="1"/>
  <c r="Q51" i="8" s="1"/>
  <c r="U50" i="8"/>
  <c r="U51" i="8" s="1"/>
  <c r="J24" i="4"/>
  <c r="E21" i="10" s="1"/>
  <c r="T21" i="10" s="1"/>
  <c r="U24" i="8"/>
  <c r="J21" i="4"/>
  <c r="U21" i="8"/>
  <c r="J41" i="4"/>
  <c r="P25" i="8"/>
  <c r="J25" i="4"/>
  <c r="P24" i="8"/>
  <c r="P21" i="8"/>
  <c r="J74" i="4" l="1"/>
  <c r="E28" i="10" s="1"/>
  <c r="T28" i="10" s="1"/>
  <c r="N25" i="8"/>
  <c r="N24" i="8"/>
  <c r="N23" i="8"/>
  <c r="N21" i="8"/>
  <c r="I51" i="8"/>
  <c r="J51" i="8"/>
  <c r="H51" i="8"/>
  <c r="I45" i="8"/>
  <c r="J45" i="8"/>
  <c r="H45" i="8"/>
  <c r="L45" i="8" s="1"/>
  <c r="J89" i="4" l="1"/>
  <c r="J70" i="4" s="1"/>
  <c r="E12" i="10" s="1"/>
  <c r="W12" i="10" s="1"/>
  <c r="L51" i="8"/>
  <c r="R51" i="8"/>
  <c r="I95" i="9"/>
  <c r="I103" i="9"/>
  <c r="N20" i="8"/>
  <c r="K89" i="4" l="1"/>
  <c r="W51" i="8"/>
  <c r="P20" i="8"/>
  <c r="Q20" i="8" s="1"/>
  <c r="I97" i="9"/>
  <c r="N26" i="8" s="1"/>
  <c r="N27" i="8" s="1"/>
  <c r="J103" i="9"/>
  <c r="J97" i="9" s="1"/>
  <c r="U26" i="8" l="1"/>
  <c r="U23" i="8"/>
  <c r="J23" i="4"/>
  <c r="E20" i="10" s="1"/>
  <c r="T20" i="10" s="1"/>
  <c r="I96" i="9"/>
  <c r="P23" i="8"/>
  <c r="K51" i="8"/>
  <c r="M51" i="8" s="1"/>
  <c r="K79" i="8"/>
  <c r="U27" i="8" l="1"/>
  <c r="V27" i="8" s="1"/>
  <c r="P26" i="8"/>
  <c r="J26" i="4"/>
  <c r="K80" i="8"/>
  <c r="K52" i="8"/>
  <c r="K45" i="8"/>
  <c r="M45" i="8" s="1"/>
  <c r="K28" i="8"/>
  <c r="P27" i="8" l="1"/>
  <c r="Q27" i="8" s="1"/>
  <c r="R27" i="8" s="1"/>
  <c r="W27" i="8"/>
  <c r="J48" i="4"/>
  <c r="K57" i="8"/>
  <c r="M57" i="8" s="1"/>
  <c r="M52" i="8"/>
  <c r="K20" i="8"/>
  <c r="K59" i="8"/>
  <c r="N59" i="8"/>
  <c r="N64" i="8" s="1"/>
  <c r="P64" i="8" s="1"/>
  <c r="N29" i="8"/>
  <c r="P29" i="8" s="1"/>
  <c r="N28" i="8"/>
  <c r="P28" i="8" s="1"/>
  <c r="N69" i="8"/>
  <c r="N58" i="8"/>
  <c r="J20" i="4" l="1"/>
  <c r="E9" i="10" s="1"/>
  <c r="W9" i="10" s="1"/>
  <c r="K48" i="4"/>
  <c r="K64" i="8"/>
  <c r="M64" i="8" s="1"/>
  <c r="M59" i="8"/>
  <c r="P58" i="8"/>
  <c r="Q64" i="8"/>
  <c r="P59" i="8"/>
  <c r="K19" i="8"/>
  <c r="N33" i="8"/>
  <c r="P33" i="8"/>
  <c r="J59" i="8"/>
  <c r="J64" i="8" s="1"/>
  <c r="Q58" i="8" l="1"/>
  <c r="E14" i="10"/>
  <c r="W14" i="10" s="1"/>
  <c r="Q29" i="8"/>
  <c r="Q33" i="8"/>
  <c r="R64" i="8"/>
  <c r="R59" i="8" s="1"/>
  <c r="Q59" i="8"/>
  <c r="H59" i="8"/>
  <c r="I29" i="8"/>
  <c r="M29" i="8" s="1"/>
  <c r="H29" i="8"/>
  <c r="L29" i="8" s="1"/>
  <c r="J28" i="8"/>
  <c r="I28" i="8"/>
  <c r="H28" i="8"/>
  <c r="L28" i="8" s="1"/>
  <c r="I20" i="8"/>
  <c r="H20" i="8"/>
  <c r="N19" i="8"/>
  <c r="O19" i="8"/>
  <c r="Y19" i="8"/>
  <c r="Z19" i="8"/>
  <c r="G19" i="8"/>
  <c r="F19" i="8"/>
  <c r="H27" i="8" l="1"/>
  <c r="L27" i="8" s="1"/>
  <c r="L20" i="8"/>
  <c r="I27" i="8"/>
  <c r="M27" i="8" s="1"/>
  <c r="M20" i="8"/>
  <c r="I33" i="8"/>
  <c r="M33" i="8" s="1"/>
  <c r="M28" i="8"/>
  <c r="H64" i="8"/>
  <c r="L64" i="8" s="1"/>
  <c r="L59" i="8"/>
  <c r="F14" i="10"/>
  <c r="X14" i="10" s="1"/>
  <c r="R58" i="8"/>
  <c r="R33" i="8"/>
  <c r="H33" i="8"/>
  <c r="L33" i="8" s="1"/>
  <c r="I19" i="8"/>
  <c r="M19" i="8" s="1"/>
  <c r="J19" i="8"/>
  <c r="H19" i="8"/>
  <c r="AI64" i="8"/>
  <c r="AH64" i="8"/>
  <c r="AI63" i="8"/>
  <c r="AH63" i="8"/>
  <c r="AI62" i="8"/>
  <c r="AH62" i="8"/>
  <c r="AI61" i="8"/>
  <c r="AH61" i="8"/>
  <c r="AI60" i="8"/>
  <c r="AH60" i="8"/>
  <c r="AF59" i="8"/>
  <c r="AH59" i="8" s="1"/>
  <c r="AE59" i="8"/>
  <c r="AI58" i="8"/>
  <c r="AH58" i="8"/>
  <c r="AI57" i="8"/>
  <c r="AH57" i="8"/>
  <c r="AI56" i="8"/>
  <c r="AH56" i="8"/>
  <c r="AI55" i="8"/>
  <c r="AH55" i="8"/>
  <c r="AI54" i="8"/>
  <c r="AH54" i="8"/>
  <c r="AI53" i="8"/>
  <c r="AH53" i="8"/>
  <c r="AF52" i="8"/>
  <c r="AE52" i="8"/>
  <c r="AI51" i="8"/>
  <c r="AH51" i="8"/>
  <c r="AI50" i="8"/>
  <c r="AH50" i="8"/>
  <c r="AI49" i="8"/>
  <c r="AH49" i="8"/>
  <c r="AI48" i="8"/>
  <c r="AH48" i="8"/>
  <c r="AI47" i="8"/>
  <c r="AH47" i="8"/>
  <c r="AF46" i="8"/>
  <c r="AE46" i="8"/>
  <c r="AI45" i="8"/>
  <c r="AH45" i="8"/>
  <c r="AI44" i="8"/>
  <c r="AH44" i="8"/>
  <c r="AI43" i="8"/>
  <c r="AH43" i="8"/>
  <c r="AI42" i="8"/>
  <c r="AH42" i="8"/>
  <c r="AI41" i="8"/>
  <c r="AH41" i="8"/>
  <c r="AF40" i="8"/>
  <c r="AE40" i="8"/>
  <c r="AI39" i="8"/>
  <c r="AH39" i="8"/>
  <c r="AI38" i="8"/>
  <c r="AH38" i="8"/>
  <c r="AI37" i="8"/>
  <c r="AH37" i="8"/>
  <c r="AI36" i="8"/>
  <c r="AH36" i="8"/>
  <c r="AI35" i="8"/>
  <c r="AH35" i="8"/>
  <c r="AF34" i="8"/>
  <c r="AE34" i="8"/>
  <c r="AI33" i="8"/>
  <c r="AH33" i="8"/>
  <c r="AI32" i="8"/>
  <c r="AH32" i="8"/>
  <c r="AI31" i="8"/>
  <c r="AH31" i="8"/>
  <c r="AI30" i="8"/>
  <c r="AH30" i="8"/>
  <c r="AI29" i="8"/>
  <c r="AH29" i="8"/>
  <c r="AF28" i="8"/>
  <c r="AE28" i="8"/>
  <c r="AI27" i="8"/>
  <c r="AH27" i="8"/>
  <c r="AI26" i="8"/>
  <c r="AH26" i="8"/>
  <c r="AI23" i="8"/>
  <c r="AH23" i="8"/>
  <c r="AI22" i="8"/>
  <c r="AH22" i="8"/>
  <c r="AI21" i="8"/>
  <c r="AH21" i="8"/>
  <c r="AF20" i="8"/>
  <c r="AE20" i="8"/>
  <c r="AE19" i="8" s="1"/>
  <c r="D20" i="8"/>
  <c r="D21" i="8" s="1"/>
  <c r="D22" i="8" s="1"/>
  <c r="D23" i="8" s="1"/>
  <c r="C20" i="8"/>
  <c r="C21" i="8" s="1"/>
  <c r="C22" i="8" s="1"/>
  <c r="C23" i="8" s="1"/>
  <c r="B20" i="8"/>
  <c r="B21" i="8" s="1"/>
  <c r="B22" i="8" s="1"/>
  <c r="B23" i="8" s="1"/>
  <c r="AM19" i="8"/>
  <c r="AL19" i="8"/>
  <c r="AD19" i="8"/>
  <c r="AC19" i="8"/>
  <c r="C11" i="8"/>
  <c r="AK10" i="8"/>
  <c r="AJ10" i="8"/>
  <c r="AB10" i="8"/>
  <c r="AA10" i="8"/>
  <c r="AK9" i="8"/>
  <c r="AF9" i="8"/>
  <c r="AG9" i="8" s="1"/>
  <c r="B9" i="8"/>
  <c r="C9" i="8" s="1"/>
  <c r="D9" i="8" s="1"/>
  <c r="E9" i="8" s="1"/>
  <c r="AA9" i="8" s="1"/>
  <c r="AB9" i="8" s="1"/>
  <c r="G14" i="10" l="1"/>
  <c r="H14" i="10" s="1"/>
  <c r="Y14" i="10"/>
  <c r="Z14" i="10" s="1"/>
  <c r="L19" i="8"/>
  <c r="AF19" i="8"/>
  <c r="D26" i="8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24" i="8"/>
  <c r="D25" i="8" s="1"/>
  <c r="B26" i="8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24" i="8"/>
  <c r="B25" i="8" s="1"/>
  <c r="C26" i="8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24" i="8"/>
  <c r="C25" i="8" s="1"/>
  <c r="C12" i="8"/>
  <c r="I11" i="8"/>
  <c r="G11" i="8"/>
  <c r="K11" i="8"/>
  <c r="T11" i="8"/>
  <c r="J11" i="8"/>
  <c r="F11" i="8"/>
  <c r="N11" i="8"/>
  <c r="Y11" i="8"/>
  <c r="O11" i="8"/>
  <c r="Z11" i="8"/>
  <c r="H11" i="8"/>
  <c r="AI28" i="8"/>
  <c r="AI34" i="8"/>
  <c r="AI40" i="8"/>
  <c r="AI46" i="8"/>
  <c r="AI52" i="8"/>
  <c r="AF11" i="8"/>
  <c r="AD10" i="8"/>
  <c r="AM10" i="8"/>
  <c r="N12" i="8"/>
  <c r="Y12" i="8"/>
  <c r="O12" i="8"/>
  <c r="Z12" i="8"/>
  <c r="F12" i="8"/>
  <c r="H12" i="8"/>
  <c r="J12" i="8"/>
  <c r="K12" i="8"/>
  <c r="T12" i="8"/>
  <c r="I12" i="8"/>
  <c r="G12" i="8"/>
  <c r="AI59" i="8"/>
  <c r="AI20" i="8"/>
  <c r="AH19" i="8"/>
  <c r="AF12" i="8"/>
  <c r="C13" i="8"/>
  <c r="S13" i="8" s="1"/>
  <c r="AE12" i="8"/>
  <c r="AE11" i="8"/>
  <c r="AI19" i="8"/>
  <c r="AH20" i="8"/>
  <c r="AH28" i="8"/>
  <c r="AH34" i="8"/>
  <c r="AH40" i="8"/>
  <c r="AH46" i="8"/>
  <c r="AH52" i="8"/>
  <c r="AC10" i="8"/>
  <c r="AL10" i="8"/>
  <c r="AH11" i="8" l="1"/>
  <c r="O13" i="8"/>
  <c r="Z13" i="8"/>
  <c r="H13" i="8"/>
  <c r="J13" i="8"/>
  <c r="K13" i="8"/>
  <c r="T13" i="8"/>
  <c r="I13" i="8"/>
  <c r="G13" i="8"/>
  <c r="F13" i="8"/>
  <c r="N13" i="8"/>
  <c r="Y13" i="8"/>
  <c r="AF13" i="8"/>
  <c r="C14" i="8"/>
  <c r="S14" i="8" s="1"/>
  <c r="AE13" i="8"/>
  <c r="AH12" i="8"/>
  <c r="AI12" i="8"/>
  <c r="AI11" i="8"/>
  <c r="K14" i="8" l="1"/>
  <c r="T14" i="8"/>
  <c r="I14" i="8"/>
  <c r="F14" i="8"/>
  <c r="N14" i="8"/>
  <c r="Y14" i="8"/>
  <c r="J14" i="8"/>
  <c r="H14" i="8"/>
  <c r="G14" i="8"/>
  <c r="O14" i="8"/>
  <c r="Z14" i="8"/>
  <c r="C15" i="8"/>
  <c r="S15" i="8" s="1"/>
  <c r="AE14" i="8"/>
  <c r="AF14" i="8"/>
  <c r="AI13" i="8"/>
  <c r="AH13" i="8"/>
  <c r="K15" i="8" l="1"/>
  <c r="T15" i="8"/>
  <c r="N15" i="8"/>
  <c r="Y15" i="8"/>
  <c r="J15" i="8"/>
  <c r="O15" i="8"/>
  <c r="Z15" i="8"/>
  <c r="G15" i="8"/>
  <c r="H15" i="8"/>
  <c r="F15" i="8"/>
  <c r="I15" i="8"/>
  <c r="AI14" i="8"/>
  <c r="AH14" i="8"/>
  <c r="AF15" i="8"/>
  <c r="C16" i="8"/>
  <c r="S16" i="8" s="1"/>
  <c r="AE15" i="8"/>
  <c r="N16" i="8" l="1"/>
  <c r="Y16" i="8"/>
  <c r="O16" i="8"/>
  <c r="Z16" i="8"/>
  <c r="F16" i="8"/>
  <c r="H16" i="8"/>
  <c r="I16" i="8"/>
  <c r="J16" i="8"/>
  <c r="K16" i="8"/>
  <c r="T16" i="8"/>
  <c r="G16" i="8"/>
  <c r="AI15" i="8"/>
  <c r="AH15" i="8"/>
  <c r="AF16" i="8"/>
  <c r="C17" i="8"/>
  <c r="S17" i="8" s="1"/>
  <c r="S10" i="8" s="1"/>
  <c r="S70" i="8" s="1"/>
  <c r="AE16" i="8"/>
  <c r="O17" i="8" l="1"/>
  <c r="Z17" i="8"/>
  <c r="H17" i="8"/>
  <c r="J17" i="8"/>
  <c r="F17" i="8"/>
  <c r="K17" i="8"/>
  <c r="T17" i="8"/>
  <c r="I17" i="8"/>
  <c r="G17" i="8"/>
  <c r="N17" i="8"/>
  <c r="Y17" i="8"/>
  <c r="AH16" i="8"/>
  <c r="AI16" i="8"/>
  <c r="AF17" i="8"/>
  <c r="C18" i="8"/>
  <c r="AE17" i="8"/>
  <c r="S5" i="8" l="1"/>
  <c r="K18" i="8"/>
  <c r="K10" i="8" s="1"/>
  <c r="K70" i="8" s="1"/>
  <c r="T18" i="8"/>
  <c r="T10" i="8" s="1"/>
  <c r="I18" i="8"/>
  <c r="I10" i="8" s="1"/>
  <c r="I67" i="8" s="1"/>
  <c r="F18" i="8"/>
  <c r="F10" i="8" s="1"/>
  <c r="F2" i="8" s="1"/>
  <c r="N18" i="8"/>
  <c r="N10" i="8" s="1"/>
  <c r="N70" i="8" s="1"/>
  <c r="Y18" i="8"/>
  <c r="Y10" i="8" s="1"/>
  <c r="J18" i="8"/>
  <c r="J10" i="8" s="1"/>
  <c r="J70" i="8" s="1"/>
  <c r="G18" i="8"/>
  <c r="G10" i="8" s="1"/>
  <c r="O18" i="8"/>
  <c r="O10" i="8" s="1"/>
  <c r="O70" i="8" s="1"/>
  <c r="Z18" i="8"/>
  <c r="Z10" i="8" s="1"/>
  <c r="H18" i="8"/>
  <c r="H10" i="8" s="1"/>
  <c r="H70" i="8" s="1"/>
  <c r="AE18" i="8"/>
  <c r="AE10" i="8" s="1"/>
  <c r="AF18" i="8"/>
  <c r="AI17" i="8"/>
  <c r="AH17" i="8"/>
  <c r="G67" i="8" l="1"/>
  <c r="G2" i="8"/>
  <c r="I70" i="8"/>
  <c r="AI18" i="8"/>
  <c r="AH18" i="8"/>
  <c r="AF10" i="8"/>
  <c r="AI10" i="8" l="1"/>
  <c r="AH10" i="8"/>
  <c r="B21" i="4" l="1"/>
  <c r="B22" i="4" s="1"/>
  <c r="B23" i="4" s="1"/>
  <c r="N100" i="4"/>
  <c r="M100" i="4"/>
  <c r="N94" i="4"/>
  <c r="M94" i="4"/>
  <c r="N59" i="4"/>
  <c r="M59" i="4"/>
  <c r="N53" i="4"/>
  <c r="M53" i="4"/>
  <c r="B26" i="4" l="1"/>
  <c r="B24" i="4"/>
  <c r="G9" i="3"/>
  <c r="H95" i="3"/>
  <c r="G95" i="3"/>
  <c r="H93" i="3"/>
  <c r="G93" i="3"/>
  <c r="H92" i="3"/>
  <c r="G92" i="3"/>
  <c r="H91" i="3"/>
  <c r="G91" i="3"/>
  <c r="G90" i="3"/>
  <c r="H90" i="3" s="1"/>
  <c r="H89" i="3"/>
  <c r="G89" i="3"/>
  <c r="H88" i="3"/>
  <c r="G88" i="3"/>
  <c r="G86" i="3" s="1"/>
  <c r="H86" i="3" s="1"/>
  <c r="H87" i="3"/>
  <c r="G87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F86" i="3"/>
  <c r="E86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F85" i="3"/>
  <c r="E85" i="3"/>
  <c r="H84" i="3"/>
  <c r="G84" i="3"/>
  <c r="G83" i="3"/>
  <c r="H83" i="3" s="1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G82" i="3"/>
  <c r="H82" i="3" s="1"/>
  <c r="F82" i="3"/>
  <c r="E82" i="3"/>
  <c r="G81" i="3"/>
  <c r="H81" i="3" s="1"/>
  <c r="G80" i="3"/>
  <c r="H80" i="3" s="1"/>
  <c r="G79" i="3"/>
  <c r="H79" i="3" s="1"/>
  <c r="H78" i="3"/>
  <c r="G78" i="3"/>
  <c r="G77" i="3"/>
  <c r="H77" i="3" s="1"/>
  <c r="G76" i="3"/>
  <c r="H76" i="3" s="1"/>
  <c r="G75" i="3"/>
  <c r="H75" i="3" s="1"/>
  <c r="H74" i="3"/>
  <c r="G74" i="3"/>
  <c r="AI73" i="3"/>
  <c r="AH73" i="3"/>
  <c r="AA73" i="3"/>
  <c r="S73" i="3"/>
  <c r="K73" i="3"/>
  <c r="J73" i="3"/>
  <c r="AL72" i="3"/>
  <c r="AL73" i="3" s="1"/>
  <c r="AK72" i="3"/>
  <c r="AK73" i="3" s="1"/>
  <c r="AJ72" i="3"/>
  <c r="AJ73" i="3" s="1"/>
  <c r="AI72" i="3"/>
  <c r="AH72" i="3"/>
  <c r="AD72" i="3"/>
  <c r="AD73" i="3" s="1"/>
  <c r="AC72" i="3"/>
  <c r="AC73" i="3" s="1"/>
  <c r="AB72" i="3"/>
  <c r="AB73" i="3" s="1"/>
  <c r="AA72" i="3"/>
  <c r="Z72" i="3"/>
  <c r="Z73" i="3" s="1"/>
  <c r="V72" i="3"/>
  <c r="V73" i="3" s="1"/>
  <c r="U72" i="3"/>
  <c r="U73" i="3" s="1"/>
  <c r="T72" i="3"/>
  <c r="T73" i="3" s="1"/>
  <c r="S72" i="3"/>
  <c r="R72" i="3"/>
  <c r="R73" i="3" s="1"/>
  <c r="N72" i="3"/>
  <c r="N73" i="3" s="1"/>
  <c r="M72" i="3"/>
  <c r="M73" i="3" s="1"/>
  <c r="L72" i="3"/>
  <c r="L73" i="3" s="1"/>
  <c r="K72" i="3"/>
  <c r="J72" i="3"/>
  <c r="F72" i="3"/>
  <c r="F73" i="3" s="1"/>
  <c r="E72" i="3"/>
  <c r="E73" i="3" s="1"/>
  <c r="AM71" i="3"/>
  <c r="AM72" i="3" s="1"/>
  <c r="AM73" i="3" s="1"/>
  <c r="AL71" i="3"/>
  <c r="AK71" i="3"/>
  <c r="AJ71" i="3"/>
  <c r="AI71" i="3"/>
  <c r="AH71" i="3"/>
  <c r="AG71" i="3"/>
  <c r="AG72" i="3" s="1"/>
  <c r="AG73" i="3" s="1"/>
  <c r="AF71" i="3"/>
  <c r="AF72" i="3" s="1"/>
  <c r="AF73" i="3" s="1"/>
  <c r="AE71" i="3"/>
  <c r="AE72" i="3" s="1"/>
  <c r="AE73" i="3" s="1"/>
  <c r="AD71" i="3"/>
  <c r="AC71" i="3"/>
  <c r="AB71" i="3"/>
  <c r="AA71" i="3"/>
  <c r="Z71" i="3"/>
  <c r="Y71" i="3"/>
  <c r="Y72" i="3" s="1"/>
  <c r="Y73" i="3" s="1"/>
  <c r="X71" i="3"/>
  <c r="X72" i="3" s="1"/>
  <c r="X73" i="3" s="1"/>
  <c r="W71" i="3"/>
  <c r="W72" i="3" s="1"/>
  <c r="W73" i="3" s="1"/>
  <c r="V71" i="3"/>
  <c r="U71" i="3"/>
  <c r="T71" i="3"/>
  <c r="S71" i="3"/>
  <c r="R71" i="3"/>
  <c r="Q71" i="3"/>
  <c r="Q72" i="3" s="1"/>
  <c r="Q73" i="3" s="1"/>
  <c r="P71" i="3"/>
  <c r="P72" i="3" s="1"/>
  <c r="P73" i="3" s="1"/>
  <c r="O71" i="3"/>
  <c r="O72" i="3" s="1"/>
  <c r="O73" i="3" s="1"/>
  <c r="N71" i="3"/>
  <c r="M71" i="3"/>
  <c r="L71" i="3"/>
  <c r="K71" i="3"/>
  <c r="J71" i="3"/>
  <c r="I71" i="3"/>
  <c r="I72" i="3" s="1"/>
  <c r="I73" i="3" s="1"/>
  <c r="F71" i="3"/>
  <c r="E71" i="3"/>
  <c r="H70" i="3"/>
  <c r="G70" i="3"/>
  <c r="G69" i="3"/>
  <c r="H69" i="3" s="1"/>
  <c r="H68" i="3"/>
  <c r="G68" i="3"/>
  <c r="G66" i="3" s="1"/>
  <c r="H66" i="3" s="1"/>
  <c r="H67" i="3"/>
  <c r="G67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F66" i="3"/>
  <c r="E66" i="3"/>
  <c r="G65" i="3"/>
  <c r="H65" i="3" s="1"/>
  <c r="H64" i="3"/>
  <c r="G64" i="3"/>
  <c r="G63" i="3"/>
  <c r="H63" i="3" s="1"/>
  <c r="H62" i="3"/>
  <c r="G62" i="3"/>
  <c r="AM61" i="3"/>
  <c r="AL61" i="3"/>
  <c r="AK61" i="3"/>
  <c r="AJ61" i="3"/>
  <c r="AI61" i="3"/>
  <c r="AE61" i="3"/>
  <c r="AD61" i="3"/>
  <c r="AC61" i="3"/>
  <c r="AB61" i="3"/>
  <c r="AA61" i="3"/>
  <c r="W61" i="3"/>
  <c r="V61" i="3"/>
  <c r="U61" i="3"/>
  <c r="T61" i="3"/>
  <c r="S61" i="3"/>
  <c r="O61" i="3"/>
  <c r="N61" i="3"/>
  <c r="M61" i="3"/>
  <c r="L61" i="3"/>
  <c r="K61" i="3"/>
  <c r="F61" i="3"/>
  <c r="E61" i="3"/>
  <c r="AM60" i="3"/>
  <c r="AL60" i="3"/>
  <c r="AK60" i="3"/>
  <c r="AJ60" i="3"/>
  <c r="AI60" i="3"/>
  <c r="AH60" i="3"/>
  <c r="AH61" i="3" s="1"/>
  <c r="AG60" i="3"/>
  <c r="AG61" i="3" s="1"/>
  <c r="AF60" i="3"/>
  <c r="AF61" i="3" s="1"/>
  <c r="AE60" i="3"/>
  <c r="AD60" i="3"/>
  <c r="AC60" i="3"/>
  <c r="AB60" i="3"/>
  <c r="AA60" i="3"/>
  <c r="Z60" i="3"/>
  <c r="Z61" i="3" s="1"/>
  <c r="Y60" i="3"/>
  <c r="Y61" i="3" s="1"/>
  <c r="X60" i="3"/>
  <c r="X61" i="3" s="1"/>
  <c r="W60" i="3"/>
  <c r="V60" i="3"/>
  <c r="U60" i="3"/>
  <c r="T60" i="3"/>
  <c r="S60" i="3"/>
  <c r="R60" i="3"/>
  <c r="R61" i="3" s="1"/>
  <c r="Q60" i="3"/>
  <c r="Q61" i="3" s="1"/>
  <c r="P60" i="3"/>
  <c r="P61" i="3" s="1"/>
  <c r="O60" i="3"/>
  <c r="N60" i="3"/>
  <c r="M60" i="3"/>
  <c r="L60" i="3"/>
  <c r="K60" i="3"/>
  <c r="J60" i="3"/>
  <c r="J61" i="3" s="1"/>
  <c r="I60" i="3"/>
  <c r="I61" i="3" s="1"/>
  <c r="F60" i="3"/>
  <c r="E60" i="3"/>
  <c r="H59" i="3"/>
  <c r="G59" i="3"/>
  <c r="G58" i="3"/>
  <c r="H58" i="3" s="1"/>
  <c r="H57" i="3"/>
  <c r="G57" i="3"/>
  <c r="G56" i="3"/>
  <c r="H56" i="3" s="1"/>
  <c r="H55" i="3"/>
  <c r="G55" i="3"/>
  <c r="G54" i="3"/>
  <c r="H54" i="3" s="1"/>
  <c r="H53" i="3"/>
  <c r="G53" i="3"/>
  <c r="G52" i="3"/>
  <c r="H52" i="3" s="1"/>
  <c r="H51" i="3"/>
  <c r="G51" i="3"/>
  <c r="G50" i="3"/>
  <c r="G48" i="3" s="1"/>
  <c r="AM49" i="3"/>
  <c r="AL49" i="3"/>
  <c r="AK49" i="3"/>
  <c r="AG49" i="3"/>
  <c r="AF49" i="3"/>
  <c r="AE49" i="3"/>
  <c r="AD49" i="3"/>
  <c r="AC49" i="3"/>
  <c r="Y49" i="3"/>
  <c r="X49" i="3"/>
  <c r="W49" i="3"/>
  <c r="V49" i="3"/>
  <c r="U49" i="3"/>
  <c r="Q49" i="3"/>
  <c r="P49" i="3"/>
  <c r="O49" i="3"/>
  <c r="N49" i="3"/>
  <c r="M49" i="3"/>
  <c r="I49" i="3"/>
  <c r="F49" i="3"/>
  <c r="E49" i="3"/>
  <c r="AM48" i="3"/>
  <c r="AL48" i="3"/>
  <c r="AK48" i="3"/>
  <c r="AJ48" i="3"/>
  <c r="AJ49" i="3" s="1"/>
  <c r="AI48" i="3"/>
  <c r="AI49" i="3" s="1"/>
  <c r="AH48" i="3"/>
  <c r="AH49" i="3" s="1"/>
  <c r="AG48" i="3"/>
  <c r="AF48" i="3"/>
  <c r="AE48" i="3"/>
  <c r="AD48" i="3"/>
  <c r="AC48" i="3"/>
  <c r="AB48" i="3"/>
  <c r="AB49" i="3" s="1"/>
  <c r="AA48" i="3"/>
  <c r="AA49" i="3" s="1"/>
  <c r="Z48" i="3"/>
  <c r="Z49" i="3" s="1"/>
  <c r="Y48" i="3"/>
  <c r="X48" i="3"/>
  <c r="W48" i="3"/>
  <c r="V48" i="3"/>
  <c r="U48" i="3"/>
  <c r="T48" i="3"/>
  <c r="T49" i="3" s="1"/>
  <c r="S48" i="3"/>
  <c r="S49" i="3" s="1"/>
  <c r="R48" i="3"/>
  <c r="R49" i="3" s="1"/>
  <c r="Q48" i="3"/>
  <c r="P48" i="3"/>
  <c r="O48" i="3"/>
  <c r="N48" i="3"/>
  <c r="M48" i="3"/>
  <c r="L48" i="3"/>
  <c r="L49" i="3" s="1"/>
  <c r="K48" i="3"/>
  <c r="K49" i="3" s="1"/>
  <c r="J48" i="3"/>
  <c r="J49" i="3" s="1"/>
  <c r="I48" i="3"/>
  <c r="F48" i="3"/>
  <c r="E48" i="3"/>
  <c r="G47" i="3"/>
  <c r="H47" i="3" s="1"/>
  <c r="H46" i="3"/>
  <c r="G46" i="3"/>
  <c r="G45" i="3"/>
  <c r="H45" i="3" s="1"/>
  <c r="H44" i="3"/>
  <c r="G44" i="3"/>
  <c r="G43" i="3"/>
  <c r="H43" i="3" s="1"/>
  <c r="H42" i="3"/>
  <c r="G42" i="3"/>
  <c r="G41" i="3"/>
  <c r="H41" i="3" s="1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F40" i="3"/>
  <c r="E40" i="3"/>
  <c r="G39" i="3"/>
  <c r="H39" i="3" s="1"/>
  <c r="H38" i="3"/>
  <c r="G38" i="3"/>
  <c r="H37" i="3"/>
  <c r="G37" i="3"/>
  <c r="G36" i="3"/>
  <c r="H36" i="3" s="1"/>
  <c r="G35" i="3"/>
  <c r="H35" i="3" s="1"/>
  <c r="H34" i="3"/>
  <c r="G34" i="3"/>
  <c r="H33" i="3"/>
  <c r="G33" i="3"/>
  <c r="G32" i="3" s="1"/>
  <c r="H32" i="3" s="1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F32" i="3"/>
  <c r="E32" i="3"/>
  <c r="H31" i="3"/>
  <c r="G31" i="3"/>
  <c r="G30" i="3"/>
  <c r="H30" i="3" s="1"/>
  <c r="H29" i="3"/>
  <c r="G29" i="3"/>
  <c r="G28" i="3"/>
  <c r="H28" i="3" s="1"/>
  <c r="H27" i="3"/>
  <c r="G27" i="3"/>
  <c r="G26" i="3"/>
  <c r="H26" i="3" s="1"/>
  <c r="H25" i="3"/>
  <c r="G25" i="3"/>
  <c r="G24" i="3"/>
  <c r="H24" i="3" s="1"/>
  <c r="H23" i="3"/>
  <c r="G23" i="3"/>
  <c r="G22" i="3"/>
  <c r="H22" i="3" s="1"/>
  <c r="AJ21" i="3"/>
  <c r="AI21" i="3"/>
  <c r="AH21" i="3"/>
  <c r="AG21" i="3"/>
  <c r="AB21" i="3"/>
  <c r="AA21" i="3"/>
  <c r="Z21" i="3"/>
  <c r="Y21" i="3"/>
  <c r="T21" i="3"/>
  <c r="S21" i="3"/>
  <c r="R21" i="3"/>
  <c r="Q21" i="3"/>
  <c r="L21" i="3"/>
  <c r="K21" i="3"/>
  <c r="J21" i="3"/>
  <c r="I21" i="3"/>
  <c r="AM20" i="3"/>
  <c r="AL20" i="3"/>
  <c r="AK20" i="3"/>
  <c r="AJ20" i="3"/>
  <c r="AI20" i="3"/>
  <c r="AH20" i="3"/>
  <c r="AG20" i="3"/>
  <c r="AF20" i="3"/>
  <c r="AF21" i="3" s="1"/>
  <c r="AE20" i="3"/>
  <c r="AD20" i="3"/>
  <c r="AC20" i="3"/>
  <c r="AC21" i="3" s="1"/>
  <c r="AB20" i="3"/>
  <c r="AA20" i="3"/>
  <c r="Z20" i="3"/>
  <c r="Y20" i="3"/>
  <c r="X20" i="3"/>
  <c r="X21" i="3" s="1"/>
  <c r="W20" i="3"/>
  <c r="V20" i="3"/>
  <c r="U20" i="3"/>
  <c r="U21" i="3" s="1"/>
  <c r="T20" i="3"/>
  <c r="S20" i="3"/>
  <c r="R20" i="3"/>
  <c r="Q20" i="3"/>
  <c r="P20" i="3"/>
  <c r="P21" i="3" s="1"/>
  <c r="O20" i="3"/>
  <c r="N20" i="3"/>
  <c r="M20" i="3"/>
  <c r="M21" i="3" s="1"/>
  <c r="L20" i="3"/>
  <c r="K20" i="3"/>
  <c r="J20" i="3"/>
  <c r="I20" i="3"/>
  <c r="F20" i="3"/>
  <c r="E20" i="3"/>
  <c r="B25" i="4" l="1"/>
  <c r="B28" i="4" s="1"/>
  <c r="B31" i="4" s="1"/>
  <c r="B34" i="4" s="1"/>
  <c r="B37" i="4" s="1"/>
  <c r="B40" i="4" s="1"/>
  <c r="B43" i="4" s="1"/>
  <c r="B46" i="4" s="1"/>
  <c r="B27" i="4"/>
  <c r="B30" i="4" s="1"/>
  <c r="B33" i="4" s="1"/>
  <c r="B36" i="4" s="1"/>
  <c r="B39" i="4" s="1"/>
  <c r="B42" i="4" s="1"/>
  <c r="B45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29" i="4"/>
  <c r="B32" i="4" s="1"/>
  <c r="B35" i="4" s="1"/>
  <c r="B38" i="4" s="1"/>
  <c r="B41" i="4" s="1"/>
  <c r="B44" i="4" s="1"/>
  <c r="B47" i="4" s="1"/>
  <c r="H48" i="3"/>
  <c r="G49" i="3"/>
  <c r="H49" i="3" s="1"/>
  <c r="G60" i="3"/>
  <c r="G71" i="3"/>
  <c r="G85" i="3"/>
  <c r="H85" i="3" s="1"/>
  <c r="G20" i="3"/>
  <c r="E21" i="3"/>
  <c r="AK21" i="3"/>
  <c r="H50" i="3"/>
  <c r="F21" i="3"/>
  <c r="N21" i="3"/>
  <c r="V21" i="3"/>
  <c r="AD21" i="3"/>
  <c r="AL21" i="3"/>
  <c r="O21" i="3"/>
  <c r="W21" i="3"/>
  <c r="AE21" i="3"/>
  <c r="AM21" i="3"/>
  <c r="G40" i="3"/>
  <c r="H40" i="3" s="1"/>
  <c r="B66" i="4" l="1"/>
  <c r="B67" i="4" s="1"/>
  <c r="B68" i="4" s="1"/>
  <c r="B69" i="4" s="1"/>
  <c r="B70" i="4" s="1"/>
  <c r="B71" i="4" s="1"/>
  <c r="B72" i="4" s="1"/>
  <c r="B73" i="4" s="1"/>
  <c r="B74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G21" i="3"/>
  <c r="H21" i="3" s="1"/>
  <c r="H20" i="3"/>
  <c r="G72" i="3"/>
  <c r="H71" i="3"/>
  <c r="G61" i="3"/>
  <c r="H61" i="3" s="1"/>
  <c r="H60" i="3"/>
  <c r="G73" i="3" l="1"/>
  <c r="H73" i="3" s="1"/>
  <c r="H72" i="3"/>
  <c r="U55" i="7" l="1"/>
  <c r="T55" i="7"/>
  <c r="S55" i="7"/>
  <c r="R55" i="7"/>
  <c r="U54" i="7"/>
  <c r="T54" i="7"/>
  <c r="S54" i="7"/>
  <c r="R54" i="7"/>
  <c r="U53" i="7"/>
  <c r="T53" i="7"/>
  <c r="S53" i="7"/>
  <c r="R53" i="7"/>
  <c r="U52" i="7"/>
  <c r="T52" i="7"/>
  <c r="S52" i="7"/>
  <c r="R52" i="7"/>
  <c r="U50" i="7"/>
  <c r="T50" i="7"/>
  <c r="S50" i="7"/>
  <c r="R50" i="7"/>
  <c r="U49" i="7"/>
  <c r="T49" i="7"/>
  <c r="S49" i="7"/>
  <c r="R49" i="7"/>
  <c r="U48" i="7"/>
  <c r="T48" i="7"/>
  <c r="S48" i="7"/>
  <c r="R48" i="7"/>
  <c r="U47" i="7"/>
  <c r="T47" i="7"/>
  <c r="S47" i="7"/>
  <c r="R47" i="7"/>
  <c r="U46" i="7"/>
  <c r="T46" i="7"/>
  <c r="S46" i="7"/>
  <c r="R46" i="7"/>
  <c r="U44" i="7"/>
  <c r="T44" i="7"/>
  <c r="S44" i="7"/>
  <c r="R44" i="7"/>
  <c r="U43" i="7"/>
  <c r="T43" i="7"/>
  <c r="S43" i="7"/>
  <c r="R43" i="7"/>
  <c r="U42" i="7"/>
  <c r="T42" i="7"/>
  <c r="S42" i="7"/>
  <c r="R42" i="7"/>
  <c r="U41" i="7"/>
  <c r="T41" i="7"/>
  <c r="S41" i="7"/>
  <c r="R41" i="7"/>
  <c r="U39" i="7"/>
  <c r="T39" i="7"/>
  <c r="S39" i="7"/>
  <c r="R39" i="7"/>
  <c r="U38" i="7"/>
  <c r="T38" i="7"/>
  <c r="S38" i="7"/>
  <c r="R38" i="7"/>
  <c r="U37" i="7"/>
  <c r="T37" i="7"/>
  <c r="S37" i="7"/>
  <c r="R37" i="7"/>
  <c r="U36" i="7"/>
  <c r="T36" i="7"/>
  <c r="S36" i="7"/>
  <c r="R36" i="7"/>
  <c r="U34" i="7"/>
  <c r="T34" i="7"/>
  <c r="S34" i="7"/>
  <c r="R34" i="7"/>
  <c r="U33" i="7"/>
  <c r="T33" i="7"/>
  <c r="S33" i="7"/>
  <c r="R33" i="7"/>
  <c r="U32" i="7"/>
  <c r="T32" i="7"/>
  <c r="S32" i="7"/>
  <c r="R32" i="7"/>
  <c r="U31" i="7"/>
  <c r="T31" i="7"/>
  <c r="S31" i="7"/>
  <c r="R31" i="7"/>
  <c r="U29" i="7"/>
  <c r="T29" i="7"/>
  <c r="S29" i="7"/>
  <c r="R29" i="7"/>
  <c r="U28" i="7"/>
  <c r="T28" i="7"/>
  <c r="S28" i="7"/>
  <c r="R28" i="7"/>
  <c r="U27" i="7"/>
  <c r="T27" i="7"/>
  <c r="S27" i="7"/>
  <c r="R27" i="7"/>
  <c r="U26" i="7"/>
  <c r="T26" i="7"/>
  <c r="S26" i="7"/>
  <c r="R26" i="7"/>
  <c r="U24" i="7"/>
  <c r="T24" i="7"/>
  <c r="S24" i="7"/>
  <c r="R24" i="7"/>
  <c r="U23" i="7"/>
  <c r="T23" i="7"/>
  <c r="S23" i="7"/>
  <c r="R23" i="7"/>
  <c r="U22" i="7"/>
  <c r="T22" i="7"/>
  <c r="S22" i="7"/>
  <c r="R22" i="7"/>
  <c r="U21" i="7"/>
  <c r="T21" i="7"/>
  <c r="S21" i="7"/>
  <c r="R21" i="7"/>
  <c r="O9" i="7"/>
  <c r="P9" i="7" s="1"/>
  <c r="Q9" i="7" s="1"/>
  <c r="K9" i="7"/>
  <c r="B9" i="7"/>
  <c r="C9" i="7" s="1"/>
  <c r="D9" i="7" s="1"/>
  <c r="E9" i="7" s="1"/>
  <c r="F9" i="7" s="1"/>
  <c r="G9" i="7" s="1"/>
  <c r="P9" i="5"/>
  <c r="K9" i="5"/>
  <c r="L9" i="5" s="1"/>
  <c r="B9" i="5"/>
  <c r="C9" i="5" s="1"/>
  <c r="D9" i="5" s="1"/>
  <c r="E9" i="5" s="1"/>
  <c r="F9" i="5" s="1"/>
  <c r="G9" i="5" s="1"/>
  <c r="G10" i="7"/>
  <c r="F10" i="7"/>
  <c r="R19" i="5"/>
  <c r="Q19" i="5"/>
  <c r="P10" i="5"/>
  <c r="R10" i="5" s="1"/>
  <c r="O10" i="5"/>
  <c r="P10" i="4"/>
  <c r="O10" i="4"/>
  <c r="G10" i="4"/>
  <c r="F10" i="4"/>
  <c r="Q10" i="5" l="1"/>
  <c r="AK8" i="3"/>
  <c r="AK94" i="3" s="1"/>
  <c r="B9" i="4"/>
  <c r="C9" i="4" s="1"/>
  <c r="D9" i="4" s="1"/>
  <c r="E9" i="4" s="1"/>
  <c r="F9" i="4" s="1"/>
  <c r="G9" i="4" s="1"/>
  <c r="K9" i="4" s="1"/>
  <c r="L9" i="4" s="1"/>
  <c r="P9" i="4" s="1"/>
  <c r="B7" i="3"/>
  <c r="C7" i="3" s="1"/>
  <c r="D7" i="3" s="1"/>
  <c r="E7" i="3" s="1"/>
  <c r="F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AB7" i="3" s="1"/>
  <c r="AC7" i="3" s="1"/>
  <c r="AD7" i="3" s="1"/>
  <c r="AE7" i="3" s="1"/>
  <c r="AF7" i="3" s="1"/>
  <c r="AG7" i="3" s="1"/>
  <c r="AH7" i="3" s="1"/>
  <c r="AI7" i="3" s="1"/>
  <c r="AJ7" i="3" s="1"/>
  <c r="AL7" i="3" s="1"/>
  <c r="AM7" i="3" s="1"/>
  <c r="AK7" i="3" l="1"/>
  <c r="G6" i="3"/>
  <c r="M55" i="7" l="1"/>
  <c r="L55" i="7"/>
  <c r="M54" i="7"/>
  <c r="L54" i="7"/>
  <c r="M53" i="7"/>
  <c r="L53" i="7"/>
  <c r="M52" i="7"/>
  <c r="L52" i="7"/>
  <c r="Q51" i="7"/>
  <c r="P51" i="7"/>
  <c r="O51" i="7"/>
  <c r="N51" i="7"/>
  <c r="K51" i="7"/>
  <c r="M51" i="7" s="1"/>
  <c r="J51" i="7"/>
  <c r="M50" i="7"/>
  <c r="L50" i="7"/>
  <c r="M49" i="7"/>
  <c r="L49" i="7"/>
  <c r="M48" i="7"/>
  <c r="L48" i="7"/>
  <c r="M47" i="7"/>
  <c r="L47" i="7"/>
  <c r="M46" i="7"/>
  <c r="L46" i="7"/>
  <c r="Q45" i="7"/>
  <c r="P45" i="7"/>
  <c r="O45" i="7"/>
  <c r="N45" i="7"/>
  <c r="M45" i="7"/>
  <c r="K45" i="7"/>
  <c r="J45" i="7"/>
  <c r="M44" i="7"/>
  <c r="L44" i="7"/>
  <c r="M43" i="7"/>
  <c r="L43" i="7"/>
  <c r="M42" i="7"/>
  <c r="L42" i="7"/>
  <c r="M41" i="7"/>
  <c r="L41" i="7"/>
  <c r="Q40" i="7"/>
  <c r="P40" i="7"/>
  <c r="O40" i="7"/>
  <c r="N40" i="7"/>
  <c r="K40" i="7"/>
  <c r="L40" i="7" s="1"/>
  <c r="J40" i="7"/>
  <c r="M39" i="7"/>
  <c r="L39" i="7"/>
  <c r="M38" i="7"/>
  <c r="L38" i="7"/>
  <c r="M37" i="7"/>
  <c r="L37" i="7"/>
  <c r="M36" i="7"/>
  <c r="L36" i="7"/>
  <c r="Q35" i="7"/>
  <c r="P35" i="7"/>
  <c r="O35" i="7"/>
  <c r="N35" i="7"/>
  <c r="L35" i="7"/>
  <c r="K35" i="7"/>
  <c r="J35" i="7"/>
  <c r="M34" i="7"/>
  <c r="L34" i="7"/>
  <c r="M33" i="7"/>
  <c r="L33" i="7"/>
  <c r="M32" i="7"/>
  <c r="L32" i="7"/>
  <c r="M31" i="7"/>
  <c r="L31" i="7"/>
  <c r="Q30" i="7"/>
  <c r="P30" i="7"/>
  <c r="O30" i="7"/>
  <c r="N30" i="7"/>
  <c r="K30" i="7"/>
  <c r="J30" i="7"/>
  <c r="M29" i="7"/>
  <c r="L29" i="7"/>
  <c r="M28" i="7"/>
  <c r="L28" i="7"/>
  <c r="M27" i="7"/>
  <c r="L27" i="7"/>
  <c r="M26" i="7"/>
  <c r="L26" i="7"/>
  <c r="Q25" i="7"/>
  <c r="P25" i="7"/>
  <c r="O25" i="7"/>
  <c r="N25" i="7"/>
  <c r="K25" i="7"/>
  <c r="L25" i="7" s="1"/>
  <c r="J25" i="7"/>
  <c r="M24" i="7"/>
  <c r="L24" i="7"/>
  <c r="M23" i="7"/>
  <c r="L23" i="7"/>
  <c r="M22" i="7"/>
  <c r="L22" i="7"/>
  <c r="M21" i="7"/>
  <c r="L21" i="7"/>
  <c r="Q20" i="7"/>
  <c r="P20" i="7"/>
  <c r="P19" i="7" s="1"/>
  <c r="O20" i="7"/>
  <c r="N20" i="7"/>
  <c r="K20" i="7"/>
  <c r="K19" i="7" s="1"/>
  <c r="J20" i="7"/>
  <c r="L20" i="7" s="1"/>
  <c r="D20" i="7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C20" i="7"/>
  <c r="C21" i="7" s="1"/>
  <c r="C22" i="7" s="1"/>
  <c r="C23" i="7" s="1"/>
  <c r="C24" i="7" s="1"/>
  <c r="C25" i="7" s="1"/>
  <c r="B20" i="7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H19" i="7"/>
  <c r="I19" i="7"/>
  <c r="C11" i="7"/>
  <c r="J11" i="7" s="1"/>
  <c r="H10" i="7"/>
  <c r="I10" i="7"/>
  <c r="N55" i="5"/>
  <c r="M55" i="5"/>
  <c r="N54" i="5"/>
  <c r="M54" i="5"/>
  <c r="N53" i="5"/>
  <c r="M53" i="5"/>
  <c r="N52" i="5"/>
  <c r="M52" i="5"/>
  <c r="M51" i="5"/>
  <c r="K51" i="5"/>
  <c r="N51" i="5" s="1"/>
  <c r="J51" i="5"/>
  <c r="N50" i="5"/>
  <c r="M50" i="5"/>
  <c r="N49" i="5"/>
  <c r="M49" i="5"/>
  <c r="N48" i="5"/>
  <c r="M48" i="5"/>
  <c r="N47" i="5"/>
  <c r="M47" i="5"/>
  <c r="N46" i="5"/>
  <c r="M46" i="5"/>
  <c r="K45" i="5"/>
  <c r="J45" i="5"/>
  <c r="M45" i="5" s="1"/>
  <c r="N44" i="5"/>
  <c r="M44" i="5"/>
  <c r="N43" i="5"/>
  <c r="M43" i="5"/>
  <c r="N42" i="5"/>
  <c r="M42" i="5"/>
  <c r="N41" i="5"/>
  <c r="M41" i="5"/>
  <c r="K40" i="5"/>
  <c r="N40" i="5" s="1"/>
  <c r="J40" i="5"/>
  <c r="N39" i="5"/>
  <c r="M39" i="5"/>
  <c r="N38" i="5"/>
  <c r="M38" i="5"/>
  <c r="N37" i="5"/>
  <c r="M37" i="5"/>
  <c r="N36" i="5"/>
  <c r="M36" i="5"/>
  <c r="K35" i="5"/>
  <c r="J35" i="5"/>
  <c r="N34" i="5"/>
  <c r="M34" i="5"/>
  <c r="N33" i="5"/>
  <c r="M33" i="5"/>
  <c r="N32" i="5"/>
  <c r="M32" i="5"/>
  <c r="N31" i="5"/>
  <c r="M31" i="5"/>
  <c r="N30" i="5"/>
  <c r="K30" i="5"/>
  <c r="J30" i="5"/>
  <c r="N29" i="5"/>
  <c r="M29" i="5"/>
  <c r="N28" i="5"/>
  <c r="M28" i="5"/>
  <c r="N27" i="5"/>
  <c r="M27" i="5"/>
  <c r="N26" i="5"/>
  <c r="M26" i="5"/>
  <c r="M25" i="5"/>
  <c r="K25" i="5"/>
  <c r="N25" i="5" s="1"/>
  <c r="J25" i="5"/>
  <c r="N24" i="5"/>
  <c r="M24" i="5"/>
  <c r="N23" i="5"/>
  <c r="M23" i="5"/>
  <c r="N22" i="5"/>
  <c r="M22" i="5"/>
  <c r="N21" i="5"/>
  <c r="M21" i="5"/>
  <c r="N20" i="5"/>
  <c r="K20" i="5"/>
  <c r="J20" i="5"/>
  <c r="M20" i="5" s="1"/>
  <c r="D20" i="5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C20" i="5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B20" i="5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I19" i="5"/>
  <c r="H19" i="5"/>
  <c r="C11" i="5"/>
  <c r="C12" i="5" s="1"/>
  <c r="G10" i="5"/>
  <c r="F10" i="5"/>
  <c r="N102" i="4"/>
  <c r="M102" i="4"/>
  <c r="N101" i="4"/>
  <c r="M101" i="4"/>
  <c r="N99" i="4"/>
  <c r="M99" i="4"/>
  <c r="N98" i="4"/>
  <c r="M98" i="4"/>
  <c r="K97" i="4"/>
  <c r="F15" i="10" s="1"/>
  <c r="X15" i="10" s="1"/>
  <c r="J97" i="4"/>
  <c r="E15" i="10" s="1"/>
  <c r="W15" i="10" s="1"/>
  <c r="N96" i="4"/>
  <c r="N95" i="4"/>
  <c r="M95" i="4"/>
  <c r="N93" i="4"/>
  <c r="M93" i="4"/>
  <c r="N92" i="4"/>
  <c r="M92" i="4"/>
  <c r="N91" i="4"/>
  <c r="M91" i="4"/>
  <c r="K90" i="4"/>
  <c r="F13" i="10" s="1"/>
  <c r="X13" i="10" s="1"/>
  <c r="J90" i="4"/>
  <c r="E13" i="10" s="1"/>
  <c r="W13" i="10" s="1"/>
  <c r="N89" i="4"/>
  <c r="M89" i="4"/>
  <c r="N73" i="4"/>
  <c r="M73" i="4"/>
  <c r="N72" i="4"/>
  <c r="M72" i="4"/>
  <c r="N71" i="4"/>
  <c r="M71" i="4"/>
  <c r="N64" i="4"/>
  <c r="M64" i="4"/>
  <c r="N63" i="4"/>
  <c r="M63" i="4"/>
  <c r="N62" i="4"/>
  <c r="M62" i="4"/>
  <c r="N60" i="4"/>
  <c r="M60" i="4"/>
  <c r="N58" i="4"/>
  <c r="M58" i="4"/>
  <c r="N57" i="4"/>
  <c r="M57" i="4"/>
  <c r="N56" i="4"/>
  <c r="M56" i="4"/>
  <c r="K55" i="4"/>
  <c r="J55" i="4"/>
  <c r="N54" i="4"/>
  <c r="M54" i="4"/>
  <c r="N52" i="4"/>
  <c r="M52" i="4"/>
  <c r="N51" i="4"/>
  <c r="M51" i="4"/>
  <c r="N50" i="4"/>
  <c r="M50" i="4"/>
  <c r="F10" i="10"/>
  <c r="X10" i="10" s="1"/>
  <c r="E10" i="10"/>
  <c r="W10" i="10" s="1"/>
  <c r="N48" i="4"/>
  <c r="M48" i="4"/>
  <c r="D20" i="4"/>
  <c r="D21" i="4" s="1"/>
  <c r="D22" i="4" s="1"/>
  <c r="D23" i="4" s="1"/>
  <c r="C20" i="4"/>
  <c r="C21" i="4" s="1"/>
  <c r="C22" i="4" s="1"/>
  <c r="C23" i="4" s="1"/>
  <c r="I19" i="4"/>
  <c r="C11" i="4"/>
  <c r="I10" i="4"/>
  <c r="G19" i="3"/>
  <c r="H19" i="3" s="1"/>
  <c r="G18" i="3"/>
  <c r="H18" i="3" s="1"/>
  <c r="G17" i="3"/>
  <c r="H17" i="3" s="1"/>
  <c r="G16" i="3"/>
  <c r="H16" i="3" s="1"/>
  <c r="G15" i="3"/>
  <c r="H15" i="3" s="1"/>
  <c r="G14" i="3"/>
  <c r="H14" i="3" s="1"/>
  <c r="G13" i="3"/>
  <c r="H13" i="3" s="1"/>
  <c r="G12" i="3"/>
  <c r="H12" i="3" s="1"/>
  <c r="G11" i="3"/>
  <c r="H11" i="3" s="1"/>
  <c r="G10" i="3"/>
  <c r="H10" i="3" s="1"/>
  <c r="H9" i="3"/>
  <c r="AM8" i="3"/>
  <c r="AM94" i="3" s="1"/>
  <c r="AL8" i="3"/>
  <c r="AL94" i="3" s="1"/>
  <c r="AJ8" i="3"/>
  <c r="AJ94" i="3" s="1"/>
  <c r="AI8" i="3"/>
  <c r="AI94" i="3" s="1"/>
  <c r="AH8" i="3"/>
  <c r="AH94" i="3" s="1"/>
  <c r="AG8" i="3"/>
  <c r="AG94" i="3" s="1"/>
  <c r="AF8" i="3"/>
  <c r="AF94" i="3" s="1"/>
  <c r="AE8" i="3"/>
  <c r="AE94" i="3" s="1"/>
  <c r="AD8" i="3"/>
  <c r="AD94" i="3" s="1"/>
  <c r="AC8" i="3"/>
  <c r="AC94" i="3" s="1"/>
  <c r="AB8" i="3"/>
  <c r="AB94" i="3" s="1"/>
  <c r="AA8" i="3"/>
  <c r="AA94" i="3" s="1"/>
  <c r="Z8" i="3"/>
  <c r="Z94" i="3" s="1"/>
  <c r="Y8" i="3"/>
  <c r="Y94" i="3" s="1"/>
  <c r="X8" i="3"/>
  <c r="X94" i="3" s="1"/>
  <c r="W8" i="3"/>
  <c r="W94" i="3" s="1"/>
  <c r="V8" i="3"/>
  <c r="V94" i="3" s="1"/>
  <c r="U8" i="3"/>
  <c r="U94" i="3" s="1"/>
  <c r="T8" i="3"/>
  <c r="T94" i="3" s="1"/>
  <c r="S8" i="3"/>
  <c r="S94" i="3" s="1"/>
  <c r="R8" i="3"/>
  <c r="R94" i="3" s="1"/>
  <c r="Q8" i="3"/>
  <c r="Q94" i="3" s="1"/>
  <c r="P8" i="3"/>
  <c r="P94" i="3" s="1"/>
  <c r="O8" i="3"/>
  <c r="O94" i="3" s="1"/>
  <c r="N8" i="3"/>
  <c r="N94" i="3" s="1"/>
  <c r="M8" i="3"/>
  <c r="M94" i="3" s="1"/>
  <c r="L8" i="3"/>
  <c r="L94" i="3" s="1"/>
  <c r="K8" i="3"/>
  <c r="K94" i="3" s="1"/>
  <c r="J8" i="3"/>
  <c r="J94" i="3" s="1"/>
  <c r="I8" i="3"/>
  <c r="I94" i="3" s="1"/>
  <c r="F8" i="3"/>
  <c r="F94" i="3" s="1"/>
  <c r="E8" i="3"/>
  <c r="E94" i="3" s="1"/>
  <c r="F1" i="3"/>
  <c r="A2" i="3" s="1"/>
  <c r="E1" i="3"/>
  <c r="W8" i="10" l="1"/>
  <c r="Y13" i="10"/>
  <c r="Z13" i="10" s="1"/>
  <c r="Y15" i="10"/>
  <c r="Z15" i="10" s="1"/>
  <c r="Y10" i="10"/>
  <c r="Z10" i="10" s="1"/>
  <c r="G13" i="10"/>
  <c r="H13" i="10" s="1"/>
  <c r="G15" i="10"/>
  <c r="H15" i="10" s="1"/>
  <c r="E8" i="10"/>
  <c r="G10" i="10"/>
  <c r="H10" i="10" s="1"/>
  <c r="D26" i="4"/>
  <c r="D24" i="4"/>
  <c r="C26" i="4"/>
  <c r="C24" i="4"/>
  <c r="J19" i="4"/>
  <c r="N49" i="4"/>
  <c r="N90" i="4"/>
  <c r="N97" i="4"/>
  <c r="S30" i="7"/>
  <c r="R30" i="7"/>
  <c r="U40" i="7"/>
  <c r="T40" i="7"/>
  <c r="M90" i="4"/>
  <c r="I10" i="5"/>
  <c r="N19" i="7"/>
  <c r="U35" i="7"/>
  <c r="T35" i="7"/>
  <c r="N55" i="4"/>
  <c r="J19" i="5"/>
  <c r="N45" i="5"/>
  <c r="M20" i="7"/>
  <c r="S25" i="7"/>
  <c r="R25" i="7"/>
  <c r="U30" i="7"/>
  <c r="T30" i="7"/>
  <c r="L45" i="7"/>
  <c r="K11" i="5"/>
  <c r="S20" i="7"/>
  <c r="R20" i="7"/>
  <c r="U25" i="7"/>
  <c r="T25" i="7"/>
  <c r="M35" i="7"/>
  <c r="M40" i="7"/>
  <c r="S45" i="7"/>
  <c r="R45" i="7"/>
  <c r="S51" i="7"/>
  <c r="R51" i="7"/>
  <c r="M97" i="4"/>
  <c r="N35" i="5"/>
  <c r="Q19" i="7"/>
  <c r="U20" i="7"/>
  <c r="T20" i="7"/>
  <c r="M30" i="7"/>
  <c r="S40" i="7"/>
  <c r="R40" i="7"/>
  <c r="K11" i="4"/>
  <c r="S35" i="7"/>
  <c r="R35" i="7"/>
  <c r="U45" i="7"/>
  <c r="T45" i="7"/>
  <c r="U51" i="7"/>
  <c r="T51" i="7"/>
  <c r="M30" i="5"/>
  <c r="J19" i="7"/>
  <c r="L19" i="7" s="1"/>
  <c r="N11" i="7"/>
  <c r="O11" i="7"/>
  <c r="C12" i="7"/>
  <c r="Q12" i="7" s="1"/>
  <c r="K11" i="7"/>
  <c r="M11" i="7" s="1"/>
  <c r="C26" i="7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J12" i="7"/>
  <c r="P11" i="7"/>
  <c r="K12" i="7"/>
  <c r="Q11" i="7"/>
  <c r="L51" i="7"/>
  <c r="O19" i="7"/>
  <c r="M25" i="7"/>
  <c r="N12" i="7"/>
  <c r="C13" i="7"/>
  <c r="O12" i="7"/>
  <c r="L30" i="7"/>
  <c r="P12" i="7"/>
  <c r="J12" i="5"/>
  <c r="K12" i="5"/>
  <c r="C13" i="5"/>
  <c r="K19" i="5"/>
  <c r="M40" i="5"/>
  <c r="M35" i="5"/>
  <c r="H10" i="5"/>
  <c r="J11" i="5"/>
  <c r="R19" i="4"/>
  <c r="Q19" i="4"/>
  <c r="M55" i="4"/>
  <c r="H10" i="4"/>
  <c r="J11" i="4"/>
  <c r="C12" i="4"/>
  <c r="R2" i="8"/>
  <c r="G1" i="3"/>
  <c r="F6" i="3" s="1"/>
  <c r="G8" i="3"/>
  <c r="G94" i="3" s="1"/>
  <c r="H94" i="3" s="1"/>
  <c r="C25" i="4" l="1"/>
  <c r="C28" i="4" s="1"/>
  <c r="C31" i="4" s="1"/>
  <c r="C34" i="4" s="1"/>
  <c r="C37" i="4" s="1"/>
  <c r="C40" i="4" s="1"/>
  <c r="C43" i="4" s="1"/>
  <c r="C46" i="4" s="1"/>
  <c r="C27" i="4"/>
  <c r="C30" i="4" s="1"/>
  <c r="C33" i="4" s="1"/>
  <c r="C36" i="4" s="1"/>
  <c r="C39" i="4" s="1"/>
  <c r="C42" i="4" s="1"/>
  <c r="C45" i="4" s="1"/>
  <c r="C48" i="4" s="1"/>
  <c r="C49" i="4" s="1"/>
  <c r="C29" i="4"/>
  <c r="C32" i="4" s="1"/>
  <c r="C35" i="4" s="1"/>
  <c r="C38" i="4" s="1"/>
  <c r="C41" i="4" s="1"/>
  <c r="C44" i="4" s="1"/>
  <c r="C47" i="4" s="1"/>
  <c r="D25" i="4"/>
  <c r="D28" i="4" s="1"/>
  <c r="D31" i="4" s="1"/>
  <c r="D34" i="4" s="1"/>
  <c r="D37" i="4" s="1"/>
  <c r="D40" i="4" s="1"/>
  <c r="D43" i="4" s="1"/>
  <c r="D46" i="4" s="1"/>
  <c r="D27" i="4"/>
  <c r="D30" i="4" s="1"/>
  <c r="D33" i="4" s="1"/>
  <c r="D36" i="4" s="1"/>
  <c r="D39" i="4" s="1"/>
  <c r="D42" i="4" s="1"/>
  <c r="D45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29" i="4"/>
  <c r="D32" i="4" s="1"/>
  <c r="D35" i="4" s="1"/>
  <c r="D38" i="4" s="1"/>
  <c r="D41" i="4" s="1"/>
  <c r="D44" i="4" s="1"/>
  <c r="D47" i="4" s="1"/>
  <c r="L11" i="7"/>
  <c r="U19" i="7"/>
  <c r="T19" i="7"/>
  <c r="S12" i="7"/>
  <c r="R12" i="7"/>
  <c r="S19" i="7"/>
  <c r="R19" i="7"/>
  <c r="U12" i="7"/>
  <c r="T12" i="7"/>
  <c r="U11" i="7"/>
  <c r="T11" i="7"/>
  <c r="S11" i="7"/>
  <c r="R11" i="7"/>
  <c r="N11" i="5"/>
  <c r="M19" i="7"/>
  <c r="M12" i="7"/>
  <c r="L12" i="7"/>
  <c r="K13" i="7"/>
  <c r="J13" i="7"/>
  <c r="Q13" i="7"/>
  <c r="P13" i="7"/>
  <c r="O13" i="7"/>
  <c r="C14" i="7"/>
  <c r="N13" i="7"/>
  <c r="K13" i="5"/>
  <c r="C14" i="5"/>
  <c r="J13" i="5"/>
  <c r="N19" i="5"/>
  <c r="M19" i="5"/>
  <c r="N12" i="5"/>
  <c r="M12" i="5"/>
  <c r="M11" i="5"/>
  <c r="C13" i="4"/>
  <c r="N11" i="4"/>
  <c r="M11" i="4"/>
  <c r="H8" i="3"/>
  <c r="C50" i="4" l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K12" i="4"/>
  <c r="J12" i="4"/>
  <c r="D66" i="4"/>
  <c r="D67" i="4" s="1"/>
  <c r="D68" i="4" s="1"/>
  <c r="D69" i="4" s="1"/>
  <c r="D70" i="4" s="1"/>
  <c r="D71" i="4" s="1"/>
  <c r="D72" i="4" s="1"/>
  <c r="D73" i="4" s="1"/>
  <c r="D74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U13" i="7"/>
  <c r="T13" i="7"/>
  <c r="S13" i="7"/>
  <c r="R13" i="7"/>
  <c r="L13" i="7"/>
  <c r="M13" i="7"/>
  <c r="O14" i="7"/>
  <c r="C15" i="7"/>
  <c r="N14" i="7"/>
  <c r="K14" i="7"/>
  <c r="J14" i="7"/>
  <c r="P14" i="7"/>
  <c r="Q14" i="7"/>
  <c r="N13" i="5"/>
  <c r="M13" i="5"/>
  <c r="K14" i="5"/>
  <c r="C15" i="5"/>
  <c r="J14" i="5"/>
  <c r="C14" i="4"/>
  <c r="J13" i="4"/>
  <c r="K13" i="4"/>
  <c r="M12" i="4" l="1"/>
  <c r="N12" i="4"/>
  <c r="C66" i="4"/>
  <c r="C67" i="4" s="1"/>
  <c r="C68" i="4" s="1"/>
  <c r="C69" i="4" s="1"/>
  <c r="C70" i="4" s="1"/>
  <c r="C71" i="4" s="1"/>
  <c r="C72" i="4" s="1"/>
  <c r="C73" i="4" s="1"/>
  <c r="C74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S14" i="7"/>
  <c r="R14" i="7"/>
  <c r="U14" i="7"/>
  <c r="T14" i="7"/>
  <c r="M14" i="7"/>
  <c r="L14" i="7"/>
  <c r="J15" i="7"/>
  <c r="Q15" i="7"/>
  <c r="P15" i="7"/>
  <c r="O15" i="7"/>
  <c r="K15" i="7"/>
  <c r="C16" i="7"/>
  <c r="N15" i="7"/>
  <c r="N14" i="5"/>
  <c r="M14" i="5"/>
  <c r="K15" i="5"/>
  <c r="C16" i="5"/>
  <c r="J15" i="5"/>
  <c r="C15" i="4"/>
  <c r="J14" i="4"/>
  <c r="K14" i="4"/>
  <c r="M13" i="4"/>
  <c r="N13" i="4"/>
  <c r="S15" i="7" l="1"/>
  <c r="R15" i="7"/>
  <c r="U15" i="7"/>
  <c r="T15" i="7"/>
  <c r="K16" i="7"/>
  <c r="J16" i="7"/>
  <c r="Q16" i="7"/>
  <c r="C17" i="7"/>
  <c r="P16" i="7"/>
  <c r="O16" i="7"/>
  <c r="N16" i="7"/>
  <c r="M15" i="7"/>
  <c r="L15" i="7"/>
  <c r="K16" i="5"/>
  <c r="C17" i="5"/>
  <c r="J16" i="5"/>
  <c r="N15" i="5"/>
  <c r="M15" i="5"/>
  <c r="J15" i="4"/>
  <c r="K15" i="4"/>
  <c r="C16" i="4"/>
  <c r="N14" i="4"/>
  <c r="M14" i="4"/>
  <c r="S16" i="7" l="1"/>
  <c r="R16" i="7"/>
  <c r="U16" i="7"/>
  <c r="T16" i="7"/>
  <c r="P17" i="7"/>
  <c r="O17" i="7"/>
  <c r="C18" i="7"/>
  <c r="N17" i="7"/>
  <c r="K17" i="7"/>
  <c r="Q17" i="7"/>
  <c r="J17" i="7"/>
  <c r="M16" i="7"/>
  <c r="L16" i="7"/>
  <c r="K17" i="5"/>
  <c r="C18" i="5"/>
  <c r="J17" i="5"/>
  <c r="N16" i="5"/>
  <c r="M16" i="5"/>
  <c r="J16" i="4"/>
  <c r="K16" i="4"/>
  <c r="C17" i="4"/>
  <c r="N15" i="4"/>
  <c r="M15" i="4"/>
  <c r="U17" i="7" l="1"/>
  <c r="T17" i="7"/>
  <c r="S17" i="7"/>
  <c r="R17" i="7"/>
  <c r="M17" i="7"/>
  <c r="L17" i="7"/>
  <c r="K18" i="7"/>
  <c r="J18" i="7"/>
  <c r="J10" i="7" s="1"/>
  <c r="Q18" i="7"/>
  <c r="P18" i="7"/>
  <c r="O18" i="7"/>
  <c r="N18" i="7"/>
  <c r="N10" i="7" s="1"/>
  <c r="K18" i="5"/>
  <c r="J18" i="5"/>
  <c r="J10" i="5" s="1"/>
  <c r="M17" i="5"/>
  <c r="N17" i="5"/>
  <c r="C18" i="4"/>
  <c r="K17" i="4"/>
  <c r="J17" i="4"/>
  <c r="N16" i="4"/>
  <c r="M16" i="4"/>
  <c r="O10" i="7" l="1"/>
  <c r="S18" i="7"/>
  <c r="R18" i="7"/>
  <c r="U18" i="7"/>
  <c r="T18" i="7"/>
  <c r="Q10" i="7"/>
  <c r="M18" i="7"/>
  <c r="L18" i="7"/>
  <c r="K10" i="7"/>
  <c r="P10" i="7"/>
  <c r="N18" i="5"/>
  <c r="M18" i="5"/>
  <c r="K10" i="5"/>
  <c r="N17" i="4"/>
  <c r="M17" i="4"/>
  <c r="K18" i="4"/>
  <c r="J18" i="4"/>
  <c r="J10" i="4" s="1"/>
  <c r="U10" i="7" l="1"/>
  <c r="T10" i="7"/>
  <c r="S10" i="7"/>
  <c r="R10" i="7"/>
  <c r="L10" i="7"/>
  <c r="M10" i="7"/>
  <c r="M10" i="5"/>
  <c r="N10" i="5"/>
  <c r="N18" i="4"/>
  <c r="M18" i="4"/>
  <c r="K10" i="4"/>
  <c r="Q10" i="4" l="1"/>
  <c r="R10" i="4"/>
  <c r="N10" i="4"/>
  <c r="M10" i="4"/>
  <c r="J95" i="9" l="1"/>
  <c r="L98" i="9" l="1"/>
  <c r="M98" i="9" s="1"/>
  <c r="J96" i="9"/>
  <c r="M4" i="9"/>
  <c r="R29" i="8" l="1"/>
  <c r="R28" i="8" s="1"/>
  <c r="Q28" i="8"/>
  <c r="K69" i="4" l="1"/>
  <c r="N69" i="4" s="1"/>
  <c r="W45" i="8"/>
  <c r="M69" i="4" l="1"/>
  <c r="L36" i="9" l="1"/>
  <c r="M36" i="9" s="1"/>
  <c r="Q36" i="9"/>
  <c r="L19" i="9" l="1"/>
  <c r="M19" i="9" s="1"/>
  <c r="K33" i="4"/>
  <c r="L79" i="9"/>
  <c r="M79" i="9" s="1"/>
  <c r="K46" i="4"/>
  <c r="L76" i="9"/>
  <c r="M76" i="9" s="1"/>
  <c r="K43" i="4"/>
  <c r="L14" i="9"/>
  <c r="M14" i="9" s="1"/>
  <c r="L6" i="9"/>
  <c r="M6" i="9" s="1"/>
  <c r="L91" i="9"/>
  <c r="M91" i="9" s="1"/>
  <c r="K87" i="4"/>
  <c r="K34" i="4"/>
  <c r="L51" i="9"/>
  <c r="M51" i="9" s="1"/>
  <c r="K38" i="4"/>
  <c r="L64" i="9"/>
  <c r="M64" i="9" s="1"/>
  <c r="K39" i="4"/>
  <c r="L65" i="9"/>
  <c r="M65" i="9" s="1"/>
  <c r="K79" i="4"/>
  <c r="L25" i="9"/>
  <c r="M25" i="9" s="1"/>
  <c r="K30" i="4"/>
  <c r="L11" i="9"/>
  <c r="M11" i="9" s="1"/>
  <c r="K83" i="4"/>
  <c r="L45" i="9"/>
  <c r="M45" i="9" s="1"/>
  <c r="K36" i="4"/>
  <c r="L57" i="9"/>
  <c r="M57" i="9" s="1"/>
  <c r="K78" i="4"/>
  <c r="L24" i="9"/>
  <c r="M24" i="9" s="1"/>
  <c r="K81" i="4"/>
  <c r="L27" i="9"/>
  <c r="M27" i="9" s="1"/>
  <c r="K32" i="4"/>
  <c r="L13" i="9"/>
  <c r="M13" i="9" s="1"/>
  <c r="L94" i="9"/>
  <c r="M94" i="9" s="1"/>
  <c r="K88" i="4"/>
  <c r="K66" i="4"/>
  <c r="L31" i="9"/>
  <c r="M31" i="9" s="1"/>
  <c r="L77" i="9"/>
  <c r="M77" i="9" s="1"/>
  <c r="K44" i="4"/>
  <c r="L80" i="9"/>
  <c r="M80" i="9" s="1"/>
  <c r="K85" i="4"/>
  <c r="K31" i="4"/>
  <c r="L12" i="9"/>
  <c r="M12" i="9" s="1"/>
  <c r="K77" i="4"/>
  <c r="L28" i="9"/>
  <c r="M28" i="9" s="1"/>
  <c r="K28" i="4"/>
  <c r="M9" i="9"/>
  <c r="K67" i="4"/>
  <c r="L69" i="9"/>
  <c r="M69" i="9" s="1"/>
  <c r="L81" i="9"/>
  <c r="M81" i="9" s="1"/>
  <c r="K47" i="4"/>
  <c r="L78" i="9"/>
  <c r="M78" i="9" s="1"/>
  <c r="K45" i="4"/>
  <c r="K27" i="4"/>
  <c r="M8" i="9"/>
  <c r="K40" i="4"/>
  <c r="L66" i="9"/>
  <c r="M66" i="9" s="1"/>
  <c r="K37" i="4"/>
  <c r="L60" i="9"/>
  <c r="M60" i="9" s="1"/>
  <c r="L86" i="9"/>
  <c r="M86" i="9" s="1"/>
  <c r="K86" i="4"/>
  <c r="K35" i="4"/>
  <c r="L54" i="9"/>
  <c r="M54" i="9" s="1"/>
  <c r="L20" i="9"/>
  <c r="M20" i="9" s="1"/>
  <c r="K75" i="4"/>
  <c r="K29" i="4"/>
  <c r="L10" i="9"/>
  <c r="M10" i="9" s="1"/>
  <c r="K104" i="9"/>
  <c r="K97" i="9" s="1"/>
  <c r="V26" i="8" s="1"/>
  <c r="M7" i="9"/>
  <c r="K82" i="4"/>
  <c r="L42" i="9"/>
  <c r="M42" i="9" s="1"/>
  <c r="K84" i="4"/>
  <c r="L63" i="9"/>
  <c r="M63" i="9" s="1"/>
  <c r="L23" i="9"/>
  <c r="M23" i="9" s="1"/>
  <c r="K76" i="4"/>
  <c r="L75" i="9"/>
  <c r="M75" i="9" s="1"/>
  <c r="K42" i="4"/>
  <c r="K80" i="4"/>
  <c r="L26" i="9"/>
  <c r="M26" i="9" s="1"/>
  <c r="M87" i="4" l="1"/>
  <c r="N87" i="4"/>
  <c r="N80" i="4"/>
  <c r="M80" i="4"/>
  <c r="F26" i="10"/>
  <c r="M37" i="4"/>
  <c r="N37" i="4"/>
  <c r="N27" i="4"/>
  <c r="M27" i="4"/>
  <c r="M47" i="4"/>
  <c r="N47" i="4"/>
  <c r="N44" i="4"/>
  <c r="M44" i="4"/>
  <c r="M88" i="4"/>
  <c r="N88" i="4"/>
  <c r="M32" i="4"/>
  <c r="N32" i="4"/>
  <c r="F29" i="10"/>
  <c r="M78" i="4"/>
  <c r="N78" i="4"/>
  <c r="N83" i="4"/>
  <c r="M83" i="4"/>
  <c r="F30" i="10"/>
  <c r="N79" i="4"/>
  <c r="M79" i="4"/>
  <c r="M38" i="4"/>
  <c r="N38" i="4"/>
  <c r="V21" i="8"/>
  <c r="K21" i="4"/>
  <c r="Q21" i="8"/>
  <c r="R21" i="8" s="1"/>
  <c r="L101" i="9"/>
  <c r="M101" i="9" s="1"/>
  <c r="L74" i="9"/>
  <c r="M74" i="9" s="1"/>
  <c r="K41" i="4"/>
  <c r="M76" i="4"/>
  <c r="N76" i="4"/>
  <c r="N46" i="4"/>
  <c r="M46" i="4"/>
  <c r="F31" i="10"/>
  <c r="M82" i="4"/>
  <c r="N82" i="4"/>
  <c r="F22" i="10"/>
  <c r="N29" i="4"/>
  <c r="M29" i="4"/>
  <c r="M42" i="4"/>
  <c r="N42" i="4"/>
  <c r="N75" i="4"/>
  <c r="M75" i="4"/>
  <c r="N86" i="4"/>
  <c r="M86" i="4"/>
  <c r="F27" i="10"/>
  <c r="N45" i="4"/>
  <c r="M45" i="4"/>
  <c r="M28" i="4"/>
  <c r="N28" i="4"/>
  <c r="M31" i="4"/>
  <c r="N31" i="4"/>
  <c r="V46" i="8"/>
  <c r="L100" i="9"/>
  <c r="M100" i="9" s="1"/>
  <c r="Q50" i="8"/>
  <c r="M43" i="4"/>
  <c r="N43" i="4"/>
  <c r="M33" i="4"/>
  <c r="N33" i="4"/>
  <c r="L39" i="9"/>
  <c r="M39" i="9" s="1"/>
  <c r="N67" i="4"/>
  <c r="M67" i="4"/>
  <c r="M77" i="4"/>
  <c r="N77" i="4"/>
  <c r="M66" i="4"/>
  <c r="N66" i="4"/>
  <c r="N35" i="4"/>
  <c r="M35" i="4"/>
  <c r="L90" i="9"/>
  <c r="M90" i="9" s="1"/>
  <c r="K68" i="4"/>
  <c r="F32" i="10"/>
  <c r="M84" i="4"/>
  <c r="N84" i="4"/>
  <c r="V24" i="8"/>
  <c r="W24" i="8" s="1"/>
  <c r="K24" i="4"/>
  <c r="Q24" i="8"/>
  <c r="R24" i="8" s="1"/>
  <c r="L104" i="9"/>
  <c r="M104" i="9" s="1"/>
  <c r="N40" i="4"/>
  <c r="M40" i="4"/>
  <c r="N85" i="4"/>
  <c r="M85" i="4"/>
  <c r="M81" i="4"/>
  <c r="N81" i="4"/>
  <c r="F24" i="10"/>
  <c r="M36" i="4"/>
  <c r="N36" i="4"/>
  <c r="F23" i="10"/>
  <c r="M30" i="4"/>
  <c r="N30" i="4"/>
  <c r="N39" i="4"/>
  <c r="M39" i="4"/>
  <c r="F25" i="10"/>
  <c r="N34" i="4"/>
  <c r="M34" i="4"/>
  <c r="V22" i="8"/>
  <c r="W22" i="8" s="1"/>
  <c r="K22" i="4"/>
  <c r="Q22" i="8"/>
  <c r="R22" i="8" s="1"/>
  <c r="L102" i="9"/>
  <c r="M102" i="9" s="1"/>
  <c r="M21" i="4" l="1"/>
  <c r="N68" i="4"/>
  <c r="M68" i="4"/>
  <c r="K74" i="4"/>
  <c r="F28" i="10" s="1"/>
  <c r="W50" i="8"/>
  <c r="W46" i="8" s="1"/>
  <c r="V15" i="8"/>
  <c r="U22" i="10"/>
  <c r="V22" i="10" s="1"/>
  <c r="W22" i="10" s="1"/>
  <c r="G22" i="10"/>
  <c r="H22" i="10" s="1"/>
  <c r="N21" i="4"/>
  <c r="U26" i="10"/>
  <c r="V26" i="10" s="1"/>
  <c r="W26" i="10" s="1"/>
  <c r="G26" i="10"/>
  <c r="H26" i="10" s="1"/>
  <c r="V25" i="8"/>
  <c r="W25" i="8" s="1"/>
  <c r="K25" i="4"/>
  <c r="L105" i="9"/>
  <c r="M105" i="9" s="1"/>
  <c r="Q25" i="8"/>
  <c r="R25" i="8" s="1"/>
  <c r="W21" i="8"/>
  <c r="M22" i="4"/>
  <c r="N22" i="4"/>
  <c r="U25" i="10"/>
  <c r="V25" i="10" s="1"/>
  <c r="W25" i="10" s="1"/>
  <c r="G25" i="10"/>
  <c r="H25" i="10" s="1"/>
  <c r="U24" i="10"/>
  <c r="V24" i="10" s="1"/>
  <c r="W24" i="10" s="1"/>
  <c r="G24" i="10"/>
  <c r="H24" i="10" s="1"/>
  <c r="R50" i="8"/>
  <c r="R46" i="8" s="1"/>
  <c r="U30" i="10"/>
  <c r="V30" i="10" s="1"/>
  <c r="W30" i="10" s="1"/>
  <c r="G30" i="10"/>
  <c r="H30" i="10" s="1"/>
  <c r="N41" i="4"/>
  <c r="M41" i="4"/>
  <c r="V44" i="8"/>
  <c r="Q44" i="8"/>
  <c r="R44" i="8" s="1"/>
  <c r="R40" i="8" s="1"/>
  <c r="L99" i="9"/>
  <c r="M99" i="9" s="1"/>
  <c r="U23" i="10"/>
  <c r="V23" i="10" s="1"/>
  <c r="W23" i="10" s="1"/>
  <c r="G23" i="10"/>
  <c r="H23" i="10" s="1"/>
  <c r="F21" i="10"/>
  <c r="M24" i="4"/>
  <c r="N24" i="4"/>
  <c r="U32" i="10"/>
  <c r="V32" i="10" s="1"/>
  <c r="W32" i="10" s="1"/>
  <c r="G32" i="10"/>
  <c r="H32" i="10" s="1"/>
  <c r="U27" i="10"/>
  <c r="V27" i="10" s="1"/>
  <c r="W27" i="10" s="1"/>
  <c r="G27" i="10"/>
  <c r="H27" i="10" s="1"/>
  <c r="U31" i="10"/>
  <c r="V31" i="10" s="1"/>
  <c r="W31" i="10" s="1"/>
  <c r="G31" i="10"/>
  <c r="H31" i="10" s="1"/>
  <c r="U29" i="10"/>
  <c r="V29" i="10" s="1"/>
  <c r="W29" i="10" s="1"/>
  <c r="G29" i="10"/>
  <c r="H29" i="10" s="1"/>
  <c r="V40" i="8" l="1"/>
  <c r="V14" i="8" s="1"/>
  <c r="K65" i="4"/>
  <c r="W44" i="8"/>
  <c r="W40" i="8" s="1"/>
  <c r="K70" i="4"/>
  <c r="N74" i="4"/>
  <c r="M74" i="4"/>
  <c r="U28" i="10"/>
  <c r="V28" i="10" s="1"/>
  <c r="W28" i="10" s="1"/>
  <c r="G28" i="10"/>
  <c r="H28" i="10" s="1"/>
  <c r="U21" i="10"/>
  <c r="V21" i="10" s="1"/>
  <c r="W21" i="10" s="1"/>
  <c r="G21" i="10"/>
  <c r="H21" i="10" s="1"/>
  <c r="N25" i="4"/>
  <c r="M25" i="4"/>
  <c r="F12" i="10" l="1"/>
  <c r="M70" i="4"/>
  <c r="N70" i="4"/>
  <c r="M65" i="4"/>
  <c r="N65" i="4"/>
  <c r="K61" i="4"/>
  <c r="M61" i="4" l="1"/>
  <c r="N61" i="4"/>
  <c r="F11" i="10"/>
  <c r="X12" i="10"/>
  <c r="Y12" i="10" s="1"/>
  <c r="Z12" i="10" s="1"/>
  <c r="G12" i="10"/>
  <c r="H12" i="10" s="1"/>
  <c r="X11" i="10" l="1"/>
  <c r="Y11" i="10" s="1"/>
  <c r="Z11" i="10" s="1"/>
  <c r="G11" i="10"/>
  <c r="H11" i="10" s="1"/>
  <c r="K95" i="9" l="1"/>
  <c r="K96" i="9" l="1"/>
  <c r="W26" i="8"/>
  <c r="Q26" i="8"/>
  <c r="R26" i="8" s="1"/>
  <c r="K26" i="4"/>
  <c r="L97" i="9"/>
  <c r="M97" i="9" s="1"/>
  <c r="M5" i="9"/>
  <c r="M95" i="9" s="1"/>
  <c r="L95" i="9"/>
  <c r="V23" i="8"/>
  <c r="Q23" i="8"/>
  <c r="R23" i="8" s="1"/>
  <c r="K23" i="4"/>
  <c r="K20" i="4" s="1"/>
  <c r="L103" i="9"/>
  <c r="M103" i="9" s="1"/>
  <c r="M20" i="4" l="1"/>
  <c r="K19" i="4"/>
  <c r="R20" i="8"/>
  <c r="R19" i="8" s="1"/>
  <c r="R3" i="8" s="1"/>
  <c r="M26" i="4"/>
  <c r="N26" i="4"/>
  <c r="W23" i="8"/>
  <c r="W20" i="8" s="1"/>
  <c r="W19" i="8" s="1"/>
  <c r="W3" i="8" s="1"/>
  <c r="V20" i="8"/>
  <c r="F20" i="10"/>
  <c r="U20" i="10" s="1"/>
  <c r="N23" i="4"/>
  <c r="M23" i="4"/>
  <c r="F9" i="10" l="1"/>
  <c r="N20" i="4"/>
  <c r="V19" i="8"/>
  <c r="V11" i="8"/>
  <c r="V10" i="8" s="1"/>
  <c r="V20" i="10"/>
  <c r="W20" i="10" s="1"/>
  <c r="G20" i="10"/>
  <c r="H20" i="10" s="1"/>
  <c r="N19" i="4" l="1"/>
  <c r="M19" i="4"/>
  <c r="X9" i="10"/>
  <c r="G9" i="10"/>
  <c r="H9" i="10" s="1"/>
  <c r="F8" i="10"/>
  <c r="G8" i="10" s="1"/>
  <c r="H8" i="10" s="1"/>
  <c r="Y9" i="10" l="1"/>
  <c r="Z9" i="10" s="1"/>
  <c r="X8" i="10"/>
  <c r="Y8" i="10" s="1"/>
  <c r="Z8" i="10" s="1"/>
</calcChain>
</file>

<file path=xl/comments1.xml><?xml version="1.0" encoding="utf-8"?>
<comments xmlns="http://schemas.openxmlformats.org/spreadsheetml/2006/main">
  <authors>
    <author>Александр</author>
  </authors>
  <commentList>
    <comment ref="B1" authorId="0">
      <text>
        <r>
          <rPr>
            <b/>
            <sz val="9"/>
            <color indexed="81"/>
            <rFont val="Tahoma"/>
            <family val="2"/>
            <charset val="204"/>
          </rPr>
          <t>Обязательно для заполнения</t>
        </r>
      </text>
    </comment>
    <comment ref="G11" authorId="0">
      <text>
        <r>
          <rPr>
            <b/>
            <sz val="9"/>
            <color indexed="81"/>
            <rFont val="Tahoma"/>
            <family val="2"/>
            <charset val="204"/>
          </rPr>
          <t>ячейки с светло-синей заливкой заполняются автоматически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G19" author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поступление</t>
        </r>
      </text>
    </comment>
    <comment ref="O19" author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из файла Калининой Выручка</t>
        </r>
      </text>
    </comment>
    <comment ref="P19" author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плановая без НДС</t>
        </r>
      </text>
    </comment>
  </commentList>
</comments>
</file>

<file path=xl/comments3.xml><?xml version="1.0" encoding="utf-8"?>
<comments xmlns="http://schemas.openxmlformats.org/spreadsheetml/2006/main">
  <authors>
    <author>Александр</author>
  </authors>
  <commentList>
    <comment ref="O7" authorId="0">
      <text>
        <r>
          <rPr>
            <b/>
            <sz val="9"/>
            <color indexed="81"/>
            <rFont val="Tahoma"/>
            <family val="2"/>
            <charset val="204"/>
          </rPr>
          <t>указывается фактическая выручка за прошлый месяц.
Т.е. данный показатель в объеме за месяц</t>
        </r>
      </text>
    </comment>
    <comment ref="P7" authorId="0">
      <text>
        <r>
          <rPr>
            <b/>
            <sz val="9"/>
            <color indexed="81"/>
            <rFont val="Tahoma"/>
            <family val="2"/>
            <charset val="204"/>
          </rPr>
          <t>прогнозная выручка, заполняется еженедельно.
Указывается прогноз  на месяц.</t>
        </r>
      </text>
    </comment>
    <comment ref="F10" authorId="0">
      <text>
        <r>
          <rPr>
            <b/>
            <sz val="9"/>
            <color rgb="FF000000"/>
            <rFont val="Tahoma"/>
            <family val="2"/>
            <charset val="204"/>
          </rPr>
          <t>значение отпуска в сеть на текущую дату еженедельного отчета должно соотвествовать отпуску в сеть на текущую дату ежесуточного отчета с начала месяца (нарастающим итогом)</t>
        </r>
      </text>
    </comment>
    <comment ref="E21" authorId="0">
      <text>
        <r>
          <rPr>
            <b/>
            <sz val="9"/>
            <color rgb="FF000000"/>
            <rFont val="Tahoma"/>
            <family val="2"/>
            <charset val="204"/>
          </rPr>
          <t>Поименно указываются только потребители, присоединеным к сетям ДЗО, максимальная мощность энергопринимающих устройств которых выше 5 МВт.</t>
        </r>
      </text>
    </comment>
    <comment ref="J21" authorId="0">
      <text>
        <r>
          <rPr>
            <b/>
            <sz val="9"/>
            <color rgb="FF000000"/>
            <rFont val="Tahoma"/>
            <family val="2"/>
            <charset val="204"/>
          </rPr>
          <t>значение отпуска из сети по потребителю (группе потребителей) заполняется с начала месяца  на дату предоставления отчета (нарастающим итогом). Определяется по приборам учета, либо расчетным способом.</t>
        </r>
      </text>
    </comment>
    <comment ref="K21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значение отпуска из сети по потребителю (группе потребителей) заполняется с начала месяца на дату предоставления отчета  (нарастающим итогом). </t>
        </r>
      </text>
    </comment>
    <comment ref="L21" authorId="0">
      <text>
        <r>
          <rPr>
            <b/>
            <sz val="9"/>
            <color indexed="81"/>
            <rFont val="Tahoma"/>
            <family val="2"/>
            <charset val="204"/>
          </rPr>
          <t>Информация в столбце "Источник информации" заполняется только по потребителям, указанным поименно.
ПУ ТСО - показания снимаются по коммерческому учету ТСО;
ПУ потребителя - показания снимаются по приборам учета данного потребителя;
В случае если, показания ПУ прибора учета потребителя получена позднее отчетной даты - информация подлежит корректировке в следующий отчетный период (неделя)
Тех. учет -  показания снимаются на основании технического учету ТСО.</t>
        </r>
      </text>
    </comment>
    <comment ref="E24" authorId="0">
      <text>
        <r>
          <rPr>
            <b/>
            <sz val="9"/>
            <color rgb="FF000000"/>
            <rFont val="Tahoma"/>
            <family val="2"/>
            <charset val="204"/>
          </rPr>
          <t>заполняется информация только по потребителям с максимальной мощностью меньше 5 МВт, присоединенным к сетям ДЗО, по которым существует возможность дистанционного съема показаний приборов учета.</t>
        </r>
      </text>
    </comment>
    <comment ref="F30" authorId="0">
      <text>
        <r>
          <rPr>
            <b/>
            <sz val="9"/>
            <color rgb="FF000000"/>
            <rFont val="Tahoma"/>
            <family val="2"/>
            <charset val="204"/>
          </rPr>
          <t>В серые ячейки данные не заполняются</t>
        </r>
      </text>
    </comment>
    <comment ref="J31" authorId="0">
      <text>
        <r>
          <rPr>
            <b/>
            <sz val="9"/>
            <color rgb="FF000000"/>
            <rFont val="Tahoma"/>
            <family val="2"/>
            <charset val="204"/>
          </rPr>
          <t>В ячейки без заливки данные заполняются в ручную!</t>
        </r>
      </text>
    </comment>
  </commentList>
</comments>
</file>

<file path=xl/comments4.xml><?xml version="1.0" encoding="utf-8"?>
<comments xmlns="http://schemas.openxmlformats.org/spreadsheetml/2006/main">
  <authors>
    <author>user</author>
    <author>Александр</author>
  </authors>
  <commentList>
    <comment ref="N6" authorId="0">
      <text>
        <r>
          <rPr>
            <sz val="9"/>
            <color indexed="81"/>
            <rFont val="Tahoma"/>
            <family val="2"/>
            <charset val="204"/>
          </rPr>
          <t xml:space="preserve">Сооотвествует отчетным данным управленческого отчет и бухгалтерским данным (с долей погрешности урегулированных разногласий с 17 до 27 числа) </t>
        </r>
      </text>
    </comment>
    <comment ref="F10" authorId="1">
      <text>
        <r>
          <rPr>
            <b/>
            <sz val="9"/>
            <color indexed="81"/>
            <rFont val="Tahoma"/>
            <family val="2"/>
            <charset val="204"/>
          </rPr>
          <t>значение отпуска в сеть должно соотвествовать  (с допустимой долей погрешности) "ежедневному" отчету, а так же отчетному отпуску в сеть за иесяц</t>
        </r>
      </text>
    </comment>
    <comment ref="J10" authorId="0">
      <text>
        <r>
          <rPr>
            <sz val="9"/>
            <color indexed="81"/>
            <rFont val="Tahoma"/>
            <family val="2"/>
            <charset val="204"/>
          </rPr>
          <t xml:space="preserve"> соотвествует (с допустимой долей погрешности) занчениям "ежедневного" и ""еженедельного" мониторинга, а так же данным управленческого и бухгалтерского учета</t>
        </r>
      </text>
    </comment>
    <comment ref="N10" authorId="0">
      <text>
        <r>
          <rPr>
            <sz val="9"/>
            <color indexed="81"/>
            <rFont val="Tahoma"/>
            <family val="2"/>
            <charset val="204"/>
          </rPr>
          <t xml:space="preserve">Сооотвествует отчетным данным управленческого отчет и бухгалтерским данным (с долей погрешности урегулированных разногласий с 17 до 27 числа) 
</t>
        </r>
      </text>
    </comment>
    <comment ref="F16" authorId="1">
      <text>
        <r>
          <rPr>
            <b/>
            <sz val="9"/>
            <color indexed="81"/>
            <rFont val="Tahoma"/>
            <family val="2"/>
            <charset val="204"/>
          </rPr>
          <t>в серые ячейки данные не заполняются!!!</t>
        </r>
      </text>
    </comment>
    <comment ref="E21" authorId="1">
      <text>
        <r>
          <rPr>
            <b/>
            <sz val="9"/>
            <color indexed="81"/>
            <rFont val="Tahoma"/>
            <family val="2"/>
            <charset val="204"/>
          </rPr>
          <t>Поименно указываются только потребители, присоединенные к сетям ДЗО, максимальная мощность энергопринимающих устройств которых выше 5 МВт.</t>
        </r>
      </text>
    </comment>
    <comment ref="J21" authorId="1">
      <text>
        <r>
          <rPr>
            <b/>
            <sz val="9"/>
            <color rgb="FF000000"/>
            <rFont val="Tahoma"/>
            <family val="2"/>
            <charset val="204"/>
          </rPr>
          <t>В ячейки без заливки данные заполняются в ручную!</t>
        </r>
      </text>
    </comment>
    <comment ref="E24" authorId="1">
      <text>
        <r>
          <rPr>
            <b/>
            <sz val="9"/>
            <color indexed="81"/>
            <rFont val="Tahoma"/>
            <family val="2"/>
            <charset val="204"/>
          </rPr>
          <t>заполняется информация ссумарно по всем потребителям, присоединенным к сетям ДЗО, с максимальной мощностью меньше 5 МВт.</t>
        </r>
      </text>
    </comment>
  </commentList>
</comments>
</file>

<file path=xl/comments5.xml><?xml version="1.0" encoding="utf-8"?>
<comments xmlns="http://schemas.openxmlformats.org/spreadsheetml/2006/main">
  <authors>
    <author>Молчанова Наталия Алексеевна</author>
    <author>Пользователь Windows</author>
  </authors>
  <commentList>
    <comment ref="J20" authorId="0">
      <text>
        <r>
          <rPr>
            <b/>
            <sz val="8"/>
            <color indexed="81"/>
            <rFont val="Tahoma"/>
            <family val="2"/>
            <charset val="204"/>
          </rPr>
          <t>Молчанова Наталия Алексеевна:</t>
        </r>
        <r>
          <rPr>
            <sz val="8"/>
            <color indexed="81"/>
            <rFont val="Tahoma"/>
            <family val="2"/>
            <charset val="204"/>
          </rPr>
          <t xml:space="preserve">
по установка 2020 года
</t>
        </r>
      </text>
    </comment>
    <comment ref="S20" authorId="1">
      <text>
        <r>
          <rPr>
            <sz val="12"/>
            <color indexed="81"/>
            <rFont val="Tahoma"/>
            <family val="2"/>
            <charset val="204"/>
          </rPr>
          <t>из поименки пром+хн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S33" authorId="1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Управл.трамв</t>
        </r>
      </text>
    </comment>
    <comment ref="S46" authorId="1">
      <text>
        <r>
          <rPr>
            <sz val="9"/>
            <color indexed="81"/>
            <rFont val="Tahoma"/>
            <family val="2"/>
            <charset val="204"/>
          </rPr>
          <t xml:space="preserve">из поименки непром+религ 
</t>
        </r>
      </text>
    </comment>
    <comment ref="S61" authorId="1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трансэнергопром</t>
        </r>
      </text>
    </comment>
    <comment ref="S74" authorId="1">
      <text>
        <r>
          <rPr>
            <sz val="9"/>
            <color indexed="81"/>
            <rFont val="Tahoma"/>
            <family val="2"/>
            <charset val="204"/>
          </rPr>
          <t xml:space="preserve">из RB свод 12 ГЭС_V9 или из СДБ
</t>
        </r>
      </text>
    </comment>
    <comment ref="S75" authorId="1">
      <text>
        <r>
          <rPr>
            <sz val="9"/>
            <color indexed="81"/>
            <rFont val="Tahoma"/>
            <family val="2"/>
            <charset val="204"/>
          </rPr>
          <t xml:space="preserve">из RB св12 ГЭС_V10 минус ХН
</t>
        </r>
      </text>
    </comment>
    <comment ref="S76" authorId="1">
      <text>
        <r>
          <rPr>
            <sz val="9"/>
            <color indexed="81"/>
            <rFont val="Tahoma"/>
            <family val="2"/>
            <charset val="204"/>
          </rPr>
          <t xml:space="preserve">из RB_СВ 12ГЭС D65 
</t>
        </r>
      </text>
    </comment>
    <comment ref="S77" authorId="1">
      <text>
        <r>
          <rPr>
            <sz val="9"/>
            <color indexed="81"/>
            <rFont val="Tahoma"/>
            <family val="2"/>
            <charset val="204"/>
          </rPr>
          <t>из RB-V11 минус собст.нужды В50</t>
        </r>
      </text>
    </comment>
    <comment ref="S84" authorId="1">
      <text>
        <r>
          <rPr>
            <sz val="9"/>
            <color indexed="81"/>
            <rFont val="Tahoma"/>
            <family val="2"/>
            <charset val="204"/>
          </rPr>
          <t xml:space="preserve">из RB система новая БЭ
</t>
        </r>
      </text>
    </comment>
  </commentList>
</comments>
</file>

<file path=xl/comments6.xml><?xml version="1.0" encoding="utf-8"?>
<comments xmlns="http://schemas.openxmlformats.org/spreadsheetml/2006/main">
  <authors>
    <author>Молчанова Наталия Алексеевна</author>
    <author>Пользователь Windows</author>
  </authors>
  <commentList>
    <comment ref="J1" authorId="0">
      <text>
        <r>
          <rPr>
            <b/>
            <sz val="8"/>
            <color indexed="81"/>
            <rFont val="Tahoma"/>
            <family val="2"/>
            <charset val="204"/>
          </rPr>
          <t>Молчанова Наталия Алексеевна:</t>
        </r>
        <r>
          <rPr>
            <sz val="8"/>
            <color indexed="81"/>
            <rFont val="Tahoma"/>
            <family val="2"/>
            <charset val="204"/>
          </rPr>
          <t xml:space="preserve">
необходимо заполнить кол-во дней периода за который происходит расчет
</t>
        </r>
      </text>
    </comment>
    <comment ref="D3" authorId="0">
      <text>
        <r>
          <rPr>
            <b/>
            <sz val="8"/>
            <color indexed="81"/>
            <rFont val="Tahoma"/>
            <family val="2"/>
            <charset val="204"/>
          </rPr>
          <t>Молчанова Наталия Алексеевна:</t>
        </r>
        <r>
          <rPr>
            <sz val="8"/>
            <color indexed="81"/>
            <rFont val="Tahoma"/>
            <family val="2"/>
            <charset val="204"/>
          </rPr>
          <t xml:space="preserve">
Указать возможность снятия показаний ПУ (ДСПУ - дистанционное снятия показаний ПУ)
</t>
        </r>
      </text>
    </comment>
    <comment ref="E3" authorId="0">
      <text>
        <r>
          <rPr>
            <b/>
            <sz val="8"/>
            <color indexed="81"/>
            <rFont val="Tahoma"/>
            <family val="2"/>
            <charset val="204"/>
          </rPr>
          <t>Молчанова Наталия Алексеевна:</t>
        </r>
        <r>
          <rPr>
            <sz val="8"/>
            <color indexed="81"/>
            <rFont val="Tahoma"/>
            <family val="2"/>
            <charset val="204"/>
          </rPr>
          <t xml:space="preserve">
Укаазываются в первую очередь все потребители с мощностью более 5 мвт; во вторую - имеющие возможность дистанционного снятия показаний учета (ДСПУ); в третью - крупные потребители не оборудованные ДСПУ, но по которым имеется возможность снять показания ПУ , либо узнать у потребителя о потреблении ээ
</t>
        </r>
      </text>
    </comment>
    <comment ref="F3" authorId="0">
      <text>
        <r>
          <rPr>
            <b/>
            <sz val="8"/>
            <color indexed="81"/>
            <rFont val="Tahoma"/>
            <family val="2"/>
            <charset val="204"/>
          </rPr>
          <t>Молчанова Наталия Алексеевна:</t>
        </r>
        <r>
          <rPr>
            <sz val="8"/>
            <color indexed="81"/>
            <rFont val="Tahoma"/>
            <family val="2"/>
            <charset val="204"/>
          </rPr>
          <t xml:space="preserve">
необходим для оценки выручки</t>
        </r>
      </text>
    </comment>
    <comment ref="J3" authorId="0">
      <text>
        <r>
          <rPr>
            <b/>
            <sz val="8"/>
            <color indexed="81"/>
            <rFont val="Tahoma"/>
            <family val="2"/>
            <charset val="204"/>
          </rPr>
          <t>Молчанова Наталия Алексеевна:</t>
        </r>
        <r>
          <rPr>
            <sz val="8"/>
            <color indexed="81"/>
            <rFont val="Tahoma"/>
            <family val="2"/>
            <charset val="204"/>
          </rPr>
          <t xml:space="preserve">
Расчет производится по ср. суточному потрбелению
 за 2019 год</t>
        </r>
      </text>
    </comment>
    <comment ref="K6" authorId="1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Элина на 10.08.20
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M6" author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из БП
</t>
        </r>
      </text>
    </comment>
  </commentList>
</comments>
</file>

<file path=xl/sharedStrings.xml><?xml version="1.0" encoding="utf-8"?>
<sst xmlns="http://schemas.openxmlformats.org/spreadsheetml/2006/main" count="1566" uniqueCount="499">
  <si>
    <t>№ п/п</t>
  </si>
  <si>
    <t>Субъект РФ</t>
  </si>
  <si>
    <t>Наименование "Головной компании"/группы компаний, в которую входит ТСО</t>
  </si>
  <si>
    <t>Наименование ТСО (территориальной сетевой организации)</t>
  </si>
  <si>
    <t>дата заполнения</t>
  </si>
  <si>
    <t>отпуск в сеть за апрель</t>
  </si>
  <si>
    <t>суточный отпуск в сеть, млн кВтч</t>
  </si>
  <si>
    <t>Отклонение</t>
  </si>
  <si>
    <t>факт</t>
  </si>
  <si>
    <t>ПАО "МРСК Центра"</t>
  </si>
  <si>
    <t>1.1.</t>
  </si>
  <si>
    <t>Белгородская область</t>
  </si>
  <si>
    <t>Белгородэнерго</t>
  </si>
  <si>
    <t>1.2.</t>
  </si>
  <si>
    <t>Брянскэнерго</t>
  </si>
  <si>
    <t>1.3.</t>
  </si>
  <si>
    <t>Воронежэнерго</t>
  </si>
  <si>
    <t>1.4.</t>
  </si>
  <si>
    <t>Костромаэнерго</t>
  </si>
  <si>
    <t>1.5.</t>
  </si>
  <si>
    <t>Курскэнерго</t>
  </si>
  <si>
    <t>1.6.</t>
  </si>
  <si>
    <t>Липецкэнерго</t>
  </si>
  <si>
    <t>1.7.</t>
  </si>
  <si>
    <t>Орелэнерго</t>
  </si>
  <si>
    <t>1.8.</t>
  </si>
  <si>
    <t>Смоленскэнерго</t>
  </si>
  <si>
    <t>1.9.</t>
  </si>
  <si>
    <t>Тамбовэнерго</t>
  </si>
  <si>
    <t>1.10.</t>
  </si>
  <si>
    <t>Тверьэнерго</t>
  </si>
  <si>
    <t>1.11.</t>
  </si>
  <si>
    <t>Ярэнерго</t>
  </si>
  <si>
    <t>ПАО "МРСК Центра и Приволжья" (ГК)</t>
  </si>
  <si>
    <t>2.1.</t>
  </si>
  <si>
    <t>ПАО "МРСК Центра и Приволжья"</t>
  </si>
  <si>
    <t>2.1.1.</t>
  </si>
  <si>
    <t>Владимирэнерго</t>
  </si>
  <si>
    <t>2.1.2.</t>
  </si>
  <si>
    <t>Ивэнерго</t>
  </si>
  <si>
    <t>2.1.3.</t>
  </si>
  <si>
    <t>Калугаэнерго</t>
  </si>
  <si>
    <t>2.1.4.</t>
  </si>
  <si>
    <t>Кировэнерго</t>
  </si>
  <si>
    <t>2.1.5.</t>
  </si>
  <si>
    <t>Мариэнерго</t>
  </si>
  <si>
    <t>2.1.6.</t>
  </si>
  <si>
    <t>Нижновэнерго</t>
  </si>
  <si>
    <t>2.1.7.</t>
  </si>
  <si>
    <t>Рязаньэнерго</t>
  </si>
  <si>
    <t>2.1.8.</t>
  </si>
  <si>
    <t>Тулэнерго</t>
  </si>
  <si>
    <t>2.1.9.</t>
  </si>
  <si>
    <t>Удмуртэнерго</t>
  </si>
  <si>
    <t>2.2.</t>
  </si>
  <si>
    <t>АО "Свет"</t>
  </si>
  <si>
    <t>ПАО "МРСК Волги"</t>
  </si>
  <si>
    <t>3.1.</t>
  </si>
  <si>
    <t>Мордовэнерго</t>
  </si>
  <si>
    <t>3.2.</t>
  </si>
  <si>
    <t>Оренбургэнерго</t>
  </si>
  <si>
    <t>3.3.</t>
  </si>
  <si>
    <t>Пензаэнерго</t>
  </si>
  <si>
    <t>3.4.</t>
  </si>
  <si>
    <t>Самарские РС</t>
  </si>
  <si>
    <t>3.5.</t>
  </si>
  <si>
    <t>Саратовские РС</t>
  </si>
  <si>
    <t>3.6.</t>
  </si>
  <si>
    <t>Ульяновские РС</t>
  </si>
  <si>
    <t>3.7.</t>
  </si>
  <si>
    <t>Чувашэнерго</t>
  </si>
  <si>
    <t>ПАО "МРСК Северо-Запада"</t>
  </si>
  <si>
    <t>4.1.</t>
  </si>
  <si>
    <t>Архангельский филиал</t>
  </si>
  <si>
    <t>4.2.</t>
  </si>
  <si>
    <t>Вологодский филиал</t>
  </si>
  <si>
    <t>4.3.</t>
  </si>
  <si>
    <t>Карельский филиал</t>
  </si>
  <si>
    <t>4.4.</t>
  </si>
  <si>
    <t>Мурманский филиал</t>
  </si>
  <si>
    <t>4.5.</t>
  </si>
  <si>
    <t xml:space="preserve">филиал в Республике Коми </t>
  </si>
  <si>
    <t>4.6.</t>
  </si>
  <si>
    <t>Новгородский филиал</t>
  </si>
  <si>
    <t>4.7.</t>
  </si>
  <si>
    <t>Псковский филиал</t>
  </si>
  <si>
    <t>ПАО "МРСК Сибири" (ГК)</t>
  </si>
  <si>
    <t>5.1.</t>
  </si>
  <si>
    <t>ПАО "МРСК Сибири"</t>
  </si>
  <si>
    <t>5.1.1.</t>
  </si>
  <si>
    <t>Алтайэнерго</t>
  </si>
  <si>
    <t>5.1.2.</t>
  </si>
  <si>
    <t>Бурятэнерго</t>
  </si>
  <si>
    <t>5.1.3.</t>
  </si>
  <si>
    <t>ГАЭС</t>
  </si>
  <si>
    <t>5.1.4.</t>
  </si>
  <si>
    <t>Красноярскэнерго</t>
  </si>
  <si>
    <t>5.1.5.</t>
  </si>
  <si>
    <t>Кузбассэнерго-РЭС</t>
  </si>
  <si>
    <t>5.1.6.</t>
  </si>
  <si>
    <t>Омскэнерго</t>
  </si>
  <si>
    <t>5.1.7.</t>
  </si>
  <si>
    <t>Хакасэнерго</t>
  </si>
  <si>
    <t>5.1.8.</t>
  </si>
  <si>
    <t>Читаэнерго</t>
  </si>
  <si>
    <t>5.2.</t>
  </si>
  <si>
    <t>АО "Тываэнерго"</t>
  </si>
  <si>
    <t>ПАО "ТРК"</t>
  </si>
  <si>
    <t>ОАО "МРСК Урала" (ГК)</t>
  </si>
  <si>
    <t>7.1.</t>
  </si>
  <si>
    <t>ОАО "МРСК Урала"</t>
  </si>
  <si>
    <t>7.1.1.</t>
  </si>
  <si>
    <t>Пермэнерго</t>
  </si>
  <si>
    <t>7.1.2.</t>
  </si>
  <si>
    <t>Свердловэнерго</t>
  </si>
  <si>
    <t>7.1.3.</t>
  </si>
  <si>
    <t>Челябэнерго</t>
  </si>
  <si>
    <t>7.2.</t>
  </si>
  <si>
    <t>АО ЕЭСК</t>
  </si>
  <si>
    <t>ПАО "Россети Юг"</t>
  </si>
  <si>
    <t>8.1.</t>
  </si>
  <si>
    <t>Астраханьэнерго</t>
  </si>
  <si>
    <t>8.2.</t>
  </si>
  <si>
    <t>Волгоградэнерго</t>
  </si>
  <si>
    <t>8.3.</t>
  </si>
  <si>
    <t>Калмэнерго</t>
  </si>
  <si>
    <t>8.4.</t>
  </si>
  <si>
    <t>Ростовэнерго</t>
  </si>
  <si>
    <t>ПАО "МРСК Северного Кавказа" (ГК)</t>
  </si>
  <si>
    <t>9.1.</t>
  </si>
  <si>
    <t>ПАО "МРСК Северного Кавказа" (ДЗО)</t>
  </si>
  <si>
    <t>9.1.1.</t>
  </si>
  <si>
    <t>ПАО "МРСК Северного Кавказа"</t>
  </si>
  <si>
    <t>9.1.1.1.</t>
  </si>
  <si>
    <t>Каббалкэнерго</t>
  </si>
  <si>
    <t>9.1.1.2.</t>
  </si>
  <si>
    <t>Карачаево-Черкесскэнерго</t>
  </si>
  <si>
    <t>9.1.1.3.</t>
  </si>
  <si>
    <t>Севкавказэнерго</t>
  </si>
  <si>
    <t>9.1.1.4.</t>
  </si>
  <si>
    <t>Ставропольэнерго</t>
  </si>
  <si>
    <t>9.1.1.5.</t>
  </si>
  <si>
    <t>Ингушэнерго</t>
  </si>
  <si>
    <t>9.1.2.</t>
  </si>
  <si>
    <t>АО "Дагестанская сетевая компания"</t>
  </si>
  <si>
    <t>9.2.</t>
  </si>
  <si>
    <t>АО "Чеченэнерго"</t>
  </si>
  <si>
    <t>ПАО "Кубаньэнерго"</t>
  </si>
  <si>
    <t>ПАО "МОЭСК"</t>
  </si>
  <si>
    <t>11.1.</t>
  </si>
  <si>
    <t>г. Москва</t>
  </si>
  <si>
    <t>11.2.</t>
  </si>
  <si>
    <t>Московская область</t>
  </si>
  <si>
    <t>ПАО "Ленэнерго" (ГК)</t>
  </si>
  <si>
    <t>12.1.</t>
  </si>
  <si>
    <t>ПАО "Ленэнерго"</t>
  </si>
  <si>
    <t>12.1.1.</t>
  </si>
  <si>
    <t>г. Санкт-Петербург</t>
  </si>
  <si>
    <t>12.1.2.</t>
  </si>
  <si>
    <t>Ленинградская область</t>
  </si>
  <si>
    <t>12.2.</t>
  </si>
  <si>
    <t>ЗАО "Курортэнерго"</t>
  </si>
  <si>
    <t>12.3.</t>
  </si>
  <si>
    <t xml:space="preserve">ЗАО "ЦЭК" </t>
  </si>
  <si>
    <t>12.4.</t>
  </si>
  <si>
    <t>АО "СПб ЭС"</t>
  </si>
  <si>
    <t>АО «Россети Тюмень»</t>
  </si>
  <si>
    <t>АО "Янтарьэнерго"</t>
  </si>
  <si>
    <t>ИТОГО по РСК</t>
  </si>
  <si>
    <t>ПАО "ФСК ЕЭС"</t>
  </si>
  <si>
    <t>Отчет по сотоянию на:</t>
  </si>
  <si>
    <t>Данные по отпуску в сеть, отпуску из сети и выручке за услуги по передаче электрической энергии за апрель 2019, 2020 гг. с разбивкой по группам потребителей, а также с выделением крупных потребителей.</t>
  </si>
  <si>
    <t>№ 
п/п</t>
  </si>
  <si>
    <t>Наименование отрасли / потребителя</t>
  </si>
  <si>
    <t>отпуск в сеть,
млн кВтч</t>
  </si>
  <si>
    <t>отпуск из сети,
млн кВтч</t>
  </si>
  <si>
    <t>Выручка, млн руб</t>
  </si>
  <si>
    <t>отклонения</t>
  </si>
  <si>
    <t>Источник информации</t>
  </si>
  <si>
    <t>млн кВтч</t>
  </si>
  <si>
    <t>%</t>
  </si>
  <si>
    <t>1.</t>
  </si>
  <si>
    <t>Итого</t>
  </si>
  <si>
    <t>Всего</t>
  </si>
  <si>
    <t xml:space="preserve">Промышленные потребители, в т.ч. </t>
  </si>
  <si>
    <t>Транспорт, в т.ч.</t>
  </si>
  <si>
    <t>Нефте- и газопроводы</t>
  </si>
  <si>
    <t>Сельское хозяйство и пищевая промышленность</t>
  </si>
  <si>
    <t xml:space="preserve">Непромышленные потребители </t>
  </si>
  <si>
    <t>Государственные (муниципальные) организации и прочие бюджетные потребители</t>
  </si>
  <si>
    <t>Население и приравненные группы потребителей</t>
  </si>
  <si>
    <t>Территориальные сетевые организации</t>
  </si>
  <si>
    <t>ДЗО 1</t>
  </si>
  <si>
    <t>Промышленные потребители</t>
  </si>
  <si>
    <t>потребитель 1</t>
  </si>
  <si>
    <t>ПУ ТСО</t>
  </si>
  <si>
    <t>потребитель 2</t>
  </si>
  <si>
    <t>тех.учет</t>
  </si>
  <si>
    <t>потребитель 3</t>
  </si>
  <si>
    <t>ПУ потребителя</t>
  </si>
  <si>
    <t>прочие потребители</t>
  </si>
  <si>
    <t>Транспорт</t>
  </si>
  <si>
    <t>ТСО 1</t>
  </si>
  <si>
    <t>ТСО 2</t>
  </si>
  <si>
    <t>ТСО 3</t>
  </si>
  <si>
    <t>прочие ТСО</t>
  </si>
  <si>
    <t>субъект РФ 1</t>
  </si>
  <si>
    <t>филиал 1</t>
  </si>
  <si>
    <t>Отчет за:</t>
  </si>
  <si>
    <t>апрель</t>
  </si>
  <si>
    <t>Данные по отпуску в сеть, отпуску из сети, котловому полезному отпуску и выручке за услуги по передаче электрической энергии за апрель 2019, 2020 гг. с разбивкой по группам потребителей, а также с выделением крупных потребителей.</t>
  </si>
  <si>
    <t>Котловой полезный отпуск</t>
  </si>
  <si>
    <t>Котловой полезный отпуск, млн кВтч</t>
  </si>
  <si>
    <t>Котловой полезный отпуск (отклонения)</t>
  </si>
  <si>
    <t>Выручка (отклонения)</t>
  </si>
  <si>
    <t>7 = сумма (9…38)</t>
  </si>
  <si>
    <t>8 = 7-6</t>
  </si>
  <si>
    <t>13 = 11-10</t>
  </si>
  <si>
    <t>14 = ((11-10)/100-1)%</t>
  </si>
  <si>
    <t>9 = ((7-6)/100-1)%</t>
  </si>
  <si>
    <t>8 = ((7-6)/100-1)%</t>
  </si>
  <si>
    <t>18 = ((16-15)/100-1)%</t>
  </si>
  <si>
    <t>17 = 16-15</t>
  </si>
  <si>
    <t>12 = 11-10</t>
  </si>
  <si>
    <t>13 = ((11-10)/100-1)%</t>
  </si>
  <si>
    <t>18 = 15-14</t>
  </si>
  <si>
    <t>19 = ((15-14)/100-1)%</t>
  </si>
  <si>
    <t>21 = ((17-16)/100-1)%</t>
  </si>
  <si>
    <t>20 = 17-16</t>
  </si>
  <si>
    <t>прочие потребители (с ДСППУ)</t>
  </si>
  <si>
    <t>прочие потребители (без ДСППУ)</t>
  </si>
  <si>
    <t>Метод определения прогноза (факта) 2020 года</t>
  </si>
  <si>
    <t>Причины отклонения прогноза (факта) 2020 от факта прошлого года</t>
  </si>
  <si>
    <t>январь</t>
  </si>
  <si>
    <t>февраль</t>
  </si>
  <si>
    <t>март</t>
  </si>
  <si>
    <t>май</t>
  </si>
  <si>
    <t>июнь</t>
  </si>
  <si>
    <t>Население и приравненые к нему категории  [всего]</t>
  </si>
  <si>
    <t>Организации [всего]</t>
  </si>
  <si>
    <t>Хозяйственные нужды РСК [всего]</t>
  </si>
  <si>
    <t>ТСО [всего]</t>
  </si>
  <si>
    <t>Собственное потребление ТСО из RB</t>
  </si>
  <si>
    <t>АО "Улан-Удэнский авиационный завод"</t>
  </si>
  <si>
    <t>ЗАО "Энерготехномаш"</t>
  </si>
  <si>
    <t>ОАО "Особые экономические зоны"</t>
  </si>
  <si>
    <t xml:space="preserve">ОАО "Селенгинский ЦКК" </t>
  </si>
  <si>
    <t>ООО "Трансэнергопром"</t>
  </si>
  <si>
    <t>Рус малый ВН</t>
  </si>
  <si>
    <t>Рус малый СН1</t>
  </si>
  <si>
    <t>Рус большой</t>
  </si>
  <si>
    <t>ОАО РЖД</t>
  </si>
  <si>
    <t>Отчетные данные</t>
  </si>
  <si>
    <t>ОАО "Территориальная генерирующая компания № 14" (Тимлюйская ТЭЦ)</t>
  </si>
  <si>
    <t>ОАО "Территориальная генерирующая компания № 14" (ТЭЦ-2)</t>
  </si>
  <si>
    <t>"У-У ЛВРЗ"-филиал ОАО "Желдорреммаш"</t>
  </si>
  <si>
    <t>ЗАО "Система" (ООО "Тимлюйский цементный завод"</t>
  </si>
  <si>
    <t>Открытое акционерное общество "АтомЭнергоСбыт"</t>
  </si>
  <si>
    <t>Оборонэнерго</t>
  </si>
  <si>
    <t>АО "РЖД"</t>
  </si>
  <si>
    <t>АО "СЦКК"</t>
  </si>
  <si>
    <t xml:space="preserve">отчет за </t>
  </si>
  <si>
    <t>группа потребления</t>
  </si>
  <si>
    <t xml:space="preserve"> ДСПУ/виуальное снятие показаний</t>
  </si>
  <si>
    <t>Потребтитель</t>
  </si>
  <si>
    <t>Уровень напряжения</t>
  </si>
  <si>
    <t>Подключение (Центр питания в соответсви с таблицей)</t>
  </si>
  <si>
    <t>Максимальная мощность,МВТ</t>
  </si>
  <si>
    <t>Объем потребления за 8 дней аперля 2020 года (для Россетей)</t>
  </si>
  <si>
    <t>Объем потребления за 12 дней апреля 2020 года (для ВСК)</t>
  </si>
  <si>
    <t>Объем потребления за 15 дней апреля 2020 года (для Россетей)</t>
  </si>
  <si>
    <t>Объем потребления за 19 дней апреля 2020 года (для ВКС)</t>
  </si>
  <si>
    <t>Объем потребления за 22 дня апереля2020 года (для Россетей)</t>
  </si>
  <si>
    <t>Объем потребления за 26 дня аперля 2020 года (для ВКС)</t>
  </si>
  <si>
    <t>Объем потребления за 29 дней апреля 2020 года (для Россетй)</t>
  </si>
  <si>
    <t>Фактические данные  за апрель 2019 года</t>
  </si>
  <si>
    <t>Система</t>
  </si>
  <si>
    <t>ВСЖД</t>
  </si>
  <si>
    <t>дспу</t>
  </si>
  <si>
    <t>ТГК-14 (ТЭЦ2)</t>
  </si>
  <si>
    <t>БЭС</t>
  </si>
  <si>
    <t>ООО "Тимлюйский цементный завод"</t>
  </si>
  <si>
    <t>ПС-Тимлюйская</t>
  </si>
  <si>
    <t>ЗАО Кремний</t>
  </si>
  <si>
    <t>ПС-Прибайкальская</t>
  </si>
  <si>
    <t>виуальное снятие показаний</t>
  </si>
  <si>
    <t>ООО "Рифей"</t>
  </si>
  <si>
    <t>ПС-Алтан</t>
  </si>
  <si>
    <t>ООО "Зун-Холба"</t>
  </si>
  <si>
    <t>ПС-Самарта</t>
  </si>
  <si>
    <t>ПАО "Бурятзолото"</t>
  </si>
  <si>
    <t>ПС-Ирокинда</t>
  </si>
  <si>
    <t>ООО "Тимлюйский завод"</t>
  </si>
  <si>
    <t>ОАО "Байкальская лесная компания"</t>
  </si>
  <si>
    <t>ПС-СЛПБ</t>
  </si>
  <si>
    <t>ПАО "Территориальная генерирующая компания № 14"</t>
  </si>
  <si>
    <t>ГЭС</t>
  </si>
  <si>
    <t>ДСПУ</t>
  </si>
  <si>
    <t>ООО " Бурятмяспром"</t>
  </si>
  <si>
    <t>35 кВ (СН1)</t>
  </si>
  <si>
    <t xml:space="preserve">ПС 35/6 кВ "Мясокомбинат" \ КЛ-6 кВ Ф.4 от ПС Мясокомбинат </t>
  </si>
  <si>
    <t xml:space="preserve">ПС 35/6 кВ "Мясокомбинат" \ КЛ-6 кВ Ф.5 от ПС Мясокомбинат </t>
  </si>
  <si>
    <t xml:space="preserve">ПС 35/6 кВ "Мясокомбинат" \ КЛ-6 кВ Ф.13 от ПС Мясокомбинат </t>
  </si>
  <si>
    <t xml:space="preserve">ПС 35/6 кВ "Мясокомбинат" \ КЛ-6 кВ Ф.12 от ПС Мясокомбинат </t>
  </si>
  <si>
    <t>всего БМП</t>
  </si>
  <si>
    <t>ООО "Сагаан Морин"</t>
  </si>
  <si>
    <t>6 - 10 кВ (СН2)</t>
  </si>
  <si>
    <t>ПС "Бурятцелинстрой" \ КЛ-10 ф.7 от ПС БЦС до РП-16 \ Уч-к магистрали 1  КЛ в земле,в каб.соор \ КЛ-10 Ф. 1 от РП - 16 \ Уч-к магистрали 11 КЛ в земле,в каб.соор \ ТП-2586-Железнодорожный</t>
  </si>
  <si>
    <t>ПАО "Тепло Генерирующая Компания-14"</t>
  </si>
  <si>
    <t>ПС Машзавод \ ВЛ-6 кВ ф.47 от ПС Машзавод \ ТП-2073-Железнодорожный</t>
  </si>
  <si>
    <t>ВСП (имеется возможность СП; наши ПС,РП,ТП)</t>
  </si>
  <si>
    <t>Бурятский Деловой Центр ООО</t>
  </si>
  <si>
    <t>ПС 35/6 кВ "Горсад" \ КЛ-6 кВ ф.3 от ПС Горсад \ от ПС Горсад до ТП-1575 \ от ТП-1575 до  ТП-424/1 \ ТП-424,1-Советский</t>
  </si>
  <si>
    <t>Лидер ООО</t>
  </si>
  <si>
    <t>ПС 35/6 кВ "Горсад" \ КЛ-6 кВ ф.15 от ПС Горсад \  от ПС Горсад до ТП-1538 \ ТП-1538-Советский</t>
  </si>
  <si>
    <t>МУП "Водоканал"</t>
  </si>
  <si>
    <t>ПС 35/6 кВ "Горводоподьем"</t>
  </si>
  <si>
    <t>ПС 35/6 кВ "Горводоподьем" \ КЛ-6 кВ  Ф. 9  от ПС "Горводопровод" \ ТП-ВП-2-Октябрьский</t>
  </si>
  <si>
    <t>ПС "Бурводстрой" \ ВЛ-10 кВ ф.1 от ПС БВС \ КЛ 10 кВ Ф.1 от РП-28 \ От РП-28 до ТП-479 \ ТП-479 Т1-Советский</t>
  </si>
  <si>
    <t>ЦЭС</t>
  </si>
  <si>
    <t>АО "Улан-Удэнская птицефабрика"</t>
  </si>
  <si>
    <t>110 кВ и выше (ВН)</t>
  </si>
  <si>
    <t>ПС "Улан-Удэнскптицефабрика (ПТФ)" \ ВЛ-6кВ ПТФ-1 "Птицефабрика"</t>
  </si>
  <si>
    <t>ПС "Улан-Удэнскптицефабрика (ПТФ)" \ ВЛ-6кВ ПТФ-6 "Птицефабрика"</t>
  </si>
  <si>
    <t>Всего АО "Улан-Удэнская птицефабрика"</t>
  </si>
  <si>
    <t>ПС "Районная" \ ВЛ-110 кВ Районная – Машзавод (РМ-161)</t>
  </si>
  <si>
    <t>ПС "Районная" \ ВЛ-110 кВ Районная – Машзавод (РМ-161)\ПТФ 1Т</t>
  </si>
  <si>
    <t>ПС "Районная" \ ВЛ-110 кВ Районная – Машзавод (РМ-161)\ПТФ 2Т</t>
  </si>
  <si>
    <t>АО "Хиагда"</t>
  </si>
  <si>
    <t xml:space="preserve">ПС "Хиагда" </t>
  </si>
  <si>
    <t>Всего АО  Хиагда</t>
  </si>
  <si>
    <t>ИП Лобова Т.А.</t>
  </si>
  <si>
    <t>ПС "Октябрьская" \ ВЛ-10кВ Ф.14  (резерв) (Вед)</t>
  </si>
  <si>
    <t>ПС "Октябрьская" \ ВЛ-10кВ Ф.3  ИП Копач  (Вед)</t>
  </si>
  <si>
    <t>Всего  ИП Лобова</t>
  </si>
  <si>
    <t>ИП Шагдарова Индира Валерьевна</t>
  </si>
  <si>
    <t>ПС "Бурводстрой" \ ВЛ-10кВ БВС-5 Абсолют (Вед)</t>
  </si>
  <si>
    <t>ПС "Полигон" \ ВЛ-10кВ П-4 (Вед).</t>
  </si>
  <si>
    <t>Всего Шагдарова</t>
  </si>
  <si>
    <t>ОАО "Улан-Удэнское приборостроительное производственное объединение"</t>
  </si>
  <si>
    <t>ПС ППЗ ф-3</t>
  </si>
  <si>
    <t>ПС ППЗ ф-6</t>
  </si>
  <si>
    <t>ПС ППЗ ф-7</t>
  </si>
  <si>
    <t>ПС ППЗ ф-16</t>
  </si>
  <si>
    <t>ПС ППЗ ф-17</t>
  </si>
  <si>
    <t>Всего ОАО "Улан-Удэнское приборостроительное производственное объединение"</t>
  </si>
  <si>
    <t>ООО "Агрохолдинг Молоко Бурятии"</t>
  </si>
  <si>
    <t>ПС "Октябрьская" \ ВЛ-10кВ ф.18 РП-21 от оп.№1 до ТП-1127</t>
  </si>
  <si>
    <t>ПС "Октябрьская" \ ВЛ-10кВ О-11 ОАО "Молоко" (вед)</t>
  </si>
  <si>
    <t>Всего "Агрохолдинг Молоко Бурятии"</t>
  </si>
  <si>
    <t>ООО "Байкальский кирпичный завод"</t>
  </si>
  <si>
    <t>ПС "Бурятферммаш" \ ВЛ-10кВ БФМ-11 РП-1 (Вед)</t>
  </si>
  <si>
    <t>ПС "Бурятферммаш" \ ВЛ-10кВ БФМ-10 ТП-13 (Вед)</t>
  </si>
  <si>
    <t>Всего "Байкальский кирпичный завод"</t>
  </si>
  <si>
    <t>ООО "Буржелезобетон"</t>
  </si>
  <si>
    <t>ПС "Южная" \ ВЛ-10кВ Ф.Ю-16 ЖБИ  (Вед)</t>
  </si>
  <si>
    <t>ПС "Южная" \ ВЛ-10кВ Ф.Ю-3 ЖБИ ГЭС  (Вед)</t>
  </si>
  <si>
    <t>Всего  "Буржелезобетон"</t>
  </si>
  <si>
    <t>ООО "ЗОЛ"</t>
  </si>
  <si>
    <t>ПС "ПСЗ" \ КЛ-6 ТП-10 Ф 8 ПСЗ</t>
  </si>
  <si>
    <t>ПС "ПСЗ" \ Ф.12 ПСЗ</t>
  </si>
  <si>
    <t>Всего ООО "ЗОЛ"</t>
  </si>
  <si>
    <t>ООО "Логистика"</t>
  </si>
  <si>
    <t>ПС "Бурятцелинстрой" \ ВЛ-10кВ БЦС-13 ИП Баданов (Вед)</t>
  </si>
  <si>
    <t>ООО "ПЗ "Николаевский"</t>
  </si>
  <si>
    <t>ПС "Николаевская" \ ВЛ-10 кВ Ф.Н-3 "ПЗ Николаевский"</t>
  </si>
  <si>
    <t>ПС "Западная" \ ВЛ-6кВ З-4 (Вед)</t>
  </si>
  <si>
    <t>ЗАО "Свинокомплекс "Восточно-сибирский"</t>
  </si>
  <si>
    <t>ПС "Бройлерная" \ ВЛ-10кВ Бр-11 свинокомплекс</t>
  </si>
  <si>
    <t>ПС "Береза" \ ВЛ-10кВ Б-7</t>
  </si>
  <si>
    <t>Всего ЗАО "Свинокомплекс "Восточно-сибирский"</t>
  </si>
  <si>
    <t>ООО "Горная Компания"</t>
  </si>
  <si>
    <t>ПС "Татарский Ключ" \ ТК-1</t>
  </si>
  <si>
    <t>ПС "Татарский Ключ" \ ТК-3</t>
  </si>
  <si>
    <t>ПС "Татарский Ключ" \ ТК-5</t>
  </si>
  <si>
    <t>ПС "Татарский Ключ" \ ТК-7</t>
  </si>
  <si>
    <t>ВсегоООО "Горная Компания"</t>
  </si>
  <si>
    <t>ООО Друза</t>
  </si>
  <si>
    <t>ПС "Комсомольская" \ ВЛ-10 кВ К-5 "Карьер"</t>
  </si>
  <si>
    <t>ЮЭС</t>
  </si>
  <si>
    <t>ООО "Литейщик"</t>
  </si>
  <si>
    <t>110 кВ и выше (ВН</t>
  </si>
  <si>
    <t>ВЛ -110 кВ СИ-166,СБ-108, СД-107</t>
  </si>
  <si>
    <t>АО "Закаменск"</t>
  </si>
  <si>
    <t>ООО "Бурятская горнорудная компания"</t>
  </si>
  <si>
    <t>ВЛ-110 кВ ГГ-151, ГГ-152</t>
  </si>
  <si>
    <t>ООО АВТО ДОМ</t>
  </si>
  <si>
    <t>ООО "Горный воздух"</t>
  </si>
  <si>
    <t>ООО ММК "Буренка"</t>
  </si>
  <si>
    <t>ПС Мухоршибирь</t>
  </si>
  <si>
    <t>Непром. потр. – ЮЛ и ИП от 150 кВт до 670 кВт</t>
  </si>
  <si>
    <t>ООО "Импульс"</t>
  </si>
  <si>
    <t>Всего ООО "Импульс"</t>
  </si>
  <si>
    <t>Сельское хозяйство и пищевая промышленность (от 150 до 670 кВт)</t>
  </si>
  <si>
    <t>ООО ПЗ Боргойский</t>
  </si>
  <si>
    <t>Всего ООО ПЗ Боргойский</t>
  </si>
  <si>
    <t>МУП "Рост-инвест"</t>
  </si>
  <si>
    <t>Непром. потр. – ЮЛ и ИП  менее 150 кВт</t>
  </si>
  <si>
    <t>ООО "Закаменск ЖКХ" Прямой фидер № 6</t>
  </si>
  <si>
    <t>ООО "Закаменск ЖКХ" Прямой фидер № 5</t>
  </si>
  <si>
    <t>Всего ООО "Закаменск ЖКХ"</t>
  </si>
  <si>
    <t>ЛВРЗ</t>
  </si>
  <si>
    <t>всего АО "Улан-Удэнский авиационный завод" (с учетом передачи в МУП ГЭС)</t>
  </si>
  <si>
    <t>ДДСПУ</t>
  </si>
  <si>
    <t>опрос потребителя</t>
  </si>
  <si>
    <t>Эксперным путем</t>
  </si>
  <si>
    <t>опрос потребителей</t>
  </si>
  <si>
    <t>На уровне факта</t>
  </si>
  <si>
    <t>закрытие ТЦ, магазинов , и прочих предприятий</t>
  </si>
  <si>
    <t>Закрытие д/садов, школ</t>
  </si>
  <si>
    <t>Снижение потребления в сетях ТСО за счет закрытия ТЦ, школ, д/садов</t>
  </si>
  <si>
    <t>Эксперным путем, по ПУ</t>
  </si>
  <si>
    <t>ПУ</t>
  </si>
  <si>
    <t>снижение объема потребления ээ</t>
  </si>
  <si>
    <t>Республика Бурятия</t>
  </si>
  <si>
    <t>МРСК Сибири</t>
  </si>
  <si>
    <t>млн руб</t>
  </si>
  <si>
    <t>ПАО "Территориальная генерирующая компания № 14" (ЦЭС)</t>
  </si>
  <si>
    <t>ПАО "Тепло Генерирующая Компания-14" (ГЭС)_котельная Заречный</t>
  </si>
  <si>
    <t>ПАО "Тепло Генерирующая Компания-14" (ГЭС)_котельная Загорск</t>
  </si>
  <si>
    <t>отклонение</t>
  </si>
  <si>
    <t>млн. кВтч</t>
  </si>
  <si>
    <t>Группа потребителей</t>
  </si>
  <si>
    <t>Наименование потребителя</t>
  </si>
  <si>
    <t>АО "Желдорреммаш"</t>
  </si>
  <si>
    <t>ООО "Зун-Холба"(Бурятзолото Самарта)</t>
  </si>
  <si>
    <t>ПАО "Бурятзолото" (ирокинда)</t>
  </si>
  <si>
    <t>ООО  "Буржелезобетон"</t>
  </si>
  <si>
    <t>Непром. Потребители</t>
  </si>
  <si>
    <t>Всего  ИП Лобова (ПИПЛС ПАРК)</t>
  </si>
  <si>
    <t>Факт 2019</t>
  </si>
  <si>
    <t>УБП 2020</t>
  </si>
  <si>
    <t>объем</t>
  </si>
  <si>
    <t>выручка</t>
  </si>
  <si>
    <t>ВБП_2020</t>
  </si>
  <si>
    <t>ВБП со снижением (1 квартал факт)</t>
  </si>
  <si>
    <t>Отклонения по году (между ВБП и новым планом)</t>
  </si>
  <si>
    <t>Стресс сценарий на 2020 год</t>
  </si>
  <si>
    <t>Отклонение стресс сценария от УБП</t>
  </si>
  <si>
    <t>объем, млн. кВтч</t>
  </si>
  <si>
    <t>выручка, млн. руб</t>
  </si>
  <si>
    <t>1 кв</t>
  </si>
  <si>
    <t>Снижение объема потребления ээ (отключена ТЭЦ)</t>
  </si>
  <si>
    <t>ИТОГО</t>
  </si>
  <si>
    <t>отклонения за 24дня</t>
  </si>
  <si>
    <t>май 2019 года</t>
  </si>
  <si>
    <t>май 2020 года</t>
  </si>
  <si>
    <t>ТСО без СП</t>
  </si>
  <si>
    <t>Поступление</t>
  </si>
  <si>
    <t xml:space="preserve">Полезный </t>
  </si>
  <si>
    <t xml:space="preserve">Потери </t>
  </si>
  <si>
    <t>июль</t>
  </si>
  <si>
    <t>дня июля</t>
  </si>
  <si>
    <t>Объем потребления за 2020 год за 12  дней июля</t>
  </si>
  <si>
    <t>Отклонение на 05.07.20</t>
  </si>
  <si>
    <t>Объем потребления за 2020 год за 19  дней июля</t>
  </si>
  <si>
    <t>2020 г.</t>
  </si>
  <si>
    <t>2019 г.</t>
  </si>
  <si>
    <t>кВтч</t>
  </si>
  <si>
    <t>пост 19.07.20</t>
  </si>
  <si>
    <t>пост 27.07.20</t>
  </si>
  <si>
    <t>пост 24.07.20</t>
  </si>
  <si>
    <t>август</t>
  </si>
  <si>
    <t>авг</t>
  </si>
  <si>
    <t>пост 03.08.20</t>
  </si>
  <si>
    <t>потребление за 2дня</t>
  </si>
  <si>
    <t>бюдж</t>
  </si>
  <si>
    <t>ТГК-14(ТЭЦ2)</t>
  </si>
  <si>
    <t>Тимл завод</t>
  </si>
  <si>
    <t>Хиагда</t>
  </si>
  <si>
    <t>сх</t>
  </si>
  <si>
    <t>всжд</t>
  </si>
  <si>
    <t>РЖД из RB</t>
  </si>
  <si>
    <t>сент</t>
  </si>
  <si>
    <t>окт</t>
  </si>
  <si>
    <t>нояб</t>
  </si>
  <si>
    <t>дек</t>
  </si>
  <si>
    <t>6 дней 2019 года</t>
  </si>
  <si>
    <t>6 дней 2020 года</t>
  </si>
  <si>
    <t>апрель+июнь и 6 дней июля 2019 года</t>
  </si>
  <si>
    <t>апрель+июнь и 6 дней июля 2020 года</t>
  </si>
  <si>
    <t>апрель+май+июнь и 6 дней июля 2019 года</t>
  </si>
  <si>
    <t>апрель+май+июнь и 6 дней июля 2020 года</t>
  </si>
  <si>
    <t>рост по РЖД тяга+СП СЦКК</t>
  </si>
  <si>
    <t>рост/снижение потребления за окт</t>
  </si>
  <si>
    <t>Данные по отпуску в сеть, отпуску из сети и выручке за услуги по передаче электрической энергии за 4 дней октября с разбивкой по группам потребителей, а также с выделением крупных потребителей.</t>
  </si>
  <si>
    <t>ТГК-14 (тимлюйская ТЭЦ)</t>
  </si>
  <si>
    <t>Данные по отпуску в сеть, отпуску из сети и выручке за услуги по передаче электрической энергии за ноябрь 2019, 2020 гг. с разбивкой по группам потребителей, а также с выделением крупных потребителей.</t>
  </si>
  <si>
    <t>декабрь</t>
  </si>
  <si>
    <t>Январь</t>
  </si>
  <si>
    <t>10 дней января</t>
  </si>
  <si>
    <t>дней января</t>
  </si>
  <si>
    <t>Объем потребления за январь 2020 год</t>
  </si>
  <si>
    <t xml:space="preserve">ООО "Трансэнергопром" </t>
  </si>
  <si>
    <t>24 дней 2020 года</t>
  </si>
  <si>
    <t>24 дней 2021 года</t>
  </si>
  <si>
    <t>31 дня января</t>
  </si>
  <si>
    <r>
      <t>Объем потербления за</t>
    </r>
    <r>
      <rPr>
        <sz val="11"/>
        <color rgb="FFFF0000"/>
        <rFont val="Calibri"/>
        <family val="2"/>
        <charset val="204"/>
        <scheme val="minor"/>
      </rPr>
      <t xml:space="preserve"> 31</t>
    </r>
    <r>
      <rPr>
        <b/>
        <sz val="11"/>
        <color rgb="FFFF0000"/>
        <rFont val="Calibri"/>
        <family val="2"/>
        <charset val="204"/>
        <scheme val="minor"/>
      </rPr>
      <t xml:space="preserve"> дня</t>
    </r>
    <r>
      <rPr>
        <b/>
        <sz val="11"/>
        <color theme="1"/>
        <rFont val="Calibri"/>
        <family val="2"/>
        <charset val="204"/>
        <scheme val="minor"/>
      </rPr>
      <t xml:space="preserve"> января 2020год</t>
    </r>
  </si>
  <si>
    <r>
      <t>Объем потребления за</t>
    </r>
    <r>
      <rPr>
        <b/>
        <sz val="11"/>
        <color rgb="FFFF0000"/>
        <rFont val="Calibri"/>
        <family val="2"/>
        <charset val="204"/>
        <scheme val="minor"/>
      </rPr>
      <t xml:space="preserve"> 31 дня</t>
    </r>
    <r>
      <rPr>
        <b/>
        <sz val="11"/>
        <color theme="1"/>
        <rFont val="Calibri"/>
        <family val="2"/>
        <charset val="204"/>
        <scheme val="minor"/>
      </rPr>
      <t xml:space="preserve"> января 2021год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</si>
</sst>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₽_-;\-* #,##0.00\ _₽_-;_-* &quot;-&quot;??\ _₽_-;_-@_-"/>
    <numFmt numFmtId="164" formatCode="_-* #,##0\ _₽_-;\-* #,##0\ _₽_-;_-* &quot;-&quot;??\ _₽_-;_-@_-"/>
    <numFmt numFmtId="165" formatCode="#,##0.000"/>
    <numFmt numFmtId="166" formatCode="#,##0.000000"/>
    <numFmt numFmtId="167" formatCode="0.0000"/>
    <numFmt numFmtId="168" formatCode="0.000"/>
    <numFmt numFmtId="169" formatCode="#,##0.0000"/>
  </numFmts>
  <fonts count="4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color theme="0"/>
      <name val="Calibri"/>
      <family val="2"/>
      <charset val="204"/>
      <scheme val="minor"/>
    </font>
    <font>
      <i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"/>
      <family val="2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9"/>
      <color rgb="FF000000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FF0000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b/>
      <sz val="12"/>
      <color theme="1"/>
      <name val="Arial"/>
      <family val="2"/>
      <charset val="204"/>
    </font>
    <font>
      <b/>
      <u/>
      <sz val="11"/>
      <color rgb="FFFF0000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0"/>
      <color rgb="FFFF0000"/>
      <name val="Times New Roman"/>
      <family val="1"/>
      <charset val="204"/>
    </font>
    <font>
      <sz val="11"/>
      <color rgb="FF00B05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sz val="12"/>
      <name val="Arial"/>
      <family val="2"/>
      <charset val="204"/>
    </font>
    <font>
      <sz val="11"/>
      <color theme="1"/>
      <name val="Calibri"/>
      <family val="2"/>
      <scheme val="minor"/>
    </font>
    <font>
      <sz val="11"/>
      <color rgb="FF7030A0"/>
      <name val="Times New Roman"/>
      <family val="1"/>
      <charset val="204"/>
    </font>
    <font>
      <i/>
      <sz val="10"/>
      <color rgb="FF7030A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color rgb="FFFF0000"/>
      <name val="Arial"/>
      <family val="2"/>
      <charset val="204"/>
    </font>
    <font>
      <sz val="12"/>
      <color indexed="81"/>
      <name val="Tahoma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auto="1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auto="1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hair">
        <color indexed="64"/>
      </bottom>
      <diagonal/>
    </border>
    <border>
      <left/>
      <right style="thin">
        <color auto="1"/>
      </right>
      <top style="thin">
        <color auto="1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auto="1"/>
      </right>
      <top style="hair">
        <color indexed="64"/>
      </top>
      <bottom style="thin">
        <color auto="1"/>
      </bottom>
      <diagonal/>
    </border>
    <border>
      <left/>
      <right style="thin">
        <color auto="1"/>
      </right>
      <top style="hair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hair">
        <color indexed="64"/>
      </top>
      <bottom style="thin">
        <color auto="1"/>
      </bottom>
      <diagonal/>
    </border>
    <border>
      <left style="medium">
        <color indexed="64"/>
      </left>
      <right/>
      <top style="hair">
        <color indexed="64"/>
      </top>
      <bottom style="thin">
        <color auto="1"/>
      </bottom>
      <diagonal/>
    </border>
    <border>
      <left/>
      <right style="medium">
        <color indexed="64"/>
      </right>
      <top style="hair">
        <color indexed="64"/>
      </top>
      <bottom style="thin">
        <color auto="1"/>
      </bottom>
      <diagonal/>
    </border>
    <border>
      <left style="thin">
        <color indexed="64"/>
      </left>
      <right/>
      <top style="hair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hair">
        <color indexed="64"/>
      </bottom>
      <diagonal/>
    </border>
    <border>
      <left/>
      <right style="medium">
        <color indexed="64"/>
      </right>
      <top style="thin">
        <color auto="1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thin">
        <color auto="1"/>
      </bottom>
      <diagonal/>
    </border>
    <border>
      <left/>
      <right/>
      <top style="thin">
        <color auto="1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4" fillId="0" borderId="0"/>
    <xf numFmtId="0" fontId="13" fillId="0" borderId="0"/>
    <xf numFmtId="0" fontId="4" fillId="0" borderId="0"/>
    <xf numFmtId="0" fontId="33" fillId="0" borderId="0"/>
  </cellStyleXfs>
  <cellXfs count="540">
    <xf numFmtId="0" fontId="0" fillId="0" borderId="0" xfId="0"/>
    <xf numFmtId="0" fontId="3" fillId="0" borderId="0" xfId="0" applyFont="1"/>
    <xf numFmtId="0" fontId="3" fillId="0" borderId="0" xfId="0" applyFont="1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right"/>
    </xf>
    <xf numFmtId="14" fontId="0" fillId="2" borderId="0" xfId="0" applyNumberFormat="1" applyFill="1"/>
    <xf numFmtId="14" fontId="2" fillId="0" borderId="0" xfId="0" applyNumberFormat="1" applyFont="1"/>
    <xf numFmtId="14" fontId="7" fillId="0" borderId="0" xfId="0" applyNumberFormat="1" applyFont="1"/>
    <xf numFmtId="0" fontId="0" fillId="0" borderId="0" xfId="0" applyBorder="1"/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6" fillId="0" borderId="23" xfId="3" applyFont="1" applyFill="1" applyBorder="1" applyAlignment="1">
      <alignment horizontal="center"/>
    </xf>
    <xf numFmtId="0" fontId="6" fillId="0" borderId="24" xfId="3" applyFont="1" applyFill="1" applyBorder="1" applyAlignment="1">
      <alignment horizontal="center"/>
    </xf>
    <xf numFmtId="0" fontId="6" fillId="0" borderId="25" xfId="3" applyFont="1" applyFill="1" applyBorder="1" applyAlignment="1">
      <alignment horizontal="center"/>
    </xf>
    <xf numFmtId="0" fontId="6" fillId="0" borderId="26" xfId="3" applyFont="1" applyFill="1" applyBorder="1" applyAlignment="1">
      <alignment horizontal="center"/>
    </xf>
    <xf numFmtId="0" fontId="6" fillId="0" borderId="27" xfId="3" applyFont="1" applyFill="1" applyBorder="1" applyAlignment="1">
      <alignment horizontal="center"/>
    </xf>
    <xf numFmtId="0" fontId="6" fillId="0" borderId="28" xfId="3" applyFont="1" applyFill="1" applyBorder="1" applyAlignment="1">
      <alignment horizontal="center"/>
    </xf>
    <xf numFmtId="0" fontId="6" fillId="0" borderId="0" xfId="3" applyFont="1" applyFill="1" applyBorder="1" applyAlignment="1">
      <alignment horizontal="center"/>
    </xf>
    <xf numFmtId="0" fontId="6" fillId="0" borderId="29" xfId="3" applyFont="1" applyFill="1" applyBorder="1" applyAlignment="1">
      <alignment horizontal="left" vertical="center" wrapText="1" indent="1"/>
    </xf>
    <xf numFmtId="0" fontId="6" fillId="0" borderId="30" xfId="3" applyFont="1" applyFill="1" applyBorder="1" applyAlignment="1">
      <alignment horizontal="left" vertical="center" wrapText="1" indent="1"/>
    </xf>
    <xf numFmtId="0" fontId="6" fillId="0" borderId="31" xfId="3" applyFont="1" applyFill="1" applyBorder="1" applyAlignment="1">
      <alignment horizontal="left" vertical="center"/>
    </xf>
    <xf numFmtId="164" fontId="6" fillId="3" borderId="29" xfId="1" applyNumberFormat="1" applyFont="1" applyFill="1" applyBorder="1" applyAlignment="1">
      <alignment horizontal="right"/>
    </xf>
    <xf numFmtId="164" fontId="6" fillId="3" borderId="32" xfId="1" applyNumberFormat="1" applyFont="1" applyFill="1" applyBorder="1" applyAlignment="1">
      <alignment horizontal="right"/>
    </xf>
    <xf numFmtId="164" fontId="6" fillId="3" borderId="30" xfId="1" applyNumberFormat="1" applyFont="1" applyFill="1" applyBorder="1" applyAlignment="1">
      <alignment horizontal="right"/>
    </xf>
    <xf numFmtId="10" fontId="6" fillId="3" borderId="32" xfId="2" applyNumberFormat="1" applyFont="1" applyFill="1" applyBorder="1" applyAlignment="1">
      <alignment horizontal="right"/>
    </xf>
    <xf numFmtId="164" fontId="6" fillId="3" borderId="33" xfId="1" applyNumberFormat="1" applyFont="1" applyFill="1" applyBorder="1" applyAlignment="1">
      <alignment horizontal="right"/>
    </xf>
    <xf numFmtId="164" fontId="6" fillId="3" borderId="34" xfId="1" applyNumberFormat="1" applyFont="1" applyFill="1" applyBorder="1" applyAlignment="1">
      <alignment horizontal="right"/>
    </xf>
    <xf numFmtId="164" fontId="6" fillId="3" borderId="35" xfId="1" applyNumberFormat="1" applyFont="1" applyFill="1" applyBorder="1" applyAlignment="1">
      <alignment horizontal="right"/>
    </xf>
    <xf numFmtId="16" fontId="5" fillId="0" borderId="36" xfId="3" applyNumberFormat="1" applyFont="1" applyFill="1" applyBorder="1" applyAlignment="1">
      <alignment horizontal="left" vertical="center" wrapText="1" indent="1"/>
    </xf>
    <xf numFmtId="16" fontId="5" fillId="0" borderId="37" xfId="3" applyNumberFormat="1" applyFont="1" applyFill="1" applyBorder="1" applyAlignment="1">
      <alignment horizontal="left" vertical="center" wrapText="1" indent="1"/>
    </xf>
    <xf numFmtId="0" fontId="5" fillId="0" borderId="38" xfId="3" applyFont="1" applyFill="1" applyBorder="1" applyAlignment="1">
      <alignment horizontal="left" vertical="center" indent="1"/>
    </xf>
    <xf numFmtId="164" fontId="5" fillId="0" borderId="36" xfId="1" applyNumberFormat="1" applyFont="1" applyFill="1" applyBorder="1" applyAlignment="1">
      <alignment horizontal="right"/>
    </xf>
    <xf numFmtId="164" fontId="5" fillId="0" borderId="39" xfId="1" applyNumberFormat="1" applyFont="1" applyFill="1" applyBorder="1" applyAlignment="1">
      <alignment horizontal="right"/>
    </xf>
    <xf numFmtId="164" fontId="5" fillId="3" borderId="37" xfId="1" applyNumberFormat="1" applyFont="1" applyFill="1" applyBorder="1" applyAlignment="1">
      <alignment horizontal="right"/>
    </xf>
    <xf numFmtId="10" fontId="5" fillId="3" borderId="39" xfId="1" applyNumberFormat="1" applyFont="1" applyFill="1" applyBorder="1" applyAlignment="1">
      <alignment horizontal="right"/>
    </xf>
    <xf numFmtId="164" fontId="5" fillId="0" borderId="37" xfId="1" applyNumberFormat="1" applyFont="1" applyFill="1" applyBorder="1" applyAlignment="1">
      <alignment horizontal="right"/>
    </xf>
    <xf numFmtId="164" fontId="5" fillId="0" borderId="40" xfId="1" applyNumberFormat="1" applyFont="1" applyFill="1" applyBorder="1" applyAlignment="1">
      <alignment horizontal="right"/>
    </xf>
    <xf numFmtId="164" fontId="5" fillId="0" borderId="0" xfId="1" applyNumberFormat="1" applyFont="1" applyFill="1" applyBorder="1" applyAlignment="1">
      <alignment horizontal="right"/>
    </xf>
    <xf numFmtId="16" fontId="5" fillId="0" borderId="41" xfId="3" applyNumberFormat="1" applyFont="1" applyFill="1" applyBorder="1" applyAlignment="1">
      <alignment horizontal="left" vertical="center" wrapText="1" indent="1"/>
    </xf>
    <xf numFmtId="16" fontId="5" fillId="0" borderId="42" xfId="3" applyNumberFormat="1" applyFont="1" applyFill="1" applyBorder="1" applyAlignment="1">
      <alignment horizontal="left" vertical="center" wrapText="1" indent="1"/>
    </xf>
    <xf numFmtId="0" fontId="5" fillId="0" borderId="43" xfId="3" applyFont="1" applyFill="1" applyBorder="1" applyAlignment="1">
      <alignment horizontal="left" vertical="center" indent="1"/>
    </xf>
    <xf numFmtId="164" fontId="5" fillId="0" borderId="41" xfId="1" applyNumberFormat="1" applyFont="1" applyFill="1" applyBorder="1" applyAlignment="1">
      <alignment horizontal="right"/>
    </xf>
    <xf numFmtId="164" fontId="5" fillId="0" borderId="44" xfId="1" applyNumberFormat="1" applyFont="1" applyFill="1" applyBorder="1" applyAlignment="1">
      <alignment horizontal="right"/>
    </xf>
    <xf numFmtId="164" fontId="5" fillId="3" borderId="42" xfId="1" applyNumberFormat="1" applyFont="1" applyFill="1" applyBorder="1" applyAlignment="1">
      <alignment horizontal="right"/>
    </xf>
    <xf numFmtId="10" fontId="5" fillId="3" borderId="44" xfId="1" applyNumberFormat="1" applyFont="1" applyFill="1" applyBorder="1" applyAlignment="1">
      <alignment horizontal="right"/>
    </xf>
    <xf numFmtId="164" fontId="5" fillId="0" borderId="42" xfId="1" applyNumberFormat="1" applyFont="1" applyFill="1" applyBorder="1" applyAlignment="1">
      <alignment horizontal="right"/>
    </xf>
    <xf numFmtId="164" fontId="5" fillId="0" borderId="45" xfId="1" applyNumberFormat="1" applyFont="1" applyFill="1" applyBorder="1" applyAlignment="1">
      <alignment horizontal="right"/>
    </xf>
    <xf numFmtId="0" fontId="6" fillId="0" borderId="33" xfId="3" applyFont="1" applyFill="1" applyBorder="1" applyAlignment="1">
      <alignment horizontal="left" vertical="center" wrapText="1" indent="1"/>
    </xf>
    <xf numFmtId="0" fontId="6" fillId="0" borderId="34" xfId="3" applyFont="1" applyFill="1" applyBorder="1" applyAlignment="1">
      <alignment horizontal="left" vertical="center" wrapText="1" indent="1"/>
    </xf>
    <xf numFmtId="0" fontId="6" fillId="0" borderId="46" xfId="3" applyFont="1" applyFill="1" applyBorder="1" applyAlignment="1">
      <alignment horizontal="left" vertical="center"/>
    </xf>
    <xf numFmtId="164" fontId="6" fillId="3" borderId="47" xfId="1" applyNumberFormat="1" applyFont="1" applyFill="1" applyBorder="1" applyAlignment="1">
      <alignment horizontal="right"/>
    </xf>
    <xf numFmtId="10" fontId="6" fillId="3" borderId="47" xfId="1" applyNumberFormat="1" applyFont="1" applyFill="1" applyBorder="1" applyAlignment="1">
      <alignment horizontal="right"/>
    </xf>
    <xf numFmtId="0" fontId="5" fillId="0" borderId="29" xfId="3" applyFont="1" applyFill="1" applyBorder="1" applyAlignment="1">
      <alignment horizontal="left" vertical="center" wrapText="1" indent="1"/>
    </xf>
    <xf numFmtId="0" fontId="5" fillId="0" borderId="30" xfId="3" applyFont="1" applyFill="1" applyBorder="1" applyAlignment="1">
      <alignment horizontal="left" vertical="center" wrapText="1" indent="1"/>
    </xf>
    <xf numFmtId="0" fontId="8" fillId="0" borderId="31" xfId="3" applyFont="1" applyFill="1" applyBorder="1" applyAlignment="1">
      <alignment horizontal="left" vertical="center" indent="1"/>
    </xf>
    <xf numFmtId="164" fontId="5" fillId="3" borderId="29" xfId="1" applyNumberFormat="1" applyFont="1" applyFill="1" applyBorder="1" applyAlignment="1">
      <alignment horizontal="right"/>
    </xf>
    <xf numFmtId="164" fontId="5" fillId="3" borderId="32" xfId="1" applyNumberFormat="1" applyFont="1" applyFill="1" applyBorder="1" applyAlignment="1">
      <alignment horizontal="right"/>
    </xf>
    <xf numFmtId="164" fontId="5" fillId="3" borderId="30" xfId="1" applyNumberFormat="1" applyFont="1" applyFill="1" applyBorder="1" applyAlignment="1">
      <alignment horizontal="right"/>
    </xf>
    <xf numFmtId="10" fontId="5" fillId="3" borderId="32" xfId="1" applyNumberFormat="1" applyFont="1" applyFill="1" applyBorder="1" applyAlignment="1">
      <alignment horizontal="right"/>
    </xf>
    <xf numFmtId="164" fontId="5" fillId="3" borderId="48" xfId="1" applyNumberFormat="1" applyFont="1" applyFill="1" applyBorder="1" applyAlignment="1">
      <alignment horizontal="right"/>
    </xf>
    <xf numFmtId="0" fontId="5" fillId="0" borderId="38" xfId="3" applyFont="1" applyFill="1" applyBorder="1" applyAlignment="1">
      <alignment horizontal="left" vertical="center" indent="2"/>
    </xf>
    <xf numFmtId="0" fontId="8" fillId="0" borderId="43" xfId="3" applyFont="1" applyFill="1" applyBorder="1" applyAlignment="1">
      <alignment horizontal="left" vertical="center" indent="1"/>
    </xf>
    <xf numFmtId="0" fontId="8" fillId="0" borderId="29" xfId="3" applyFont="1" applyFill="1" applyBorder="1" applyAlignment="1">
      <alignment horizontal="left" vertical="center" wrapText="1" indent="1"/>
    </xf>
    <xf numFmtId="0" fontId="8" fillId="0" borderId="30" xfId="3" applyFont="1" applyFill="1" applyBorder="1" applyAlignment="1">
      <alignment horizontal="left" vertical="center" wrapText="1" indent="1"/>
    </xf>
    <xf numFmtId="0" fontId="6" fillId="0" borderId="13" xfId="3" applyFont="1" applyFill="1" applyBorder="1" applyAlignment="1">
      <alignment horizontal="left" vertical="center" wrapText="1" indent="1"/>
    </xf>
    <xf numFmtId="0" fontId="6" fillId="0" borderId="14" xfId="3" applyFont="1" applyFill="1" applyBorder="1" applyAlignment="1">
      <alignment horizontal="left" vertical="center" wrapText="1" indent="1"/>
    </xf>
    <xf numFmtId="0" fontId="6" fillId="0" borderId="0" xfId="3" applyFont="1" applyFill="1" applyBorder="1" applyAlignment="1">
      <alignment horizontal="left" vertical="center"/>
    </xf>
    <xf numFmtId="164" fontId="6" fillId="0" borderId="13" xfId="1" applyNumberFormat="1" applyFont="1" applyFill="1" applyBorder="1" applyAlignment="1">
      <alignment horizontal="right"/>
    </xf>
    <xf numFmtId="164" fontId="6" fillId="0" borderId="15" xfId="1" applyNumberFormat="1" applyFont="1" applyFill="1" applyBorder="1" applyAlignment="1">
      <alignment horizontal="right"/>
    </xf>
    <xf numFmtId="164" fontId="6" fillId="3" borderId="14" xfId="1" applyNumberFormat="1" applyFont="1" applyFill="1" applyBorder="1" applyAlignment="1">
      <alignment horizontal="right"/>
    </xf>
    <xf numFmtId="10" fontId="6" fillId="3" borderId="15" xfId="1" applyNumberFormat="1" applyFont="1" applyFill="1" applyBorder="1" applyAlignment="1">
      <alignment horizontal="right"/>
    </xf>
    <xf numFmtId="164" fontId="6" fillId="0" borderId="14" xfId="1" applyNumberFormat="1" applyFont="1" applyFill="1" applyBorder="1" applyAlignment="1">
      <alignment horizontal="right"/>
    </xf>
    <xf numFmtId="164" fontId="6" fillId="0" borderId="49" xfId="1" applyNumberFormat="1" applyFont="1" applyFill="1" applyBorder="1" applyAlignment="1">
      <alignment horizontal="right"/>
    </xf>
    <xf numFmtId="0" fontId="8" fillId="0" borderId="31" xfId="3" applyFont="1" applyFill="1" applyBorder="1" applyAlignment="1">
      <alignment horizontal="left" vertical="center" indent="2"/>
    </xf>
    <xf numFmtId="0" fontId="5" fillId="0" borderId="38" xfId="3" applyFont="1" applyFill="1" applyBorder="1" applyAlignment="1">
      <alignment horizontal="left" vertical="center" indent="3"/>
    </xf>
    <xf numFmtId="16" fontId="8" fillId="0" borderId="36" xfId="3" applyNumberFormat="1" applyFont="1" applyFill="1" applyBorder="1" applyAlignment="1">
      <alignment horizontal="left" vertical="center" wrapText="1" indent="1"/>
    </xf>
    <xf numFmtId="16" fontId="8" fillId="0" borderId="37" xfId="3" applyNumberFormat="1" applyFont="1" applyFill="1" applyBorder="1" applyAlignment="1">
      <alignment horizontal="left" vertical="center" wrapText="1" indent="1"/>
    </xf>
    <xf numFmtId="0" fontId="8" fillId="0" borderId="38" xfId="3" applyFont="1" applyFill="1" applyBorder="1" applyAlignment="1">
      <alignment horizontal="left" vertical="center" indent="2"/>
    </xf>
    <xf numFmtId="16" fontId="8" fillId="0" borderId="41" xfId="3" applyNumberFormat="1" applyFont="1" applyFill="1" applyBorder="1" applyAlignment="1">
      <alignment horizontal="left" vertical="center" wrapText="1" indent="1"/>
    </xf>
    <xf numFmtId="16" fontId="8" fillId="0" borderId="42" xfId="3" applyNumberFormat="1" applyFont="1" applyFill="1" applyBorder="1" applyAlignment="1">
      <alignment horizontal="left" vertical="center" wrapText="1" indent="1"/>
    </xf>
    <xf numFmtId="0" fontId="6" fillId="0" borderId="50" xfId="3" applyFont="1" applyFill="1" applyBorder="1" applyAlignment="1">
      <alignment horizontal="left" vertical="center" wrapText="1" indent="1"/>
    </xf>
    <xf numFmtId="0" fontId="6" fillId="0" borderId="51" xfId="3" applyFont="1" applyFill="1" applyBorder="1" applyAlignment="1">
      <alignment horizontal="left" vertical="center" wrapText="1" indent="1"/>
    </xf>
    <xf numFmtId="0" fontId="6" fillId="0" borderId="52" xfId="3" applyFont="1" applyFill="1" applyBorder="1" applyAlignment="1">
      <alignment horizontal="left" vertical="center"/>
    </xf>
    <xf numFmtId="164" fontId="6" fillId="0" borderId="50" xfId="1" applyNumberFormat="1" applyFont="1" applyFill="1" applyBorder="1" applyAlignment="1">
      <alignment horizontal="right"/>
    </xf>
    <xf numFmtId="164" fontId="6" fillId="0" borderId="53" xfId="1" applyNumberFormat="1" applyFont="1" applyFill="1" applyBorder="1" applyAlignment="1">
      <alignment horizontal="right"/>
    </xf>
    <xf numFmtId="164" fontId="6" fillId="3" borderId="51" xfId="1" applyNumberFormat="1" applyFont="1" applyFill="1" applyBorder="1" applyAlignment="1">
      <alignment horizontal="right"/>
    </xf>
    <xf numFmtId="10" fontId="6" fillId="3" borderId="53" xfId="1" applyNumberFormat="1" applyFont="1" applyFill="1" applyBorder="1" applyAlignment="1">
      <alignment horizontal="right"/>
    </xf>
    <xf numFmtId="164" fontId="6" fillId="0" borderId="51" xfId="1" applyNumberFormat="1" applyFont="1" applyFill="1" applyBorder="1" applyAlignment="1">
      <alignment horizontal="right"/>
    </xf>
    <xf numFmtId="164" fontId="6" fillId="0" borderId="54" xfId="1" applyNumberFormat="1" applyFont="1" applyFill="1" applyBorder="1" applyAlignment="1">
      <alignment horizontal="right"/>
    </xf>
    <xf numFmtId="0" fontId="9" fillId="0" borderId="33" xfId="3" applyFont="1" applyFill="1" applyBorder="1" applyAlignment="1">
      <alignment horizontal="left" vertical="center" wrapText="1" indent="1"/>
    </xf>
    <xf numFmtId="0" fontId="9" fillId="0" borderId="34" xfId="3" applyFont="1" applyFill="1" applyBorder="1" applyAlignment="1">
      <alignment horizontal="left" vertical="center" wrapText="1" indent="1"/>
    </xf>
    <xf numFmtId="0" fontId="9" fillId="0" borderId="46" xfId="3" applyFont="1" applyFill="1" applyBorder="1" applyAlignment="1">
      <alignment horizontal="left" vertical="center"/>
    </xf>
    <xf numFmtId="0" fontId="5" fillId="0" borderId="36" xfId="3" applyFont="1" applyFill="1" applyBorder="1" applyAlignment="1">
      <alignment horizontal="left" vertical="center" wrapText="1" indent="1"/>
    </xf>
    <xf numFmtId="0" fontId="5" fillId="0" borderId="37" xfId="3" applyFont="1" applyFill="1" applyBorder="1" applyAlignment="1">
      <alignment horizontal="left" vertical="center" wrapText="1" indent="1"/>
    </xf>
    <xf numFmtId="0" fontId="8" fillId="0" borderId="38" xfId="3" applyFont="1" applyFill="1" applyBorder="1" applyAlignment="1">
      <alignment horizontal="left" vertical="center" indent="1"/>
    </xf>
    <xf numFmtId="164" fontId="5" fillId="3" borderId="36" xfId="1" applyNumberFormat="1" applyFont="1" applyFill="1" applyBorder="1" applyAlignment="1">
      <alignment horizontal="right"/>
    </xf>
    <xf numFmtId="164" fontId="5" fillId="3" borderId="39" xfId="1" applyNumberFormat="1" applyFont="1" applyFill="1" applyBorder="1" applyAlignment="1">
      <alignment horizontal="right"/>
    </xf>
    <xf numFmtId="164" fontId="5" fillId="3" borderId="40" xfId="1" applyNumberFormat="1" applyFont="1" applyFill="1" applyBorder="1" applyAlignment="1">
      <alignment horizontal="right"/>
    </xf>
    <xf numFmtId="14" fontId="5" fillId="0" borderId="36" xfId="3" applyNumberFormat="1" applyFont="1" applyFill="1" applyBorder="1" applyAlignment="1">
      <alignment horizontal="left" vertical="center" wrapText="1" indent="1"/>
    </xf>
    <xf numFmtId="14" fontId="5" fillId="0" borderId="37" xfId="3" applyNumberFormat="1" applyFont="1" applyFill="1" applyBorder="1" applyAlignment="1">
      <alignment horizontal="left" vertical="center" wrapText="1" indent="1"/>
    </xf>
    <xf numFmtId="0" fontId="8" fillId="0" borderId="36" xfId="3" applyFont="1" applyFill="1" applyBorder="1" applyAlignment="1">
      <alignment horizontal="left" vertical="center" wrapText="1" indent="1"/>
    </xf>
    <xf numFmtId="0" fontId="8" fillId="0" borderId="37" xfId="3" applyFont="1" applyFill="1" applyBorder="1" applyAlignment="1">
      <alignment horizontal="left" vertical="center" wrapText="1" indent="1"/>
    </xf>
    <xf numFmtId="164" fontId="6" fillId="3" borderId="50" xfId="1" applyNumberFormat="1" applyFont="1" applyFill="1" applyBorder="1" applyAlignment="1">
      <alignment horizontal="right"/>
    </xf>
    <xf numFmtId="164" fontId="6" fillId="3" borderId="53" xfId="1" applyNumberFormat="1" applyFont="1" applyFill="1" applyBorder="1" applyAlignment="1">
      <alignment horizontal="right"/>
    </xf>
    <xf numFmtId="164" fontId="6" fillId="3" borderId="54" xfId="1" applyNumberFormat="1" applyFont="1" applyFill="1" applyBorder="1" applyAlignment="1">
      <alignment horizontal="right"/>
    </xf>
    <xf numFmtId="0" fontId="6" fillId="0" borderId="52" xfId="3" applyFont="1" applyFill="1" applyBorder="1" applyAlignment="1">
      <alignment horizontal="left"/>
    </xf>
    <xf numFmtId="0" fontId="11" fillId="0" borderId="0" xfId="4" applyFont="1"/>
    <xf numFmtId="0" fontId="5" fillId="0" borderId="0" xfId="4" applyFont="1"/>
    <xf numFmtId="14" fontId="6" fillId="0" borderId="0" xfId="4" applyNumberFormat="1" applyFont="1"/>
    <xf numFmtId="0" fontId="12" fillId="0" borderId="0" xfId="4" applyFont="1"/>
    <xf numFmtId="0" fontId="5" fillId="0" borderId="24" xfId="5" applyFont="1" applyBorder="1" applyAlignment="1">
      <alignment horizontal="center" vertical="center" wrapText="1"/>
    </xf>
    <xf numFmtId="0" fontId="5" fillId="0" borderId="62" xfId="5" applyFont="1" applyBorder="1" applyAlignment="1">
      <alignment horizontal="center" vertical="center" wrapText="1"/>
    </xf>
    <xf numFmtId="0" fontId="5" fillId="0" borderId="50" xfId="4" applyFont="1" applyBorder="1" applyAlignment="1">
      <alignment horizontal="center" vertical="center"/>
    </xf>
    <xf numFmtId="0" fontId="5" fillId="0" borderId="53" xfId="4" applyFont="1" applyBorder="1" applyAlignment="1">
      <alignment horizontal="center" vertical="center"/>
    </xf>
    <xf numFmtId="0" fontId="5" fillId="0" borderId="51" xfId="4" applyFont="1" applyBorder="1" applyAlignment="1">
      <alignment horizontal="center" vertical="center"/>
    </xf>
    <xf numFmtId="0" fontId="5" fillId="0" borderId="54" xfId="4" applyFont="1" applyBorder="1" applyAlignment="1">
      <alignment horizontal="center" vertical="center"/>
    </xf>
    <xf numFmtId="0" fontId="5" fillId="0" borderId="63" xfId="5" applyFont="1" applyBorder="1" applyAlignment="1">
      <alignment horizontal="center" vertical="center"/>
    </xf>
    <xf numFmtId="0" fontId="5" fillId="0" borderId="51" xfId="5" applyFont="1" applyBorder="1" applyAlignment="1">
      <alignment horizontal="center" vertical="center"/>
    </xf>
    <xf numFmtId="0" fontId="5" fillId="0" borderId="52" xfId="5" applyFont="1" applyBorder="1" applyAlignment="1">
      <alignment horizontal="center" vertical="center"/>
    </xf>
    <xf numFmtId="0" fontId="5" fillId="0" borderId="64" xfId="5" applyFont="1" applyBorder="1" applyAlignment="1">
      <alignment horizontal="center" vertical="center"/>
    </xf>
    <xf numFmtId="0" fontId="12" fillId="4" borderId="65" xfId="4" applyFont="1" applyFill="1" applyBorder="1"/>
    <xf numFmtId="0" fontId="12" fillId="4" borderId="66" xfId="4" applyFont="1" applyFill="1" applyBorder="1"/>
    <xf numFmtId="0" fontId="12" fillId="4" borderId="67" xfId="4" applyFont="1" applyFill="1" applyBorder="1" applyAlignment="1">
      <alignment horizontal="left" indent="1"/>
    </xf>
    <xf numFmtId="0" fontId="12" fillId="4" borderId="68" xfId="4" applyFont="1" applyFill="1" applyBorder="1" applyAlignment="1">
      <alignment wrapText="1"/>
    </xf>
    <xf numFmtId="165" fontId="12" fillId="5" borderId="33" xfId="4" applyNumberFormat="1" applyFont="1" applyFill="1" applyBorder="1"/>
    <xf numFmtId="165" fontId="12" fillId="4" borderId="34" xfId="4" applyNumberFormat="1" applyFont="1" applyFill="1" applyBorder="1"/>
    <xf numFmtId="10" fontId="12" fillId="4" borderId="69" xfId="4" applyNumberFormat="1" applyFont="1" applyFill="1" applyBorder="1"/>
    <xf numFmtId="165" fontId="12" fillId="4" borderId="47" xfId="4" applyNumberFormat="1" applyFont="1" applyFill="1" applyBorder="1"/>
    <xf numFmtId="165" fontId="12" fillId="4" borderId="70" xfId="4" applyNumberFormat="1" applyFont="1" applyFill="1" applyBorder="1"/>
    <xf numFmtId="10" fontId="12" fillId="4" borderId="35" xfId="4" applyNumberFormat="1" applyFont="1" applyFill="1" applyBorder="1"/>
    <xf numFmtId="0" fontId="14" fillId="0" borderId="0" xfId="0" applyFont="1"/>
    <xf numFmtId="16" fontId="15" fillId="6" borderId="36" xfId="4" applyNumberFormat="1" applyFont="1" applyFill="1" applyBorder="1"/>
    <xf numFmtId="16" fontId="15" fillId="6" borderId="39" xfId="4" applyNumberFormat="1" applyFont="1" applyFill="1" applyBorder="1"/>
    <xf numFmtId="0" fontId="15" fillId="6" borderId="37" xfId="4" applyFont="1" applyFill="1" applyBorder="1" applyAlignment="1">
      <alignment horizontal="left" indent="1"/>
    </xf>
    <xf numFmtId="0" fontId="15" fillId="6" borderId="40" xfId="4" applyFont="1" applyFill="1" applyBorder="1" applyAlignment="1">
      <alignment horizontal="left" wrapText="1" indent="1"/>
    </xf>
    <xf numFmtId="165" fontId="15" fillId="7" borderId="71" xfId="4" applyNumberFormat="1" applyFont="1" applyFill="1" applyBorder="1"/>
    <xf numFmtId="165" fontId="15" fillId="7" borderId="37" xfId="4" applyNumberFormat="1" applyFont="1" applyFill="1" applyBorder="1"/>
    <xf numFmtId="10" fontId="15" fillId="7" borderId="72" xfId="4" applyNumberFormat="1" applyFont="1" applyFill="1" applyBorder="1"/>
    <xf numFmtId="165" fontId="15" fillId="6" borderId="39" xfId="4" applyNumberFormat="1" applyFont="1" applyFill="1" applyBorder="1"/>
    <xf numFmtId="165" fontId="15" fillId="6" borderId="37" xfId="4" applyNumberFormat="1" applyFont="1" applyFill="1" applyBorder="1"/>
    <xf numFmtId="10" fontId="15" fillId="6" borderId="72" xfId="4" applyNumberFormat="1" applyFont="1" applyFill="1" applyBorder="1"/>
    <xf numFmtId="165" fontId="15" fillId="6" borderId="73" xfId="4" applyNumberFormat="1" applyFont="1" applyFill="1" applyBorder="1"/>
    <xf numFmtId="10" fontId="15" fillId="6" borderId="40" xfId="4" applyNumberFormat="1" applyFont="1" applyFill="1" applyBorder="1"/>
    <xf numFmtId="16" fontId="15" fillId="6" borderId="74" xfId="4" applyNumberFormat="1" applyFont="1" applyFill="1" applyBorder="1"/>
    <xf numFmtId="16" fontId="15" fillId="6" borderId="75" xfId="4" applyNumberFormat="1" applyFont="1" applyFill="1" applyBorder="1"/>
    <xf numFmtId="0" fontId="15" fillId="6" borderId="76" xfId="4" applyFont="1" applyFill="1" applyBorder="1" applyAlignment="1">
      <alignment horizontal="left" indent="1"/>
    </xf>
    <xf numFmtId="0" fontId="15" fillId="6" borderId="77" xfId="4" applyFont="1" applyFill="1" applyBorder="1" applyAlignment="1">
      <alignment horizontal="left" wrapText="1" indent="1"/>
    </xf>
    <xf numFmtId="165" fontId="15" fillId="7" borderId="78" xfId="4" applyNumberFormat="1" applyFont="1" applyFill="1" applyBorder="1"/>
    <xf numFmtId="165" fontId="15" fillId="7" borderId="76" xfId="4" applyNumberFormat="1" applyFont="1" applyFill="1" applyBorder="1"/>
    <xf numFmtId="10" fontId="15" fillId="7" borderId="79" xfId="4" applyNumberFormat="1" applyFont="1" applyFill="1" applyBorder="1"/>
    <xf numFmtId="165" fontId="15" fillId="6" borderId="75" xfId="4" applyNumberFormat="1" applyFont="1" applyFill="1" applyBorder="1"/>
    <xf numFmtId="165" fontId="15" fillId="6" borderId="76" xfId="4" applyNumberFormat="1" applyFont="1" applyFill="1" applyBorder="1"/>
    <xf numFmtId="10" fontId="15" fillId="6" borderId="79" xfId="4" applyNumberFormat="1" applyFont="1" applyFill="1" applyBorder="1"/>
    <xf numFmtId="165" fontId="15" fillId="6" borderId="80" xfId="4" applyNumberFormat="1" applyFont="1" applyFill="1" applyBorder="1"/>
    <xf numFmtId="10" fontId="15" fillId="6" borderId="77" xfId="4" applyNumberFormat="1" applyFont="1" applyFill="1" applyBorder="1"/>
    <xf numFmtId="0" fontId="12" fillId="6" borderId="65" xfId="4" applyFont="1" applyFill="1" applyBorder="1"/>
    <xf numFmtId="0" fontId="12" fillId="6" borderId="66" xfId="4" applyFont="1" applyFill="1" applyBorder="1"/>
    <xf numFmtId="16" fontId="12" fillId="6" borderId="66" xfId="4" applyNumberFormat="1" applyFont="1" applyFill="1" applyBorder="1"/>
    <xf numFmtId="0" fontId="12" fillId="6" borderId="67" xfId="4" applyFont="1" applyFill="1" applyBorder="1" applyAlignment="1">
      <alignment horizontal="left" indent="1"/>
    </xf>
    <xf numFmtId="0" fontId="12" fillId="6" borderId="68" xfId="4" applyFont="1" applyFill="1" applyBorder="1" applyAlignment="1">
      <alignment wrapText="1"/>
    </xf>
    <xf numFmtId="165" fontId="12" fillId="6" borderId="67" xfId="4" applyNumberFormat="1" applyFont="1" applyFill="1" applyBorder="1"/>
    <xf numFmtId="10" fontId="12" fillId="6" borderId="82" xfId="4" applyNumberFormat="1" applyFont="1" applyFill="1" applyBorder="1"/>
    <xf numFmtId="165" fontId="12" fillId="6" borderId="66" xfId="4" applyNumberFormat="1" applyFont="1" applyFill="1" applyBorder="1"/>
    <xf numFmtId="165" fontId="12" fillId="6" borderId="83" xfId="4" applyNumberFormat="1" applyFont="1" applyFill="1" applyBorder="1"/>
    <xf numFmtId="10" fontId="12" fillId="6" borderId="68" xfId="4" applyNumberFormat="1" applyFont="1" applyFill="1" applyBorder="1"/>
    <xf numFmtId="16" fontId="15" fillId="3" borderId="36" xfId="4" applyNumberFormat="1" applyFont="1" applyFill="1" applyBorder="1"/>
    <xf numFmtId="16" fontId="15" fillId="3" borderId="39" xfId="4" applyNumberFormat="1" applyFont="1" applyFill="1" applyBorder="1"/>
    <xf numFmtId="0" fontId="15" fillId="3" borderId="37" xfId="4" applyFont="1" applyFill="1" applyBorder="1" applyAlignment="1">
      <alignment horizontal="left" indent="1"/>
    </xf>
    <xf numFmtId="0" fontId="15" fillId="3" borderId="40" xfId="4" applyFont="1" applyFill="1" applyBorder="1" applyAlignment="1">
      <alignment horizontal="left" wrapText="1" indent="1"/>
    </xf>
    <xf numFmtId="165" fontId="15" fillId="3" borderId="39" xfId="4" applyNumberFormat="1" applyFont="1" applyFill="1" applyBorder="1"/>
    <xf numFmtId="165" fontId="15" fillId="3" borderId="37" xfId="4" applyNumberFormat="1" applyFont="1" applyFill="1" applyBorder="1"/>
    <xf numFmtId="10" fontId="15" fillId="3" borderId="72" xfId="4" applyNumberFormat="1" applyFont="1" applyFill="1" applyBorder="1"/>
    <xf numFmtId="165" fontId="15" fillId="3" borderId="73" xfId="4" applyNumberFormat="1" applyFont="1" applyFill="1" applyBorder="1"/>
    <xf numFmtId="10" fontId="15" fillId="3" borderId="40" xfId="4" applyNumberFormat="1" applyFont="1" applyFill="1" applyBorder="1"/>
    <xf numFmtId="14" fontId="5" fillId="0" borderId="36" xfId="4" applyNumberFormat="1" applyFont="1" applyBorder="1"/>
    <xf numFmtId="14" fontId="5" fillId="0" borderId="39" xfId="4" applyNumberFormat="1" applyFont="1" applyBorder="1"/>
    <xf numFmtId="0" fontId="5" fillId="0" borderId="37" xfId="4" applyFont="1" applyBorder="1" applyAlignment="1">
      <alignment horizontal="left" indent="1"/>
    </xf>
    <xf numFmtId="0" fontId="8" fillId="0" borderId="40" xfId="4" applyFont="1" applyFill="1" applyBorder="1" applyAlignment="1">
      <alignment horizontal="left" wrapText="1" indent="3"/>
    </xf>
    <xf numFmtId="165" fontId="8" fillId="7" borderId="71" xfId="4" applyNumberFormat="1" applyFont="1" applyFill="1" applyBorder="1"/>
    <xf numFmtId="165" fontId="8" fillId="7" borderId="37" xfId="4" applyNumberFormat="1" applyFont="1" applyFill="1" applyBorder="1"/>
    <xf numFmtId="10" fontId="8" fillId="7" borderId="72" xfId="4" applyNumberFormat="1" applyFont="1" applyFill="1" applyBorder="1"/>
    <xf numFmtId="165" fontId="8" fillId="0" borderId="39" xfId="4" applyNumberFormat="1" applyFont="1" applyBorder="1"/>
    <xf numFmtId="165" fontId="8" fillId="0" borderId="37" xfId="4" applyNumberFormat="1" applyFont="1" applyBorder="1"/>
    <xf numFmtId="10" fontId="8" fillId="0" borderId="72" xfId="4" applyNumberFormat="1" applyFont="1" applyBorder="1"/>
    <xf numFmtId="165" fontId="8" fillId="0" borderId="73" xfId="4" applyNumberFormat="1" applyFont="1" applyBorder="1"/>
    <xf numFmtId="10" fontId="8" fillId="0" borderId="40" xfId="4" applyNumberFormat="1" applyFont="1" applyBorder="1"/>
    <xf numFmtId="165" fontId="8" fillId="8" borderId="39" xfId="4" applyNumberFormat="1" applyFont="1" applyFill="1" applyBorder="1"/>
    <xf numFmtId="165" fontId="8" fillId="8" borderId="37" xfId="4" applyNumberFormat="1" applyFont="1" applyFill="1" applyBorder="1"/>
    <xf numFmtId="0" fontId="8" fillId="0" borderId="40" xfId="4" applyFont="1" applyBorder="1" applyAlignment="1">
      <alignment horizontal="left" wrapText="1" indent="3"/>
    </xf>
    <xf numFmtId="165" fontId="15" fillId="0" borderId="39" xfId="4" applyNumberFormat="1" applyFont="1" applyFill="1" applyBorder="1"/>
    <xf numFmtId="165" fontId="15" fillId="0" borderId="37" xfId="4" applyNumberFormat="1" applyFont="1" applyFill="1" applyBorder="1"/>
    <xf numFmtId="10" fontId="15" fillId="0" borderId="72" xfId="4" applyNumberFormat="1" applyFont="1" applyFill="1" applyBorder="1"/>
    <xf numFmtId="165" fontId="15" fillId="0" borderId="73" xfId="4" applyNumberFormat="1" applyFont="1" applyFill="1" applyBorder="1"/>
    <xf numFmtId="10" fontId="15" fillId="0" borderId="40" xfId="4" applyNumberFormat="1" applyFont="1" applyFill="1" applyBorder="1"/>
    <xf numFmtId="14" fontId="5" fillId="0" borderId="74" xfId="4" applyNumberFormat="1" applyFont="1" applyBorder="1"/>
    <xf numFmtId="14" fontId="5" fillId="0" borderId="75" xfId="4" applyNumberFormat="1" applyFont="1" applyBorder="1"/>
    <xf numFmtId="0" fontId="5" fillId="0" borderId="76" xfId="4" applyFont="1" applyBorder="1" applyAlignment="1">
      <alignment horizontal="left" indent="1"/>
    </xf>
    <xf numFmtId="0" fontId="8" fillId="0" borderId="77" xfId="4" applyFont="1" applyBorder="1" applyAlignment="1">
      <alignment horizontal="left" wrapText="1" indent="3"/>
    </xf>
    <xf numFmtId="165" fontId="8" fillId="7" borderId="84" xfId="4" applyNumberFormat="1" applyFont="1" applyFill="1" applyBorder="1"/>
    <xf numFmtId="165" fontId="8" fillId="7" borderId="42" xfId="4" applyNumberFormat="1" applyFont="1" applyFill="1" applyBorder="1"/>
    <xf numFmtId="10" fontId="8" fillId="7" borderId="85" xfId="4" applyNumberFormat="1" applyFont="1" applyFill="1" applyBorder="1"/>
    <xf numFmtId="165" fontId="8" fillId="0" borderId="44" xfId="4" applyNumberFormat="1" applyFont="1" applyBorder="1"/>
    <xf numFmtId="165" fontId="8" fillId="0" borderId="42" xfId="4" applyNumberFormat="1" applyFont="1" applyBorder="1"/>
    <xf numFmtId="10" fontId="8" fillId="0" borderId="85" xfId="4" applyNumberFormat="1" applyFont="1" applyBorder="1"/>
    <xf numFmtId="165" fontId="8" fillId="0" borderId="86" xfId="4" applyNumberFormat="1" applyFont="1" applyBorder="1"/>
    <xf numFmtId="10" fontId="8" fillId="0" borderId="45" xfId="4" applyNumberFormat="1" applyFont="1" applyBorder="1"/>
    <xf numFmtId="165" fontId="12" fillId="0" borderId="81" xfId="4" applyNumberFormat="1" applyFont="1" applyFill="1" applyBorder="1"/>
    <xf numFmtId="165" fontId="12" fillId="0" borderId="67" xfId="4" applyNumberFormat="1" applyFont="1" applyFill="1" applyBorder="1"/>
    <xf numFmtId="165" fontId="8" fillId="0" borderId="37" xfId="4" applyNumberFormat="1" applyFont="1" applyFill="1" applyBorder="1"/>
    <xf numFmtId="165" fontId="15" fillId="9" borderId="36" xfId="4" applyNumberFormat="1" applyFont="1" applyFill="1" applyBorder="1"/>
    <xf numFmtId="0" fontId="5" fillId="0" borderId="88" xfId="5" applyFont="1" applyBorder="1" applyAlignment="1">
      <alignment horizontal="center" vertical="center" wrapText="1"/>
    </xf>
    <xf numFmtId="0" fontId="5" fillId="0" borderId="89" xfId="5" applyFont="1" applyBorder="1" applyAlignment="1">
      <alignment horizontal="center" vertical="center" wrapText="1"/>
    </xf>
    <xf numFmtId="0" fontId="5" fillId="0" borderId="27" xfId="5" applyFont="1" applyBorder="1" applyAlignment="1">
      <alignment horizontal="center" vertical="center" wrapText="1"/>
    </xf>
    <xf numFmtId="0" fontId="5" fillId="0" borderId="28" xfId="5" applyFont="1" applyBorder="1" applyAlignment="1">
      <alignment horizontal="center" vertical="center" wrapText="1"/>
    </xf>
    <xf numFmtId="165" fontId="12" fillId="4" borderId="90" xfId="4" applyNumberFormat="1" applyFont="1" applyFill="1" applyBorder="1"/>
    <xf numFmtId="10" fontId="12" fillId="4" borderId="70" xfId="4" applyNumberFormat="1" applyFont="1" applyFill="1" applyBorder="1"/>
    <xf numFmtId="10" fontId="15" fillId="6" borderId="73" xfId="4" applyNumberFormat="1" applyFont="1" applyFill="1" applyBorder="1"/>
    <xf numFmtId="10" fontId="15" fillId="6" borderId="80" xfId="4" applyNumberFormat="1" applyFont="1" applyFill="1" applyBorder="1"/>
    <xf numFmtId="10" fontId="12" fillId="6" borderId="83" xfId="4" applyNumberFormat="1" applyFont="1" applyFill="1" applyBorder="1"/>
    <xf numFmtId="10" fontId="15" fillId="3" borderId="73" xfId="4" applyNumberFormat="1" applyFont="1" applyFill="1" applyBorder="1"/>
    <xf numFmtId="10" fontId="8" fillId="0" borderId="73" xfId="4" applyNumberFormat="1" applyFont="1" applyBorder="1"/>
    <xf numFmtId="10" fontId="15" fillId="0" borderId="73" xfId="4" applyNumberFormat="1" applyFont="1" applyFill="1" applyBorder="1"/>
    <xf numFmtId="10" fontId="8" fillId="0" borderId="86" xfId="4" applyNumberFormat="1" applyFont="1" applyBorder="1"/>
    <xf numFmtId="165" fontId="15" fillId="7" borderId="36" xfId="4" applyNumberFormat="1" applyFont="1" applyFill="1" applyBorder="1"/>
    <xf numFmtId="0" fontId="0" fillId="0" borderId="1" xfId="0" applyBorder="1" applyAlignment="1">
      <alignment horizontal="center" vertical="center"/>
    </xf>
    <xf numFmtId="0" fontId="5" fillId="0" borderId="45" xfId="3" applyFont="1" applyFill="1" applyBorder="1" applyAlignment="1">
      <alignment horizontal="left" vertical="center" indent="1"/>
    </xf>
    <xf numFmtId="165" fontId="15" fillId="7" borderId="73" xfId="4" applyNumberFormat="1" applyFont="1" applyFill="1" applyBorder="1"/>
    <xf numFmtId="165" fontId="8" fillId="7" borderId="73" xfId="4" applyNumberFormat="1" applyFont="1" applyFill="1" applyBorder="1"/>
    <xf numFmtId="165" fontId="8" fillId="7" borderId="86" xfId="4" applyNumberFormat="1" applyFont="1" applyFill="1" applyBorder="1"/>
    <xf numFmtId="10" fontId="15" fillId="7" borderId="40" xfId="4" applyNumberFormat="1" applyFont="1" applyFill="1" applyBorder="1"/>
    <xf numFmtId="10" fontId="8" fillId="7" borderId="40" xfId="4" applyNumberFormat="1" applyFont="1" applyFill="1" applyBorder="1"/>
    <xf numFmtId="10" fontId="8" fillId="7" borderId="45" xfId="4" applyNumberFormat="1" applyFont="1" applyFill="1" applyBorder="1"/>
    <xf numFmtId="165" fontId="15" fillId="7" borderId="80" xfId="4" applyNumberFormat="1" applyFont="1" applyFill="1" applyBorder="1"/>
    <xf numFmtId="10" fontId="15" fillId="7" borderId="77" xfId="4" applyNumberFormat="1" applyFont="1" applyFill="1" applyBorder="1"/>
    <xf numFmtId="0" fontId="6" fillId="0" borderId="34" xfId="3" applyFont="1" applyFill="1" applyBorder="1" applyAlignment="1">
      <alignment horizontal="left" vertical="center" indent="1"/>
    </xf>
    <xf numFmtId="0" fontId="5" fillId="0" borderId="30" xfId="3" applyFont="1" applyFill="1" applyBorder="1" applyAlignment="1">
      <alignment horizontal="left" vertical="center" indent="1"/>
    </xf>
    <xf numFmtId="16" fontId="5" fillId="0" borderId="37" xfId="3" applyNumberFormat="1" applyFont="1" applyFill="1" applyBorder="1" applyAlignment="1">
      <alignment horizontal="left" vertical="center" indent="1"/>
    </xf>
    <xf numFmtId="16" fontId="5" fillId="0" borderId="42" xfId="3" applyNumberFormat="1" applyFont="1" applyFill="1" applyBorder="1" applyAlignment="1">
      <alignment horizontal="left" vertical="center" indent="1"/>
    </xf>
    <xf numFmtId="0" fontId="8" fillId="0" borderId="30" xfId="3" applyFont="1" applyFill="1" applyBorder="1" applyAlignment="1">
      <alignment horizontal="left" vertical="center" indent="1"/>
    </xf>
    <xf numFmtId="16" fontId="8" fillId="0" borderId="37" xfId="3" applyNumberFormat="1" applyFont="1" applyFill="1" applyBorder="1" applyAlignment="1">
      <alignment horizontal="left" vertical="center" indent="1"/>
    </xf>
    <xf numFmtId="16" fontId="8" fillId="0" borderId="42" xfId="3" applyNumberFormat="1" applyFont="1" applyFill="1" applyBorder="1" applyAlignment="1">
      <alignment horizontal="left" vertical="center" indent="1"/>
    </xf>
    <xf numFmtId="0" fontId="6" fillId="0" borderId="51" xfId="3" applyFont="1" applyFill="1" applyBorder="1" applyAlignment="1">
      <alignment horizontal="left" vertical="center" indent="1"/>
    </xf>
    <xf numFmtId="0" fontId="9" fillId="0" borderId="34" xfId="3" applyFont="1" applyFill="1" applyBorder="1" applyAlignment="1">
      <alignment horizontal="left" vertical="center" indent="1"/>
    </xf>
    <xf numFmtId="0" fontId="5" fillId="0" borderId="37" xfId="3" applyFont="1" applyFill="1" applyBorder="1" applyAlignment="1">
      <alignment horizontal="left" vertical="center" indent="1"/>
    </xf>
    <xf numFmtId="14" fontId="5" fillId="0" borderId="37" xfId="3" applyNumberFormat="1" applyFont="1" applyFill="1" applyBorder="1" applyAlignment="1">
      <alignment horizontal="left" vertical="center" indent="1"/>
    </xf>
    <xf numFmtId="0" fontId="8" fillId="0" borderId="37" xfId="3" applyFont="1" applyFill="1" applyBorder="1" applyAlignment="1">
      <alignment horizontal="left" vertical="center" indent="1"/>
    </xf>
    <xf numFmtId="0" fontId="5" fillId="0" borderId="24" xfId="5" applyFont="1" applyBorder="1" applyAlignment="1">
      <alignment horizontal="center" vertical="center" wrapText="1"/>
    </xf>
    <xf numFmtId="0" fontId="5" fillId="0" borderId="8" xfId="5" applyNumberFormat="1" applyFont="1" applyBorder="1" applyAlignment="1">
      <alignment horizontal="center" vertical="center" wrapText="1"/>
    </xf>
    <xf numFmtId="165" fontId="15" fillId="6" borderId="38" xfId="4" applyNumberFormat="1" applyFont="1" applyFill="1" applyBorder="1"/>
    <xf numFmtId="165" fontId="15" fillId="6" borderId="95" xfId="4" applyNumberFormat="1" applyFont="1" applyFill="1" applyBorder="1"/>
    <xf numFmtId="165" fontId="12" fillId="6" borderId="96" xfId="4" applyNumberFormat="1" applyFont="1" applyFill="1" applyBorder="1"/>
    <xf numFmtId="165" fontId="15" fillId="3" borderId="38" xfId="4" applyNumberFormat="1" applyFont="1" applyFill="1" applyBorder="1"/>
    <xf numFmtId="165" fontId="8" fillId="0" borderId="38" xfId="4" applyNumberFormat="1" applyFont="1" applyBorder="1"/>
    <xf numFmtId="165" fontId="8" fillId="8" borderId="38" xfId="4" applyNumberFormat="1" applyFont="1" applyFill="1" applyBorder="1"/>
    <xf numFmtId="165" fontId="8" fillId="0" borderId="43" xfId="4" applyNumberFormat="1" applyFont="1" applyBorder="1"/>
    <xf numFmtId="11" fontId="14" fillId="0" borderId="0" xfId="0" applyNumberFormat="1" applyFont="1"/>
    <xf numFmtId="165" fontId="14" fillId="0" borderId="0" xfId="0" applyNumberFormat="1" applyFont="1"/>
    <xf numFmtId="166" fontId="14" fillId="0" borderId="0" xfId="0" applyNumberFormat="1" applyFont="1"/>
    <xf numFmtId="0" fontId="19" fillId="0" borderId="0" xfId="0" applyFont="1"/>
    <xf numFmtId="166" fontId="5" fillId="0" borderId="0" xfId="4" applyNumberFormat="1" applyFont="1"/>
    <xf numFmtId="165" fontId="12" fillId="4" borderId="46" xfId="4" applyNumberFormat="1" applyFont="1" applyFill="1" applyBorder="1"/>
    <xf numFmtId="165" fontId="8" fillId="8" borderId="73" xfId="4" applyNumberFormat="1" applyFont="1" applyFill="1" applyBorder="1"/>
    <xf numFmtId="0" fontId="5" fillId="0" borderId="98" xfId="5" applyFont="1" applyBorder="1" applyAlignment="1">
      <alignment horizontal="center" vertical="center"/>
    </xf>
    <xf numFmtId="165" fontId="12" fillId="4" borderId="33" xfId="4" applyNumberFormat="1" applyFont="1" applyFill="1" applyBorder="1"/>
    <xf numFmtId="165" fontId="12" fillId="4" borderId="69" xfId="4" applyNumberFormat="1" applyFont="1" applyFill="1" applyBorder="1"/>
    <xf numFmtId="165" fontId="15" fillId="6" borderId="36" xfId="4" applyNumberFormat="1" applyFont="1" applyFill="1" applyBorder="1"/>
    <xf numFmtId="165" fontId="15" fillId="6" borderId="72" xfId="4" applyNumberFormat="1" applyFont="1" applyFill="1" applyBorder="1"/>
    <xf numFmtId="165" fontId="15" fillId="6" borderId="74" xfId="4" applyNumberFormat="1" applyFont="1" applyFill="1" applyBorder="1"/>
    <xf numFmtId="165" fontId="15" fillId="6" borderId="79" xfId="4" applyNumberFormat="1" applyFont="1" applyFill="1" applyBorder="1"/>
    <xf numFmtId="165" fontId="12" fillId="6" borderId="65" xfId="4" applyNumberFormat="1" applyFont="1" applyFill="1" applyBorder="1"/>
    <xf numFmtId="165" fontId="12" fillId="6" borderId="82" xfId="4" applyNumberFormat="1" applyFont="1" applyFill="1" applyBorder="1"/>
    <xf numFmtId="165" fontId="15" fillId="3" borderId="36" xfId="4" applyNumberFormat="1" applyFont="1" applyFill="1" applyBorder="1"/>
    <xf numFmtId="165" fontId="15" fillId="3" borderId="72" xfId="4" applyNumberFormat="1" applyFont="1" applyFill="1" applyBorder="1"/>
    <xf numFmtId="165" fontId="8" fillId="0" borderId="36" xfId="4" applyNumberFormat="1" applyFont="1" applyBorder="1"/>
    <xf numFmtId="165" fontId="8" fillId="0" borderId="72" xfId="4" applyNumberFormat="1" applyFont="1" applyBorder="1"/>
    <xf numFmtId="165" fontId="8" fillId="8" borderId="36" xfId="4" applyNumberFormat="1" applyFont="1" applyFill="1" applyBorder="1"/>
    <xf numFmtId="165" fontId="8" fillId="8" borderId="72" xfId="4" applyNumberFormat="1" applyFont="1" applyFill="1" applyBorder="1"/>
    <xf numFmtId="165" fontId="8" fillId="0" borderId="85" xfId="4" applyNumberFormat="1" applyFont="1" applyBorder="1"/>
    <xf numFmtId="166" fontId="12" fillId="4" borderId="46" xfId="4" applyNumberFormat="1" applyFont="1" applyFill="1" applyBorder="1"/>
    <xf numFmtId="0" fontId="5" fillId="0" borderId="54" xfId="5" applyFont="1" applyBorder="1" applyAlignment="1">
      <alignment horizontal="center" vertical="center"/>
    </xf>
    <xf numFmtId="165" fontId="15" fillId="3" borderId="40" xfId="4" applyNumberFormat="1" applyFont="1" applyFill="1" applyBorder="1"/>
    <xf numFmtId="165" fontId="8" fillId="0" borderId="40" xfId="4" applyNumberFormat="1" applyFont="1" applyBorder="1"/>
    <xf numFmtId="165" fontId="8" fillId="8" borderId="40" xfId="4" applyNumberFormat="1" applyFont="1" applyFill="1" applyBorder="1"/>
    <xf numFmtId="0" fontId="0" fillId="0" borderId="0" xfId="0" applyAlignment="1">
      <alignment horizontal="right"/>
    </xf>
    <xf numFmtId="9" fontId="0" fillId="0" borderId="0" xfId="2" applyFont="1"/>
    <xf numFmtId="0" fontId="0" fillId="10" borderId="99" xfId="0" applyFill="1" applyBorder="1" applyAlignment="1">
      <alignment vertical="center" wrapText="1"/>
    </xf>
    <xf numFmtId="0" fontId="0" fillId="11" borderId="99" xfId="0" applyFill="1" applyBorder="1" applyAlignment="1">
      <alignment vertical="center" wrapText="1"/>
    </xf>
    <xf numFmtId="9" fontId="0" fillId="11" borderId="99" xfId="2" applyFont="1" applyFill="1" applyBorder="1" applyAlignment="1">
      <alignment vertical="center" wrapText="1"/>
    </xf>
    <xf numFmtId="0" fontId="0" fillId="12" borderId="99" xfId="0" applyFill="1" applyBorder="1" applyAlignment="1">
      <alignment wrapText="1"/>
    </xf>
    <xf numFmtId="0" fontId="0" fillId="0" borderId="99" xfId="0" applyBorder="1" applyAlignment="1">
      <alignment wrapText="1"/>
    </xf>
    <xf numFmtId="0" fontId="0" fillId="10" borderId="99" xfId="0" applyFill="1" applyBorder="1"/>
    <xf numFmtId="3" fontId="0" fillId="10" borderId="99" xfId="0" applyNumberFormat="1" applyFill="1" applyBorder="1" applyAlignment="1">
      <alignment vertical="center" wrapText="1"/>
    </xf>
    <xf numFmtId="3" fontId="0" fillId="11" borderId="99" xfId="0" applyNumberFormat="1" applyFill="1" applyBorder="1" applyAlignment="1">
      <alignment vertical="center" wrapText="1"/>
    </xf>
    <xf numFmtId="3" fontId="0" fillId="12" borderId="99" xfId="0" applyNumberFormat="1" applyFill="1" applyBorder="1" applyAlignment="1">
      <alignment wrapText="1"/>
    </xf>
    <xf numFmtId="0" fontId="22" fillId="0" borderId="0" xfId="0" applyFont="1"/>
    <xf numFmtId="0" fontId="22" fillId="10" borderId="99" xfId="0" applyFont="1" applyFill="1" applyBorder="1"/>
    <xf numFmtId="0" fontId="22" fillId="10" borderId="99" xfId="0" applyFont="1" applyFill="1" applyBorder="1" applyAlignment="1">
      <alignment vertical="center" wrapText="1"/>
    </xf>
    <xf numFmtId="3" fontId="22" fillId="10" borderId="99" xfId="0" applyNumberFormat="1" applyFont="1" applyFill="1" applyBorder="1" applyAlignment="1">
      <alignment vertical="center" wrapText="1"/>
    </xf>
    <xf numFmtId="3" fontId="22" fillId="11" borderId="99" xfId="0" applyNumberFormat="1" applyFont="1" applyFill="1" applyBorder="1" applyAlignment="1">
      <alignment vertical="center" wrapText="1"/>
    </xf>
    <xf numFmtId="9" fontId="22" fillId="11" borderId="99" xfId="2" applyFont="1" applyFill="1" applyBorder="1" applyAlignment="1">
      <alignment vertical="center" wrapText="1"/>
    </xf>
    <xf numFmtId="3" fontId="22" fillId="12" borderId="99" xfId="0" applyNumberFormat="1" applyFont="1" applyFill="1" applyBorder="1" applyAlignment="1">
      <alignment wrapText="1"/>
    </xf>
    <xf numFmtId="0" fontId="22" fillId="12" borderId="99" xfId="0" applyFont="1" applyFill="1" applyBorder="1" applyAlignment="1">
      <alignment wrapText="1"/>
    </xf>
    <xf numFmtId="0" fontId="22" fillId="0" borderId="99" xfId="0" applyFont="1" applyBorder="1" applyAlignment="1">
      <alignment wrapText="1"/>
    </xf>
    <xf numFmtId="3" fontId="0" fillId="0" borderId="0" xfId="0" applyNumberFormat="1"/>
    <xf numFmtId="0" fontId="18" fillId="0" borderId="0" xfId="0" applyFont="1"/>
    <xf numFmtId="0" fontId="18" fillId="10" borderId="99" xfId="0" applyFont="1" applyFill="1" applyBorder="1"/>
    <xf numFmtId="0" fontId="18" fillId="10" borderId="99" xfId="0" applyFont="1" applyFill="1" applyBorder="1" applyAlignment="1">
      <alignment vertical="center" wrapText="1"/>
    </xf>
    <xf numFmtId="3" fontId="18" fillId="11" borderId="99" xfId="0" applyNumberFormat="1" applyFont="1" applyFill="1" applyBorder="1" applyAlignment="1">
      <alignment vertical="center" wrapText="1"/>
    </xf>
    <xf numFmtId="9" fontId="18" fillId="11" borderId="99" xfId="2" applyFont="1" applyFill="1" applyBorder="1" applyAlignment="1">
      <alignment vertical="center" wrapText="1"/>
    </xf>
    <xf numFmtId="3" fontId="18" fillId="12" borderId="99" xfId="0" applyNumberFormat="1" applyFont="1" applyFill="1" applyBorder="1" applyAlignment="1">
      <alignment wrapText="1"/>
    </xf>
    <xf numFmtId="0" fontId="18" fillId="12" borderId="99" xfId="0" applyFont="1" applyFill="1" applyBorder="1" applyAlignment="1">
      <alignment wrapText="1"/>
    </xf>
    <xf numFmtId="0" fontId="18" fillId="0" borderId="99" xfId="0" applyFont="1" applyBorder="1" applyAlignment="1">
      <alignment wrapText="1"/>
    </xf>
    <xf numFmtId="0" fontId="5" fillId="0" borderId="100" xfId="5" applyFont="1" applyBorder="1" applyAlignment="1">
      <alignment horizontal="center" vertical="center" wrapText="1"/>
    </xf>
    <xf numFmtId="0" fontId="5" fillId="0" borderId="25" xfId="5" applyFont="1" applyBorder="1" applyAlignment="1">
      <alignment horizontal="center" vertical="center" wrapText="1"/>
    </xf>
    <xf numFmtId="167" fontId="8" fillId="0" borderId="38" xfId="2" applyNumberFormat="1" applyFont="1" applyBorder="1"/>
    <xf numFmtId="165" fontId="8" fillId="0" borderId="36" xfId="4" applyNumberFormat="1" applyFont="1" applyFill="1" applyBorder="1"/>
    <xf numFmtId="165" fontId="8" fillId="0" borderId="72" xfId="4" applyNumberFormat="1" applyFont="1" applyFill="1" applyBorder="1"/>
    <xf numFmtId="3" fontId="0" fillId="11" borderId="101" xfId="0" applyNumberFormat="1" applyFill="1" applyBorder="1"/>
    <xf numFmtId="3" fontId="0" fillId="10" borderId="102" xfId="0" applyNumberFormat="1" applyFill="1" applyBorder="1" applyAlignment="1">
      <alignment vertical="center" wrapText="1"/>
    </xf>
    <xf numFmtId="0" fontId="0" fillId="0" borderId="10" xfId="0" applyBorder="1"/>
    <xf numFmtId="0" fontId="0" fillId="0" borderId="11" xfId="0" applyBorder="1"/>
    <xf numFmtId="0" fontId="0" fillId="10" borderId="103" xfId="0" applyFill="1" applyBorder="1"/>
    <xf numFmtId="0" fontId="0" fillId="10" borderId="104" xfId="0" applyFill="1" applyBorder="1" applyAlignment="1">
      <alignment vertical="center" wrapText="1"/>
    </xf>
    <xf numFmtId="0" fontId="0" fillId="0" borderId="105" xfId="0" applyBorder="1"/>
    <xf numFmtId="0" fontId="0" fillId="0" borderId="106" xfId="0" applyBorder="1"/>
    <xf numFmtId="0" fontId="0" fillId="0" borderId="107" xfId="0" applyBorder="1"/>
    <xf numFmtId="0" fontId="0" fillId="0" borderId="25" xfId="0" applyBorder="1"/>
    <xf numFmtId="0" fontId="0" fillId="10" borderId="108" xfId="0" applyFill="1" applyBorder="1"/>
    <xf numFmtId="0" fontId="0" fillId="0" borderId="62" xfId="0" applyBorder="1"/>
    <xf numFmtId="3" fontId="0" fillId="10" borderId="109" xfId="0" applyNumberFormat="1" applyFill="1" applyBorder="1" applyAlignment="1">
      <alignment vertical="center" wrapText="1"/>
    </xf>
    <xf numFmtId="3" fontId="0" fillId="11" borderId="103" xfId="0" applyNumberFormat="1" applyFill="1" applyBorder="1" applyAlignment="1">
      <alignment vertical="center" wrapText="1"/>
    </xf>
    <xf numFmtId="3" fontId="0" fillId="11" borderId="103" xfId="0" applyNumberFormat="1" applyFill="1" applyBorder="1"/>
    <xf numFmtId="9" fontId="0" fillId="11" borderId="103" xfId="2" applyFont="1" applyFill="1" applyBorder="1" applyAlignment="1">
      <alignment vertical="center" wrapText="1"/>
    </xf>
    <xf numFmtId="3" fontId="0" fillId="12" borderId="103" xfId="0" applyNumberFormat="1" applyFill="1" applyBorder="1" applyAlignment="1">
      <alignment wrapText="1"/>
    </xf>
    <xf numFmtId="0" fontId="0" fillId="12" borderId="103" xfId="0" applyFill="1" applyBorder="1" applyAlignment="1">
      <alignment wrapText="1"/>
    </xf>
    <xf numFmtId="0" fontId="0" fillId="0" borderId="103" xfId="0" applyBorder="1" applyAlignment="1">
      <alignment wrapText="1"/>
    </xf>
    <xf numFmtId="3" fontId="0" fillId="10" borderId="110" xfId="0" applyNumberFormat="1" applyFill="1" applyBorder="1" applyAlignment="1">
      <alignment vertical="center" wrapText="1"/>
    </xf>
    <xf numFmtId="3" fontId="0" fillId="10" borderId="111" xfId="0" applyNumberFormat="1" applyFill="1" applyBorder="1" applyAlignment="1">
      <alignment vertical="center" wrapText="1"/>
    </xf>
    <xf numFmtId="3" fontId="0" fillId="11" borderId="108" xfId="0" applyNumberFormat="1" applyFill="1" applyBorder="1" applyAlignment="1">
      <alignment vertical="center" wrapText="1"/>
    </xf>
    <xf numFmtId="9" fontId="0" fillId="11" borderId="108" xfId="2" applyFont="1" applyFill="1" applyBorder="1" applyAlignment="1">
      <alignment vertical="center" wrapText="1"/>
    </xf>
    <xf numFmtId="3" fontId="0" fillId="12" borderId="108" xfId="0" applyNumberFormat="1" applyFill="1" applyBorder="1" applyAlignment="1">
      <alignment wrapText="1"/>
    </xf>
    <xf numFmtId="14" fontId="6" fillId="13" borderId="0" xfId="4" applyNumberFormat="1" applyFont="1" applyFill="1"/>
    <xf numFmtId="14" fontId="5" fillId="0" borderId="39" xfId="4" applyNumberFormat="1" applyFont="1" applyFill="1" applyBorder="1"/>
    <xf numFmtId="0" fontId="5" fillId="0" borderId="37" xfId="4" applyFont="1" applyFill="1" applyBorder="1" applyAlignment="1">
      <alignment horizontal="left" indent="1"/>
    </xf>
    <xf numFmtId="0" fontId="8" fillId="0" borderId="40" xfId="4" applyFont="1" applyFill="1" applyBorder="1" applyAlignment="1">
      <alignment horizontal="right" wrapText="1" indent="3"/>
    </xf>
    <xf numFmtId="0" fontId="8" fillId="0" borderId="40" xfId="4" applyFont="1" applyBorder="1" applyAlignment="1">
      <alignment horizontal="right" wrapText="1" indent="3"/>
    </xf>
    <xf numFmtId="165" fontId="5" fillId="0" borderId="0" xfId="4" applyNumberFormat="1" applyFont="1"/>
    <xf numFmtId="10" fontId="0" fillId="0" borderId="0" xfId="0" applyNumberFormat="1"/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2" fontId="0" fillId="0" borderId="1" xfId="0" applyNumberFormat="1" applyBorder="1" applyAlignment="1">
      <alignment horizontal="center" vertical="center" wrapText="1"/>
    </xf>
    <xf numFmtId="0" fontId="23" fillId="10" borderId="99" xfId="0" applyFont="1" applyFill="1" applyBorder="1" applyAlignment="1">
      <alignment vertical="center" wrapText="1"/>
    </xf>
    <xf numFmtId="0" fontId="5" fillId="0" borderId="8" xfId="5" applyNumberFormat="1" applyFont="1" applyBorder="1" applyAlignment="1">
      <alignment horizontal="center" vertical="center" wrapText="1"/>
    </xf>
    <xf numFmtId="167" fontId="14" fillId="0" borderId="0" xfId="0" applyNumberFormat="1" applyFont="1"/>
    <xf numFmtId="0" fontId="5" fillId="0" borderId="8" xfId="5" applyNumberFormat="1" applyFont="1" applyBorder="1" applyAlignment="1">
      <alignment horizontal="center" vertical="center" wrapText="1"/>
    </xf>
    <xf numFmtId="165" fontId="18" fillId="0" borderId="0" xfId="0" applyNumberFormat="1" applyFont="1"/>
    <xf numFmtId="165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2" fontId="0" fillId="0" borderId="1" xfId="0" applyNumberFormat="1" applyBorder="1"/>
    <xf numFmtId="10" fontId="0" fillId="0" borderId="1" xfId="0" applyNumberFormat="1" applyBorder="1"/>
    <xf numFmtId="168" fontId="0" fillId="0" borderId="1" xfId="0" applyNumberFormat="1" applyBorder="1"/>
    <xf numFmtId="9" fontId="0" fillId="0" borderId="0" xfId="0" applyNumberFormat="1"/>
    <xf numFmtId="0" fontId="0" fillId="12" borderId="112" xfId="0" applyFill="1" applyBorder="1" applyAlignment="1">
      <alignment wrapText="1"/>
    </xf>
    <xf numFmtId="17" fontId="0" fillId="0" borderId="1" xfId="0" applyNumberFormat="1" applyBorder="1"/>
    <xf numFmtId="0" fontId="24" fillId="0" borderId="1" xfId="0" applyFont="1" applyBorder="1"/>
    <xf numFmtId="2" fontId="24" fillId="0" borderId="1" xfId="0" applyNumberFormat="1" applyFont="1" applyBorder="1"/>
    <xf numFmtId="10" fontId="24" fillId="0" borderId="1" xfId="0" applyNumberFormat="1" applyFont="1" applyBorder="1"/>
    <xf numFmtId="0" fontId="24" fillId="0" borderId="0" xfId="0" applyFont="1"/>
    <xf numFmtId="0" fontId="0" fillId="0" borderId="1" xfId="0" applyBorder="1" applyAlignment="1">
      <alignment horizontal="center" vertical="center" wrapText="1"/>
    </xf>
    <xf numFmtId="10" fontId="18" fillId="11" borderId="99" xfId="2" applyNumberFormat="1" applyFont="1" applyFill="1" applyBorder="1" applyAlignment="1">
      <alignment vertical="center" wrapText="1"/>
    </xf>
    <xf numFmtId="165" fontId="8" fillId="2" borderId="72" xfId="4" applyNumberFormat="1" applyFont="1" applyFill="1" applyBorder="1"/>
    <xf numFmtId="165" fontId="25" fillId="3" borderId="72" xfId="4" applyNumberFormat="1" applyFont="1" applyFill="1" applyBorder="1"/>
    <xf numFmtId="165" fontId="25" fillId="14" borderId="36" xfId="4" applyNumberFormat="1" applyFont="1" applyFill="1" applyBorder="1"/>
    <xf numFmtId="0" fontId="0" fillId="0" borderId="1" xfId="0" applyBorder="1" applyAlignment="1">
      <alignment vertical="center"/>
    </xf>
    <xf numFmtId="2" fontId="0" fillId="0" borderId="0" xfId="0" applyNumberFormat="1"/>
    <xf numFmtId="167" fontId="14" fillId="2" borderId="0" xfId="0" applyNumberFormat="1" applyFont="1" applyFill="1"/>
    <xf numFmtId="2" fontId="18" fillId="0" borderId="0" xfId="0" applyNumberFormat="1" applyFont="1"/>
    <xf numFmtId="14" fontId="6" fillId="2" borderId="0" xfId="4" applyNumberFormat="1" applyFont="1" applyFill="1"/>
    <xf numFmtId="4" fontId="0" fillId="0" borderId="0" xfId="0" applyNumberFormat="1"/>
    <xf numFmtId="4" fontId="18" fillId="0" borderId="0" xfId="0" applyNumberFormat="1" applyFont="1"/>
    <xf numFmtId="2" fontId="0" fillId="0" borderId="0" xfId="0" applyNumberFormat="1" applyAlignment="1">
      <alignment horizontal="left"/>
    </xf>
    <xf numFmtId="0" fontId="0" fillId="0" borderId="1" xfId="0" applyBorder="1" applyAlignment="1">
      <alignment horizontal="center" wrapText="1"/>
    </xf>
    <xf numFmtId="10" fontId="18" fillId="0" borderId="1" xfId="0" applyNumberFormat="1" applyFont="1" applyBorder="1"/>
    <xf numFmtId="17" fontId="27" fillId="0" borderId="0" xfId="0" applyNumberFormat="1" applyFont="1"/>
    <xf numFmtId="0" fontId="27" fillId="0" borderId="0" xfId="0" applyFont="1"/>
    <xf numFmtId="0" fontId="28" fillId="0" borderId="0" xfId="0" applyFont="1"/>
    <xf numFmtId="165" fontId="29" fillId="0" borderId="72" xfId="4" applyNumberFormat="1" applyFont="1" applyFill="1" applyBorder="1"/>
    <xf numFmtId="165" fontId="29" fillId="0" borderId="72" xfId="4" applyNumberFormat="1" applyFont="1" applyBorder="1"/>
    <xf numFmtId="165" fontId="29" fillId="2" borderId="72" xfId="4" applyNumberFormat="1" applyFont="1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30" fillId="15" borderId="99" xfId="0" applyNumberFormat="1" applyFont="1" applyFill="1" applyBorder="1" applyAlignment="1">
      <alignment vertical="center" wrapText="1"/>
    </xf>
    <xf numFmtId="0" fontId="24" fillId="16" borderId="1" xfId="0" applyFont="1" applyFill="1" applyBorder="1"/>
    <xf numFmtId="2" fontId="24" fillId="16" borderId="1" xfId="0" applyNumberFormat="1" applyFont="1" applyFill="1" applyBorder="1"/>
    <xf numFmtId="10" fontId="24" fillId="16" borderId="1" xfId="0" applyNumberFormat="1" applyFont="1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/>
    <xf numFmtId="4" fontId="0" fillId="0" borderId="11" xfId="0" applyNumberFormat="1" applyBorder="1"/>
    <xf numFmtId="4" fontId="0" fillId="0" borderId="0" xfId="0" applyNumberFormat="1" applyBorder="1"/>
    <xf numFmtId="4" fontId="0" fillId="0" borderId="25" xfId="0" applyNumberFormat="1" applyBorder="1"/>
    <xf numFmtId="165" fontId="8" fillId="15" borderId="44" xfId="4" applyNumberFormat="1" applyFont="1" applyFill="1" applyBorder="1"/>
    <xf numFmtId="10" fontId="18" fillId="0" borderId="0" xfId="0" applyNumberFormat="1" applyFont="1"/>
    <xf numFmtId="10" fontId="0" fillId="0" borderId="11" xfId="0" applyNumberFormat="1" applyBorder="1"/>
    <xf numFmtId="10" fontId="0" fillId="0" borderId="0" xfId="0" applyNumberFormat="1" applyBorder="1"/>
    <xf numFmtId="10" fontId="0" fillId="0" borderId="25" xfId="0" applyNumberFormat="1" applyBorder="1"/>
    <xf numFmtId="3" fontId="0" fillId="0" borderId="0" xfId="0" applyNumberFormat="1" applyAlignment="1">
      <alignment wrapText="1"/>
    </xf>
    <xf numFmtId="3" fontId="18" fillId="0" borderId="0" xfId="0" applyNumberFormat="1" applyFont="1"/>
    <xf numFmtId="3" fontId="0" fillId="0" borderId="11" xfId="0" applyNumberFormat="1" applyBorder="1"/>
    <xf numFmtId="3" fontId="0" fillId="0" borderId="0" xfId="0" applyNumberFormat="1" applyBorder="1"/>
    <xf numFmtId="3" fontId="0" fillId="0" borderId="25" xfId="0" applyNumberFormat="1" applyBorder="1"/>
    <xf numFmtId="3" fontId="18" fillId="0" borderId="0" xfId="0" applyNumberFormat="1" applyFont="1" applyAlignment="1">
      <alignment wrapText="1"/>
    </xf>
    <xf numFmtId="0" fontId="31" fillId="0" borderId="0" xfId="0" applyFont="1"/>
    <xf numFmtId="3" fontId="18" fillId="0" borderId="11" xfId="0" applyNumberFormat="1" applyFont="1" applyBorder="1"/>
    <xf numFmtId="3" fontId="18" fillId="0" borderId="0" xfId="0" applyNumberFormat="1" applyFont="1" applyBorder="1"/>
    <xf numFmtId="3" fontId="18" fillId="0" borderId="25" xfId="0" applyNumberFormat="1" applyFont="1" applyBorder="1"/>
    <xf numFmtId="10" fontId="24" fillId="8" borderId="0" xfId="0" applyNumberFormat="1" applyFont="1" applyFill="1" applyAlignment="1">
      <alignment horizontal="right"/>
    </xf>
    <xf numFmtId="4" fontId="24" fillId="8" borderId="0" xfId="0" applyNumberFormat="1" applyFont="1" applyFill="1" applyAlignment="1">
      <alignment horizontal="right"/>
    </xf>
    <xf numFmtId="3" fontId="0" fillId="3" borderId="99" xfId="0" applyNumberFormat="1" applyFill="1" applyBorder="1" applyAlignment="1">
      <alignment vertical="center" wrapText="1"/>
    </xf>
    <xf numFmtId="3" fontId="23" fillId="3" borderId="99" xfId="0" applyNumberFormat="1" applyFont="1" applyFill="1" applyBorder="1"/>
    <xf numFmtId="0" fontId="0" fillId="0" borderId="1" xfId="0" applyFill="1" applyBorder="1"/>
    <xf numFmtId="168" fontId="0" fillId="0" borderId="1" xfId="0" applyNumberFormat="1" applyFill="1" applyBorder="1"/>
    <xf numFmtId="2" fontId="0" fillId="0" borderId="1" xfId="0" applyNumberFormat="1" applyFill="1" applyBorder="1"/>
    <xf numFmtId="10" fontId="0" fillId="0" borderId="1" xfId="0" applyNumberFormat="1" applyFill="1" applyBorder="1"/>
    <xf numFmtId="10" fontId="22" fillId="0" borderId="0" xfId="0" applyNumberFormat="1" applyFont="1"/>
    <xf numFmtId="0" fontId="0" fillId="0" borderId="0" xfId="0" applyFill="1" applyBorder="1"/>
    <xf numFmtId="2" fontId="23" fillId="0" borderId="0" xfId="0" applyNumberFormat="1" applyFont="1"/>
    <xf numFmtId="165" fontId="34" fillId="2" borderId="36" xfId="4" applyNumberFormat="1" applyFont="1" applyFill="1" applyBorder="1"/>
    <xf numFmtId="165" fontId="35" fillId="0" borderId="36" xfId="4" applyNumberFormat="1" applyFont="1" applyFill="1" applyBorder="1"/>
    <xf numFmtId="0" fontId="36" fillId="0" borderId="0" xfId="4" applyFont="1"/>
    <xf numFmtId="0" fontId="37" fillId="2" borderId="0" xfId="4" applyFont="1" applyFill="1"/>
    <xf numFmtId="0" fontId="0" fillId="2" borderId="99" xfId="0" applyFill="1" applyBorder="1" applyAlignment="1">
      <alignment vertical="center" wrapText="1"/>
    </xf>
    <xf numFmtId="0" fontId="0" fillId="14" borderId="99" xfId="0" applyFill="1" applyBorder="1" applyAlignment="1">
      <alignment vertical="center" wrapText="1"/>
    </xf>
    <xf numFmtId="3" fontId="23" fillId="18" borderId="99" xfId="0" applyNumberFormat="1" applyFont="1" applyFill="1" applyBorder="1" applyAlignment="1">
      <alignment vertical="center" wrapText="1"/>
    </xf>
    <xf numFmtId="9" fontId="23" fillId="18" borderId="99" xfId="2" applyFont="1" applyFill="1" applyBorder="1" applyAlignment="1">
      <alignment vertical="center" wrapText="1"/>
    </xf>
    <xf numFmtId="3" fontId="23" fillId="11" borderId="99" xfId="0" applyNumberFormat="1" applyFont="1" applyFill="1" applyBorder="1" applyAlignment="1">
      <alignment vertical="center" wrapText="1"/>
    </xf>
    <xf numFmtId="165" fontId="8" fillId="14" borderId="36" xfId="4" applyNumberFormat="1" applyFont="1" applyFill="1" applyBorder="1"/>
    <xf numFmtId="4" fontId="26" fillId="13" borderId="0" xfId="0" applyNumberFormat="1" applyFont="1" applyFill="1"/>
    <xf numFmtId="0" fontId="0" fillId="0" borderId="0" xfId="0" applyAlignment="1">
      <alignment horizontal="center"/>
    </xf>
    <xf numFmtId="10" fontId="30" fillId="8" borderId="1" xfId="0" applyNumberFormat="1" applyFont="1" applyFill="1" applyBorder="1"/>
    <xf numFmtId="10" fontId="30" fillId="0" borderId="1" xfId="0" applyNumberFormat="1" applyFont="1" applyBorder="1"/>
    <xf numFmtId="0" fontId="3" fillId="2" borderId="0" xfId="0" applyFont="1" applyFill="1" applyAlignment="1">
      <alignment horizontal="center"/>
    </xf>
    <xf numFmtId="0" fontId="24" fillId="10" borderId="99" xfId="0" applyFont="1" applyFill="1" applyBorder="1" applyAlignment="1">
      <alignment vertical="center" wrapText="1"/>
    </xf>
    <xf numFmtId="168" fontId="19" fillId="0" borderId="0" xfId="0" applyNumberFormat="1" applyFont="1"/>
    <xf numFmtId="0" fontId="14" fillId="13" borderId="0" xfId="0" applyFont="1" applyFill="1"/>
    <xf numFmtId="165" fontId="29" fillId="0" borderId="36" xfId="4" applyNumberFormat="1" applyFont="1" applyBorder="1"/>
    <xf numFmtId="165" fontId="29" fillId="0" borderId="36" xfId="4" applyNumberFormat="1" applyFont="1" applyFill="1" applyBorder="1"/>
    <xf numFmtId="165" fontId="19" fillId="3" borderId="36" xfId="4" applyNumberFormat="1" applyFont="1" applyFill="1" applyBorder="1"/>
    <xf numFmtId="169" fontId="14" fillId="0" borderId="0" xfId="0" applyNumberFormat="1" applyFont="1"/>
    <xf numFmtId="165" fontId="19" fillId="13" borderId="36" xfId="4" applyNumberFormat="1" applyFont="1" applyFill="1" applyBorder="1"/>
    <xf numFmtId="165" fontId="12" fillId="13" borderId="67" xfId="4" applyNumberFormat="1" applyFont="1" applyFill="1" applyBorder="1"/>
    <xf numFmtId="165" fontId="12" fillId="8" borderId="67" xfId="4" applyNumberFormat="1" applyFont="1" applyFill="1" applyBorder="1"/>
    <xf numFmtId="165" fontId="12" fillId="8" borderId="81" xfId="4" applyNumberFormat="1" applyFont="1" applyFill="1" applyBorder="1"/>
    <xf numFmtId="167" fontId="15" fillId="2" borderId="0" xfId="0" applyNumberFormat="1" applyFont="1" applyFill="1"/>
    <xf numFmtId="3" fontId="41" fillId="18" borderId="99" xfId="0" applyNumberFormat="1" applyFont="1" applyFill="1" applyBorder="1" applyAlignment="1">
      <alignment vertical="center" wrapText="1"/>
    </xf>
    <xf numFmtId="3" fontId="0" fillId="18" borderId="99" xfId="0" applyNumberFormat="1" applyFill="1" applyBorder="1" applyAlignment="1">
      <alignment vertical="center" wrapText="1"/>
    </xf>
    <xf numFmtId="3" fontId="0" fillId="15" borderId="99" xfId="0" applyNumberFormat="1" applyFill="1" applyBorder="1" applyAlignment="1">
      <alignment vertical="center" wrapText="1"/>
    </xf>
    <xf numFmtId="3" fontId="18" fillId="15" borderId="99" xfId="0" applyNumberFormat="1" applyFont="1" applyFill="1" applyBorder="1" applyAlignment="1">
      <alignment vertical="center" wrapText="1"/>
    </xf>
    <xf numFmtId="3" fontId="38" fillId="13" borderId="99" xfId="0" applyNumberFormat="1" applyFont="1" applyFill="1" applyBorder="1"/>
    <xf numFmtId="3" fontId="32" fillId="13" borderId="99" xfId="0" applyNumberFormat="1" applyFont="1" applyFill="1" applyBorder="1"/>
    <xf numFmtId="3" fontId="23" fillId="15" borderId="99" xfId="0" applyNumberFormat="1" applyFont="1" applyFill="1" applyBorder="1" applyAlignment="1">
      <alignment vertical="center" wrapText="1"/>
    </xf>
    <xf numFmtId="3" fontId="23" fillId="13" borderId="99" xfId="0" applyNumberFormat="1" applyFont="1" applyFill="1" applyBorder="1" applyAlignment="1">
      <alignment vertical="center" wrapText="1"/>
    </xf>
    <xf numFmtId="3" fontId="23" fillId="15" borderId="99" xfId="0" applyNumberFormat="1" applyFont="1" applyFill="1" applyBorder="1"/>
    <xf numFmtId="3" fontId="23" fillId="15" borderId="99" xfId="0" applyNumberFormat="1" applyFont="1" applyFill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5" fillId="0" borderId="4" xfId="3" applyFont="1" applyFill="1" applyBorder="1" applyAlignment="1">
      <alignment horizontal="center" vertical="center"/>
    </xf>
    <xf numFmtId="0" fontId="5" fillId="0" borderId="13" xfId="3" applyFont="1" applyFill="1" applyBorder="1" applyAlignment="1">
      <alignment horizontal="center" vertical="center"/>
    </xf>
    <xf numFmtId="0" fontId="5" fillId="0" borderId="20" xfId="3" applyFont="1" applyFill="1" applyBorder="1" applyAlignment="1">
      <alignment horizontal="center" vertical="center"/>
    </xf>
    <xf numFmtId="0" fontId="5" fillId="0" borderId="5" xfId="4" applyFont="1" applyBorder="1" applyAlignment="1">
      <alignment horizontal="center" vertical="center" wrapText="1"/>
    </xf>
    <xf numFmtId="0" fontId="5" fillId="0" borderId="14" xfId="4" applyFont="1" applyBorder="1" applyAlignment="1">
      <alignment horizontal="center" vertical="center" wrapText="1"/>
    </xf>
    <xf numFmtId="0" fontId="5" fillId="0" borderId="1" xfId="4" applyFont="1" applyBorder="1" applyAlignment="1">
      <alignment horizontal="center" vertical="center" wrapText="1"/>
    </xf>
    <xf numFmtId="0" fontId="5" fillId="0" borderId="6" xfId="4" applyFont="1" applyBorder="1" applyAlignment="1">
      <alignment horizontal="center" vertical="center" wrapText="1"/>
    </xf>
    <xf numFmtId="0" fontId="5" fillId="0" borderId="15" xfId="4" applyFont="1" applyBorder="1" applyAlignment="1">
      <alignment horizontal="center" vertical="center" wrapText="1"/>
    </xf>
    <xf numFmtId="0" fontId="5" fillId="0" borderId="16" xfId="4" applyFont="1" applyBorder="1" applyAlignment="1">
      <alignment horizontal="center" vertical="center" wrapText="1"/>
    </xf>
    <xf numFmtId="0" fontId="5" fillId="0" borderId="7" xfId="4" applyFont="1" applyBorder="1" applyAlignment="1">
      <alignment horizontal="center" vertical="center" wrapText="1"/>
    </xf>
    <xf numFmtId="0" fontId="5" fillId="0" borderId="8" xfId="4" applyFont="1" applyBorder="1" applyAlignment="1">
      <alignment horizontal="center" vertical="center" wrapText="1"/>
    </xf>
    <xf numFmtId="0" fontId="5" fillId="0" borderId="9" xfId="4" applyFont="1" applyBorder="1" applyAlignment="1">
      <alignment horizontal="center" vertical="center" wrapText="1"/>
    </xf>
    <xf numFmtId="0" fontId="5" fillId="0" borderId="60" xfId="5" applyNumberFormat="1" applyFont="1" applyBorder="1" applyAlignment="1">
      <alignment horizontal="center" vertical="center" wrapText="1"/>
    </xf>
    <xf numFmtId="0" fontId="5" fillId="0" borderId="61" xfId="5" applyNumberFormat="1" applyFont="1" applyBorder="1" applyAlignment="1">
      <alignment horizontal="center" vertical="center" wrapText="1"/>
    </xf>
    <xf numFmtId="0" fontId="5" fillId="0" borderId="59" xfId="5" applyFont="1" applyBorder="1" applyAlignment="1">
      <alignment horizontal="center" vertical="center" wrapText="1"/>
    </xf>
    <xf numFmtId="0" fontId="5" fillId="0" borderId="23" xfId="5" applyFont="1" applyBorder="1" applyAlignment="1">
      <alignment horizontal="center" vertical="center" wrapText="1"/>
    </xf>
    <xf numFmtId="0" fontId="5" fillId="0" borderId="57" xfId="5" applyNumberFormat="1" applyFont="1" applyBorder="1" applyAlignment="1">
      <alignment horizontal="center" vertical="center" wrapText="1"/>
    </xf>
    <xf numFmtId="0" fontId="5" fillId="0" borderId="8" xfId="5" applyNumberFormat="1" applyFont="1" applyBorder="1" applyAlignment="1">
      <alignment horizontal="center" vertical="center" wrapText="1"/>
    </xf>
    <xf numFmtId="0" fontId="5" fillId="0" borderId="9" xfId="5" applyNumberFormat="1" applyFont="1" applyBorder="1" applyAlignment="1">
      <alignment horizontal="center" vertical="center" wrapText="1"/>
    </xf>
    <xf numFmtId="0" fontId="5" fillId="0" borderId="56" xfId="4" applyFont="1" applyBorder="1" applyAlignment="1">
      <alignment horizontal="center" vertical="center" wrapText="1"/>
    </xf>
    <xf numFmtId="0" fontId="5" fillId="0" borderId="58" xfId="4" applyFont="1" applyBorder="1" applyAlignment="1">
      <alignment horizontal="center" vertical="center" wrapText="1"/>
    </xf>
    <xf numFmtId="0" fontId="5" fillId="0" borderId="92" xfId="4" applyFont="1" applyBorder="1" applyAlignment="1">
      <alignment horizontal="center" vertical="center" wrapText="1"/>
    </xf>
    <xf numFmtId="0" fontId="5" fillId="0" borderId="93" xfId="4" applyFont="1" applyBorder="1" applyAlignment="1">
      <alignment horizontal="center" vertical="center" wrapText="1"/>
    </xf>
    <xf numFmtId="0" fontId="5" fillId="0" borderId="94" xfId="4" applyFont="1" applyBorder="1" applyAlignment="1">
      <alignment horizontal="center" vertical="center" wrapText="1"/>
    </xf>
    <xf numFmtId="0" fontId="5" fillId="0" borderId="2" xfId="5" applyFont="1" applyBorder="1" applyAlignment="1">
      <alignment horizontal="center" vertical="center" wrapText="1"/>
    </xf>
    <xf numFmtId="0" fontId="5" fillId="0" borderId="24" xfId="5" applyFont="1" applyBorder="1" applyAlignment="1">
      <alignment horizontal="center" vertical="center" wrapText="1"/>
    </xf>
    <xf numFmtId="0" fontId="5" fillId="0" borderId="55" xfId="4" applyFont="1" applyBorder="1" applyAlignment="1">
      <alignment horizontal="center" vertical="center" wrapText="1"/>
    </xf>
    <xf numFmtId="0" fontId="5" fillId="0" borderId="13" xfId="4" applyFont="1" applyBorder="1" applyAlignment="1">
      <alignment horizontal="center" vertical="center" wrapText="1"/>
    </xf>
    <xf numFmtId="0" fontId="5" fillId="0" borderId="59" xfId="4" applyFont="1" applyBorder="1" applyAlignment="1">
      <alignment horizontal="center" vertical="center"/>
    </xf>
    <xf numFmtId="0" fontId="5" fillId="0" borderId="2" xfId="4" applyFont="1" applyBorder="1" applyAlignment="1">
      <alignment horizontal="center" vertical="center" wrapText="1"/>
    </xf>
    <xf numFmtId="0" fontId="5" fillId="0" borderId="56" xfId="4" applyFont="1" applyBorder="1" applyAlignment="1">
      <alignment horizontal="center" vertical="center"/>
    </xf>
    <xf numFmtId="0" fontId="5" fillId="0" borderId="58" xfId="4" applyFont="1" applyBorder="1" applyAlignment="1">
      <alignment horizontal="center" vertical="center"/>
    </xf>
    <xf numFmtId="0" fontId="5" fillId="0" borderId="55" xfId="5" applyNumberFormat="1" applyFont="1" applyBorder="1" applyAlignment="1">
      <alignment horizontal="center" vertical="center" wrapText="1"/>
    </xf>
    <xf numFmtId="0" fontId="5" fillId="0" borderId="87" xfId="5" applyNumberFormat="1" applyFont="1" applyBorder="1" applyAlignment="1">
      <alignment horizontal="center" vertical="center" wrapText="1"/>
    </xf>
    <xf numFmtId="0" fontId="5" fillId="0" borderId="16" xfId="5" applyNumberFormat="1" applyFont="1" applyBorder="1" applyAlignment="1">
      <alignment horizontal="center" vertical="center" wrapText="1"/>
    </xf>
    <xf numFmtId="0" fontId="5" fillId="0" borderId="91" xfId="5" applyNumberFormat="1" applyFont="1" applyBorder="1" applyAlignment="1">
      <alignment horizontal="center" vertical="center" wrapText="1"/>
    </xf>
    <xf numFmtId="0" fontId="5" fillId="0" borderId="17" xfId="5" applyFont="1" applyBorder="1" applyAlignment="1">
      <alignment horizontal="center" vertical="center" wrapText="1"/>
    </xf>
    <xf numFmtId="0" fontId="5" fillId="0" borderId="28" xfId="5" applyFont="1" applyBorder="1" applyAlignment="1">
      <alignment horizontal="center" vertical="center" wrapText="1"/>
    </xf>
    <xf numFmtId="0" fontId="6" fillId="13" borderId="57" xfId="5" applyNumberFormat="1" applyFont="1" applyFill="1" applyBorder="1" applyAlignment="1">
      <alignment horizontal="center" vertical="center" wrapText="1"/>
    </xf>
    <xf numFmtId="0" fontId="6" fillId="13" borderId="9" xfId="5" applyNumberFormat="1" applyFont="1" applyFill="1" applyBorder="1" applyAlignment="1">
      <alignment horizontal="center" vertical="center" wrapText="1"/>
    </xf>
    <xf numFmtId="0" fontId="6" fillId="17" borderId="57" xfId="5" applyNumberFormat="1" applyFont="1" applyFill="1" applyBorder="1" applyAlignment="1">
      <alignment horizontal="center" vertical="center" wrapText="1"/>
    </xf>
    <xf numFmtId="0" fontId="6" fillId="17" borderId="9" xfId="5" applyNumberFormat="1" applyFont="1" applyFill="1" applyBorder="1" applyAlignment="1">
      <alignment horizontal="center" vertical="center" wrapText="1"/>
    </xf>
    <xf numFmtId="0" fontId="5" fillId="17" borderId="17" xfId="5" applyFont="1" applyFill="1" applyBorder="1" applyAlignment="1">
      <alignment horizontal="center" vertical="center" wrapText="1"/>
    </xf>
    <xf numFmtId="0" fontId="5" fillId="17" borderId="28" xfId="5" applyFont="1" applyFill="1" applyBorder="1" applyAlignment="1">
      <alignment horizontal="center" vertical="center" wrapText="1"/>
    </xf>
    <xf numFmtId="0" fontId="6" fillId="13" borderId="17" xfId="5" applyFont="1" applyFill="1" applyBorder="1" applyAlignment="1">
      <alignment horizontal="center" vertical="center" wrapText="1"/>
    </xf>
    <xf numFmtId="0" fontId="6" fillId="13" borderId="28" xfId="5" applyFont="1" applyFill="1" applyBorder="1" applyAlignment="1">
      <alignment horizontal="center" vertical="center" wrapText="1"/>
    </xf>
    <xf numFmtId="0" fontId="5" fillId="17" borderId="59" xfId="5" applyFont="1" applyFill="1" applyBorder="1" applyAlignment="1">
      <alignment horizontal="center" vertical="center" wrapText="1"/>
    </xf>
    <xf numFmtId="0" fontId="5" fillId="17" borderId="23" xfId="5" applyFont="1" applyFill="1" applyBorder="1" applyAlignment="1">
      <alignment horizontal="center" vertical="center" wrapText="1"/>
    </xf>
    <xf numFmtId="0" fontId="6" fillId="2" borderId="59" xfId="5" applyFont="1" applyFill="1" applyBorder="1" applyAlignment="1">
      <alignment horizontal="center" vertical="center" wrapText="1"/>
    </xf>
    <xf numFmtId="0" fontId="6" fillId="2" borderId="23" xfId="5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5" fillId="0" borderId="97" xfId="5" applyFont="1" applyBorder="1" applyAlignment="1">
      <alignment horizontal="center" vertical="center" wrapText="1"/>
    </xf>
    <xf numFmtId="0" fontId="5" fillId="0" borderId="27" xfId="5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" fontId="18" fillId="0" borderId="2" xfId="0" applyNumberFormat="1" applyFont="1" applyBorder="1" applyAlignment="1">
      <alignment horizontal="center" vertical="center" wrapText="1"/>
    </xf>
    <xf numFmtId="0" fontId="18" fillId="0" borderId="113" xfId="0" applyFont="1" applyBorder="1" applyAlignment="1">
      <alignment horizontal="center" vertical="center" wrapText="1"/>
    </xf>
    <xf numFmtId="17" fontId="18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13" xfId="0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 wrapText="1"/>
    </xf>
  </cellXfs>
  <cellStyles count="8">
    <cellStyle name="Normal" xfId="7"/>
    <cellStyle name="Обычный" xfId="0" builtinId="0"/>
    <cellStyle name="Обычный 12" xfId="6"/>
    <cellStyle name="Обычный 2" xfId="5"/>
    <cellStyle name="Обычный 3" xfId="4"/>
    <cellStyle name="Обычный_Копия Свод к селекторному совещанию 02-09-09 2" xfId="3"/>
    <cellStyle name="Процентный" xfId="2" builtinId="5"/>
    <cellStyle name="Финансовый" xfId="1" builtinId="3"/>
  </cellStyles>
  <dxfs count="19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2274792</xdr:colOff>
      <xdr:row>0</xdr:row>
      <xdr:rowOff>56029</xdr:rowOff>
    </xdr:from>
    <xdr:to>
      <xdr:col>21</xdr:col>
      <xdr:colOff>246529</xdr:colOff>
      <xdr:row>2</xdr:row>
      <xdr:rowOff>324969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 txBox="1"/>
      </xdr:nvSpPr>
      <xdr:spPr>
        <a:xfrm>
          <a:off x="5849468" y="56029"/>
          <a:ext cx="12483355" cy="6723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200">
              <a:solidFill>
                <a:srgbClr val="FF0000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Формируется по "Отпуску в сеть" ТСО (верхним границам сетей: определяется по сечениям коммерческого учета электроэнергии субъектов оптового рынка. являющихся основой для определения фактических величин потребления, экспорта/импорта электроэнергии в ГТП), без детализации. Сравнение идет с аналогичным периодом (сутками) прошлого года., нарастающим итогом.</a:t>
          </a:r>
        </a:p>
        <a:p>
          <a:r>
            <a:rPr lang="ru-RU" sz="1100" b="1"/>
            <a:t>Срок предоставления: ежедневно до 12:00 (МСК),</a:t>
          </a:r>
          <a:r>
            <a:rPr lang="ru-RU" sz="1100" b="1" baseline="0"/>
            <a:t> </a:t>
          </a:r>
          <a:r>
            <a:rPr lang="ru-RU" sz="1100" b="1"/>
            <a:t>в понедельник -</a:t>
          </a:r>
          <a:r>
            <a:rPr lang="ru-RU" sz="1100" b="1" baseline="0"/>
            <a:t>  отчеты за пятницу, субботу и воскресенье.</a:t>
          </a:r>
          <a:endParaRPr lang="ru-RU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68037</xdr:colOff>
      <xdr:row>10</xdr:row>
      <xdr:rowOff>13608</xdr:rowOff>
    </xdr:from>
    <xdr:to>
      <xdr:col>3</xdr:col>
      <xdr:colOff>2122715</xdr:colOff>
      <xdr:row>14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 txBox="1"/>
      </xdr:nvSpPr>
      <xdr:spPr>
        <a:xfrm>
          <a:off x="517073" y="2435679"/>
          <a:ext cx="6014356" cy="843642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 Narrow" panose="020B0606020202030204" pitchFamily="34" charset="0"/>
              <a:ea typeface="+mn-ea"/>
              <a:cs typeface="+mn-cs"/>
            </a:rPr>
            <a:t>Формируется по "Отпуску в сеть" , "Отпуску из сети", "Выручке"  Сравнение идет с аналогичным интервалом времени  прошлого года., нарастающим итогом.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Срок предоставления: ежедневно по четвергам до 12:00 (МСК)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35485</xdr:colOff>
      <xdr:row>10</xdr:row>
      <xdr:rowOff>60832</xdr:rowOff>
    </xdr:from>
    <xdr:to>
      <xdr:col>3</xdr:col>
      <xdr:colOff>1918606</xdr:colOff>
      <xdr:row>14</xdr:row>
      <xdr:rowOff>33617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 txBox="1"/>
      </xdr:nvSpPr>
      <xdr:spPr>
        <a:xfrm>
          <a:off x="483720" y="2470097"/>
          <a:ext cx="5850004" cy="7347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200">
              <a:solidFill>
                <a:srgbClr val="FF0000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Формируется по "Отпуску в сеть" ТСО, "Отпуску из сети", "Котловому полезному отпуску",</a:t>
          </a:r>
          <a:r>
            <a:rPr lang="ru-RU" sz="1200" baseline="0">
              <a:solidFill>
                <a:srgbClr val="FF0000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 "Выручке"</a:t>
          </a:r>
          <a:r>
            <a:rPr lang="ru-RU" sz="1200">
              <a:solidFill>
                <a:srgbClr val="FF0000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 в соответствии с управленческой отчетностью</a:t>
          </a:r>
        </a:p>
        <a:p>
          <a:r>
            <a:rPr lang="ru-RU" sz="1100" b="1"/>
            <a:t>Срок предоставления: ежемесячно 17 числа  до 12:00 (МСК)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olchanova_na\AppData\Local\Microsoft\Windows\Temporary%20Internet%20Files\Content.Outlook\5ZGLDHEV\&#1050;&#1086;&#1087;&#1080;&#1103;%20&#1044;&#1083;&#1103;%20&#1086;&#1090;&#1095;&#1077;&#1090;&#1072;%20&#1087;&#1086;%20&#1087;&#1086;&#1090;&#1088;&#1077;&#1073;&#1083;&#1077;&#1085;&#1080;&#1102;%20&#1069;&#1069;%20&#1087;&#1086;&#1090;&#1088;&#1077;&#1073;&#1080;&#1090;&#1077;&#1083;&#1077;&#1081;%20(2)%20(2)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4;&#1090;&#1095;&#1077;&#1090;&#1099;/_&#1054;&#1090;&#1095;&#1077;&#1090;&#1099;/_&#1086;&#1090;&#1095;&#1077;&#1090;&#1099;%20&#1073;&#1072;&#1083;&#1072;&#1085;&#1089;/REDBOOK/Rb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olchanova_na\AppData\Local\Microsoft\Windows\Temporary%20Internet%20Files\Content.Outlook\5ZGLDHEV\&#1086;&#1090;&#1095;&#1077;&#1090;%20&#1087;&#1086;%20&#1087;&#1086;&#1090;&#1088;&#1077;&#1073;&#1083;&#1077;&#1085;&#1080;&#1102;%20&#1070;&#1069;&#1057;%20&#1079;&#1072;%208%20&#1076;&#1085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olchanova_na\AppData\Local\Microsoft\Windows\Temporary%20Internet%20Files\Content.Outlook\5ZGLDHEV\&#1062;&#1069;&#1057;%20&#1044;&#1083;&#1103;%20&#1086;&#1090;&#1095;&#1077;&#1090;&#1072;%20&#1087;&#1086;%20&#1087;&#1086;&#1090;&#1088;&#1077;&#1073;&#1083;&#1077;&#1085;&#1080;&#1102;%20&#1069;&#1069;%20&#1087;&#1086;&#1090;&#1088;&#1077;&#1073;&#1080;&#1090;&#1077;&#1083;&#1077;&#1081;%20(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olchanova_na\AppData\Local\Microsoft\Windows\Temporary%20Internet%20Files\Content.Outlook\5ZGLDHEV\!&#1044;&#1083;&#1103;%20&#1086;&#1090;&#1095;&#1077;&#1090;&#1072;%20&#1087;&#1086;%20&#1087;&#1086;&#1090;&#1088;&#1077;&#1073;&#1083;&#1077;&#1085;&#1080;&#1102;%20&#1069;&#1069;%20&#1087;&#1086;&#1090;&#1088;&#1077;&#1073;&#1080;&#1090;&#1077;&#1083;&#1077;&#108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7">
          <cell r="I7">
            <v>5072998</v>
          </cell>
        </row>
        <row r="14">
          <cell r="I14">
            <v>410742</v>
          </cell>
        </row>
        <row r="37">
          <cell r="I37">
            <v>1521800</v>
          </cell>
        </row>
        <row r="38">
          <cell r="I38">
            <v>3056400.0000000298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ЧЭС ПО ГЭС_12"/>
      <sheetName val="АКТ ЧЭС _12с Без селенги"/>
      <sheetName val="АКТ ЧЭС _12"/>
      <sheetName val="СВ 12"/>
      <sheetName val="СВ 12_ГЭС"/>
      <sheetName val="АКТ ЧЭС ПО ГЭС_11"/>
      <sheetName val="АКТ ЧЭС ПО ГЭС_10"/>
      <sheetName val="АКТ ЧЭС _10"/>
      <sheetName val="СВ 09_ГЭС"/>
      <sheetName val="АКТ ЧЭС ПО ГЭС_08"/>
      <sheetName val="СВ 08"/>
      <sheetName val="СВ 03"/>
      <sheetName val="ЦЭС"/>
      <sheetName val="ВЭС"/>
      <sheetName val="ЮЭС"/>
      <sheetName val="БЭС"/>
      <sheetName val="СЭС"/>
      <sheetName val="СБЭС"/>
      <sheetName val="ГЭС"/>
      <sheetName val="баланс для ЧЭС(ПО ГЭС)"/>
      <sheetName val="СИСТЕМА_пол"/>
      <sheetName val="СВ 05"/>
      <sheetName val="СВ 06_ГЭС"/>
      <sheetName val="Система Новая БЭ"/>
      <sheetName val="СВ 07"/>
      <sheetName val="СВ 07_ГЭС"/>
      <sheetName val="АКТ ЧЭС _07"/>
      <sheetName val="АКТ ЧЭС _08"/>
      <sheetName val="СВ 08_ГЭС"/>
      <sheetName val="СВ 09"/>
      <sheetName val="СВ 10"/>
      <sheetName val="СВ 11"/>
      <sheetName val="СВ 10_ГЭС"/>
      <sheetName val="СВ 11_ГЭС"/>
      <sheetName val="Система Новая БЭ+ГЭС"/>
      <sheetName val="АКТ ЧЭС _01"/>
      <sheetName val="АКТ ЧЭС _02"/>
      <sheetName val="АКТ ЧЭС _03"/>
      <sheetName val="АКТ ЧЭС _04"/>
      <sheetName val="АКТ ЧЭС _05"/>
      <sheetName val="АКТ ЧЭС _06"/>
      <sheetName val="СВ 02"/>
      <sheetName val="СВ 05_ГЭС"/>
      <sheetName val="СВ 01"/>
      <sheetName val="АКТ ЧЭС _09"/>
      <sheetName val="Балансы по ТСО_котел сверху"/>
      <sheetName val="СВ 01_ГЭС"/>
      <sheetName val="СВ 02_ГЭС"/>
      <sheetName val="СВ 03_ГЭС"/>
      <sheetName val="АКТ ЧЭС ПО ГЭС_01"/>
      <sheetName val="АКТ ЧЭС ПО ГЭС_02"/>
      <sheetName val="АКТ ЧЭС ПО ГЭС_03"/>
      <sheetName val="АКТ ЧЭС ПО ГЭС_04"/>
      <sheetName val="АКТ ЧЭС ПО ГЭС_05"/>
      <sheetName val="АКТ ЧЭС ПО ГЭС_06"/>
      <sheetName val="АКТ ЧЭС ПО ГЭС_07"/>
      <sheetName val="СВ 04"/>
      <sheetName val="СВ 04_ГЭС"/>
      <sheetName val="Лист1"/>
      <sheetName val="АКТ ЧЭС _1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9">
          <cell r="D69">
            <v>6941.3919999999998</v>
          </cell>
          <cell r="F69">
            <v>6740.277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44">
          <cell r="D144">
            <v>1125.6600000000001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>
        <row r="76">
          <cell r="C76">
            <v>76.221999999999994</v>
          </cell>
        </row>
        <row r="77">
          <cell r="C77">
            <v>234.83600000000001</v>
          </cell>
        </row>
        <row r="78">
          <cell r="C78">
            <v>2442.982</v>
          </cell>
        </row>
        <row r="86">
          <cell r="C86">
            <v>6219.2659999999996</v>
          </cell>
        </row>
        <row r="88">
          <cell r="C88">
            <v>31760.420684098503</v>
          </cell>
        </row>
        <row r="89">
          <cell r="C89">
            <v>24.286000000000001</v>
          </cell>
        </row>
        <row r="90">
          <cell r="C90">
            <v>89035.0682372226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>
        <row r="66">
          <cell r="D66">
            <v>132883.37549999997</v>
          </cell>
        </row>
        <row r="86">
          <cell r="D86">
            <v>13083.245999999999</v>
          </cell>
        </row>
        <row r="87">
          <cell r="D87">
            <v>3163.0659999999989</v>
          </cell>
        </row>
      </sheetData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 refreshError="1"/>
      <sheetData sheetId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РАсчет РЖД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AN95"/>
  <sheetViews>
    <sheetView zoomScale="85" zoomScaleNormal="85" workbookViewId="0">
      <pane xSplit="4" ySplit="7" topLeftCell="E10" activePane="bottomRight" state="frozen"/>
      <selection pane="topRight" activeCell="D1" sqref="D1"/>
      <selection pane="bottomLeft" activeCell="A9" sqref="A9"/>
      <selection pane="bottomRight" activeCell="F27" sqref="F27"/>
    </sheetView>
  </sheetViews>
  <sheetFormatPr defaultRowHeight="15" x14ac:dyDescent="0.25"/>
  <cols>
    <col min="1" max="1" width="8" customWidth="1"/>
    <col min="2" max="2" width="20.140625" customWidth="1"/>
    <col min="3" max="3" width="25.42578125" customWidth="1"/>
    <col min="4" max="4" width="37.140625" customWidth="1"/>
    <col min="5" max="6" width="13.28515625" customWidth="1"/>
    <col min="7" max="7" width="16" customWidth="1"/>
    <col min="8" max="8" width="16.5703125" customWidth="1"/>
    <col min="9" max="9" width="12.42578125" customWidth="1"/>
    <col min="40" max="40" width="12.42578125" customWidth="1"/>
  </cols>
  <sheetData>
    <row r="1" spans="1:40" ht="15.75" x14ac:dyDescent="0.25">
      <c r="B1" s="7">
        <v>43932</v>
      </c>
      <c r="C1" t="s">
        <v>4</v>
      </c>
      <c r="E1" s="8" t="e">
        <f>#REF!-1</f>
        <v>#REF!</v>
      </c>
      <c r="F1" s="8">
        <f>B1-1</f>
        <v>43931</v>
      </c>
      <c r="G1" s="9">
        <f>F1-366</f>
        <v>43565</v>
      </c>
      <c r="H1" s="1"/>
      <c r="AN1" s="1"/>
    </row>
    <row r="2" spans="1:40" ht="15.75" x14ac:dyDescent="0.25">
      <c r="A2" s="1" t="str">
        <f>"Суточное электропотребление (отпуск в сеть), млн кВтч на "&amp;(TEXT(F1,"ДД.ММ.ГГГГ"))</f>
        <v>Суточное электропотребление (отпуск в сеть), млн кВтч на 10.04.2020</v>
      </c>
      <c r="B2" s="1"/>
      <c r="C2" s="1"/>
      <c r="E2" s="1"/>
      <c r="F2" s="1"/>
      <c r="G2" s="1"/>
      <c r="H2" s="1"/>
      <c r="AN2" s="1"/>
    </row>
    <row r="3" spans="1:40" ht="33.75" customHeight="1" thickBot="1" x14ac:dyDescent="0.3">
      <c r="A3" s="2"/>
      <c r="B3" s="2"/>
      <c r="C3" s="2"/>
      <c r="D3" s="10"/>
      <c r="E3" s="1"/>
      <c r="F3" s="1"/>
      <c r="G3" s="1"/>
      <c r="H3" s="1"/>
      <c r="AN3" s="1"/>
    </row>
    <row r="4" spans="1:40" x14ac:dyDescent="0.25">
      <c r="A4" s="476" t="s">
        <v>0</v>
      </c>
      <c r="B4" s="479" t="s">
        <v>1</v>
      </c>
      <c r="C4" s="479" t="s">
        <v>2</v>
      </c>
      <c r="D4" s="482" t="s">
        <v>3</v>
      </c>
      <c r="E4" s="485" t="s">
        <v>5</v>
      </c>
      <c r="F4" s="486"/>
      <c r="G4" s="486"/>
      <c r="H4" s="487"/>
      <c r="I4" s="468" t="s">
        <v>6</v>
      </c>
      <c r="J4" s="469"/>
      <c r="K4" s="469"/>
      <c r="L4" s="469"/>
      <c r="M4" s="469"/>
      <c r="N4" s="469"/>
      <c r="O4" s="469"/>
      <c r="P4" s="469"/>
      <c r="Q4" s="469"/>
      <c r="R4" s="469"/>
      <c r="S4" s="469"/>
      <c r="T4" s="469"/>
      <c r="U4" s="469"/>
      <c r="V4" s="469"/>
      <c r="W4" s="469"/>
      <c r="X4" s="469"/>
      <c r="Y4" s="469"/>
      <c r="Z4" s="469"/>
      <c r="AA4" s="469"/>
      <c r="AB4" s="469"/>
      <c r="AC4" s="469"/>
      <c r="AD4" s="469"/>
      <c r="AE4" s="469"/>
      <c r="AF4" s="469"/>
      <c r="AG4" s="469"/>
      <c r="AH4" s="469"/>
      <c r="AI4" s="469"/>
      <c r="AJ4" s="469"/>
      <c r="AK4" s="469"/>
      <c r="AL4" s="469"/>
      <c r="AM4" s="470"/>
    </row>
    <row r="5" spans="1:40" x14ac:dyDescent="0.25">
      <c r="A5" s="477"/>
      <c r="B5" s="480"/>
      <c r="C5" s="480"/>
      <c r="D5" s="483"/>
      <c r="E5" s="11">
        <v>2019</v>
      </c>
      <c r="F5" s="11">
        <v>2019</v>
      </c>
      <c r="G5" s="5">
        <v>2020</v>
      </c>
      <c r="H5" s="474" t="s">
        <v>7</v>
      </c>
      <c r="I5" s="471"/>
      <c r="J5" s="472"/>
      <c r="K5" s="472"/>
      <c r="L5" s="472"/>
      <c r="M5" s="472"/>
      <c r="N5" s="472"/>
      <c r="O5" s="472"/>
      <c r="P5" s="472"/>
      <c r="Q5" s="472"/>
      <c r="R5" s="472"/>
      <c r="S5" s="472"/>
      <c r="T5" s="472"/>
      <c r="U5" s="472"/>
      <c r="V5" s="472"/>
      <c r="W5" s="472"/>
      <c r="X5" s="472"/>
      <c r="Y5" s="472"/>
      <c r="Z5" s="472"/>
      <c r="AA5" s="472"/>
      <c r="AB5" s="472"/>
      <c r="AC5" s="472"/>
      <c r="AD5" s="472"/>
      <c r="AE5" s="472"/>
      <c r="AF5" s="472"/>
      <c r="AG5" s="472"/>
      <c r="AH5" s="472"/>
      <c r="AI5" s="472"/>
      <c r="AJ5" s="472"/>
      <c r="AK5" s="472"/>
      <c r="AL5" s="472"/>
      <c r="AM5" s="473"/>
      <c r="AN5" s="3"/>
    </row>
    <row r="6" spans="1:40" ht="45" x14ac:dyDescent="0.25">
      <c r="A6" s="478"/>
      <c r="B6" s="481"/>
      <c r="C6" s="481"/>
      <c r="D6" s="484"/>
      <c r="E6" s="12" t="s">
        <v>8</v>
      </c>
      <c r="F6" s="12" t="str">
        <f>"факт"&amp;" по состоянию на "&amp;(TEXT(G1,"ДД.ММ.ГГГГ"))</f>
        <v>факт по состоянию на 10.04.2019</v>
      </c>
      <c r="G6" s="4" t="str">
        <f>"факт"&amp;" по состоянию на "&amp;(TEXT(B1,"ДД.ММ.ГГГГ"))</f>
        <v>факт по состоянию на 11.04.2020</v>
      </c>
      <c r="H6" s="475"/>
      <c r="I6" s="11">
        <v>1</v>
      </c>
      <c r="J6" s="5">
        <v>2</v>
      </c>
      <c r="K6" s="5">
        <v>3</v>
      </c>
      <c r="L6" s="5">
        <v>4</v>
      </c>
      <c r="M6" s="5">
        <v>5</v>
      </c>
      <c r="N6" s="5">
        <v>6</v>
      </c>
      <c r="O6" s="5">
        <v>7</v>
      </c>
      <c r="P6" s="5">
        <v>8</v>
      </c>
      <c r="Q6" s="5">
        <v>9</v>
      </c>
      <c r="R6" s="5">
        <v>10</v>
      </c>
      <c r="S6" s="5">
        <v>11</v>
      </c>
      <c r="T6" s="5">
        <v>12</v>
      </c>
      <c r="U6" s="5">
        <v>13</v>
      </c>
      <c r="V6" s="5">
        <v>14</v>
      </c>
      <c r="W6" s="5">
        <v>15</v>
      </c>
      <c r="X6" s="5">
        <v>16</v>
      </c>
      <c r="Y6" s="5">
        <v>17</v>
      </c>
      <c r="Z6" s="5">
        <v>18</v>
      </c>
      <c r="AA6" s="5">
        <v>19</v>
      </c>
      <c r="AB6" s="5">
        <v>20</v>
      </c>
      <c r="AC6" s="5">
        <v>21</v>
      </c>
      <c r="AD6" s="5">
        <v>22</v>
      </c>
      <c r="AE6" s="5">
        <v>23</v>
      </c>
      <c r="AF6" s="5">
        <v>24</v>
      </c>
      <c r="AG6" s="5">
        <v>25</v>
      </c>
      <c r="AH6" s="5">
        <v>26</v>
      </c>
      <c r="AI6" s="5">
        <v>27</v>
      </c>
      <c r="AJ6" s="5">
        <v>28</v>
      </c>
      <c r="AK6" s="227">
        <v>29</v>
      </c>
      <c r="AL6" s="5">
        <v>30</v>
      </c>
      <c r="AM6" s="13">
        <v>31</v>
      </c>
      <c r="AN6" s="3"/>
    </row>
    <row r="7" spans="1:40" ht="15.75" thickBot="1" x14ac:dyDescent="0.3">
      <c r="A7" s="14">
        <v>1</v>
      </c>
      <c r="B7" s="15">
        <f>A7+1</f>
        <v>2</v>
      </c>
      <c r="C7" s="15">
        <f t="shared" ref="C7:AM7" si="0">B7+1</f>
        <v>3</v>
      </c>
      <c r="D7" s="16">
        <f t="shared" si="0"/>
        <v>4</v>
      </c>
      <c r="E7" s="17">
        <f t="shared" si="0"/>
        <v>5</v>
      </c>
      <c r="F7" s="16">
        <f t="shared" si="0"/>
        <v>6</v>
      </c>
      <c r="G7" s="18" t="s">
        <v>215</v>
      </c>
      <c r="H7" s="18" t="s">
        <v>220</v>
      </c>
      <c r="I7" s="18">
        <v>9</v>
      </c>
      <c r="J7" s="18">
        <f t="shared" si="0"/>
        <v>10</v>
      </c>
      <c r="K7" s="18">
        <f t="shared" si="0"/>
        <v>11</v>
      </c>
      <c r="L7" s="18">
        <f t="shared" si="0"/>
        <v>12</v>
      </c>
      <c r="M7" s="18">
        <f t="shared" si="0"/>
        <v>13</v>
      </c>
      <c r="N7" s="18">
        <f t="shared" si="0"/>
        <v>14</v>
      </c>
      <c r="O7" s="18">
        <f t="shared" si="0"/>
        <v>15</v>
      </c>
      <c r="P7" s="18">
        <f t="shared" si="0"/>
        <v>16</v>
      </c>
      <c r="Q7" s="18">
        <f t="shared" si="0"/>
        <v>17</v>
      </c>
      <c r="R7" s="18">
        <f t="shared" si="0"/>
        <v>18</v>
      </c>
      <c r="S7" s="18">
        <f t="shared" si="0"/>
        <v>19</v>
      </c>
      <c r="T7" s="18">
        <f t="shared" si="0"/>
        <v>20</v>
      </c>
      <c r="U7" s="18">
        <f t="shared" si="0"/>
        <v>21</v>
      </c>
      <c r="V7" s="18">
        <f t="shared" si="0"/>
        <v>22</v>
      </c>
      <c r="W7" s="18">
        <f t="shared" si="0"/>
        <v>23</v>
      </c>
      <c r="X7" s="18">
        <f t="shared" si="0"/>
        <v>24</v>
      </c>
      <c r="Y7" s="18">
        <f t="shared" si="0"/>
        <v>25</v>
      </c>
      <c r="Z7" s="18">
        <f t="shared" si="0"/>
        <v>26</v>
      </c>
      <c r="AA7" s="18">
        <f t="shared" si="0"/>
        <v>27</v>
      </c>
      <c r="AB7" s="18">
        <f t="shared" si="0"/>
        <v>28</v>
      </c>
      <c r="AC7" s="18">
        <f t="shared" si="0"/>
        <v>29</v>
      </c>
      <c r="AD7" s="18">
        <f t="shared" si="0"/>
        <v>30</v>
      </c>
      <c r="AE7" s="18">
        <f t="shared" si="0"/>
        <v>31</v>
      </c>
      <c r="AF7" s="18">
        <f t="shared" si="0"/>
        <v>32</v>
      </c>
      <c r="AG7" s="18">
        <f t="shared" si="0"/>
        <v>33</v>
      </c>
      <c r="AH7" s="18">
        <f t="shared" si="0"/>
        <v>34</v>
      </c>
      <c r="AI7" s="18">
        <f t="shared" si="0"/>
        <v>35</v>
      </c>
      <c r="AJ7" s="18">
        <f t="shared" si="0"/>
        <v>36</v>
      </c>
      <c r="AK7" s="18">
        <f>AI7+1</f>
        <v>36</v>
      </c>
      <c r="AL7" s="18">
        <f>AJ7+1</f>
        <v>37</v>
      </c>
      <c r="AM7" s="19">
        <f t="shared" si="0"/>
        <v>38</v>
      </c>
      <c r="AN7" s="20"/>
    </row>
    <row r="8" spans="1:40" x14ac:dyDescent="0.25">
      <c r="A8" s="21">
        <v>1</v>
      </c>
      <c r="B8" s="22"/>
      <c r="C8" s="22" t="s">
        <v>9</v>
      </c>
      <c r="D8" s="23" t="s">
        <v>9</v>
      </c>
      <c r="E8" s="24">
        <f>SUM(E9:E19)</f>
        <v>1250</v>
      </c>
      <c r="F8" s="25">
        <f>SUM(F9:F19)</f>
        <v>820</v>
      </c>
      <c r="G8" s="26">
        <f>SUM(G9:G19)</f>
        <v>798</v>
      </c>
      <c r="H8" s="27">
        <f>IFERROR((G8-F8)/F8,"")</f>
        <v>-2.6829268292682926E-2</v>
      </c>
      <c r="I8" s="28">
        <f t="shared" ref="I8:AM8" si="1">SUM(I9:I19)</f>
        <v>25</v>
      </c>
      <c r="J8" s="29">
        <f t="shared" si="1"/>
        <v>23</v>
      </c>
      <c r="K8" s="29">
        <f t="shared" si="1"/>
        <v>16</v>
      </c>
      <c r="L8" s="29">
        <f t="shared" si="1"/>
        <v>22</v>
      </c>
      <c r="M8" s="29">
        <f t="shared" si="1"/>
        <v>34</v>
      </c>
      <c r="N8" s="29">
        <f t="shared" si="1"/>
        <v>23</v>
      </c>
      <c r="O8" s="29">
        <f t="shared" si="1"/>
        <v>16</v>
      </c>
      <c r="P8" s="29">
        <f t="shared" si="1"/>
        <v>22</v>
      </c>
      <c r="Q8" s="29">
        <f t="shared" si="1"/>
        <v>34</v>
      </c>
      <c r="R8" s="29">
        <f t="shared" si="1"/>
        <v>34</v>
      </c>
      <c r="S8" s="29">
        <f t="shared" si="1"/>
        <v>35</v>
      </c>
      <c r="T8" s="29">
        <f t="shared" si="1"/>
        <v>23</v>
      </c>
      <c r="U8" s="29">
        <f t="shared" si="1"/>
        <v>16</v>
      </c>
      <c r="V8" s="29">
        <f t="shared" si="1"/>
        <v>22</v>
      </c>
      <c r="W8" s="29">
        <f t="shared" si="1"/>
        <v>34</v>
      </c>
      <c r="X8" s="29">
        <f t="shared" si="1"/>
        <v>40</v>
      </c>
      <c r="Y8" s="29">
        <f t="shared" si="1"/>
        <v>41</v>
      </c>
      <c r="Z8" s="29">
        <f t="shared" si="1"/>
        <v>23</v>
      </c>
      <c r="AA8" s="29">
        <f t="shared" si="1"/>
        <v>16</v>
      </c>
      <c r="AB8" s="29">
        <f t="shared" si="1"/>
        <v>22</v>
      </c>
      <c r="AC8" s="29">
        <f t="shared" si="1"/>
        <v>34</v>
      </c>
      <c r="AD8" s="29">
        <f t="shared" si="1"/>
        <v>47</v>
      </c>
      <c r="AE8" s="29">
        <f t="shared" si="1"/>
        <v>48</v>
      </c>
      <c r="AF8" s="29">
        <f t="shared" si="1"/>
        <v>23</v>
      </c>
      <c r="AG8" s="29">
        <f t="shared" si="1"/>
        <v>16</v>
      </c>
      <c r="AH8" s="29">
        <f t="shared" si="1"/>
        <v>22</v>
      </c>
      <c r="AI8" s="29">
        <f t="shared" si="1"/>
        <v>34</v>
      </c>
      <c r="AJ8" s="29">
        <f t="shared" si="1"/>
        <v>53</v>
      </c>
      <c r="AK8" s="29">
        <f t="shared" ref="AK8" si="2">SUM(AK9:AK19)</f>
        <v>0</v>
      </c>
      <c r="AL8" s="29">
        <f t="shared" si="1"/>
        <v>0</v>
      </c>
      <c r="AM8" s="30">
        <f t="shared" si="1"/>
        <v>0</v>
      </c>
      <c r="AN8" s="6"/>
    </row>
    <row r="9" spans="1:40" x14ac:dyDescent="0.25">
      <c r="A9" s="31" t="s">
        <v>10</v>
      </c>
      <c r="B9" s="32" t="s">
        <v>11</v>
      </c>
      <c r="C9" s="32" t="s">
        <v>9</v>
      </c>
      <c r="D9" s="33" t="s">
        <v>12</v>
      </c>
      <c r="E9" s="34">
        <v>1250</v>
      </c>
      <c r="F9" s="35">
        <v>820</v>
      </c>
      <c r="G9" s="36">
        <f>SUM(I9:AM9)</f>
        <v>798</v>
      </c>
      <c r="H9" s="37">
        <f t="shared" ref="H9:H72" si="3">IFERROR((G9-F9)/F9,"")</f>
        <v>-2.6829268292682926E-2</v>
      </c>
      <c r="I9" s="34">
        <v>25</v>
      </c>
      <c r="J9" s="38">
        <v>23</v>
      </c>
      <c r="K9" s="38">
        <v>16</v>
      </c>
      <c r="L9" s="38">
        <v>22</v>
      </c>
      <c r="M9" s="38">
        <v>34</v>
      </c>
      <c r="N9" s="38">
        <v>23</v>
      </c>
      <c r="O9" s="38">
        <v>16</v>
      </c>
      <c r="P9" s="38">
        <v>22</v>
      </c>
      <c r="Q9" s="38">
        <v>34</v>
      </c>
      <c r="R9" s="38">
        <v>34</v>
      </c>
      <c r="S9" s="38">
        <v>35</v>
      </c>
      <c r="T9" s="38">
        <v>23</v>
      </c>
      <c r="U9" s="38">
        <v>16</v>
      </c>
      <c r="V9" s="38">
        <v>22</v>
      </c>
      <c r="W9" s="38">
        <v>34</v>
      </c>
      <c r="X9" s="38">
        <v>40</v>
      </c>
      <c r="Y9" s="38">
        <v>41</v>
      </c>
      <c r="Z9" s="38">
        <v>23</v>
      </c>
      <c r="AA9" s="38">
        <v>16</v>
      </c>
      <c r="AB9" s="38">
        <v>22</v>
      </c>
      <c r="AC9" s="38">
        <v>34</v>
      </c>
      <c r="AD9" s="38">
        <v>47</v>
      </c>
      <c r="AE9" s="38">
        <v>48</v>
      </c>
      <c r="AF9" s="38">
        <v>23</v>
      </c>
      <c r="AG9" s="38">
        <v>16</v>
      </c>
      <c r="AH9" s="38">
        <v>22</v>
      </c>
      <c r="AI9" s="38">
        <v>34</v>
      </c>
      <c r="AJ9" s="38">
        <v>53</v>
      </c>
      <c r="AK9" s="38">
        <v>0</v>
      </c>
      <c r="AL9" s="38">
        <v>0</v>
      </c>
      <c r="AM9" s="39">
        <v>0</v>
      </c>
      <c r="AN9" s="40"/>
    </row>
    <row r="10" spans="1:40" x14ac:dyDescent="0.25">
      <c r="A10" s="31" t="s">
        <v>13</v>
      </c>
      <c r="B10" s="32"/>
      <c r="C10" s="32" t="s">
        <v>9</v>
      </c>
      <c r="D10" s="33" t="s">
        <v>14</v>
      </c>
      <c r="E10" s="34"/>
      <c r="F10" s="35"/>
      <c r="G10" s="36">
        <f t="shared" ref="G10:G19" si="4">SUM(I10:AM10)</f>
        <v>0</v>
      </c>
      <c r="H10" s="37" t="str">
        <f t="shared" si="3"/>
        <v/>
      </c>
      <c r="I10" s="34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9"/>
      <c r="AN10" s="40"/>
    </row>
    <row r="11" spans="1:40" x14ac:dyDescent="0.25">
      <c r="A11" s="31" t="s">
        <v>15</v>
      </c>
      <c r="B11" s="32"/>
      <c r="C11" s="32" t="s">
        <v>9</v>
      </c>
      <c r="D11" s="33" t="s">
        <v>16</v>
      </c>
      <c r="E11" s="34"/>
      <c r="F11" s="35"/>
      <c r="G11" s="36">
        <f t="shared" si="4"/>
        <v>0</v>
      </c>
      <c r="H11" s="37" t="str">
        <f t="shared" si="3"/>
        <v/>
      </c>
      <c r="I11" s="34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9"/>
      <c r="AN11" s="40"/>
    </row>
    <row r="12" spans="1:40" x14ac:dyDescent="0.25">
      <c r="A12" s="31" t="s">
        <v>17</v>
      </c>
      <c r="B12" s="32"/>
      <c r="C12" s="32" t="s">
        <v>9</v>
      </c>
      <c r="D12" s="33" t="s">
        <v>18</v>
      </c>
      <c r="E12" s="34"/>
      <c r="F12" s="35"/>
      <c r="G12" s="36">
        <f t="shared" si="4"/>
        <v>0</v>
      </c>
      <c r="H12" s="37" t="str">
        <f t="shared" si="3"/>
        <v/>
      </c>
      <c r="I12" s="34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9"/>
      <c r="AN12" s="40"/>
    </row>
    <row r="13" spans="1:40" x14ac:dyDescent="0.25">
      <c r="A13" s="31" t="s">
        <v>19</v>
      </c>
      <c r="B13" s="32"/>
      <c r="C13" s="32" t="s">
        <v>9</v>
      </c>
      <c r="D13" s="33" t="s">
        <v>20</v>
      </c>
      <c r="E13" s="34"/>
      <c r="F13" s="35"/>
      <c r="G13" s="36">
        <f t="shared" si="4"/>
        <v>0</v>
      </c>
      <c r="H13" s="37" t="str">
        <f t="shared" si="3"/>
        <v/>
      </c>
      <c r="I13" s="34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9"/>
      <c r="AN13" s="40"/>
    </row>
    <row r="14" spans="1:40" x14ac:dyDescent="0.25">
      <c r="A14" s="31" t="s">
        <v>21</v>
      </c>
      <c r="B14" s="32"/>
      <c r="C14" s="32" t="s">
        <v>9</v>
      </c>
      <c r="D14" s="33" t="s">
        <v>22</v>
      </c>
      <c r="E14" s="34"/>
      <c r="F14" s="35"/>
      <c r="G14" s="36">
        <f t="shared" si="4"/>
        <v>0</v>
      </c>
      <c r="H14" s="37" t="str">
        <f t="shared" si="3"/>
        <v/>
      </c>
      <c r="I14" s="34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9"/>
      <c r="AN14" s="40"/>
    </row>
    <row r="15" spans="1:40" x14ac:dyDescent="0.25">
      <c r="A15" s="31" t="s">
        <v>23</v>
      </c>
      <c r="B15" s="32"/>
      <c r="C15" s="32" t="s">
        <v>9</v>
      </c>
      <c r="D15" s="33" t="s">
        <v>24</v>
      </c>
      <c r="E15" s="34"/>
      <c r="F15" s="35"/>
      <c r="G15" s="36">
        <f t="shared" si="4"/>
        <v>0</v>
      </c>
      <c r="H15" s="37" t="str">
        <f t="shared" si="3"/>
        <v/>
      </c>
      <c r="I15" s="34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9"/>
      <c r="AN15" s="40"/>
    </row>
    <row r="16" spans="1:40" x14ac:dyDescent="0.25">
      <c r="A16" s="31" t="s">
        <v>25</v>
      </c>
      <c r="B16" s="32"/>
      <c r="C16" s="32" t="s">
        <v>9</v>
      </c>
      <c r="D16" s="33" t="s">
        <v>26</v>
      </c>
      <c r="E16" s="34"/>
      <c r="F16" s="35"/>
      <c r="G16" s="36">
        <f t="shared" si="4"/>
        <v>0</v>
      </c>
      <c r="H16" s="37" t="str">
        <f t="shared" si="3"/>
        <v/>
      </c>
      <c r="I16" s="34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9"/>
      <c r="AN16" s="40"/>
    </row>
    <row r="17" spans="1:40" x14ac:dyDescent="0.25">
      <c r="A17" s="31" t="s">
        <v>27</v>
      </c>
      <c r="B17" s="32"/>
      <c r="C17" s="32" t="s">
        <v>9</v>
      </c>
      <c r="D17" s="33" t="s">
        <v>28</v>
      </c>
      <c r="E17" s="34"/>
      <c r="F17" s="35"/>
      <c r="G17" s="36">
        <f t="shared" si="4"/>
        <v>0</v>
      </c>
      <c r="H17" s="37" t="str">
        <f t="shared" si="3"/>
        <v/>
      </c>
      <c r="I17" s="34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9"/>
      <c r="AN17" s="40"/>
    </row>
    <row r="18" spans="1:40" x14ac:dyDescent="0.25">
      <c r="A18" s="31" t="s">
        <v>29</v>
      </c>
      <c r="B18" s="32"/>
      <c r="C18" s="32" t="s">
        <v>9</v>
      </c>
      <c r="D18" s="33" t="s">
        <v>30</v>
      </c>
      <c r="E18" s="34"/>
      <c r="F18" s="35"/>
      <c r="G18" s="36">
        <f t="shared" si="4"/>
        <v>0</v>
      </c>
      <c r="H18" s="37" t="str">
        <f t="shared" si="3"/>
        <v/>
      </c>
      <c r="I18" s="34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9"/>
      <c r="AN18" s="40"/>
    </row>
    <row r="19" spans="1:40" ht="15.75" thickBot="1" x14ac:dyDescent="0.3">
      <c r="A19" s="41" t="s">
        <v>31</v>
      </c>
      <c r="B19" s="42"/>
      <c r="C19" s="42" t="s">
        <v>9</v>
      </c>
      <c r="D19" s="228" t="s">
        <v>32</v>
      </c>
      <c r="E19" s="44"/>
      <c r="F19" s="45"/>
      <c r="G19" s="46">
        <f t="shared" si="4"/>
        <v>0</v>
      </c>
      <c r="H19" s="47" t="str">
        <f t="shared" si="3"/>
        <v/>
      </c>
      <c r="I19" s="44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9"/>
      <c r="AN19" s="40"/>
    </row>
    <row r="20" spans="1:40" x14ac:dyDescent="0.25">
      <c r="A20" s="50">
        <v>2</v>
      </c>
      <c r="B20" s="51"/>
      <c r="C20" s="237" t="s">
        <v>33</v>
      </c>
      <c r="D20" s="52" t="s">
        <v>33</v>
      </c>
      <c r="E20" s="28">
        <f>SUM(E22:E31)</f>
        <v>0</v>
      </c>
      <c r="F20" s="53">
        <f>SUM(F22:F31)</f>
        <v>0</v>
      </c>
      <c r="G20" s="29">
        <f t="shared" ref="G20" si="5">SUM(G22:G31)</f>
        <v>0</v>
      </c>
      <c r="H20" s="54" t="str">
        <f t="shared" si="3"/>
        <v/>
      </c>
      <c r="I20" s="28">
        <f t="shared" ref="I20:AM20" si="6">SUM(I22:I31)</f>
        <v>0</v>
      </c>
      <c r="J20" s="29">
        <f t="shared" si="6"/>
        <v>0</v>
      </c>
      <c r="K20" s="29">
        <f t="shared" si="6"/>
        <v>0</v>
      </c>
      <c r="L20" s="29">
        <f t="shared" si="6"/>
        <v>0</v>
      </c>
      <c r="M20" s="29">
        <f t="shared" si="6"/>
        <v>0</v>
      </c>
      <c r="N20" s="29">
        <f t="shared" si="6"/>
        <v>0</v>
      </c>
      <c r="O20" s="29">
        <f t="shared" si="6"/>
        <v>0</v>
      </c>
      <c r="P20" s="29">
        <f t="shared" si="6"/>
        <v>0</v>
      </c>
      <c r="Q20" s="29">
        <f t="shared" si="6"/>
        <v>0</v>
      </c>
      <c r="R20" s="29">
        <f t="shared" si="6"/>
        <v>0</v>
      </c>
      <c r="S20" s="29">
        <f t="shared" si="6"/>
        <v>0</v>
      </c>
      <c r="T20" s="29">
        <f t="shared" si="6"/>
        <v>0</v>
      </c>
      <c r="U20" s="29">
        <f t="shared" si="6"/>
        <v>0</v>
      </c>
      <c r="V20" s="29">
        <f t="shared" si="6"/>
        <v>0</v>
      </c>
      <c r="W20" s="29">
        <f t="shared" si="6"/>
        <v>0</v>
      </c>
      <c r="X20" s="29">
        <f t="shared" si="6"/>
        <v>0</v>
      </c>
      <c r="Y20" s="29">
        <f t="shared" si="6"/>
        <v>0</v>
      </c>
      <c r="Z20" s="29">
        <f t="shared" si="6"/>
        <v>0</v>
      </c>
      <c r="AA20" s="29">
        <f t="shared" si="6"/>
        <v>0</v>
      </c>
      <c r="AB20" s="29">
        <f t="shared" si="6"/>
        <v>0</v>
      </c>
      <c r="AC20" s="29">
        <f t="shared" si="6"/>
        <v>0</v>
      </c>
      <c r="AD20" s="29">
        <f t="shared" si="6"/>
        <v>0</v>
      </c>
      <c r="AE20" s="29">
        <f t="shared" si="6"/>
        <v>0</v>
      </c>
      <c r="AF20" s="29">
        <f t="shared" si="6"/>
        <v>0</v>
      </c>
      <c r="AG20" s="29">
        <f t="shared" si="6"/>
        <v>0</v>
      </c>
      <c r="AH20" s="29">
        <f t="shared" si="6"/>
        <v>0</v>
      </c>
      <c r="AI20" s="29">
        <f t="shared" si="6"/>
        <v>0</v>
      </c>
      <c r="AJ20" s="29">
        <f t="shared" si="6"/>
        <v>0</v>
      </c>
      <c r="AK20" s="29">
        <f t="shared" si="6"/>
        <v>0</v>
      </c>
      <c r="AL20" s="29">
        <f t="shared" si="6"/>
        <v>0</v>
      </c>
      <c r="AM20" s="30">
        <f t="shared" si="6"/>
        <v>0</v>
      </c>
      <c r="AN20" s="6"/>
    </row>
    <row r="21" spans="1:40" x14ac:dyDescent="0.25">
      <c r="A21" s="55" t="s">
        <v>34</v>
      </c>
      <c r="B21" s="56"/>
      <c r="C21" s="238" t="s">
        <v>33</v>
      </c>
      <c r="D21" s="57" t="s">
        <v>35</v>
      </c>
      <c r="E21" s="58">
        <f>E20-E31</f>
        <v>0</v>
      </c>
      <c r="F21" s="59">
        <f>F20-F31</f>
        <v>0</v>
      </c>
      <c r="G21" s="60">
        <f t="shared" ref="G21:AM21" si="7">G20-G31</f>
        <v>0</v>
      </c>
      <c r="H21" s="61" t="str">
        <f t="shared" si="3"/>
        <v/>
      </c>
      <c r="I21" s="58">
        <f t="shared" si="7"/>
        <v>0</v>
      </c>
      <c r="J21" s="60">
        <f t="shared" si="7"/>
        <v>0</v>
      </c>
      <c r="K21" s="60">
        <f t="shared" si="7"/>
        <v>0</v>
      </c>
      <c r="L21" s="60">
        <f t="shared" si="7"/>
        <v>0</v>
      </c>
      <c r="M21" s="60">
        <f t="shared" si="7"/>
        <v>0</v>
      </c>
      <c r="N21" s="60">
        <f t="shared" si="7"/>
        <v>0</v>
      </c>
      <c r="O21" s="60">
        <f t="shared" si="7"/>
        <v>0</v>
      </c>
      <c r="P21" s="60">
        <f t="shared" si="7"/>
        <v>0</v>
      </c>
      <c r="Q21" s="60">
        <f t="shared" si="7"/>
        <v>0</v>
      </c>
      <c r="R21" s="60">
        <f t="shared" si="7"/>
        <v>0</v>
      </c>
      <c r="S21" s="60">
        <f t="shared" si="7"/>
        <v>0</v>
      </c>
      <c r="T21" s="60">
        <f t="shared" si="7"/>
        <v>0</v>
      </c>
      <c r="U21" s="60">
        <f t="shared" si="7"/>
        <v>0</v>
      </c>
      <c r="V21" s="60">
        <f t="shared" si="7"/>
        <v>0</v>
      </c>
      <c r="W21" s="60">
        <f t="shared" si="7"/>
        <v>0</v>
      </c>
      <c r="X21" s="60">
        <f t="shared" si="7"/>
        <v>0</v>
      </c>
      <c r="Y21" s="60">
        <f t="shared" si="7"/>
        <v>0</v>
      </c>
      <c r="Z21" s="60">
        <f t="shared" si="7"/>
        <v>0</v>
      </c>
      <c r="AA21" s="60">
        <f t="shared" si="7"/>
        <v>0</v>
      </c>
      <c r="AB21" s="60">
        <f t="shared" si="7"/>
        <v>0</v>
      </c>
      <c r="AC21" s="60">
        <f t="shared" si="7"/>
        <v>0</v>
      </c>
      <c r="AD21" s="60">
        <f t="shared" si="7"/>
        <v>0</v>
      </c>
      <c r="AE21" s="60">
        <f t="shared" si="7"/>
        <v>0</v>
      </c>
      <c r="AF21" s="60">
        <f t="shared" si="7"/>
        <v>0</v>
      </c>
      <c r="AG21" s="60">
        <f t="shared" si="7"/>
        <v>0</v>
      </c>
      <c r="AH21" s="60">
        <f t="shared" si="7"/>
        <v>0</v>
      </c>
      <c r="AI21" s="60">
        <f t="shared" si="7"/>
        <v>0</v>
      </c>
      <c r="AJ21" s="60">
        <f t="shared" si="7"/>
        <v>0</v>
      </c>
      <c r="AK21" s="60">
        <f t="shared" si="7"/>
        <v>0</v>
      </c>
      <c r="AL21" s="60">
        <f t="shared" si="7"/>
        <v>0</v>
      </c>
      <c r="AM21" s="62">
        <f t="shared" si="7"/>
        <v>0</v>
      </c>
      <c r="AN21" s="40"/>
    </row>
    <row r="22" spans="1:40" x14ac:dyDescent="0.25">
      <c r="A22" s="31" t="s">
        <v>36</v>
      </c>
      <c r="B22" s="32"/>
      <c r="C22" s="239" t="s">
        <v>33</v>
      </c>
      <c r="D22" s="63" t="s">
        <v>37</v>
      </c>
      <c r="E22" s="34"/>
      <c r="F22" s="35"/>
      <c r="G22" s="36">
        <f t="shared" ref="G22:G31" si="8">SUM(I22:AM22)</f>
        <v>0</v>
      </c>
      <c r="H22" s="37" t="str">
        <f t="shared" si="3"/>
        <v/>
      </c>
      <c r="I22" s="34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9"/>
      <c r="AN22" s="40"/>
    </row>
    <row r="23" spans="1:40" x14ac:dyDescent="0.25">
      <c r="A23" s="31" t="s">
        <v>38</v>
      </c>
      <c r="B23" s="32"/>
      <c r="C23" s="239" t="s">
        <v>33</v>
      </c>
      <c r="D23" s="63" t="s">
        <v>39</v>
      </c>
      <c r="E23" s="34"/>
      <c r="F23" s="35"/>
      <c r="G23" s="36">
        <f t="shared" si="8"/>
        <v>0</v>
      </c>
      <c r="H23" s="37" t="str">
        <f t="shared" si="3"/>
        <v/>
      </c>
      <c r="I23" s="34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9"/>
      <c r="AN23" s="40"/>
    </row>
    <row r="24" spans="1:40" x14ac:dyDescent="0.25">
      <c r="A24" s="31" t="s">
        <v>40</v>
      </c>
      <c r="B24" s="32"/>
      <c r="C24" s="239" t="s">
        <v>33</v>
      </c>
      <c r="D24" s="63" t="s">
        <v>41</v>
      </c>
      <c r="E24" s="34"/>
      <c r="F24" s="35"/>
      <c r="G24" s="36">
        <f t="shared" si="8"/>
        <v>0</v>
      </c>
      <c r="H24" s="37" t="str">
        <f t="shared" si="3"/>
        <v/>
      </c>
      <c r="I24" s="34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9"/>
      <c r="AN24" s="40"/>
    </row>
    <row r="25" spans="1:40" x14ac:dyDescent="0.25">
      <c r="A25" s="31" t="s">
        <v>42</v>
      </c>
      <c r="B25" s="32"/>
      <c r="C25" s="239" t="s">
        <v>33</v>
      </c>
      <c r="D25" s="63" t="s">
        <v>43</v>
      </c>
      <c r="E25" s="34"/>
      <c r="F25" s="35"/>
      <c r="G25" s="36">
        <f t="shared" si="8"/>
        <v>0</v>
      </c>
      <c r="H25" s="37" t="str">
        <f t="shared" si="3"/>
        <v/>
      </c>
      <c r="I25" s="34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9"/>
      <c r="AN25" s="40"/>
    </row>
    <row r="26" spans="1:40" x14ac:dyDescent="0.25">
      <c r="A26" s="31" t="s">
        <v>44</v>
      </c>
      <c r="B26" s="32"/>
      <c r="C26" s="239" t="s">
        <v>33</v>
      </c>
      <c r="D26" s="63" t="s">
        <v>45</v>
      </c>
      <c r="E26" s="34"/>
      <c r="F26" s="35"/>
      <c r="G26" s="36">
        <f t="shared" si="8"/>
        <v>0</v>
      </c>
      <c r="H26" s="37" t="str">
        <f t="shared" si="3"/>
        <v/>
      </c>
      <c r="I26" s="34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9"/>
      <c r="AN26" s="40"/>
    </row>
    <row r="27" spans="1:40" x14ac:dyDescent="0.25">
      <c r="A27" s="31" t="s">
        <v>46</v>
      </c>
      <c r="B27" s="32"/>
      <c r="C27" s="239" t="s">
        <v>33</v>
      </c>
      <c r="D27" s="63" t="s">
        <v>47</v>
      </c>
      <c r="E27" s="34"/>
      <c r="F27" s="35"/>
      <c r="G27" s="36">
        <f t="shared" si="8"/>
        <v>0</v>
      </c>
      <c r="H27" s="37" t="str">
        <f t="shared" si="3"/>
        <v/>
      </c>
      <c r="I27" s="34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9"/>
      <c r="AN27" s="40"/>
    </row>
    <row r="28" spans="1:40" x14ac:dyDescent="0.25">
      <c r="A28" s="31" t="s">
        <v>48</v>
      </c>
      <c r="B28" s="32"/>
      <c r="C28" s="239" t="s">
        <v>33</v>
      </c>
      <c r="D28" s="63" t="s">
        <v>49</v>
      </c>
      <c r="E28" s="34"/>
      <c r="F28" s="35"/>
      <c r="G28" s="36">
        <f t="shared" si="8"/>
        <v>0</v>
      </c>
      <c r="H28" s="37" t="str">
        <f t="shared" si="3"/>
        <v/>
      </c>
      <c r="I28" s="34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9"/>
      <c r="AN28" s="40"/>
    </row>
    <row r="29" spans="1:40" x14ac:dyDescent="0.25">
      <c r="A29" s="31" t="s">
        <v>50</v>
      </c>
      <c r="B29" s="32"/>
      <c r="C29" s="239" t="s">
        <v>33</v>
      </c>
      <c r="D29" s="63" t="s">
        <v>51</v>
      </c>
      <c r="E29" s="34"/>
      <c r="F29" s="35"/>
      <c r="G29" s="36">
        <f t="shared" si="8"/>
        <v>0</v>
      </c>
      <c r="H29" s="37" t="str">
        <f t="shared" si="3"/>
        <v/>
      </c>
      <c r="I29" s="34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9"/>
      <c r="AN29" s="40"/>
    </row>
    <row r="30" spans="1:40" x14ac:dyDescent="0.25">
      <c r="A30" s="31" t="s">
        <v>52</v>
      </c>
      <c r="B30" s="32"/>
      <c r="C30" s="239" t="s">
        <v>33</v>
      </c>
      <c r="D30" s="63" t="s">
        <v>53</v>
      </c>
      <c r="E30" s="34"/>
      <c r="F30" s="35"/>
      <c r="G30" s="36">
        <f t="shared" si="8"/>
        <v>0</v>
      </c>
      <c r="H30" s="37" t="str">
        <f t="shared" si="3"/>
        <v/>
      </c>
      <c r="I30" s="34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9"/>
      <c r="AN30" s="40"/>
    </row>
    <row r="31" spans="1:40" ht="15.75" thickBot="1" x14ac:dyDescent="0.3">
      <c r="A31" s="41" t="s">
        <v>54</v>
      </c>
      <c r="B31" s="42"/>
      <c r="C31" s="240" t="s">
        <v>33</v>
      </c>
      <c r="D31" s="64" t="s">
        <v>55</v>
      </c>
      <c r="E31" s="44"/>
      <c r="F31" s="45"/>
      <c r="G31" s="46">
        <f t="shared" si="8"/>
        <v>0</v>
      </c>
      <c r="H31" s="47" t="str">
        <f t="shared" si="3"/>
        <v/>
      </c>
      <c r="I31" s="44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9"/>
      <c r="AN31" s="40"/>
    </row>
    <row r="32" spans="1:40" x14ac:dyDescent="0.25">
      <c r="A32" s="50">
        <v>3</v>
      </c>
      <c r="B32" s="51"/>
      <c r="C32" s="51" t="s">
        <v>56</v>
      </c>
      <c r="D32" s="52" t="s">
        <v>56</v>
      </c>
      <c r="E32" s="28">
        <f>SUM(E33:E39)</f>
        <v>0</v>
      </c>
      <c r="F32" s="53">
        <f>SUM(F33:F39)</f>
        <v>0</v>
      </c>
      <c r="G32" s="29">
        <f t="shared" ref="G32" si="9">SUM(G33:G39)</f>
        <v>0</v>
      </c>
      <c r="H32" s="54" t="str">
        <f t="shared" si="3"/>
        <v/>
      </c>
      <c r="I32" s="28">
        <f t="shared" ref="I32:AM32" si="10">SUM(I33:I39)</f>
        <v>0</v>
      </c>
      <c r="J32" s="29">
        <f t="shared" si="10"/>
        <v>0</v>
      </c>
      <c r="K32" s="29">
        <f t="shared" si="10"/>
        <v>0</v>
      </c>
      <c r="L32" s="29">
        <f t="shared" si="10"/>
        <v>0</v>
      </c>
      <c r="M32" s="29">
        <f t="shared" si="10"/>
        <v>0</v>
      </c>
      <c r="N32" s="29">
        <f t="shared" si="10"/>
        <v>0</v>
      </c>
      <c r="O32" s="29">
        <f t="shared" si="10"/>
        <v>0</v>
      </c>
      <c r="P32" s="29">
        <f t="shared" si="10"/>
        <v>0</v>
      </c>
      <c r="Q32" s="29">
        <f t="shared" si="10"/>
        <v>0</v>
      </c>
      <c r="R32" s="29">
        <f t="shared" si="10"/>
        <v>0</v>
      </c>
      <c r="S32" s="29">
        <f t="shared" si="10"/>
        <v>0</v>
      </c>
      <c r="T32" s="29">
        <f t="shared" si="10"/>
        <v>0</v>
      </c>
      <c r="U32" s="29">
        <f t="shared" si="10"/>
        <v>0</v>
      </c>
      <c r="V32" s="29">
        <f t="shared" si="10"/>
        <v>0</v>
      </c>
      <c r="W32" s="29">
        <f t="shared" si="10"/>
        <v>0</v>
      </c>
      <c r="X32" s="29">
        <f t="shared" si="10"/>
        <v>0</v>
      </c>
      <c r="Y32" s="29">
        <f t="shared" si="10"/>
        <v>0</v>
      </c>
      <c r="Z32" s="29">
        <f t="shared" si="10"/>
        <v>0</v>
      </c>
      <c r="AA32" s="29">
        <f t="shared" si="10"/>
        <v>0</v>
      </c>
      <c r="AB32" s="29">
        <f t="shared" si="10"/>
        <v>0</v>
      </c>
      <c r="AC32" s="29">
        <f t="shared" si="10"/>
        <v>0</v>
      </c>
      <c r="AD32" s="29">
        <f t="shared" si="10"/>
        <v>0</v>
      </c>
      <c r="AE32" s="29">
        <f t="shared" si="10"/>
        <v>0</v>
      </c>
      <c r="AF32" s="29">
        <f t="shared" si="10"/>
        <v>0</v>
      </c>
      <c r="AG32" s="29">
        <f t="shared" si="10"/>
        <v>0</v>
      </c>
      <c r="AH32" s="29">
        <f t="shared" si="10"/>
        <v>0</v>
      </c>
      <c r="AI32" s="29">
        <f t="shared" si="10"/>
        <v>0</v>
      </c>
      <c r="AJ32" s="29">
        <f t="shared" si="10"/>
        <v>0</v>
      </c>
      <c r="AK32" s="29">
        <f t="shared" si="10"/>
        <v>0</v>
      </c>
      <c r="AL32" s="29">
        <f t="shared" si="10"/>
        <v>0</v>
      </c>
      <c r="AM32" s="30">
        <f t="shared" si="10"/>
        <v>0</v>
      </c>
      <c r="AN32" s="6"/>
    </row>
    <row r="33" spans="1:40" x14ac:dyDescent="0.25">
      <c r="A33" s="31" t="s">
        <v>57</v>
      </c>
      <c r="B33" s="32"/>
      <c r="C33" s="32" t="s">
        <v>56</v>
      </c>
      <c r="D33" s="33" t="s">
        <v>58</v>
      </c>
      <c r="E33" s="34"/>
      <c r="F33" s="35"/>
      <c r="G33" s="36">
        <f t="shared" ref="G33:G39" si="11">SUM(I33:AM33)</f>
        <v>0</v>
      </c>
      <c r="H33" s="37" t="str">
        <f t="shared" si="3"/>
        <v/>
      </c>
      <c r="I33" s="34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9"/>
      <c r="AN33" s="40"/>
    </row>
    <row r="34" spans="1:40" x14ac:dyDescent="0.25">
      <c r="A34" s="31" t="s">
        <v>59</v>
      </c>
      <c r="B34" s="32"/>
      <c r="C34" s="32" t="s">
        <v>56</v>
      </c>
      <c r="D34" s="33" t="s">
        <v>60</v>
      </c>
      <c r="E34" s="34"/>
      <c r="F34" s="35"/>
      <c r="G34" s="36">
        <f t="shared" si="11"/>
        <v>0</v>
      </c>
      <c r="H34" s="37" t="str">
        <f t="shared" si="3"/>
        <v/>
      </c>
      <c r="I34" s="34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9"/>
      <c r="AN34" s="40"/>
    </row>
    <row r="35" spans="1:40" x14ac:dyDescent="0.25">
      <c r="A35" s="31" t="s">
        <v>61</v>
      </c>
      <c r="B35" s="32"/>
      <c r="C35" s="32" t="s">
        <v>56</v>
      </c>
      <c r="D35" s="33" t="s">
        <v>62</v>
      </c>
      <c r="E35" s="34"/>
      <c r="F35" s="35"/>
      <c r="G35" s="36">
        <f t="shared" si="11"/>
        <v>0</v>
      </c>
      <c r="H35" s="37" t="str">
        <f t="shared" si="3"/>
        <v/>
      </c>
      <c r="I35" s="34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9"/>
      <c r="AN35" s="40"/>
    </row>
    <row r="36" spans="1:40" x14ac:dyDescent="0.25">
      <c r="A36" s="31" t="s">
        <v>63</v>
      </c>
      <c r="B36" s="32"/>
      <c r="C36" s="32" t="s">
        <v>56</v>
      </c>
      <c r="D36" s="33" t="s">
        <v>64</v>
      </c>
      <c r="E36" s="34"/>
      <c r="F36" s="35"/>
      <c r="G36" s="36">
        <f t="shared" si="11"/>
        <v>0</v>
      </c>
      <c r="H36" s="37" t="str">
        <f t="shared" si="3"/>
        <v/>
      </c>
      <c r="I36" s="34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9"/>
      <c r="AN36" s="40"/>
    </row>
    <row r="37" spans="1:40" x14ac:dyDescent="0.25">
      <c r="A37" s="31" t="s">
        <v>65</v>
      </c>
      <c r="B37" s="32"/>
      <c r="C37" s="32" t="s">
        <v>56</v>
      </c>
      <c r="D37" s="33" t="s">
        <v>66</v>
      </c>
      <c r="E37" s="34"/>
      <c r="F37" s="35"/>
      <c r="G37" s="36">
        <f t="shared" si="11"/>
        <v>0</v>
      </c>
      <c r="H37" s="37" t="str">
        <f t="shared" si="3"/>
        <v/>
      </c>
      <c r="I37" s="34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9"/>
      <c r="AN37" s="40"/>
    </row>
    <row r="38" spans="1:40" x14ac:dyDescent="0.25">
      <c r="A38" s="31" t="s">
        <v>67</v>
      </c>
      <c r="B38" s="32"/>
      <c r="C38" s="32" t="s">
        <v>56</v>
      </c>
      <c r="D38" s="33" t="s">
        <v>68</v>
      </c>
      <c r="E38" s="34"/>
      <c r="F38" s="35"/>
      <c r="G38" s="36">
        <f t="shared" si="11"/>
        <v>0</v>
      </c>
      <c r="H38" s="37" t="str">
        <f t="shared" si="3"/>
        <v/>
      </c>
      <c r="I38" s="34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9"/>
      <c r="AN38" s="40"/>
    </row>
    <row r="39" spans="1:40" ht="15.75" thickBot="1" x14ac:dyDescent="0.3">
      <c r="A39" s="41" t="s">
        <v>69</v>
      </c>
      <c r="B39" s="42"/>
      <c r="C39" s="42" t="s">
        <v>56</v>
      </c>
      <c r="D39" s="43" t="s">
        <v>70</v>
      </c>
      <c r="E39" s="44"/>
      <c r="F39" s="45"/>
      <c r="G39" s="46">
        <f t="shared" si="11"/>
        <v>0</v>
      </c>
      <c r="H39" s="47" t="str">
        <f t="shared" si="3"/>
        <v/>
      </c>
      <c r="I39" s="44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9"/>
      <c r="AN39" s="40"/>
    </row>
    <row r="40" spans="1:40" x14ac:dyDescent="0.25">
      <c r="A40" s="50">
        <v>4</v>
      </c>
      <c r="B40" s="51"/>
      <c r="C40" s="237" t="s">
        <v>71</v>
      </c>
      <c r="D40" s="52" t="s">
        <v>71</v>
      </c>
      <c r="E40" s="28">
        <f>SUM(E41:E47)</f>
        <v>0</v>
      </c>
      <c r="F40" s="53">
        <f>SUM(F41:F47)</f>
        <v>0</v>
      </c>
      <c r="G40" s="29">
        <f t="shared" ref="G40" si="12">SUM(G41:G47)</f>
        <v>0</v>
      </c>
      <c r="H40" s="54" t="str">
        <f t="shared" si="3"/>
        <v/>
      </c>
      <c r="I40" s="28">
        <f t="shared" ref="I40:AM40" si="13">SUM(I41:I47)</f>
        <v>0</v>
      </c>
      <c r="J40" s="29">
        <f t="shared" si="13"/>
        <v>0</v>
      </c>
      <c r="K40" s="29">
        <f t="shared" si="13"/>
        <v>0</v>
      </c>
      <c r="L40" s="29">
        <f t="shared" si="13"/>
        <v>0</v>
      </c>
      <c r="M40" s="29">
        <f t="shared" si="13"/>
        <v>0</v>
      </c>
      <c r="N40" s="29">
        <f t="shared" si="13"/>
        <v>0</v>
      </c>
      <c r="O40" s="29">
        <f t="shared" si="13"/>
        <v>0</v>
      </c>
      <c r="P40" s="29">
        <f t="shared" si="13"/>
        <v>0</v>
      </c>
      <c r="Q40" s="29">
        <f t="shared" si="13"/>
        <v>0</v>
      </c>
      <c r="R40" s="29">
        <f t="shared" si="13"/>
        <v>0</v>
      </c>
      <c r="S40" s="29">
        <f t="shared" si="13"/>
        <v>0</v>
      </c>
      <c r="T40" s="29">
        <f t="shared" si="13"/>
        <v>0</v>
      </c>
      <c r="U40" s="29">
        <f t="shared" si="13"/>
        <v>0</v>
      </c>
      <c r="V40" s="29">
        <f t="shared" si="13"/>
        <v>0</v>
      </c>
      <c r="W40" s="29">
        <f t="shared" si="13"/>
        <v>0</v>
      </c>
      <c r="X40" s="29">
        <f t="shared" si="13"/>
        <v>0</v>
      </c>
      <c r="Y40" s="29">
        <f t="shared" si="13"/>
        <v>0</v>
      </c>
      <c r="Z40" s="29">
        <f t="shared" si="13"/>
        <v>0</v>
      </c>
      <c r="AA40" s="29">
        <f t="shared" si="13"/>
        <v>0</v>
      </c>
      <c r="AB40" s="29">
        <f t="shared" si="13"/>
        <v>0</v>
      </c>
      <c r="AC40" s="29">
        <f t="shared" si="13"/>
        <v>0</v>
      </c>
      <c r="AD40" s="29">
        <f t="shared" si="13"/>
        <v>0</v>
      </c>
      <c r="AE40" s="29">
        <f t="shared" si="13"/>
        <v>0</v>
      </c>
      <c r="AF40" s="29">
        <f t="shared" si="13"/>
        <v>0</v>
      </c>
      <c r="AG40" s="29">
        <f t="shared" si="13"/>
        <v>0</v>
      </c>
      <c r="AH40" s="29">
        <f t="shared" si="13"/>
        <v>0</v>
      </c>
      <c r="AI40" s="29">
        <f t="shared" si="13"/>
        <v>0</v>
      </c>
      <c r="AJ40" s="29">
        <f t="shared" si="13"/>
        <v>0</v>
      </c>
      <c r="AK40" s="29">
        <f t="shared" si="13"/>
        <v>0</v>
      </c>
      <c r="AL40" s="29">
        <f t="shared" si="13"/>
        <v>0</v>
      </c>
      <c r="AM40" s="30">
        <f t="shared" si="13"/>
        <v>0</v>
      </c>
      <c r="AN40" s="6"/>
    </row>
    <row r="41" spans="1:40" x14ac:dyDescent="0.25">
      <c r="A41" s="31" t="s">
        <v>72</v>
      </c>
      <c r="B41" s="32"/>
      <c r="C41" s="239" t="s">
        <v>71</v>
      </c>
      <c r="D41" s="33" t="s">
        <v>73</v>
      </c>
      <c r="E41" s="34"/>
      <c r="F41" s="35"/>
      <c r="G41" s="36">
        <f t="shared" ref="G41:G47" si="14">SUM(I41:AM41)</f>
        <v>0</v>
      </c>
      <c r="H41" s="37" t="str">
        <f t="shared" si="3"/>
        <v/>
      </c>
      <c r="I41" s="34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9"/>
      <c r="AN41" s="40"/>
    </row>
    <row r="42" spans="1:40" x14ac:dyDescent="0.25">
      <c r="A42" s="31" t="s">
        <v>74</v>
      </c>
      <c r="B42" s="32"/>
      <c r="C42" s="239" t="s">
        <v>71</v>
      </c>
      <c r="D42" s="33" t="s">
        <v>75</v>
      </c>
      <c r="E42" s="34"/>
      <c r="F42" s="35"/>
      <c r="G42" s="36">
        <f t="shared" si="14"/>
        <v>0</v>
      </c>
      <c r="H42" s="37" t="str">
        <f t="shared" si="3"/>
        <v/>
      </c>
      <c r="I42" s="34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9"/>
      <c r="AN42" s="40"/>
    </row>
    <row r="43" spans="1:40" x14ac:dyDescent="0.25">
      <c r="A43" s="31" t="s">
        <v>76</v>
      </c>
      <c r="B43" s="32"/>
      <c r="C43" s="239" t="s">
        <v>71</v>
      </c>
      <c r="D43" s="33" t="s">
        <v>77</v>
      </c>
      <c r="E43" s="34"/>
      <c r="F43" s="35"/>
      <c r="G43" s="36">
        <f t="shared" si="14"/>
        <v>0</v>
      </c>
      <c r="H43" s="37" t="str">
        <f t="shared" si="3"/>
        <v/>
      </c>
      <c r="I43" s="34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9"/>
      <c r="AN43" s="40"/>
    </row>
    <row r="44" spans="1:40" x14ac:dyDescent="0.25">
      <c r="A44" s="31" t="s">
        <v>78</v>
      </c>
      <c r="B44" s="32"/>
      <c r="C44" s="239" t="s">
        <v>71</v>
      </c>
      <c r="D44" s="33" t="s">
        <v>79</v>
      </c>
      <c r="E44" s="34"/>
      <c r="F44" s="35"/>
      <c r="G44" s="36">
        <f t="shared" si="14"/>
        <v>0</v>
      </c>
      <c r="H44" s="37" t="str">
        <f t="shared" si="3"/>
        <v/>
      </c>
      <c r="I44" s="34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9"/>
      <c r="AN44" s="40"/>
    </row>
    <row r="45" spans="1:40" x14ac:dyDescent="0.25">
      <c r="A45" s="31" t="s">
        <v>80</v>
      </c>
      <c r="B45" s="32"/>
      <c r="C45" s="239" t="s">
        <v>71</v>
      </c>
      <c r="D45" s="33" t="s">
        <v>81</v>
      </c>
      <c r="E45" s="34"/>
      <c r="F45" s="35"/>
      <c r="G45" s="36">
        <f t="shared" si="14"/>
        <v>0</v>
      </c>
      <c r="H45" s="37" t="str">
        <f t="shared" si="3"/>
        <v/>
      </c>
      <c r="I45" s="34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9"/>
      <c r="AN45" s="40"/>
    </row>
    <row r="46" spans="1:40" x14ac:dyDescent="0.25">
      <c r="A46" s="31" t="s">
        <v>82</v>
      </c>
      <c r="B46" s="32"/>
      <c r="C46" s="239" t="s">
        <v>71</v>
      </c>
      <c r="D46" s="33" t="s">
        <v>83</v>
      </c>
      <c r="E46" s="34"/>
      <c r="F46" s="35"/>
      <c r="G46" s="36">
        <f t="shared" si="14"/>
        <v>0</v>
      </c>
      <c r="H46" s="37" t="str">
        <f t="shared" si="3"/>
        <v/>
      </c>
      <c r="I46" s="34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9"/>
      <c r="AN46" s="40"/>
    </row>
    <row r="47" spans="1:40" ht="15.75" thickBot="1" x14ac:dyDescent="0.3">
      <c r="A47" s="41" t="s">
        <v>84</v>
      </c>
      <c r="B47" s="42"/>
      <c r="C47" s="240" t="s">
        <v>71</v>
      </c>
      <c r="D47" s="43" t="s">
        <v>85</v>
      </c>
      <c r="E47" s="44"/>
      <c r="F47" s="45"/>
      <c r="G47" s="46">
        <f t="shared" si="14"/>
        <v>0</v>
      </c>
      <c r="H47" s="47" t="str">
        <f t="shared" si="3"/>
        <v/>
      </c>
      <c r="I47" s="44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9"/>
      <c r="AN47" s="40"/>
    </row>
    <row r="48" spans="1:40" x14ac:dyDescent="0.25">
      <c r="A48" s="50">
        <v>5</v>
      </c>
      <c r="B48" s="51"/>
      <c r="C48" s="237" t="s">
        <v>86</v>
      </c>
      <c r="D48" s="52" t="s">
        <v>86</v>
      </c>
      <c r="E48" s="28">
        <f>SUM(E50:E58)</f>
        <v>0</v>
      </c>
      <c r="F48" s="53">
        <f>SUM(F50:F58)</f>
        <v>0</v>
      </c>
      <c r="G48" s="29">
        <f t="shared" ref="G48" si="15">SUM(G50:G58)</f>
        <v>0</v>
      </c>
      <c r="H48" s="54" t="str">
        <f t="shared" si="3"/>
        <v/>
      </c>
      <c r="I48" s="28">
        <f t="shared" ref="I48:AM48" si="16">SUM(I50:I58)</f>
        <v>0</v>
      </c>
      <c r="J48" s="29">
        <f t="shared" si="16"/>
        <v>0</v>
      </c>
      <c r="K48" s="29">
        <f t="shared" si="16"/>
        <v>0</v>
      </c>
      <c r="L48" s="29">
        <f t="shared" si="16"/>
        <v>0</v>
      </c>
      <c r="M48" s="29">
        <f t="shared" si="16"/>
        <v>0</v>
      </c>
      <c r="N48" s="29">
        <f t="shared" si="16"/>
        <v>0</v>
      </c>
      <c r="O48" s="29">
        <f t="shared" si="16"/>
        <v>0</v>
      </c>
      <c r="P48" s="29">
        <f t="shared" si="16"/>
        <v>0</v>
      </c>
      <c r="Q48" s="29">
        <f t="shared" si="16"/>
        <v>0</v>
      </c>
      <c r="R48" s="29">
        <f t="shared" si="16"/>
        <v>0</v>
      </c>
      <c r="S48" s="29">
        <f t="shared" si="16"/>
        <v>0</v>
      </c>
      <c r="T48" s="29">
        <f t="shared" si="16"/>
        <v>0</v>
      </c>
      <c r="U48" s="29">
        <f t="shared" si="16"/>
        <v>0</v>
      </c>
      <c r="V48" s="29">
        <f t="shared" si="16"/>
        <v>0</v>
      </c>
      <c r="W48" s="29">
        <f t="shared" si="16"/>
        <v>0</v>
      </c>
      <c r="X48" s="29">
        <f t="shared" si="16"/>
        <v>0</v>
      </c>
      <c r="Y48" s="29">
        <f t="shared" si="16"/>
        <v>0</v>
      </c>
      <c r="Z48" s="29">
        <f t="shared" si="16"/>
        <v>0</v>
      </c>
      <c r="AA48" s="29">
        <f t="shared" si="16"/>
        <v>0</v>
      </c>
      <c r="AB48" s="29">
        <f t="shared" si="16"/>
        <v>0</v>
      </c>
      <c r="AC48" s="29">
        <f t="shared" si="16"/>
        <v>0</v>
      </c>
      <c r="AD48" s="29">
        <f t="shared" si="16"/>
        <v>0</v>
      </c>
      <c r="AE48" s="29">
        <f t="shared" si="16"/>
        <v>0</v>
      </c>
      <c r="AF48" s="29">
        <f t="shared" si="16"/>
        <v>0</v>
      </c>
      <c r="AG48" s="29">
        <f t="shared" si="16"/>
        <v>0</v>
      </c>
      <c r="AH48" s="29">
        <f t="shared" si="16"/>
        <v>0</v>
      </c>
      <c r="AI48" s="29">
        <f t="shared" si="16"/>
        <v>0</v>
      </c>
      <c r="AJ48" s="29">
        <f t="shared" si="16"/>
        <v>0</v>
      </c>
      <c r="AK48" s="29">
        <f t="shared" si="16"/>
        <v>0</v>
      </c>
      <c r="AL48" s="29">
        <f t="shared" si="16"/>
        <v>0</v>
      </c>
      <c r="AM48" s="30">
        <f t="shared" si="16"/>
        <v>0</v>
      </c>
      <c r="AN48" s="6"/>
    </row>
    <row r="49" spans="1:40" x14ac:dyDescent="0.25">
      <c r="A49" s="65" t="s">
        <v>87</v>
      </c>
      <c r="B49" s="66"/>
      <c r="C49" s="241" t="s">
        <v>86</v>
      </c>
      <c r="D49" s="57" t="s">
        <v>88</v>
      </c>
      <c r="E49" s="58">
        <f>E48-E58</f>
        <v>0</v>
      </c>
      <c r="F49" s="59">
        <f>F48-F58</f>
        <v>0</v>
      </c>
      <c r="G49" s="60">
        <f t="shared" ref="G49:AM49" si="17">G48-G58</f>
        <v>0</v>
      </c>
      <c r="H49" s="61" t="str">
        <f t="shared" si="3"/>
        <v/>
      </c>
      <c r="I49" s="58">
        <f t="shared" si="17"/>
        <v>0</v>
      </c>
      <c r="J49" s="60">
        <f t="shared" si="17"/>
        <v>0</v>
      </c>
      <c r="K49" s="60">
        <f t="shared" si="17"/>
        <v>0</v>
      </c>
      <c r="L49" s="60">
        <f t="shared" si="17"/>
        <v>0</v>
      </c>
      <c r="M49" s="60">
        <f t="shared" si="17"/>
        <v>0</v>
      </c>
      <c r="N49" s="60">
        <f t="shared" si="17"/>
        <v>0</v>
      </c>
      <c r="O49" s="60">
        <f t="shared" si="17"/>
        <v>0</v>
      </c>
      <c r="P49" s="60">
        <f t="shared" si="17"/>
        <v>0</v>
      </c>
      <c r="Q49" s="60">
        <f t="shared" si="17"/>
        <v>0</v>
      </c>
      <c r="R49" s="60">
        <f t="shared" si="17"/>
        <v>0</v>
      </c>
      <c r="S49" s="60">
        <f t="shared" si="17"/>
        <v>0</v>
      </c>
      <c r="T49" s="60">
        <f t="shared" si="17"/>
        <v>0</v>
      </c>
      <c r="U49" s="60">
        <f t="shared" si="17"/>
        <v>0</v>
      </c>
      <c r="V49" s="60">
        <f t="shared" si="17"/>
        <v>0</v>
      </c>
      <c r="W49" s="60">
        <f t="shared" si="17"/>
        <v>0</v>
      </c>
      <c r="X49" s="60">
        <f t="shared" si="17"/>
        <v>0</v>
      </c>
      <c r="Y49" s="60">
        <f t="shared" si="17"/>
        <v>0</v>
      </c>
      <c r="Z49" s="60">
        <f t="shared" si="17"/>
        <v>0</v>
      </c>
      <c r="AA49" s="60">
        <f t="shared" si="17"/>
        <v>0</v>
      </c>
      <c r="AB49" s="60">
        <f t="shared" si="17"/>
        <v>0</v>
      </c>
      <c r="AC49" s="60">
        <f t="shared" si="17"/>
        <v>0</v>
      </c>
      <c r="AD49" s="60">
        <f t="shared" si="17"/>
        <v>0</v>
      </c>
      <c r="AE49" s="60">
        <f t="shared" si="17"/>
        <v>0</v>
      </c>
      <c r="AF49" s="60">
        <f t="shared" si="17"/>
        <v>0</v>
      </c>
      <c r="AG49" s="60">
        <f t="shared" si="17"/>
        <v>0</v>
      </c>
      <c r="AH49" s="60">
        <f t="shared" si="17"/>
        <v>0</v>
      </c>
      <c r="AI49" s="60">
        <f t="shared" si="17"/>
        <v>0</v>
      </c>
      <c r="AJ49" s="60">
        <f t="shared" si="17"/>
        <v>0</v>
      </c>
      <c r="AK49" s="60">
        <f t="shared" si="17"/>
        <v>0</v>
      </c>
      <c r="AL49" s="60">
        <f t="shared" si="17"/>
        <v>0</v>
      </c>
      <c r="AM49" s="62">
        <f t="shared" si="17"/>
        <v>0</v>
      </c>
      <c r="AN49" s="40"/>
    </row>
    <row r="50" spans="1:40" x14ac:dyDescent="0.25">
      <c r="A50" s="31" t="s">
        <v>89</v>
      </c>
      <c r="B50" s="32"/>
      <c r="C50" s="239" t="s">
        <v>86</v>
      </c>
      <c r="D50" s="63" t="s">
        <v>90</v>
      </c>
      <c r="E50" s="34"/>
      <c r="F50" s="35"/>
      <c r="G50" s="36">
        <f t="shared" ref="G50:G58" si="18">SUM(I50:AM50)</f>
        <v>0</v>
      </c>
      <c r="H50" s="37" t="str">
        <f t="shared" si="3"/>
        <v/>
      </c>
      <c r="I50" s="34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9"/>
      <c r="AN50" s="40"/>
    </row>
    <row r="51" spans="1:40" x14ac:dyDescent="0.25">
      <c r="A51" s="31" t="s">
        <v>91</v>
      </c>
      <c r="B51" s="32"/>
      <c r="C51" s="239" t="s">
        <v>86</v>
      </c>
      <c r="D51" s="63" t="s">
        <v>92</v>
      </c>
      <c r="E51" s="34"/>
      <c r="F51" s="35"/>
      <c r="G51" s="36">
        <f t="shared" si="18"/>
        <v>0</v>
      </c>
      <c r="H51" s="37" t="str">
        <f t="shared" si="3"/>
        <v/>
      </c>
      <c r="I51" s="34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9"/>
      <c r="AN51" s="40"/>
    </row>
    <row r="52" spans="1:40" x14ac:dyDescent="0.25">
      <c r="A52" s="31" t="s">
        <v>93</v>
      </c>
      <c r="B52" s="32"/>
      <c r="C52" s="239" t="s">
        <v>86</v>
      </c>
      <c r="D52" s="63" t="s">
        <v>94</v>
      </c>
      <c r="E52" s="34"/>
      <c r="F52" s="35"/>
      <c r="G52" s="36">
        <f t="shared" si="18"/>
        <v>0</v>
      </c>
      <c r="H52" s="37" t="str">
        <f t="shared" si="3"/>
        <v/>
      </c>
      <c r="I52" s="34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9"/>
      <c r="AN52" s="40"/>
    </row>
    <row r="53" spans="1:40" x14ac:dyDescent="0.25">
      <c r="A53" s="31" t="s">
        <v>95</v>
      </c>
      <c r="B53" s="32"/>
      <c r="C53" s="239" t="s">
        <v>86</v>
      </c>
      <c r="D53" s="63" t="s">
        <v>96</v>
      </c>
      <c r="E53" s="34"/>
      <c r="F53" s="35"/>
      <c r="G53" s="36">
        <f t="shared" si="18"/>
        <v>0</v>
      </c>
      <c r="H53" s="37" t="str">
        <f t="shared" si="3"/>
        <v/>
      </c>
      <c r="I53" s="34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9"/>
      <c r="AN53" s="40"/>
    </row>
    <row r="54" spans="1:40" x14ac:dyDescent="0.25">
      <c r="A54" s="31" t="s">
        <v>97</v>
      </c>
      <c r="B54" s="32"/>
      <c r="C54" s="239" t="s">
        <v>86</v>
      </c>
      <c r="D54" s="63" t="s">
        <v>98</v>
      </c>
      <c r="E54" s="34"/>
      <c r="F54" s="35"/>
      <c r="G54" s="36">
        <f t="shared" si="18"/>
        <v>0</v>
      </c>
      <c r="H54" s="37" t="str">
        <f t="shared" si="3"/>
        <v/>
      </c>
      <c r="I54" s="34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9"/>
      <c r="AN54" s="40"/>
    </row>
    <row r="55" spans="1:40" x14ac:dyDescent="0.25">
      <c r="A55" s="31" t="s">
        <v>99</v>
      </c>
      <c r="B55" s="32"/>
      <c r="C55" s="239" t="s">
        <v>86</v>
      </c>
      <c r="D55" s="63" t="s">
        <v>100</v>
      </c>
      <c r="E55" s="34"/>
      <c r="F55" s="35"/>
      <c r="G55" s="36">
        <f t="shared" si="18"/>
        <v>0</v>
      </c>
      <c r="H55" s="37" t="str">
        <f t="shared" si="3"/>
        <v/>
      </c>
      <c r="I55" s="34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9"/>
      <c r="AN55" s="40"/>
    </row>
    <row r="56" spans="1:40" x14ac:dyDescent="0.25">
      <c r="A56" s="31" t="s">
        <v>101</v>
      </c>
      <c r="B56" s="32"/>
      <c r="C56" s="239" t="s">
        <v>86</v>
      </c>
      <c r="D56" s="63" t="s">
        <v>102</v>
      </c>
      <c r="E56" s="34"/>
      <c r="F56" s="35"/>
      <c r="G56" s="36">
        <f t="shared" si="18"/>
        <v>0</v>
      </c>
      <c r="H56" s="37" t="str">
        <f t="shared" si="3"/>
        <v/>
      </c>
      <c r="I56" s="34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9"/>
      <c r="AN56" s="40"/>
    </row>
    <row r="57" spans="1:40" x14ac:dyDescent="0.25">
      <c r="A57" s="31" t="s">
        <v>103</v>
      </c>
      <c r="B57" s="32"/>
      <c r="C57" s="239" t="s">
        <v>86</v>
      </c>
      <c r="D57" s="63" t="s">
        <v>104</v>
      </c>
      <c r="E57" s="34"/>
      <c r="F57" s="35"/>
      <c r="G57" s="36">
        <f t="shared" si="18"/>
        <v>0</v>
      </c>
      <c r="H57" s="37" t="str">
        <f t="shared" si="3"/>
        <v/>
      </c>
      <c r="I57" s="34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9"/>
      <c r="AN57" s="40"/>
    </row>
    <row r="58" spans="1:40" ht="15.75" thickBot="1" x14ac:dyDescent="0.3">
      <c r="A58" s="41" t="s">
        <v>105</v>
      </c>
      <c r="B58" s="42"/>
      <c r="C58" s="240" t="s">
        <v>86</v>
      </c>
      <c r="D58" s="64" t="s">
        <v>106</v>
      </c>
      <c r="E58" s="44"/>
      <c r="F58" s="45"/>
      <c r="G58" s="46">
        <f t="shared" si="18"/>
        <v>0</v>
      </c>
      <c r="H58" s="47" t="str">
        <f t="shared" si="3"/>
        <v/>
      </c>
      <c r="I58" s="44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9"/>
      <c r="AN58" s="40"/>
    </row>
    <row r="59" spans="1:40" ht="15.75" thickBot="1" x14ac:dyDescent="0.3">
      <c r="A59" s="67">
        <v>6</v>
      </c>
      <c r="B59" s="68"/>
      <c r="C59" s="68" t="s">
        <v>107</v>
      </c>
      <c r="D59" s="69" t="s">
        <v>107</v>
      </c>
      <c r="E59" s="70"/>
      <c r="F59" s="71"/>
      <c r="G59" s="72">
        <f>SUM(I59:AM59)</f>
        <v>0</v>
      </c>
      <c r="H59" s="73" t="str">
        <f t="shared" si="3"/>
        <v/>
      </c>
      <c r="I59" s="70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5"/>
      <c r="AN59" s="6"/>
    </row>
    <row r="60" spans="1:40" x14ac:dyDescent="0.25">
      <c r="A60" s="50">
        <v>7</v>
      </c>
      <c r="B60" s="51"/>
      <c r="C60" s="237" t="s">
        <v>108</v>
      </c>
      <c r="D60" s="52" t="s">
        <v>108</v>
      </c>
      <c r="E60" s="28">
        <f>SUM(E62:E65)</f>
        <v>0</v>
      </c>
      <c r="F60" s="53">
        <f>SUM(F62:F65)</f>
        <v>0</v>
      </c>
      <c r="G60" s="29">
        <f t="shared" ref="G60" si="19">SUM(G62:G65)</f>
        <v>0</v>
      </c>
      <c r="H60" s="54" t="str">
        <f t="shared" si="3"/>
        <v/>
      </c>
      <c r="I60" s="28">
        <f t="shared" ref="I60:AM60" si="20">SUM(I62:I65)</f>
        <v>0</v>
      </c>
      <c r="J60" s="29">
        <f t="shared" si="20"/>
        <v>0</v>
      </c>
      <c r="K60" s="29">
        <f t="shared" si="20"/>
        <v>0</v>
      </c>
      <c r="L60" s="29">
        <f t="shared" si="20"/>
        <v>0</v>
      </c>
      <c r="M60" s="29">
        <f t="shared" si="20"/>
        <v>0</v>
      </c>
      <c r="N60" s="29">
        <f t="shared" si="20"/>
        <v>0</v>
      </c>
      <c r="O60" s="29">
        <f t="shared" si="20"/>
        <v>0</v>
      </c>
      <c r="P60" s="29">
        <f t="shared" si="20"/>
        <v>0</v>
      </c>
      <c r="Q60" s="29">
        <f t="shared" si="20"/>
        <v>0</v>
      </c>
      <c r="R60" s="29">
        <f t="shared" si="20"/>
        <v>0</v>
      </c>
      <c r="S60" s="29">
        <f t="shared" si="20"/>
        <v>0</v>
      </c>
      <c r="T60" s="29">
        <f t="shared" si="20"/>
        <v>0</v>
      </c>
      <c r="U60" s="29">
        <f t="shared" si="20"/>
        <v>0</v>
      </c>
      <c r="V60" s="29">
        <f t="shared" si="20"/>
        <v>0</v>
      </c>
      <c r="W60" s="29">
        <f t="shared" si="20"/>
        <v>0</v>
      </c>
      <c r="X60" s="29">
        <f t="shared" si="20"/>
        <v>0</v>
      </c>
      <c r="Y60" s="29">
        <f t="shared" si="20"/>
        <v>0</v>
      </c>
      <c r="Z60" s="29">
        <f t="shared" si="20"/>
        <v>0</v>
      </c>
      <c r="AA60" s="29">
        <f t="shared" si="20"/>
        <v>0</v>
      </c>
      <c r="AB60" s="29">
        <f t="shared" si="20"/>
        <v>0</v>
      </c>
      <c r="AC60" s="29">
        <f t="shared" si="20"/>
        <v>0</v>
      </c>
      <c r="AD60" s="29">
        <f t="shared" si="20"/>
        <v>0</v>
      </c>
      <c r="AE60" s="29">
        <f t="shared" si="20"/>
        <v>0</v>
      </c>
      <c r="AF60" s="29">
        <f t="shared" si="20"/>
        <v>0</v>
      </c>
      <c r="AG60" s="29">
        <f t="shared" si="20"/>
        <v>0</v>
      </c>
      <c r="AH60" s="29">
        <f t="shared" si="20"/>
        <v>0</v>
      </c>
      <c r="AI60" s="29">
        <f t="shared" si="20"/>
        <v>0</v>
      </c>
      <c r="AJ60" s="29">
        <f t="shared" si="20"/>
        <v>0</v>
      </c>
      <c r="AK60" s="29">
        <f t="shared" si="20"/>
        <v>0</v>
      </c>
      <c r="AL60" s="29">
        <f t="shared" si="20"/>
        <v>0</v>
      </c>
      <c r="AM60" s="30">
        <f t="shared" si="20"/>
        <v>0</v>
      </c>
      <c r="AN60" s="6"/>
    </row>
    <row r="61" spans="1:40" x14ac:dyDescent="0.25">
      <c r="A61" s="55" t="s">
        <v>109</v>
      </c>
      <c r="B61" s="56"/>
      <c r="C61" s="238" t="s">
        <v>108</v>
      </c>
      <c r="D61" s="57" t="s">
        <v>110</v>
      </c>
      <c r="E61" s="58">
        <f>E60-E65</f>
        <v>0</v>
      </c>
      <c r="F61" s="59">
        <f>F60-F65</f>
        <v>0</v>
      </c>
      <c r="G61" s="60">
        <f t="shared" ref="G61:AM61" si="21">G60-G65</f>
        <v>0</v>
      </c>
      <c r="H61" s="61" t="str">
        <f t="shared" si="3"/>
        <v/>
      </c>
      <c r="I61" s="58">
        <f t="shared" si="21"/>
        <v>0</v>
      </c>
      <c r="J61" s="60">
        <f t="shared" si="21"/>
        <v>0</v>
      </c>
      <c r="K61" s="60">
        <f t="shared" si="21"/>
        <v>0</v>
      </c>
      <c r="L61" s="60">
        <f t="shared" si="21"/>
        <v>0</v>
      </c>
      <c r="M61" s="60">
        <f t="shared" si="21"/>
        <v>0</v>
      </c>
      <c r="N61" s="60">
        <f t="shared" si="21"/>
        <v>0</v>
      </c>
      <c r="O61" s="60">
        <f t="shared" si="21"/>
        <v>0</v>
      </c>
      <c r="P61" s="60">
        <f t="shared" si="21"/>
        <v>0</v>
      </c>
      <c r="Q61" s="60">
        <f t="shared" si="21"/>
        <v>0</v>
      </c>
      <c r="R61" s="60">
        <f t="shared" si="21"/>
        <v>0</v>
      </c>
      <c r="S61" s="60">
        <f t="shared" si="21"/>
        <v>0</v>
      </c>
      <c r="T61" s="60">
        <f t="shared" si="21"/>
        <v>0</v>
      </c>
      <c r="U61" s="60">
        <f t="shared" si="21"/>
        <v>0</v>
      </c>
      <c r="V61" s="60">
        <f t="shared" si="21"/>
        <v>0</v>
      </c>
      <c r="W61" s="60">
        <f t="shared" si="21"/>
        <v>0</v>
      </c>
      <c r="X61" s="60">
        <f t="shared" si="21"/>
        <v>0</v>
      </c>
      <c r="Y61" s="60">
        <f t="shared" si="21"/>
        <v>0</v>
      </c>
      <c r="Z61" s="60">
        <f t="shared" si="21"/>
        <v>0</v>
      </c>
      <c r="AA61" s="60">
        <f t="shared" si="21"/>
        <v>0</v>
      </c>
      <c r="AB61" s="60">
        <f t="shared" si="21"/>
        <v>0</v>
      </c>
      <c r="AC61" s="60">
        <f t="shared" si="21"/>
        <v>0</v>
      </c>
      <c r="AD61" s="60">
        <f t="shared" si="21"/>
        <v>0</v>
      </c>
      <c r="AE61" s="60">
        <f t="shared" si="21"/>
        <v>0</v>
      </c>
      <c r="AF61" s="60">
        <f t="shared" si="21"/>
        <v>0</v>
      </c>
      <c r="AG61" s="60">
        <f t="shared" si="21"/>
        <v>0</v>
      </c>
      <c r="AH61" s="60">
        <f t="shared" si="21"/>
        <v>0</v>
      </c>
      <c r="AI61" s="60">
        <f t="shared" si="21"/>
        <v>0</v>
      </c>
      <c r="AJ61" s="60">
        <f t="shared" si="21"/>
        <v>0</v>
      </c>
      <c r="AK61" s="60">
        <f t="shared" si="21"/>
        <v>0</v>
      </c>
      <c r="AL61" s="60">
        <f t="shared" si="21"/>
        <v>0</v>
      </c>
      <c r="AM61" s="62">
        <f t="shared" si="21"/>
        <v>0</v>
      </c>
      <c r="AN61" s="40"/>
    </row>
    <row r="62" spans="1:40" x14ac:dyDescent="0.25">
      <c r="A62" s="31" t="s">
        <v>111</v>
      </c>
      <c r="B62" s="32"/>
      <c r="C62" s="239" t="s">
        <v>108</v>
      </c>
      <c r="D62" s="63" t="s">
        <v>112</v>
      </c>
      <c r="E62" s="34"/>
      <c r="F62" s="35"/>
      <c r="G62" s="36">
        <f t="shared" ref="G62:G65" si="22">SUM(I62:AM62)</f>
        <v>0</v>
      </c>
      <c r="H62" s="37" t="str">
        <f t="shared" si="3"/>
        <v/>
      </c>
      <c r="I62" s="34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9"/>
      <c r="AN62" s="40"/>
    </row>
    <row r="63" spans="1:40" x14ac:dyDescent="0.25">
      <c r="A63" s="31" t="s">
        <v>113</v>
      </c>
      <c r="B63" s="32"/>
      <c r="C63" s="239" t="s">
        <v>108</v>
      </c>
      <c r="D63" s="63" t="s">
        <v>114</v>
      </c>
      <c r="E63" s="34"/>
      <c r="F63" s="35"/>
      <c r="G63" s="36">
        <f t="shared" si="22"/>
        <v>0</v>
      </c>
      <c r="H63" s="37" t="str">
        <f t="shared" si="3"/>
        <v/>
      </c>
      <c r="I63" s="34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9"/>
      <c r="AN63" s="40"/>
    </row>
    <row r="64" spans="1:40" x14ac:dyDescent="0.25">
      <c r="A64" s="31" t="s">
        <v>115</v>
      </c>
      <c r="B64" s="32"/>
      <c r="C64" s="239" t="s">
        <v>108</v>
      </c>
      <c r="D64" s="63" t="s">
        <v>116</v>
      </c>
      <c r="E64" s="34"/>
      <c r="F64" s="35"/>
      <c r="G64" s="36">
        <f t="shared" si="22"/>
        <v>0</v>
      </c>
      <c r="H64" s="37" t="str">
        <f t="shared" si="3"/>
        <v/>
      </c>
      <c r="I64" s="34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9"/>
      <c r="AN64" s="40"/>
    </row>
    <row r="65" spans="1:40" ht="15.75" thickBot="1" x14ac:dyDescent="0.3">
      <c r="A65" s="41" t="s">
        <v>117</v>
      </c>
      <c r="B65" s="42"/>
      <c r="C65" s="240" t="s">
        <v>108</v>
      </c>
      <c r="D65" s="64" t="s">
        <v>118</v>
      </c>
      <c r="E65" s="44"/>
      <c r="F65" s="45"/>
      <c r="G65" s="46">
        <f t="shared" si="22"/>
        <v>0</v>
      </c>
      <c r="H65" s="47" t="str">
        <f t="shared" si="3"/>
        <v/>
      </c>
      <c r="I65" s="44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9"/>
      <c r="AN65" s="40"/>
    </row>
    <row r="66" spans="1:40" x14ac:dyDescent="0.25">
      <c r="A66" s="50">
        <v>8</v>
      </c>
      <c r="B66" s="51"/>
      <c r="C66" s="237" t="s">
        <v>119</v>
      </c>
      <c r="D66" s="52" t="s">
        <v>119</v>
      </c>
      <c r="E66" s="28">
        <f>SUM(E67:E70)</f>
        <v>0</v>
      </c>
      <c r="F66" s="53">
        <f>SUM(F67:F70)</f>
        <v>0</v>
      </c>
      <c r="G66" s="29">
        <f t="shared" ref="G66" si="23">SUM(G67:G70)</f>
        <v>0</v>
      </c>
      <c r="H66" s="54" t="str">
        <f t="shared" si="3"/>
        <v/>
      </c>
      <c r="I66" s="28">
        <f t="shared" ref="I66:AM66" si="24">SUM(I67:I70)</f>
        <v>0</v>
      </c>
      <c r="J66" s="29">
        <f t="shared" si="24"/>
        <v>0</v>
      </c>
      <c r="K66" s="29">
        <f t="shared" si="24"/>
        <v>0</v>
      </c>
      <c r="L66" s="29">
        <f t="shared" si="24"/>
        <v>0</v>
      </c>
      <c r="M66" s="29">
        <f t="shared" si="24"/>
        <v>0</v>
      </c>
      <c r="N66" s="29">
        <f t="shared" si="24"/>
        <v>0</v>
      </c>
      <c r="O66" s="29">
        <f t="shared" si="24"/>
        <v>0</v>
      </c>
      <c r="P66" s="29">
        <f t="shared" si="24"/>
        <v>0</v>
      </c>
      <c r="Q66" s="29">
        <f t="shared" si="24"/>
        <v>0</v>
      </c>
      <c r="R66" s="29">
        <f t="shared" si="24"/>
        <v>0</v>
      </c>
      <c r="S66" s="29">
        <f t="shared" si="24"/>
        <v>0</v>
      </c>
      <c r="T66" s="29">
        <f t="shared" si="24"/>
        <v>0</v>
      </c>
      <c r="U66" s="29">
        <f t="shared" si="24"/>
        <v>0</v>
      </c>
      <c r="V66" s="29">
        <f t="shared" si="24"/>
        <v>0</v>
      </c>
      <c r="W66" s="29">
        <f t="shared" si="24"/>
        <v>0</v>
      </c>
      <c r="X66" s="29">
        <f t="shared" si="24"/>
        <v>0</v>
      </c>
      <c r="Y66" s="29">
        <f t="shared" si="24"/>
        <v>0</v>
      </c>
      <c r="Z66" s="29">
        <f t="shared" si="24"/>
        <v>0</v>
      </c>
      <c r="AA66" s="29">
        <f t="shared" si="24"/>
        <v>0</v>
      </c>
      <c r="AB66" s="29">
        <f t="shared" si="24"/>
        <v>0</v>
      </c>
      <c r="AC66" s="29">
        <f t="shared" si="24"/>
        <v>0</v>
      </c>
      <c r="AD66" s="29">
        <f t="shared" si="24"/>
        <v>0</v>
      </c>
      <c r="AE66" s="29">
        <f t="shared" si="24"/>
        <v>0</v>
      </c>
      <c r="AF66" s="29">
        <f t="shared" si="24"/>
        <v>0</v>
      </c>
      <c r="AG66" s="29">
        <f t="shared" si="24"/>
        <v>0</v>
      </c>
      <c r="AH66" s="29">
        <f t="shared" si="24"/>
        <v>0</v>
      </c>
      <c r="AI66" s="29">
        <f t="shared" si="24"/>
        <v>0</v>
      </c>
      <c r="AJ66" s="29">
        <f t="shared" si="24"/>
        <v>0</v>
      </c>
      <c r="AK66" s="29">
        <f t="shared" si="24"/>
        <v>0</v>
      </c>
      <c r="AL66" s="29">
        <f t="shared" si="24"/>
        <v>0</v>
      </c>
      <c r="AM66" s="30">
        <f t="shared" si="24"/>
        <v>0</v>
      </c>
      <c r="AN66" s="6"/>
    </row>
    <row r="67" spans="1:40" x14ac:dyDescent="0.25">
      <c r="A67" s="31" t="s">
        <v>120</v>
      </c>
      <c r="B67" s="32"/>
      <c r="C67" s="239" t="s">
        <v>119</v>
      </c>
      <c r="D67" s="33" t="s">
        <v>121</v>
      </c>
      <c r="E67" s="34"/>
      <c r="F67" s="35"/>
      <c r="G67" s="36">
        <f t="shared" ref="G67:G70" si="25">SUM(I67:AM67)</f>
        <v>0</v>
      </c>
      <c r="H67" s="37" t="str">
        <f t="shared" si="3"/>
        <v/>
      </c>
      <c r="I67" s="34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9"/>
      <c r="AN67" s="40"/>
    </row>
    <row r="68" spans="1:40" x14ac:dyDescent="0.25">
      <c r="A68" s="31" t="s">
        <v>122</v>
      </c>
      <c r="B68" s="32"/>
      <c r="C68" s="239" t="s">
        <v>119</v>
      </c>
      <c r="D68" s="33" t="s">
        <v>123</v>
      </c>
      <c r="E68" s="34"/>
      <c r="F68" s="35"/>
      <c r="G68" s="36">
        <f t="shared" si="25"/>
        <v>0</v>
      </c>
      <c r="H68" s="37" t="str">
        <f t="shared" si="3"/>
        <v/>
      </c>
      <c r="I68" s="34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9"/>
      <c r="AN68" s="40"/>
    </row>
    <row r="69" spans="1:40" x14ac:dyDescent="0.25">
      <c r="A69" s="31" t="s">
        <v>124</v>
      </c>
      <c r="B69" s="32"/>
      <c r="C69" s="239" t="s">
        <v>119</v>
      </c>
      <c r="D69" s="33" t="s">
        <v>125</v>
      </c>
      <c r="E69" s="34"/>
      <c r="F69" s="35"/>
      <c r="G69" s="36">
        <f t="shared" si="25"/>
        <v>0</v>
      </c>
      <c r="H69" s="37" t="str">
        <f t="shared" si="3"/>
        <v/>
      </c>
      <c r="I69" s="34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9"/>
      <c r="AN69" s="40"/>
    </row>
    <row r="70" spans="1:40" ht="15.75" thickBot="1" x14ac:dyDescent="0.3">
      <c r="A70" s="41" t="s">
        <v>126</v>
      </c>
      <c r="B70" s="42"/>
      <c r="C70" s="240" t="s">
        <v>119</v>
      </c>
      <c r="D70" s="43" t="s">
        <v>127</v>
      </c>
      <c r="E70" s="44"/>
      <c r="F70" s="45"/>
      <c r="G70" s="46">
        <f t="shared" si="25"/>
        <v>0</v>
      </c>
      <c r="H70" s="47" t="str">
        <f t="shared" si="3"/>
        <v/>
      </c>
      <c r="I70" s="44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9"/>
      <c r="AN70" s="40"/>
    </row>
    <row r="71" spans="1:40" x14ac:dyDescent="0.25">
      <c r="A71" s="50">
        <v>9</v>
      </c>
      <c r="B71" s="51"/>
      <c r="C71" s="237" t="s">
        <v>128</v>
      </c>
      <c r="D71" s="52" t="s">
        <v>128</v>
      </c>
      <c r="E71" s="28">
        <f>SUM(E74:E80)</f>
        <v>0</v>
      </c>
      <c r="F71" s="53">
        <f>SUM(F74:F80)</f>
        <v>0</v>
      </c>
      <c r="G71" s="29">
        <f t="shared" ref="G71" si="26">SUM(G74:G80)</f>
        <v>0</v>
      </c>
      <c r="H71" s="54" t="str">
        <f t="shared" si="3"/>
        <v/>
      </c>
      <c r="I71" s="28">
        <f t="shared" ref="I71:AM71" si="27">SUM(I74:I80)</f>
        <v>0</v>
      </c>
      <c r="J71" s="29">
        <f t="shared" si="27"/>
        <v>0</v>
      </c>
      <c r="K71" s="29">
        <f t="shared" si="27"/>
        <v>0</v>
      </c>
      <c r="L71" s="29">
        <f t="shared" si="27"/>
        <v>0</v>
      </c>
      <c r="M71" s="29">
        <f t="shared" si="27"/>
        <v>0</v>
      </c>
      <c r="N71" s="29">
        <f t="shared" si="27"/>
        <v>0</v>
      </c>
      <c r="O71" s="29">
        <f t="shared" si="27"/>
        <v>0</v>
      </c>
      <c r="P71" s="29">
        <f t="shared" si="27"/>
        <v>0</v>
      </c>
      <c r="Q71" s="29">
        <f t="shared" si="27"/>
        <v>0</v>
      </c>
      <c r="R71" s="29">
        <f t="shared" si="27"/>
        <v>0</v>
      </c>
      <c r="S71" s="29">
        <f t="shared" si="27"/>
        <v>0</v>
      </c>
      <c r="T71" s="29">
        <f t="shared" si="27"/>
        <v>0</v>
      </c>
      <c r="U71" s="29">
        <f t="shared" si="27"/>
        <v>0</v>
      </c>
      <c r="V71" s="29">
        <f t="shared" si="27"/>
        <v>0</v>
      </c>
      <c r="W71" s="29">
        <f t="shared" si="27"/>
        <v>0</v>
      </c>
      <c r="X71" s="29">
        <f t="shared" si="27"/>
        <v>0</v>
      </c>
      <c r="Y71" s="29">
        <f t="shared" si="27"/>
        <v>0</v>
      </c>
      <c r="Z71" s="29">
        <f t="shared" si="27"/>
        <v>0</v>
      </c>
      <c r="AA71" s="29">
        <f t="shared" si="27"/>
        <v>0</v>
      </c>
      <c r="AB71" s="29">
        <f t="shared" si="27"/>
        <v>0</v>
      </c>
      <c r="AC71" s="29">
        <f t="shared" si="27"/>
        <v>0</v>
      </c>
      <c r="AD71" s="29">
        <f t="shared" si="27"/>
        <v>0</v>
      </c>
      <c r="AE71" s="29">
        <f t="shared" si="27"/>
        <v>0</v>
      </c>
      <c r="AF71" s="29">
        <f t="shared" si="27"/>
        <v>0</v>
      </c>
      <c r="AG71" s="29">
        <f t="shared" si="27"/>
        <v>0</v>
      </c>
      <c r="AH71" s="29">
        <f t="shared" si="27"/>
        <v>0</v>
      </c>
      <c r="AI71" s="29">
        <f t="shared" si="27"/>
        <v>0</v>
      </c>
      <c r="AJ71" s="29">
        <f t="shared" si="27"/>
        <v>0</v>
      </c>
      <c r="AK71" s="29">
        <f t="shared" si="27"/>
        <v>0</v>
      </c>
      <c r="AL71" s="29">
        <f t="shared" si="27"/>
        <v>0</v>
      </c>
      <c r="AM71" s="30">
        <f t="shared" si="27"/>
        <v>0</v>
      </c>
      <c r="AN71" s="6"/>
    </row>
    <row r="72" spans="1:40" x14ac:dyDescent="0.25">
      <c r="A72" s="65" t="s">
        <v>129</v>
      </c>
      <c r="B72" s="66"/>
      <c r="C72" s="241" t="s">
        <v>128</v>
      </c>
      <c r="D72" s="57" t="s">
        <v>130</v>
      </c>
      <c r="E72" s="58">
        <f>E71-E80</f>
        <v>0</v>
      </c>
      <c r="F72" s="59">
        <f>F71-F80</f>
        <v>0</v>
      </c>
      <c r="G72" s="60">
        <f t="shared" ref="G72:AM72" si="28">G71-G80</f>
        <v>0</v>
      </c>
      <c r="H72" s="61" t="str">
        <f t="shared" si="3"/>
        <v/>
      </c>
      <c r="I72" s="58">
        <f t="shared" si="28"/>
        <v>0</v>
      </c>
      <c r="J72" s="60">
        <f t="shared" si="28"/>
        <v>0</v>
      </c>
      <c r="K72" s="60">
        <f t="shared" si="28"/>
        <v>0</v>
      </c>
      <c r="L72" s="60">
        <f t="shared" si="28"/>
        <v>0</v>
      </c>
      <c r="M72" s="60">
        <f t="shared" si="28"/>
        <v>0</v>
      </c>
      <c r="N72" s="60">
        <f t="shared" si="28"/>
        <v>0</v>
      </c>
      <c r="O72" s="60">
        <f t="shared" si="28"/>
        <v>0</v>
      </c>
      <c r="P72" s="60">
        <f t="shared" si="28"/>
        <v>0</v>
      </c>
      <c r="Q72" s="60">
        <f t="shared" si="28"/>
        <v>0</v>
      </c>
      <c r="R72" s="60">
        <f t="shared" si="28"/>
        <v>0</v>
      </c>
      <c r="S72" s="60">
        <f t="shared" si="28"/>
        <v>0</v>
      </c>
      <c r="T72" s="60">
        <f t="shared" si="28"/>
        <v>0</v>
      </c>
      <c r="U72" s="60">
        <f t="shared" si="28"/>
        <v>0</v>
      </c>
      <c r="V72" s="60">
        <f t="shared" si="28"/>
        <v>0</v>
      </c>
      <c r="W72" s="60">
        <f t="shared" si="28"/>
        <v>0</v>
      </c>
      <c r="X72" s="60">
        <f t="shared" si="28"/>
        <v>0</v>
      </c>
      <c r="Y72" s="60">
        <f t="shared" si="28"/>
        <v>0</v>
      </c>
      <c r="Z72" s="60">
        <f t="shared" si="28"/>
        <v>0</v>
      </c>
      <c r="AA72" s="60">
        <f t="shared" si="28"/>
        <v>0</v>
      </c>
      <c r="AB72" s="60">
        <f t="shared" si="28"/>
        <v>0</v>
      </c>
      <c r="AC72" s="60">
        <f t="shared" si="28"/>
        <v>0</v>
      </c>
      <c r="AD72" s="60">
        <f t="shared" si="28"/>
        <v>0</v>
      </c>
      <c r="AE72" s="60">
        <f t="shared" si="28"/>
        <v>0</v>
      </c>
      <c r="AF72" s="60">
        <f t="shared" si="28"/>
        <v>0</v>
      </c>
      <c r="AG72" s="60">
        <f t="shared" si="28"/>
        <v>0</v>
      </c>
      <c r="AH72" s="60">
        <f t="shared" si="28"/>
        <v>0</v>
      </c>
      <c r="AI72" s="60">
        <f t="shared" si="28"/>
        <v>0</v>
      </c>
      <c r="AJ72" s="60">
        <f t="shared" si="28"/>
        <v>0</v>
      </c>
      <c r="AK72" s="60">
        <f t="shared" si="28"/>
        <v>0</v>
      </c>
      <c r="AL72" s="60">
        <f t="shared" si="28"/>
        <v>0</v>
      </c>
      <c r="AM72" s="62">
        <f t="shared" si="28"/>
        <v>0</v>
      </c>
      <c r="AN72" s="40"/>
    </row>
    <row r="73" spans="1:40" x14ac:dyDescent="0.25">
      <c r="A73" s="65" t="s">
        <v>131</v>
      </c>
      <c r="B73" s="66"/>
      <c r="C73" s="241" t="s">
        <v>128</v>
      </c>
      <c r="D73" s="76" t="s">
        <v>132</v>
      </c>
      <c r="E73" s="58">
        <f>E72-E79</f>
        <v>0</v>
      </c>
      <c r="F73" s="59">
        <f>F72-F79</f>
        <v>0</v>
      </c>
      <c r="G73" s="60">
        <f t="shared" ref="G73:AM73" si="29">G72-G79</f>
        <v>0</v>
      </c>
      <c r="H73" s="61" t="str">
        <f t="shared" ref="H73:H95" si="30">IFERROR((G73-F73)/F73,"")</f>
        <v/>
      </c>
      <c r="I73" s="58">
        <f t="shared" si="29"/>
        <v>0</v>
      </c>
      <c r="J73" s="60">
        <f t="shared" si="29"/>
        <v>0</v>
      </c>
      <c r="K73" s="60">
        <f t="shared" si="29"/>
        <v>0</v>
      </c>
      <c r="L73" s="60">
        <f t="shared" si="29"/>
        <v>0</v>
      </c>
      <c r="M73" s="60">
        <f t="shared" si="29"/>
        <v>0</v>
      </c>
      <c r="N73" s="60">
        <f t="shared" si="29"/>
        <v>0</v>
      </c>
      <c r="O73" s="60">
        <f t="shared" si="29"/>
        <v>0</v>
      </c>
      <c r="P73" s="60">
        <f t="shared" si="29"/>
        <v>0</v>
      </c>
      <c r="Q73" s="60">
        <f t="shared" si="29"/>
        <v>0</v>
      </c>
      <c r="R73" s="60">
        <f t="shared" si="29"/>
        <v>0</v>
      </c>
      <c r="S73" s="60">
        <f t="shared" si="29"/>
        <v>0</v>
      </c>
      <c r="T73" s="60">
        <f t="shared" si="29"/>
        <v>0</v>
      </c>
      <c r="U73" s="60">
        <f t="shared" si="29"/>
        <v>0</v>
      </c>
      <c r="V73" s="60">
        <f t="shared" si="29"/>
        <v>0</v>
      </c>
      <c r="W73" s="60">
        <f t="shared" si="29"/>
        <v>0</v>
      </c>
      <c r="X73" s="60">
        <f t="shared" si="29"/>
        <v>0</v>
      </c>
      <c r="Y73" s="60">
        <f t="shared" si="29"/>
        <v>0</v>
      </c>
      <c r="Z73" s="60">
        <f t="shared" si="29"/>
        <v>0</v>
      </c>
      <c r="AA73" s="60">
        <f t="shared" si="29"/>
        <v>0</v>
      </c>
      <c r="AB73" s="60">
        <f t="shared" si="29"/>
        <v>0</v>
      </c>
      <c r="AC73" s="60">
        <f t="shared" si="29"/>
        <v>0</v>
      </c>
      <c r="AD73" s="60">
        <f t="shared" si="29"/>
        <v>0</v>
      </c>
      <c r="AE73" s="60">
        <f t="shared" si="29"/>
        <v>0</v>
      </c>
      <c r="AF73" s="60">
        <f t="shared" si="29"/>
        <v>0</v>
      </c>
      <c r="AG73" s="60">
        <f t="shared" si="29"/>
        <v>0</v>
      </c>
      <c r="AH73" s="60">
        <f t="shared" si="29"/>
        <v>0</v>
      </c>
      <c r="AI73" s="60">
        <f t="shared" si="29"/>
        <v>0</v>
      </c>
      <c r="AJ73" s="60">
        <f t="shared" si="29"/>
        <v>0</v>
      </c>
      <c r="AK73" s="60">
        <f t="shared" si="29"/>
        <v>0</v>
      </c>
      <c r="AL73" s="60">
        <f t="shared" si="29"/>
        <v>0</v>
      </c>
      <c r="AM73" s="62">
        <f t="shared" si="29"/>
        <v>0</v>
      </c>
      <c r="AN73" s="40"/>
    </row>
    <row r="74" spans="1:40" x14ac:dyDescent="0.25">
      <c r="A74" s="31" t="s">
        <v>133</v>
      </c>
      <c r="B74" s="32"/>
      <c r="C74" s="239" t="s">
        <v>128</v>
      </c>
      <c r="D74" s="77" t="s">
        <v>134</v>
      </c>
      <c r="E74" s="34"/>
      <c r="F74" s="35"/>
      <c r="G74" s="36">
        <f t="shared" ref="G74:G81" si="31">SUM(I74:AM74)</f>
        <v>0</v>
      </c>
      <c r="H74" s="37" t="str">
        <f t="shared" si="30"/>
        <v/>
      </c>
      <c r="I74" s="34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9"/>
      <c r="AN74" s="40"/>
    </row>
    <row r="75" spans="1:40" x14ac:dyDescent="0.25">
      <c r="A75" s="31" t="s">
        <v>135</v>
      </c>
      <c r="B75" s="32"/>
      <c r="C75" s="239" t="s">
        <v>128</v>
      </c>
      <c r="D75" s="77" t="s">
        <v>136</v>
      </c>
      <c r="E75" s="34"/>
      <c r="F75" s="35"/>
      <c r="G75" s="36">
        <f t="shared" si="31"/>
        <v>0</v>
      </c>
      <c r="H75" s="37" t="str">
        <f t="shared" si="30"/>
        <v/>
      </c>
      <c r="I75" s="34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9"/>
      <c r="AN75" s="40"/>
    </row>
    <row r="76" spans="1:40" x14ac:dyDescent="0.25">
      <c r="A76" s="31" t="s">
        <v>137</v>
      </c>
      <c r="B76" s="32"/>
      <c r="C76" s="239" t="s">
        <v>128</v>
      </c>
      <c r="D76" s="77" t="s">
        <v>138</v>
      </c>
      <c r="E76" s="34"/>
      <c r="F76" s="35"/>
      <c r="G76" s="36">
        <f t="shared" si="31"/>
        <v>0</v>
      </c>
      <c r="H76" s="37" t="str">
        <f t="shared" si="30"/>
        <v/>
      </c>
      <c r="I76" s="34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9"/>
      <c r="AN76" s="40"/>
    </row>
    <row r="77" spans="1:40" x14ac:dyDescent="0.25">
      <c r="A77" s="31" t="s">
        <v>139</v>
      </c>
      <c r="B77" s="32"/>
      <c r="C77" s="239" t="s">
        <v>128</v>
      </c>
      <c r="D77" s="77" t="s">
        <v>140</v>
      </c>
      <c r="E77" s="34"/>
      <c r="F77" s="35"/>
      <c r="G77" s="36">
        <f t="shared" si="31"/>
        <v>0</v>
      </c>
      <c r="H77" s="37" t="str">
        <f t="shared" si="30"/>
        <v/>
      </c>
      <c r="I77" s="34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9"/>
      <c r="AN77" s="40"/>
    </row>
    <row r="78" spans="1:40" x14ac:dyDescent="0.25">
      <c r="A78" s="31" t="s">
        <v>141</v>
      </c>
      <c r="B78" s="32"/>
      <c r="C78" s="239" t="s">
        <v>128</v>
      </c>
      <c r="D78" s="77" t="s">
        <v>142</v>
      </c>
      <c r="E78" s="34"/>
      <c r="F78" s="35"/>
      <c r="G78" s="36">
        <f t="shared" si="31"/>
        <v>0</v>
      </c>
      <c r="H78" s="37" t="str">
        <f t="shared" si="30"/>
        <v/>
      </c>
      <c r="I78" s="34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9"/>
      <c r="AN78" s="40"/>
    </row>
    <row r="79" spans="1:40" x14ac:dyDescent="0.25">
      <c r="A79" s="78" t="s">
        <v>143</v>
      </c>
      <c r="B79" s="79"/>
      <c r="C79" s="242" t="s">
        <v>128</v>
      </c>
      <c r="D79" s="80" t="s">
        <v>144</v>
      </c>
      <c r="E79" s="34"/>
      <c r="F79" s="35"/>
      <c r="G79" s="36">
        <f t="shared" si="31"/>
        <v>0</v>
      </c>
      <c r="H79" s="37" t="str">
        <f t="shared" si="30"/>
        <v/>
      </c>
      <c r="I79" s="34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9"/>
      <c r="AN79" s="40"/>
    </row>
    <row r="80" spans="1:40" ht="15.75" thickBot="1" x14ac:dyDescent="0.3">
      <c r="A80" s="81" t="s">
        <v>145</v>
      </c>
      <c r="B80" s="82"/>
      <c r="C80" s="243" t="s">
        <v>128</v>
      </c>
      <c r="D80" s="64" t="s">
        <v>146</v>
      </c>
      <c r="E80" s="44"/>
      <c r="F80" s="45"/>
      <c r="G80" s="46">
        <f t="shared" si="31"/>
        <v>0</v>
      </c>
      <c r="H80" s="47" t="str">
        <f t="shared" si="30"/>
        <v/>
      </c>
      <c r="I80" s="44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9"/>
      <c r="AN80" s="40"/>
    </row>
    <row r="81" spans="1:40" ht="15.75" thickBot="1" x14ac:dyDescent="0.3">
      <c r="A81" s="83">
        <v>10</v>
      </c>
      <c r="B81" s="84"/>
      <c r="C81" s="244" t="s">
        <v>147</v>
      </c>
      <c r="D81" s="85" t="s">
        <v>147</v>
      </c>
      <c r="E81" s="86"/>
      <c r="F81" s="87"/>
      <c r="G81" s="88">
        <f t="shared" si="31"/>
        <v>0</v>
      </c>
      <c r="H81" s="89" t="str">
        <f t="shared" si="30"/>
        <v/>
      </c>
      <c r="I81" s="86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  <c r="AM81" s="91"/>
      <c r="AN81" s="6"/>
    </row>
    <row r="82" spans="1:40" x14ac:dyDescent="0.25">
      <c r="A82" s="50">
        <v>11</v>
      </c>
      <c r="B82" s="51"/>
      <c r="C82" s="237" t="s">
        <v>148</v>
      </c>
      <c r="D82" s="52" t="s">
        <v>148</v>
      </c>
      <c r="E82" s="28">
        <f>SUM(E83:E84)</f>
        <v>0</v>
      </c>
      <c r="F82" s="53">
        <f>SUM(F83:F84)</f>
        <v>0</v>
      </c>
      <c r="G82" s="29">
        <f t="shared" ref="G82" si="32">SUM(G83:G84)</f>
        <v>0</v>
      </c>
      <c r="H82" s="54" t="str">
        <f t="shared" si="30"/>
        <v/>
      </c>
      <c r="I82" s="28">
        <f t="shared" ref="I82:AM82" si="33">SUM(I83:I84)</f>
        <v>0</v>
      </c>
      <c r="J82" s="29">
        <f t="shared" si="33"/>
        <v>0</v>
      </c>
      <c r="K82" s="29">
        <f t="shared" si="33"/>
        <v>0</v>
      </c>
      <c r="L82" s="29">
        <f t="shared" si="33"/>
        <v>0</v>
      </c>
      <c r="M82" s="29">
        <f t="shared" si="33"/>
        <v>0</v>
      </c>
      <c r="N82" s="29">
        <f t="shared" si="33"/>
        <v>0</v>
      </c>
      <c r="O82" s="29">
        <f t="shared" si="33"/>
        <v>0</v>
      </c>
      <c r="P82" s="29">
        <f t="shared" si="33"/>
        <v>0</v>
      </c>
      <c r="Q82" s="29">
        <f t="shared" si="33"/>
        <v>0</v>
      </c>
      <c r="R82" s="29">
        <f t="shared" si="33"/>
        <v>0</v>
      </c>
      <c r="S82" s="29">
        <f t="shared" si="33"/>
        <v>0</v>
      </c>
      <c r="T82" s="29">
        <f t="shared" si="33"/>
        <v>0</v>
      </c>
      <c r="U82" s="29">
        <f t="shared" si="33"/>
        <v>0</v>
      </c>
      <c r="V82" s="29">
        <f t="shared" si="33"/>
        <v>0</v>
      </c>
      <c r="W82" s="29">
        <f t="shared" si="33"/>
        <v>0</v>
      </c>
      <c r="X82" s="29">
        <f t="shared" si="33"/>
        <v>0</v>
      </c>
      <c r="Y82" s="29">
        <f t="shared" si="33"/>
        <v>0</v>
      </c>
      <c r="Z82" s="29">
        <f t="shared" si="33"/>
        <v>0</v>
      </c>
      <c r="AA82" s="29">
        <f t="shared" si="33"/>
        <v>0</v>
      </c>
      <c r="AB82" s="29">
        <f t="shared" si="33"/>
        <v>0</v>
      </c>
      <c r="AC82" s="29">
        <f t="shared" si="33"/>
        <v>0</v>
      </c>
      <c r="AD82" s="29">
        <f t="shared" si="33"/>
        <v>0</v>
      </c>
      <c r="AE82" s="29">
        <f t="shared" si="33"/>
        <v>0</v>
      </c>
      <c r="AF82" s="29">
        <f t="shared" si="33"/>
        <v>0</v>
      </c>
      <c r="AG82" s="29">
        <f t="shared" si="33"/>
        <v>0</v>
      </c>
      <c r="AH82" s="29">
        <f t="shared" si="33"/>
        <v>0</v>
      </c>
      <c r="AI82" s="29">
        <f t="shared" si="33"/>
        <v>0</v>
      </c>
      <c r="AJ82" s="29">
        <f t="shared" si="33"/>
        <v>0</v>
      </c>
      <c r="AK82" s="29">
        <f t="shared" si="33"/>
        <v>0</v>
      </c>
      <c r="AL82" s="29">
        <f t="shared" si="33"/>
        <v>0</v>
      </c>
      <c r="AM82" s="30">
        <f t="shared" si="33"/>
        <v>0</v>
      </c>
      <c r="AN82" s="6"/>
    </row>
    <row r="83" spans="1:40" x14ac:dyDescent="0.25">
      <c r="A83" s="31" t="s">
        <v>149</v>
      </c>
      <c r="B83" s="32"/>
      <c r="C83" s="239" t="s">
        <v>148</v>
      </c>
      <c r="D83" s="33" t="s">
        <v>150</v>
      </c>
      <c r="E83" s="34"/>
      <c r="F83" s="35"/>
      <c r="G83" s="36">
        <f t="shared" ref="G83:G84" si="34">SUM(I83:AM83)</f>
        <v>0</v>
      </c>
      <c r="H83" s="37" t="str">
        <f t="shared" si="30"/>
        <v/>
      </c>
      <c r="I83" s="34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9"/>
      <c r="AN83" s="40"/>
    </row>
    <row r="84" spans="1:40" ht="15.75" thickBot="1" x14ac:dyDescent="0.3">
      <c r="A84" s="41" t="s">
        <v>151</v>
      </c>
      <c r="B84" s="42"/>
      <c r="C84" s="240" t="s">
        <v>148</v>
      </c>
      <c r="D84" s="43" t="s">
        <v>152</v>
      </c>
      <c r="E84" s="44"/>
      <c r="F84" s="45"/>
      <c r="G84" s="46">
        <f t="shared" si="34"/>
        <v>0</v>
      </c>
      <c r="H84" s="47" t="str">
        <f t="shared" si="30"/>
        <v/>
      </c>
      <c r="I84" s="44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9"/>
      <c r="AN84" s="40"/>
    </row>
    <row r="85" spans="1:40" x14ac:dyDescent="0.25">
      <c r="A85" s="92">
        <v>12</v>
      </c>
      <c r="B85" s="93"/>
      <c r="C85" s="245" t="s">
        <v>153</v>
      </c>
      <c r="D85" s="94" t="s">
        <v>153</v>
      </c>
      <c r="E85" s="28">
        <f>SUM(E87:E91)</f>
        <v>0</v>
      </c>
      <c r="F85" s="53">
        <f>SUM(F87:F91)</f>
        <v>0</v>
      </c>
      <c r="G85" s="29">
        <f t="shared" ref="G85" si="35">SUM(G87:G91)</f>
        <v>0</v>
      </c>
      <c r="H85" s="54" t="str">
        <f t="shared" si="30"/>
        <v/>
      </c>
      <c r="I85" s="28">
        <f t="shared" ref="I85:AM85" si="36">SUM(I87:I91)</f>
        <v>0</v>
      </c>
      <c r="J85" s="29">
        <f t="shared" si="36"/>
        <v>0</v>
      </c>
      <c r="K85" s="29">
        <f t="shared" si="36"/>
        <v>0</v>
      </c>
      <c r="L85" s="29">
        <f t="shared" si="36"/>
        <v>0</v>
      </c>
      <c r="M85" s="29">
        <f t="shared" si="36"/>
        <v>0</v>
      </c>
      <c r="N85" s="29">
        <f t="shared" si="36"/>
        <v>0</v>
      </c>
      <c r="O85" s="29">
        <f t="shared" si="36"/>
        <v>0</v>
      </c>
      <c r="P85" s="29">
        <f t="shared" si="36"/>
        <v>0</v>
      </c>
      <c r="Q85" s="29">
        <f t="shared" si="36"/>
        <v>0</v>
      </c>
      <c r="R85" s="29">
        <f t="shared" si="36"/>
        <v>0</v>
      </c>
      <c r="S85" s="29">
        <f t="shared" si="36"/>
        <v>0</v>
      </c>
      <c r="T85" s="29">
        <f t="shared" si="36"/>
        <v>0</v>
      </c>
      <c r="U85" s="29">
        <f t="shared" si="36"/>
        <v>0</v>
      </c>
      <c r="V85" s="29">
        <f t="shared" si="36"/>
        <v>0</v>
      </c>
      <c r="W85" s="29">
        <f t="shared" si="36"/>
        <v>0</v>
      </c>
      <c r="X85" s="29">
        <f t="shared" si="36"/>
        <v>0</v>
      </c>
      <c r="Y85" s="29">
        <f t="shared" si="36"/>
        <v>0</v>
      </c>
      <c r="Z85" s="29">
        <f t="shared" si="36"/>
        <v>0</v>
      </c>
      <c r="AA85" s="29">
        <f t="shared" si="36"/>
        <v>0</v>
      </c>
      <c r="AB85" s="29">
        <f t="shared" si="36"/>
        <v>0</v>
      </c>
      <c r="AC85" s="29">
        <f t="shared" si="36"/>
        <v>0</v>
      </c>
      <c r="AD85" s="29">
        <f t="shared" si="36"/>
        <v>0</v>
      </c>
      <c r="AE85" s="29">
        <f t="shared" si="36"/>
        <v>0</v>
      </c>
      <c r="AF85" s="29">
        <f t="shared" si="36"/>
        <v>0</v>
      </c>
      <c r="AG85" s="29">
        <f t="shared" si="36"/>
        <v>0</v>
      </c>
      <c r="AH85" s="29">
        <f t="shared" si="36"/>
        <v>0</v>
      </c>
      <c r="AI85" s="29">
        <f t="shared" si="36"/>
        <v>0</v>
      </c>
      <c r="AJ85" s="29">
        <f t="shared" si="36"/>
        <v>0</v>
      </c>
      <c r="AK85" s="29">
        <f t="shared" si="36"/>
        <v>0</v>
      </c>
      <c r="AL85" s="29">
        <f t="shared" si="36"/>
        <v>0</v>
      </c>
      <c r="AM85" s="30">
        <f t="shared" si="36"/>
        <v>0</v>
      </c>
      <c r="AN85" s="6"/>
    </row>
    <row r="86" spans="1:40" x14ac:dyDescent="0.25">
      <c r="A86" s="95" t="s">
        <v>154</v>
      </c>
      <c r="B86" s="96"/>
      <c r="C86" s="246" t="s">
        <v>153</v>
      </c>
      <c r="D86" s="97" t="s">
        <v>155</v>
      </c>
      <c r="E86" s="98">
        <f>E87+E88</f>
        <v>0</v>
      </c>
      <c r="F86" s="99">
        <f>F87+F88</f>
        <v>0</v>
      </c>
      <c r="G86" s="36">
        <f t="shared" ref="G86:AM86" si="37">G87+G88</f>
        <v>0</v>
      </c>
      <c r="H86" s="37" t="str">
        <f t="shared" si="30"/>
        <v/>
      </c>
      <c r="I86" s="98">
        <f t="shared" si="37"/>
        <v>0</v>
      </c>
      <c r="J86" s="36">
        <f t="shared" si="37"/>
        <v>0</v>
      </c>
      <c r="K86" s="36">
        <f t="shared" si="37"/>
        <v>0</v>
      </c>
      <c r="L86" s="36">
        <f t="shared" si="37"/>
        <v>0</v>
      </c>
      <c r="M86" s="36">
        <f t="shared" si="37"/>
        <v>0</v>
      </c>
      <c r="N86" s="36">
        <f t="shared" si="37"/>
        <v>0</v>
      </c>
      <c r="O86" s="36">
        <f t="shared" si="37"/>
        <v>0</v>
      </c>
      <c r="P86" s="36">
        <f t="shared" si="37"/>
        <v>0</v>
      </c>
      <c r="Q86" s="36">
        <f t="shared" si="37"/>
        <v>0</v>
      </c>
      <c r="R86" s="36">
        <f t="shared" si="37"/>
        <v>0</v>
      </c>
      <c r="S86" s="36">
        <f t="shared" si="37"/>
        <v>0</v>
      </c>
      <c r="T86" s="36">
        <f t="shared" si="37"/>
        <v>0</v>
      </c>
      <c r="U86" s="36">
        <f t="shared" si="37"/>
        <v>0</v>
      </c>
      <c r="V86" s="36">
        <f t="shared" si="37"/>
        <v>0</v>
      </c>
      <c r="W86" s="36">
        <f t="shared" si="37"/>
        <v>0</v>
      </c>
      <c r="X86" s="36">
        <f t="shared" si="37"/>
        <v>0</v>
      </c>
      <c r="Y86" s="36">
        <f t="shared" si="37"/>
        <v>0</v>
      </c>
      <c r="Z86" s="36">
        <f t="shared" si="37"/>
        <v>0</v>
      </c>
      <c r="AA86" s="36">
        <f t="shared" si="37"/>
        <v>0</v>
      </c>
      <c r="AB86" s="36">
        <f t="shared" si="37"/>
        <v>0</v>
      </c>
      <c r="AC86" s="36">
        <f t="shared" si="37"/>
        <v>0</v>
      </c>
      <c r="AD86" s="36">
        <f t="shared" si="37"/>
        <v>0</v>
      </c>
      <c r="AE86" s="36">
        <f t="shared" si="37"/>
        <v>0</v>
      </c>
      <c r="AF86" s="36">
        <f t="shared" si="37"/>
        <v>0</v>
      </c>
      <c r="AG86" s="36">
        <f t="shared" si="37"/>
        <v>0</v>
      </c>
      <c r="AH86" s="36">
        <f t="shared" si="37"/>
        <v>0</v>
      </c>
      <c r="AI86" s="36">
        <f t="shared" si="37"/>
        <v>0</v>
      </c>
      <c r="AJ86" s="36">
        <f t="shared" si="37"/>
        <v>0</v>
      </c>
      <c r="AK86" s="36">
        <f t="shared" si="37"/>
        <v>0</v>
      </c>
      <c r="AL86" s="36">
        <f t="shared" si="37"/>
        <v>0</v>
      </c>
      <c r="AM86" s="100">
        <f t="shared" si="37"/>
        <v>0</v>
      </c>
      <c r="AN86" s="40"/>
    </row>
    <row r="87" spans="1:40" x14ac:dyDescent="0.25">
      <c r="A87" s="101" t="s">
        <v>156</v>
      </c>
      <c r="B87" s="102"/>
      <c r="C87" s="247" t="s">
        <v>153</v>
      </c>
      <c r="D87" s="63" t="s">
        <v>157</v>
      </c>
      <c r="E87" s="34"/>
      <c r="F87" s="35"/>
      <c r="G87" s="36">
        <f t="shared" ref="G87:G93" si="38">SUM(I87:AM87)</f>
        <v>0</v>
      </c>
      <c r="H87" s="37" t="str">
        <f t="shared" si="30"/>
        <v/>
      </c>
      <c r="I87" s="34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9"/>
      <c r="AN87" s="40"/>
    </row>
    <row r="88" spans="1:40" x14ac:dyDescent="0.25">
      <c r="A88" s="95" t="s">
        <v>158</v>
      </c>
      <c r="B88" s="96"/>
      <c r="C88" s="246" t="s">
        <v>153</v>
      </c>
      <c r="D88" s="63" t="s">
        <v>159</v>
      </c>
      <c r="E88" s="34"/>
      <c r="F88" s="35"/>
      <c r="G88" s="36">
        <f t="shared" si="38"/>
        <v>0</v>
      </c>
      <c r="H88" s="37" t="str">
        <f t="shared" si="30"/>
        <v/>
      </c>
      <c r="I88" s="34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9"/>
      <c r="AN88" s="40"/>
    </row>
    <row r="89" spans="1:40" x14ac:dyDescent="0.25">
      <c r="A89" s="103" t="s">
        <v>160</v>
      </c>
      <c r="B89" s="104"/>
      <c r="C89" s="248" t="s">
        <v>153</v>
      </c>
      <c r="D89" s="97" t="s">
        <v>161</v>
      </c>
      <c r="E89" s="34"/>
      <c r="F89" s="35"/>
      <c r="G89" s="36">
        <f t="shared" si="38"/>
        <v>0</v>
      </c>
      <c r="H89" s="37" t="str">
        <f t="shared" si="30"/>
        <v/>
      </c>
      <c r="I89" s="34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9"/>
      <c r="AN89" s="40"/>
    </row>
    <row r="90" spans="1:40" x14ac:dyDescent="0.25">
      <c r="A90" s="103" t="s">
        <v>162</v>
      </c>
      <c r="B90" s="104"/>
      <c r="C90" s="248" t="s">
        <v>153</v>
      </c>
      <c r="D90" s="97" t="s">
        <v>163</v>
      </c>
      <c r="E90" s="34"/>
      <c r="F90" s="35"/>
      <c r="G90" s="36">
        <f t="shared" si="38"/>
        <v>0</v>
      </c>
      <c r="H90" s="37" t="str">
        <f t="shared" si="30"/>
        <v/>
      </c>
      <c r="I90" s="34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9"/>
      <c r="AN90" s="40"/>
    </row>
    <row r="91" spans="1:40" ht="15.75" thickBot="1" x14ac:dyDescent="0.3">
      <c r="A91" s="103" t="s">
        <v>164</v>
      </c>
      <c r="B91" s="104"/>
      <c r="C91" s="248" t="s">
        <v>153</v>
      </c>
      <c r="D91" s="97" t="s">
        <v>165</v>
      </c>
      <c r="E91" s="34"/>
      <c r="F91" s="35"/>
      <c r="G91" s="36">
        <f t="shared" si="38"/>
        <v>0</v>
      </c>
      <c r="H91" s="37" t="str">
        <f t="shared" si="30"/>
        <v/>
      </c>
      <c r="I91" s="34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9"/>
      <c r="AN91" s="40"/>
    </row>
    <row r="92" spans="1:40" ht="15.75" thickBot="1" x14ac:dyDescent="0.3">
      <c r="A92" s="83">
        <v>13</v>
      </c>
      <c r="B92" s="84"/>
      <c r="C92" s="244" t="s">
        <v>166</v>
      </c>
      <c r="D92" s="85" t="s">
        <v>166</v>
      </c>
      <c r="E92" s="86"/>
      <c r="F92" s="87"/>
      <c r="G92" s="88">
        <f t="shared" si="38"/>
        <v>0</v>
      </c>
      <c r="H92" s="89" t="str">
        <f t="shared" si="30"/>
        <v/>
      </c>
      <c r="I92" s="86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  <c r="AE92" s="90"/>
      <c r="AF92" s="90"/>
      <c r="AG92" s="90"/>
      <c r="AH92" s="90"/>
      <c r="AI92" s="90"/>
      <c r="AJ92" s="90"/>
      <c r="AK92" s="90"/>
      <c r="AL92" s="90"/>
      <c r="AM92" s="91"/>
      <c r="AN92" s="6"/>
    </row>
    <row r="93" spans="1:40" ht="15.75" thickBot="1" x14ac:dyDescent="0.3">
      <c r="A93" s="83">
        <v>14</v>
      </c>
      <c r="B93" s="84"/>
      <c r="C93" s="244" t="s">
        <v>167</v>
      </c>
      <c r="D93" s="85" t="s">
        <v>167</v>
      </c>
      <c r="E93" s="86"/>
      <c r="F93" s="87"/>
      <c r="G93" s="88">
        <f t="shared" si="38"/>
        <v>0</v>
      </c>
      <c r="H93" s="89" t="str">
        <f t="shared" si="30"/>
        <v/>
      </c>
      <c r="I93" s="86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  <c r="AA93" s="90"/>
      <c r="AB93" s="90"/>
      <c r="AC93" s="90"/>
      <c r="AD93" s="90"/>
      <c r="AE93" s="90"/>
      <c r="AF93" s="90"/>
      <c r="AG93" s="90"/>
      <c r="AH93" s="90"/>
      <c r="AI93" s="90"/>
      <c r="AJ93" s="90"/>
      <c r="AK93" s="90"/>
      <c r="AL93" s="90"/>
      <c r="AM93" s="91"/>
      <c r="AN93" s="6"/>
    </row>
    <row r="94" spans="1:40" ht="15.75" thickBot="1" x14ac:dyDescent="0.3">
      <c r="A94" s="83"/>
      <c r="B94" s="84"/>
      <c r="C94" s="244" t="s">
        <v>168</v>
      </c>
      <c r="D94" s="85" t="s">
        <v>168</v>
      </c>
      <c r="E94" s="105">
        <f>E8+E20+E32+E40+E48+E59+E60+E66+E71+E81+E82+E85+E92+E93</f>
        <v>1250</v>
      </c>
      <c r="F94" s="106">
        <f>F8+F20+F32+F40+F48+F59+F60+F66+F71+F81+F82+F85+F92+F93</f>
        <v>820</v>
      </c>
      <c r="G94" s="88">
        <f t="shared" ref="G94:AM94" si="39">G8+G20+G32+G40+G48+G59+G60+G66+G71+G81+G82+G85+G92+G93</f>
        <v>798</v>
      </c>
      <c r="H94" s="89">
        <f t="shared" si="30"/>
        <v>-2.6829268292682926E-2</v>
      </c>
      <c r="I94" s="105">
        <f t="shared" si="39"/>
        <v>25</v>
      </c>
      <c r="J94" s="88">
        <f t="shared" si="39"/>
        <v>23</v>
      </c>
      <c r="K94" s="88">
        <f t="shared" si="39"/>
        <v>16</v>
      </c>
      <c r="L94" s="88">
        <f t="shared" si="39"/>
        <v>22</v>
      </c>
      <c r="M94" s="88">
        <f t="shared" si="39"/>
        <v>34</v>
      </c>
      <c r="N94" s="88">
        <f t="shared" si="39"/>
        <v>23</v>
      </c>
      <c r="O94" s="88">
        <f t="shared" si="39"/>
        <v>16</v>
      </c>
      <c r="P94" s="88">
        <f t="shared" si="39"/>
        <v>22</v>
      </c>
      <c r="Q94" s="88">
        <f t="shared" si="39"/>
        <v>34</v>
      </c>
      <c r="R94" s="88">
        <f t="shared" si="39"/>
        <v>34</v>
      </c>
      <c r="S94" s="88">
        <f t="shared" si="39"/>
        <v>35</v>
      </c>
      <c r="T94" s="88">
        <f t="shared" si="39"/>
        <v>23</v>
      </c>
      <c r="U94" s="88">
        <f t="shared" si="39"/>
        <v>16</v>
      </c>
      <c r="V94" s="88">
        <f t="shared" si="39"/>
        <v>22</v>
      </c>
      <c r="W94" s="88">
        <f t="shared" si="39"/>
        <v>34</v>
      </c>
      <c r="X94" s="88">
        <f t="shared" si="39"/>
        <v>40</v>
      </c>
      <c r="Y94" s="88">
        <f t="shared" si="39"/>
        <v>41</v>
      </c>
      <c r="Z94" s="88">
        <f t="shared" si="39"/>
        <v>23</v>
      </c>
      <c r="AA94" s="88">
        <f t="shared" si="39"/>
        <v>16</v>
      </c>
      <c r="AB94" s="88">
        <f t="shared" si="39"/>
        <v>22</v>
      </c>
      <c r="AC94" s="88">
        <f t="shared" si="39"/>
        <v>34</v>
      </c>
      <c r="AD94" s="88">
        <f t="shared" si="39"/>
        <v>47</v>
      </c>
      <c r="AE94" s="88">
        <f t="shared" si="39"/>
        <v>48</v>
      </c>
      <c r="AF94" s="88">
        <f t="shared" si="39"/>
        <v>23</v>
      </c>
      <c r="AG94" s="88">
        <f t="shared" si="39"/>
        <v>16</v>
      </c>
      <c r="AH94" s="88">
        <f t="shared" si="39"/>
        <v>22</v>
      </c>
      <c r="AI94" s="88">
        <f t="shared" si="39"/>
        <v>34</v>
      </c>
      <c r="AJ94" s="88">
        <f t="shared" si="39"/>
        <v>53</v>
      </c>
      <c r="AK94" s="88">
        <f t="shared" si="39"/>
        <v>0</v>
      </c>
      <c r="AL94" s="88">
        <f t="shared" si="39"/>
        <v>0</v>
      </c>
      <c r="AM94" s="107">
        <f t="shared" si="39"/>
        <v>0</v>
      </c>
      <c r="AN94" s="6"/>
    </row>
    <row r="95" spans="1:40" ht="15.75" thickBot="1" x14ac:dyDescent="0.3">
      <c r="A95" s="83">
        <v>15</v>
      </c>
      <c r="B95" s="84"/>
      <c r="C95" s="244" t="s">
        <v>169</v>
      </c>
      <c r="D95" s="108" t="s">
        <v>169</v>
      </c>
      <c r="E95" s="86"/>
      <c r="F95" s="87"/>
      <c r="G95" s="88">
        <f>SUM(I95:AM95)</f>
        <v>0</v>
      </c>
      <c r="H95" s="89" t="str">
        <f t="shared" si="30"/>
        <v/>
      </c>
      <c r="I95" s="86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D95" s="90"/>
      <c r="AE95" s="90"/>
      <c r="AF95" s="90"/>
      <c r="AG95" s="90"/>
      <c r="AH95" s="90"/>
      <c r="AI95" s="90"/>
      <c r="AJ95" s="90"/>
      <c r="AK95" s="90"/>
      <c r="AL95" s="90"/>
      <c r="AM95" s="91"/>
      <c r="AN95" s="6"/>
    </row>
  </sheetData>
  <mergeCells count="7">
    <mergeCell ref="I4:AM5"/>
    <mergeCell ref="H5:H6"/>
    <mergeCell ref="A4:A6"/>
    <mergeCell ref="B4:B6"/>
    <mergeCell ref="C4:C6"/>
    <mergeCell ref="D4:D6"/>
    <mergeCell ref="E4:H4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pageSetUpPr fitToPage="1"/>
  </sheetPr>
  <dimension ref="A1:T102"/>
  <sheetViews>
    <sheetView tabSelected="1" zoomScale="70" zoomScaleNormal="70" workbookViewId="0">
      <pane xSplit="5" ySplit="9" topLeftCell="F10" activePane="bottomRight" state="frozen"/>
      <selection pane="topRight" activeCell="E1" sqref="E1"/>
      <selection pane="bottomLeft" activeCell="A9" sqref="A9"/>
      <selection pane="bottomRight" activeCell="F19" sqref="F19:G19"/>
    </sheetView>
  </sheetViews>
  <sheetFormatPr defaultColWidth="9.140625" defaultRowHeight="15" outlineLevelRow="1" x14ac:dyDescent="0.25"/>
  <cols>
    <col min="1" max="1" width="6.7109375" style="133" customWidth="1"/>
    <col min="2" max="2" width="15.7109375" style="133" customWidth="1"/>
    <col min="3" max="3" width="18.42578125" style="133" customWidth="1"/>
    <col min="4" max="4" width="13" style="133" customWidth="1"/>
    <col min="5" max="5" width="52.5703125" style="133" customWidth="1"/>
    <col min="6" max="7" width="16.7109375" style="133" customWidth="1"/>
    <col min="8" max="8" width="17.140625" style="133" customWidth="1"/>
    <col min="9" max="9" width="17.42578125" style="133" customWidth="1"/>
    <col min="10" max="12" width="16.7109375" style="133" customWidth="1"/>
    <col min="13" max="13" width="17.140625" style="133" customWidth="1"/>
    <col min="14" max="14" width="18.42578125" style="133" customWidth="1"/>
    <col min="15" max="16" width="16.7109375" style="133" customWidth="1"/>
    <col min="17" max="17" width="17.140625" style="133" customWidth="1"/>
    <col min="18" max="18" width="18" style="133" customWidth="1"/>
    <col min="19" max="19" width="31" style="133" customWidth="1"/>
    <col min="20" max="20" width="25.5703125" style="133" customWidth="1"/>
    <col min="21" max="16384" width="9.140625" style="133"/>
  </cols>
  <sheetData>
    <row r="1" spans="1:20" s="110" customFormat="1" ht="15.75" x14ac:dyDescent="0.25">
      <c r="A1" s="109" t="s">
        <v>170</v>
      </c>
      <c r="C1" s="344">
        <v>44228</v>
      </c>
      <c r="I1" s="110">
        <v>1000000</v>
      </c>
      <c r="K1" s="209">
        <f>157.63477575/16*19</f>
        <v>187.19129620312498</v>
      </c>
      <c r="L1" s="210">
        <f>158.73447535/16*19</f>
        <v>188.49718947812499</v>
      </c>
    </row>
    <row r="2" spans="1:20" s="110" customFormat="1" ht="12.75" x14ac:dyDescent="0.2"/>
    <row r="3" spans="1:20" s="110" customFormat="1" ht="15.75" x14ac:dyDescent="0.25">
      <c r="A3" s="112" t="s">
        <v>485</v>
      </c>
      <c r="B3" s="112"/>
    </row>
    <row r="4" spans="1:20" s="110" customFormat="1" ht="12" customHeight="1" x14ac:dyDescent="0.2"/>
    <row r="5" spans="1:20" s="110" customFormat="1" ht="12" customHeight="1" thickBot="1" x14ac:dyDescent="0.25"/>
    <row r="6" spans="1:20" s="110" customFormat="1" ht="24.75" customHeight="1" x14ac:dyDescent="0.2">
      <c r="A6" s="502" t="s">
        <v>172</v>
      </c>
      <c r="B6" s="479" t="s">
        <v>1</v>
      </c>
      <c r="C6" s="479" t="s">
        <v>2</v>
      </c>
      <c r="D6" s="479" t="s">
        <v>3</v>
      </c>
      <c r="E6" s="506" t="s">
        <v>173</v>
      </c>
      <c r="F6" s="492" t="s">
        <v>174</v>
      </c>
      <c r="G6" s="493"/>
      <c r="H6" s="493"/>
      <c r="I6" s="494"/>
      <c r="J6" s="492" t="s">
        <v>175</v>
      </c>
      <c r="K6" s="493"/>
      <c r="L6" s="493"/>
      <c r="M6" s="493"/>
      <c r="N6" s="494"/>
      <c r="O6" s="493" t="s">
        <v>176</v>
      </c>
      <c r="P6" s="493"/>
      <c r="Q6" s="493"/>
      <c r="R6" s="494"/>
      <c r="S6" s="495" t="s">
        <v>231</v>
      </c>
      <c r="T6" s="497" t="s">
        <v>232</v>
      </c>
    </row>
    <row r="7" spans="1:20" s="110" customFormat="1" ht="24.75" customHeight="1" x14ac:dyDescent="0.2">
      <c r="A7" s="503"/>
      <c r="B7" s="480"/>
      <c r="C7" s="480"/>
      <c r="D7" s="480"/>
      <c r="E7" s="507"/>
      <c r="F7" s="490">
        <v>2020</v>
      </c>
      <c r="G7" s="500">
        <v>2021</v>
      </c>
      <c r="H7" s="488" t="s">
        <v>177</v>
      </c>
      <c r="I7" s="489"/>
      <c r="J7" s="490">
        <v>2020</v>
      </c>
      <c r="K7" s="500">
        <v>2021</v>
      </c>
      <c r="L7" s="500" t="s">
        <v>178</v>
      </c>
      <c r="M7" s="488" t="s">
        <v>177</v>
      </c>
      <c r="N7" s="489"/>
      <c r="O7" s="490">
        <v>2020</v>
      </c>
      <c r="P7" s="500">
        <v>2021</v>
      </c>
      <c r="Q7" s="488" t="s">
        <v>177</v>
      </c>
      <c r="R7" s="489"/>
      <c r="S7" s="496"/>
      <c r="T7" s="498"/>
    </row>
    <row r="8" spans="1:20" s="110" customFormat="1" ht="42.75" customHeight="1" thickBot="1" x14ac:dyDescent="0.25">
      <c r="A8" s="504"/>
      <c r="B8" s="505"/>
      <c r="C8" s="505"/>
      <c r="D8" s="505"/>
      <c r="E8" s="507"/>
      <c r="F8" s="491"/>
      <c r="G8" s="501"/>
      <c r="H8" s="113" t="s">
        <v>179</v>
      </c>
      <c r="I8" s="114" t="s">
        <v>180</v>
      </c>
      <c r="J8" s="491"/>
      <c r="K8" s="501"/>
      <c r="L8" s="501"/>
      <c r="M8" s="113" t="s">
        <v>179</v>
      </c>
      <c r="N8" s="114" t="s">
        <v>180</v>
      </c>
      <c r="O8" s="491"/>
      <c r="P8" s="501"/>
      <c r="Q8" s="113" t="s">
        <v>416</v>
      </c>
      <c r="R8" s="114" t="s">
        <v>180</v>
      </c>
      <c r="S8" s="496"/>
      <c r="T8" s="499"/>
    </row>
    <row r="9" spans="1:20" s="110" customFormat="1" ht="13.5" thickBot="1" x14ac:dyDescent="0.25">
      <c r="A9" s="115">
        <v>1</v>
      </c>
      <c r="B9" s="116">
        <f>A9+1</f>
        <v>2</v>
      </c>
      <c r="C9" s="116">
        <f t="shared" ref="C9:P9" si="0">B9+1</f>
        <v>3</v>
      </c>
      <c r="D9" s="117">
        <f t="shared" si="0"/>
        <v>4</v>
      </c>
      <c r="E9" s="118">
        <f t="shared" si="0"/>
        <v>5</v>
      </c>
      <c r="F9" s="119">
        <f t="shared" si="0"/>
        <v>6</v>
      </c>
      <c r="G9" s="120">
        <f t="shared" si="0"/>
        <v>7</v>
      </c>
      <c r="H9" s="120" t="s">
        <v>216</v>
      </c>
      <c r="I9" s="121" t="s">
        <v>219</v>
      </c>
      <c r="J9" s="119">
        <v>10</v>
      </c>
      <c r="K9" s="120">
        <f t="shared" si="0"/>
        <v>11</v>
      </c>
      <c r="L9" s="120">
        <f t="shared" si="0"/>
        <v>12</v>
      </c>
      <c r="M9" s="120" t="s">
        <v>217</v>
      </c>
      <c r="N9" s="121" t="s">
        <v>218</v>
      </c>
      <c r="O9" s="120">
        <v>15</v>
      </c>
      <c r="P9" s="120">
        <f t="shared" si="0"/>
        <v>16</v>
      </c>
      <c r="Q9" s="122" t="s">
        <v>222</v>
      </c>
      <c r="R9" s="122" t="s">
        <v>221</v>
      </c>
      <c r="S9" s="118">
        <v>19</v>
      </c>
      <c r="T9" s="118">
        <v>20</v>
      </c>
    </row>
    <row r="10" spans="1:20" ht="15.75" x14ac:dyDescent="0.25">
      <c r="A10" s="123" t="s">
        <v>181</v>
      </c>
      <c r="B10" s="124" t="s">
        <v>182</v>
      </c>
      <c r="C10" s="124" t="s">
        <v>192</v>
      </c>
      <c r="D10" s="125" t="s">
        <v>182</v>
      </c>
      <c r="E10" s="126" t="s">
        <v>183</v>
      </c>
      <c r="F10" s="127">
        <f>SUMIFS(F18:F5039,$A18:$A5039,$A10,$C18:$C5039,$C10)</f>
        <v>0</v>
      </c>
      <c r="G10" s="128">
        <f>SUMIFS(G18:G5039,$A18:$A5039,$A10,$C18:$C5039,$C10)</f>
        <v>0</v>
      </c>
      <c r="H10" s="128">
        <f>G10-F10</f>
        <v>0</v>
      </c>
      <c r="I10" s="129" t="str">
        <f>IFERROR(G10/F10-1,"")</f>
        <v/>
      </c>
      <c r="J10" s="130">
        <f t="shared" ref="J10" si="1">SUM(J11:J18)</f>
        <v>0</v>
      </c>
      <c r="K10" s="128">
        <f t="shared" ref="K10" si="2">SUM(K11:K18)</f>
        <v>0</v>
      </c>
      <c r="L10" s="128"/>
      <c r="M10" s="128">
        <f>K10-J10</f>
        <v>0</v>
      </c>
      <c r="N10" s="129" t="str">
        <f>IFERROR(K10/J10-1,"")</f>
        <v/>
      </c>
      <c r="O10" s="128">
        <f>SUMIFS(O18:O5039,$A18:$A5039,$A10,$C18:$C5039,$C10)</f>
        <v>0</v>
      </c>
      <c r="P10" s="128">
        <f>SUMIFS(P18:P5039,$A18:$A5039,$A10,$C18:$C5039,$C10)</f>
        <v>0</v>
      </c>
      <c r="Q10" s="131">
        <f t="shared" ref="Q10:Q19" si="3">P10-O10</f>
        <v>0</v>
      </c>
      <c r="R10" s="132" t="str">
        <f t="shared" ref="R10:R19" si="4">IFERROR(P10/O10-1,"")</f>
        <v/>
      </c>
      <c r="S10" s="126"/>
      <c r="T10" s="126"/>
    </row>
    <row r="11" spans="1:20" x14ac:dyDescent="0.25">
      <c r="A11" s="134" t="s">
        <v>10</v>
      </c>
      <c r="B11" s="135" t="s">
        <v>182</v>
      </c>
      <c r="C11" s="135" t="str">
        <f>C10</f>
        <v>ДЗО 1</v>
      </c>
      <c r="D11" s="136" t="s">
        <v>182</v>
      </c>
      <c r="E11" s="137" t="s">
        <v>184</v>
      </c>
      <c r="F11" s="138"/>
      <c r="G11" s="139"/>
      <c r="H11" s="139"/>
      <c r="I11" s="140"/>
      <c r="J11" s="141">
        <f>SUMIFS(J19:J5040,$A19:$A5040,$A11,$C19:$C5040,$C11)</f>
        <v>0</v>
      </c>
      <c r="K11" s="142">
        <f>SUMIFS(K19:K5040,$A19:$A5040,$A11,$C19:$C5040,$C11)</f>
        <v>0</v>
      </c>
      <c r="L11" s="142"/>
      <c r="M11" s="142">
        <f t="shared" ref="M11:M102" si="5">K11-J11</f>
        <v>0</v>
      </c>
      <c r="N11" s="143" t="str">
        <f t="shared" ref="N11:N102" si="6">IFERROR(K11/J11-1,"")</f>
        <v/>
      </c>
      <c r="O11" s="139"/>
      <c r="P11" s="139"/>
      <c r="Q11" s="229"/>
      <c r="R11" s="232"/>
      <c r="S11" s="137"/>
      <c r="T11" s="137"/>
    </row>
    <row r="12" spans="1:20" x14ac:dyDescent="0.25">
      <c r="A12" s="134" t="s">
        <v>13</v>
      </c>
      <c r="B12" s="135" t="s">
        <v>182</v>
      </c>
      <c r="C12" s="135" t="str">
        <f t="shared" ref="C12:C18" si="7">C11</f>
        <v>ДЗО 1</v>
      </c>
      <c r="D12" s="136" t="s">
        <v>182</v>
      </c>
      <c r="E12" s="137" t="s">
        <v>185</v>
      </c>
      <c r="F12" s="138"/>
      <c r="G12" s="139"/>
      <c r="H12" s="139"/>
      <c r="I12" s="140"/>
      <c r="J12" s="141">
        <f>SUMIFS(J19:J5040,$A19:$A5040,$A12,$C19:$C5040,$C12)</f>
        <v>0</v>
      </c>
      <c r="K12" s="142">
        <f>SUMIFS(K19:K5040,$A19:$A5040,$A12,$C19:$C5040,$C12)</f>
        <v>0</v>
      </c>
      <c r="L12" s="142"/>
      <c r="M12" s="142">
        <f t="shared" si="5"/>
        <v>0</v>
      </c>
      <c r="N12" s="143" t="str">
        <f t="shared" si="6"/>
        <v/>
      </c>
      <c r="O12" s="139"/>
      <c r="P12" s="139"/>
      <c r="Q12" s="229"/>
      <c r="R12" s="232"/>
      <c r="S12" s="137"/>
      <c r="T12" s="137"/>
    </row>
    <row r="13" spans="1:20" x14ac:dyDescent="0.25">
      <c r="A13" s="134" t="s">
        <v>15</v>
      </c>
      <c r="B13" s="135" t="s">
        <v>182</v>
      </c>
      <c r="C13" s="135" t="str">
        <f t="shared" si="7"/>
        <v>ДЗО 1</v>
      </c>
      <c r="D13" s="136" t="s">
        <v>182</v>
      </c>
      <c r="E13" s="137" t="s">
        <v>186</v>
      </c>
      <c r="F13" s="138"/>
      <c r="G13" s="139"/>
      <c r="H13" s="139"/>
      <c r="I13" s="140"/>
      <c r="J13" s="141">
        <f>SUMIFS(J19:J5040,$A19:$A5040,$A13,$C19:$C5040,$C13)</f>
        <v>0</v>
      </c>
      <c r="K13" s="142">
        <f>SUMIFS(K19:K5040,$A19:$A5040,$A13,$C19:$C5040,$C13)</f>
        <v>0</v>
      </c>
      <c r="L13" s="142"/>
      <c r="M13" s="142">
        <f t="shared" si="5"/>
        <v>0</v>
      </c>
      <c r="N13" s="143" t="str">
        <f t="shared" si="6"/>
        <v/>
      </c>
      <c r="O13" s="139"/>
      <c r="P13" s="139"/>
      <c r="Q13" s="229"/>
      <c r="R13" s="232"/>
      <c r="S13" s="137"/>
      <c r="T13" s="137"/>
    </row>
    <row r="14" spans="1:20" x14ac:dyDescent="0.25">
      <c r="A14" s="134" t="s">
        <v>17</v>
      </c>
      <c r="B14" s="135" t="s">
        <v>182</v>
      </c>
      <c r="C14" s="135" t="str">
        <f t="shared" si="7"/>
        <v>ДЗО 1</v>
      </c>
      <c r="D14" s="136" t="s">
        <v>182</v>
      </c>
      <c r="E14" s="137" t="s">
        <v>187</v>
      </c>
      <c r="F14" s="138"/>
      <c r="G14" s="139"/>
      <c r="H14" s="139"/>
      <c r="I14" s="140"/>
      <c r="J14" s="141">
        <f>SUMIFS(J19:J5040,$A19:$A5040,$A14,$C19:$C5040,$C14)</f>
        <v>0</v>
      </c>
      <c r="K14" s="142">
        <f>SUMIFS(K19:K5040,$A19:$A5040,$A14,$C19:$C5040,$C14)</f>
        <v>0</v>
      </c>
      <c r="L14" s="142"/>
      <c r="M14" s="142">
        <f t="shared" si="5"/>
        <v>0</v>
      </c>
      <c r="N14" s="143" t="str">
        <f t="shared" si="6"/>
        <v/>
      </c>
      <c r="O14" s="139"/>
      <c r="P14" s="139"/>
      <c r="Q14" s="229"/>
      <c r="R14" s="232"/>
      <c r="S14" s="137"/>
      <c r="T14" s="137"/>
    </row>
    <row r="15" spans="1:20" x14ac:dyDescent="0.25">
      <c r="A15" s="134" t="s">
        <v>19</v>
      </c>
      <c r="B15" s="135" t="s">
        <v>182</v>
      </c>
      <c r="C15" s="135" t="str">
        <f t="shared" si="7"/>
        <v>ДЗО 1</v>
      </c>
      <c r="D15" s="136" t="s">
        <v>182</v>
      </c>
      <c r="E15" s="137" t="s">
        <v>188</v>
      </c>
      <c r="F15" s="138"/>
      <c r="G15" s="139"/>
      <c r="H15" s="139"/>
      <c r="I15" s="140"/>
      <c r="J15" s="141">
        <f>SUMIFS(J19:J5040,$A19:$A5040,$A15,$C19:$C5040,$C15)</f>
        <v>0</v>
      </c>
      <c r="K15" s="142">
        <f>SUMIFS(K19:K5040,$A19:$A5040,$A15,$C19:$C5040,$C15)</f>
        <v>0</v>
      </c>
      <c r="L15" s="142"/>
      <c r="M15" s="142">
        <f t="shared" si="5"/>
        <v>0</v>
      </c>
      <c r="N15" s="143" t="str">
        <f t="shared" si="6"/>
        <v/>
      </c>
      <c r="O15" s="139"/>
      <c r="P15" s="139"/>
      <c r="Q15" s="229"/>
      <c r="R15" s="232"/>
      <c r="S15" s="137"/>
      <c r="T15" s="137"/>
    </row>
    <row r="16" spans="1:20" ht="30" x14ac:dyDescent="0.25">
      <c r="A16" s="134" t="s">
        <v>21</v>
      </c>
      <c r="B16" s="135" t="s">
        <v>182</v>
      </c>
      <c r="C16" s="135" t="str">
        <f t="shared" si="7"/>
        <v>ДЗО 1</v>
      </c>
      <c r="D16" s="136" t="s">
        <v>182</v>
      </c>
      <c r="E16" s="137" t="s">
        <v>189</v>
      </c>
      <c r="F16" s="138"/>
      <c r="G16" s="139"/>
      <c r="H16" s="139"/>
      <c r="I16" s="140"/>
      <c r="J16" s="141">
        <f>SUMIFS(J19:J5040,$A19:$A5040,$A16,$C19:$C5040,$C16)</f>
        <v>0</v>
      </c>
      <c r="K16" s="142">
        <f>SUMIFS(K19:K5040,$A19:$A5040,$A16,$C19:$C5040,$C16)</f>
        <v>0</v>
      </c>
      <c r="L16" s="142"/>
      <c r="M16" s="142">
        <f t="shared" si="5"/>
        <v>0</v>
      </c>
      <c r="N16" s="143" t="str">
        <f t="shared" si="6"/>
        <v/>
      </c>
      <c r="O16" s="139"/>
      <c r="P16" s="139"/>
      <c r="Q16" s="229"/>
      <c r="R16" s="232"/>
      <c r="S16" s="137"/>
      <c r="T16" s="137"/>
    </row>
    <row r="17" spans="1:20" x14ac:dyDescent="0.25">
      <c r="A17" s="134" t="s">
        <v>23</v>
      </c>
      <c r="B17" s="135" t="s">
        <v>182</v>
      </c>
      <c r="C17" s="135" t="str">
        <f t="shared" si="7"/>
        <v>ДЗО 1</v>
      </c>
      <c r="D17" s="136" t="s">
        <v>182</v>
      </c>
      <c r="E17" s="137" t="s">
        <v>190</v>
      </c>
      <c r="F17" s="138"/>
      <c r="G17" s="139"/>
      <c r="H17" s="139"/>
      <c r="I17" s="140"/>
      <c r="J17" s="141">
        <f>SUMIFS(J19:J5040,$A19:$A5040,$A17,$C19:$C5040,$C17)</f>
        <v>0</v>
      </c>
      <c r="K17" s="142">
        <f>SUMIFS(K19:K5040,$A19:$A5040,$A17,$C19:$C5040,$C17)</f>
        <v>0</v>
      </c>
      <c r="L17" s="142"/>
      <c r="M17" s="142">
        <f t="shared" si="5"/>
        <v>0</v>
      </c>
      <c r="N17" s="143" t="str">
        <f t="shared" si="6"/>
        <v/>
      </c>
      <c r="O17" s="139"/>
      <c r="P17" s="139"/>
      <c r="Q17" s="229"/>
      <c r="R17" s="232"/>
      <c r="S17" s="137"/>
      <c r="T17" s="137"/>
    </row>
    <row r="18" spans="1:20" x14ac:dyDescent="0.25">
      <c r="A18" s="146" t="s">
        <v>25</v>
      </c>
      <c r="B18" s="147" t="s">
        <v>182</v>
      </c>
      <c r="C18" s="147" t="str">
        <f t="shared" si="7"/>
        <v>ДЗО 1</v>
      </c>
      <c r="D18" s="148" t="s">
        <v>182</v>
      </c>
      <c r="E18" s="149" t="s">
        <v>191</v>
      </c>
      <c r="F18" s="150"/>
      <c r="G18" s="151"/>
      <c r="H18" s="151"/>
      <c r="I18" s="152"/>
      <c r="J18" s="153">
        <f>SUMIFS(J19:J5040,$A19:$A5040,$A18,$C19:$C5040,$C18)</f>
        <v>0</v>
      </c>
      <c r="K18" s="154">
        <f>SUMIFS(K19:K5040,$A19:$A5040,$A18,$C19:$C5040,$C18)</f>
        <v>0</v>
      </c>
      <c r="L18" s="154"/>
      <c r="M18" s="154">
        <f t="shared" si="5"/>
        <v>0</v>
      </c>
      <c r="N18" s="155" t="str">
        <f t="shared" si="6"/>
        <v/>
      </c>
      <c r="O18" s="151"/>
      <c r="P18" s="151"/>
      <c r="Q18" s="235"/>
      <c r="R18" s="236"/>
      <c r="S18" s="149"/>
      <c r="T18" s="149"/>
    </row>
    <row r="19" spans="1:20" ht="15.75" x14ac:dyDescent="0.25">
      <c r="A19" s="158" t="s">
        <v>181</v>
      </c>
      <c r="B19" s="159" t="s">
        <v>414</v>
      </c>
      <c r="C19" s="160" t="s">
        <v>415</v>
      </c>
      <c r="D19" s="161" t="s">
        <v>92</v>
      </c>
      <c r="E19" s="162" t="s">
        <v>183</v>
      </c>
      <c r="F19" s="455">
        <v>487.23882325</v>
      </c>
      <c r="G19" s="456">
        <v>497.83360815000009</v>
      </c>
      <c r="H19" s="163">
        <f>G19-F19</f>
        <v>10.594784900000093</v>
      </c>
      <c r="I19" s="164">
        <f>IFERROR(G19/F19-1,"")</f>
        <v>2.1744541679438401E-2</v>
      </c>
      <c r="J19" s="165">
        <f>SUM(J20,J49,J55,J61,J70,J90,J96,J97)</f>
        <v>414.97964960000002</v>
      </c>
      <c r="K19" s="163">
        <f>SUM(K20,K49,K55,K61,K70,K90,K96,K97)</f>
        <v>425.57423530549289</v>
      </c>
      <c r="L19" s="163"/>
      <c r="M19" s="163">
        <f t="shared" si="5"/>
        <v>10.594585705492875</v>
      </c>
      <c r="N19" s="164">
        <f>IFERROR(K19/J19-1,"")</f>
        <v>2.553037411763448E-2</v>
      </c>
      <c r="O19" s="454">
        <v>633.56770486000005</v>
      </c>
      <c r="P19" s="441">
        <v>650.83256900000003</v>
      </c>
      <c r="Q19" s="166">
        <f t="shared" si="3"/>
        <v>17.264864139999986</v>
      </c>
      <c r="R19" s="167">
        <f t="shared" si="4"/>
        <v>2.7250227572465979E-2</v>
      </c>
      <c r="S19" s="162"/>
      <c r="T19" s="162"/>
    </row>
    <row r="20" spans="1:20" x14ac:dyDescent="0.25">
      <c r="A20" s="168" t="s">
        <v>10</v>
      </c>
      <c r="B20" s="169" t="str">
        <f>B19</f>
        <v>Республика Бурятия</v>
      </c>
      <c r="C20" s="169" t="str">
        <f t="shared" ref="C20" si="8">C19</f>
        <v>МРСК Сибири</v>
      </c>
      <c r="D20" s="170" t="str">
        <f>D19</f>
        <v>Бурятэнерго</v>
      </c>
      <c r="E20" s="171" t="s">
        <v>193</v>
      </c>
      <c r="F20" s="138"/>
      <c r="G20" s="139"/>
      <c r="H20" s="139"/>
      <c r="I20" s="140"/>
      <c r="J20" s="172">
        <f>SUM(J21:J26)+J48</f>
        <v>51.269841</v>
      </c>
      <c r="K20" s="172">
        <f>SUM(K21:K26)+K48</f>
        <v>51.76265208425707</v>
      </c>
      <c r="L20" s="173"/>
      <c r="M20" s="173">
        <f>K20-J20</f>
        <v>0.49281108425707032</v>
      </c>
      <c r="N20" s="174">
        <f t="shared" si="6"/>
        <v>9.6121047899693224E-3</v>
      </c>
      <c r="O20" s="139"/>
      <c r="P20" s="139"/>
      <c r="Q20" s="229"/>
      <c r="R20" s="232"/>
      <c r="S20" s="171"/>
      <c r="T20" s="171"/>
    </row>
    <row r="21" spans="1:20" ht="26.25" x14ac:dyDescent="0.25">
      <c r="A21" s="177"/>
      <c r="B21" s="345" t="str">
        <f t="shared" ref="B21:C102" si="9">B20</f>
        <v>Республика Бурятия</v>
      </c>
      <c r="C21" s="345" t="str">
        <f t="shared" si="9"/>
        <v>МРСК Сибири</v>
      </c>
      <c r="D21" s="346" t="str">
        <f t="shared" ref="D21:D102" si="10">D20</f>
        <v>Бурятэнерго</v>
      </c>
      <c r="E21" s="180" t="s">
        <v>253</v>
      </c>
      <c r="F21" s="181"/>
      <c r="G21" s="182"/>
      <c r="H21" s="182"/>
      <c r="I21" s="183"/>
      <c r="J21" s="184">
        <f>потребители!J101/1000000</f>
        <v>0.53085099999999996</v>
      </c>
      <c r="K21" s="185">
        <f>потребители!K101/1000000</f>
        <v>0.52702804000000003</v>
      </c>
      <c r="L21" s="185" t="s">
        <v>412</v>
      </c>
      <c r="M21" s="185">
        <f>K21-J21</f>
        <v>-3.8229599999999309E-3</v>
      </c>
      <c r="N21" s="186">
        <f t="shared" si="6"/>
        <v>-7.2015688017916801E-3</v>
      </c>
      <c r="O21" s="182"/>
      <c r="P21" s="182"/>
      <c r="Q21" s="230"/>
      <c r="R21" s="233"/>
      <c r="S21" s="180" t="s">
        <v>404</v>
      </c>
      <c r="T21" s="180"/>
    </row>
    <row r="22" spans="1:20" ht="39" x14ac:dyDescent="0.25">
      <c r="A22" s="177"/>
      <c r="B22" s="345" t="str">
        <f t="shared" si="9"/>
        <v>Республика Бурятия</v>
      </c>
      <c r="C22" s="345" t="str">
        <f t="shared" si="9"/>
        <v>МРСК Сибири</v>
      </c>
      <c r="D22" s="346" t="str">
        <f t="shared" si="10"/>
        <v>Бурятэнерго</v>
      </c>
      <c r="E22" s="180" t="s">
        <v>254</v>
      </c>
      <c r="F22" s="181"/>
      <c r="G22" s="182"/>
      <c r="H22" s="182"/>
      <c r="I22" s="183"/>
      <c r="J22" s="184">
        <f>потребители!J102/1000000</f>
        <v>3.7636500000000002</v>
      </c>
      <c r="K22" s="185">
        <f>потребители!K102/1000000</f>
        <v>5.2561960000000001</v>
      </c>
      <c r="L22" s="185" t="s">
        <v>199</v>
      </c>
      <c r="M22" s="185">
        <f t="shared" si="5"/>
        <v>1.4925459999999999</v>
      </c>
      <c r="N22" s="186">
        <f t="shared" si="6"/>
        <v>0.39656875639339462</v>
      </c>
      <c r="O22" s="182"/>
      <c r="P22" s="182"/>
      <c r="Q22" s="230"/>
      <c r="R22" s="233"/>
      <c r="S22" s="180" t="s">
        <v>404</v>
      </c>
      <c r="T22" s="180" t="s">
        <v>442</v>
      </c>
    </row>
    <row r="23" spans="1:20" ht="26.25" x14ac:dyDescent="0.25">
      <c r="A23" s="177"/>
      <c r="B23" s="345" t="str">
        <f t="shared" si="9"/>
        <v>Республика Бурятия</v>
      </c>
      <c r="C23" s="345" t="str">
        <f t="shared" si="9"/>
        <v>МРСК Сибири</v>
      </c>
      <c r="D23" s="346" t="str">
        <f t="shared" si="10"/>
        <v>Бурятэнерго</v>
      </c>
      <c r="E23" s="180" t="s">
        <v>255</v>
      </c>
      <c r="F23" s="181"/>
      <c r="G23" s="182"/>
      <c r="H23" s="182"/>
      <c r="I23" s="183"/>
      <c r="J23" s="184">
        <f>потребители!J103/1000000</f>
        <v>6.795051</v>
      </c>
      <c r="K23" s="185">
        <f>потребители!K103/1000000</f>
        <v>5.7352970000000001</v>
      </c>
      <c r="L23" s="185" t="s">
        <v>199</v>
      </c>
      <c r="M23" s="185">
        <f t="shared" ref="M23:M26" si="11">K23-J23</f>
        <v>-1.0597539999999999</v>
      </c>
      <c r="N23" s="186">
        <f t="shared" ref="N23:N26" si="12">IFERROR(K23/J23-1,"")</f>
        <v>-0.15595968301047336</v>
      </c>
      <c r="O23" s="182"/>
      <c r="P23" s="182"/>
      <c r="Q23" s="230"/>
      <c r="R23" s="233"/>
      <c r="S23" s="180" t="s">
        <v>404</v>
      </c>
      <c r="T23" s="180" t="s">
        <v>413</v>
      </c>
    </row>
    <row r="24" spans="1:20" ht="26.25" x14ac:dyDescent="0.25">
      <c r="A24" s="177"/>
      <c r="B24" s="345" t="str">
        <f t="shared" ref="B24:C24" si="13">B23</f>
        <v>Республика Бурятия</v>
      </c>
      <c r="C24" s="345" t="str">
        <f t="shared" si="13"/>
        <v>МРСК Сибири</v>
      </c>
      <c r="D24" s="346" t="str">
        <f t="shared" si="10"/>
        <v>Бурятэнерго</v>
      </c>
      <c r="E24" s="180" t="s">
        <v>256</v>
      </c>
      <c r="F24" s="181"/>
      <c r="G24" s="182"/>
      <c r="H24" s="182"/>
      <c r="I24" s="183"/>
      <c r="J24" s="184">
        <f>потребители!J104/1000000</f>
        <v>3.0736349999999999</v>
      </c>
      <c r="K24" s="185">
        <f>потребители!K104/1000000</f>
        <v>2.7329979999999998</v>
      </c>
      <c r="L24" s="185" t="s">
        <v>199</v>
      </c>
      <c r="M24" s="185">
        <f t="shared" si="11"/>
        <v>-0.34063700000000008</v>
      </c>
      <c r="N24" s="186">
        <f t="shared" si="12"/>
        <v>-0.11082545585276071</v>
      </c>
      <c r="O24" s="182"/>
      <c r="P24" s="182"/>
      <c r="Q24" s="230"/>
      <c r="R24" s="233"/>
      <c r="S24" s="180" t="s">
        <v>404</v>
      </c>
      <c r="T24" s="180" t="s">
        <v>413</v>
      </c>
    </row>
    <row r="25" spans="1:20" x14ac:dyDescent="0.25">
      <c r="A25" s="177"/>
      <c r="B25" s="345" t="str">
        <f t="shared" ref="B25:C25" si="14">B24</f>
        <v>Республика Бурятия</v>
      </c>
      <c r="C25" s="345" t="str">
        <f t="shared" si="14"/>
        <v>МРСК Сибири</v>
      </c>
      <c r="D25" s="346" t="str">
        <f t="shared" si="10"/>
        <v>Бурятэнерго</v>
      </c>
      <c r="E25" s="180" t="s">
        <v>257</v>
      </c>
      <c r="F25" s="181"/>
      <c r="G25" s="182"/>
      <c r="H25" s="182"/>
      <c r="I25" s="183"/>
      <c r="J25" s="184">
        <f>потребители!J105/1000000</f>
        <v>5.1197990000000004</v>
      </c>
      <c r="K25" s="185">
        <f>потребители!K105/1000000</f>
        <v>2.534748</v>
      </c>
      <c r="L25" s="185" t="s">
        <v>199</v>
      </c>
      <c r="M25" s="185">
        <f t="shared" si="11"/>
        <v>-2.5850510000000004</v>
      </c>
      <c r="N25" s="186">
        <f t="shared" si="12"/>
        <v>-0.50491259520149134</v>
      </c>
      <c r="O25" s="182"/>
      <c r="P25" s="182"/>
      <c r="Q25" s="230"/>
      <c r="R25" s="233"/>
      <c r="S25" s="180" t="s">
        <v>404</v>
      </c>
      <c r="T25" s="180"/>
    </row>
    <row r="26" spans="1:20" x14ac:dyDescent="0.25">
      <c r="A26" s="177"/>
      <c r="B26" s="345" t="str">
        <f>B23</f>
        <v>Республика Бурятия</v>
      </c>
      <c r="C26" s="345" t="str">
        <f>C23</f>
        <v>МРСК Сибири</v>
      </c>
      <c r="D26" s="346" t="str">
        <f>D23</f>
        <v>Бурятэнерго</v>
      </c>
      <c r="E26" s="180" t="s">
        <v>229</v>
      </c>
      <c r="F26" s="181"/>
      <c r="G26" s="182"/>
      <c r="H26" s="182"/>
      <c r="I26" s="183"/>
      <c r="J26" s="184">
        <f>потребители!J97/1000000</f>
        <v>12.779069</v>
      </c>
      <c r="K26" s="184">
        <f>потребители!K97/1000000</f>
        <v>13.847820444257072</v>
      </c>
      <c r="L26" s="185" t="s">
        <v>412</v>
      </c>
      <c r="M26" s="185">
        <f t="shared" si="11"/>
        <v>1.0687514442570727</v>
      </c>
      <c r="N26" s="186">
        <f t="shared" si="12"/>
        <v>8.3632966083606819E-2</v>
      </c>
      <c r="O26" s="182"/>
      <c r="P26" s="182"/>
      <c r="Q26" s="230"/>
      <c r="R26" s="233"/>
      <c r="S26" s="180" t="s">
        <v>406</v>
      </c>
      <c r="T26" s="180"/>
    </row>
    <row r="27" spans="1:20" outlineLevel="1" x14ac:dyDescent="0.25">
      <c r="A27" s="177"/>
      <c r="B27" s="345" t="str">
        <f t="shared" ref="B27:D27" si="15">B24</f>
        <v>Республика Бурятия</v>
      </c>
      <c r="C27" s="345" t="str">
        <f t="shared" si="15"/>
        <v>МРСК Сибири</v>
      </c>
      <c r="D27" s="346" t="str">
        <f t="shared" si="15"/>
        <v>Бурятэнерго</v>
      </c>
      <c r="E27" s="347" t="s">
        <v>283</v>
      </c>
      <c r="F27" s="181"/>
      <c r="G27" s="182"/>
      <c r="H27" s="182"/>
      <c r="I27" s="183"/>
      <c r="J27" s="184">
        <f>VLOOKUP(E27,потребители!$E$8:$K$94,6,0)/1000000</f>
        <v>0.17812</v>
      </c>
      <c r="K27" s="184">
        <f>VLOOKUP(E27,потребители!$E$8:$K$94,7,0)/1000000</f>
        <v>0.14055500000000001</v>
      </c>
      <c r="L27" s="185" t="s">
        <v>412</v>
      </c>
      <c r="M27" s="185">
        <f t="shared" ref="M27:M47" si="16">K27-J27</f>
        <v>-3.7564999999999987E-2</v>
      </c>
      <c r="N27" s="186">
        <f t="shared" ref="N27:N47" si="17">IFERROR(K27/J27-1,"")</f>
        <v>-0.21089714799011894</v>
      </c>
      <c r="O27" s="182"/>
      <c r="P27" s="182"/>
      <c r="Q27" s="230"/>
      <c r="R27" s="233"/>
      <c r="S27" s="180" t="s">
        <v>406</v>
      </c>
      <c r="T27" s="180"/>
    </row>
    <row r="28" spans="1:20" outlineLevel="1" x14ac:dyDescent="0.25">
      <c r="A28" s="177"/>
      <c r="B28" s="345" t="str">
        <f t="shared" ref="B28:D28" si="18">B25</f>
        <v>Республика Бурятия</v>
      </c>
      <c r="C28" s="345" t="str">
        <f t="shared" si="18"/>
        <v>МРСК Сибири</v>
      </c>
      <c r="D28" s="346" t="str">
        <f t="shared" si="18"/>
        <v>Бурятэнерго</v>
      </c>
      <c r="E28" s="347" t="s">
        <v>286</v>
      </c>
      <c r="F28" s="181"/>
      <c r="G28" s="182"/>
      <c r="H28" s="182"/>
      <c r="I28" s="183"/>
      <c r="J28" s="184">
        <f>VLOOKUP(E28,потребители!$E$8:$K$94,6,0)/1000000</f>
        <v>1.1746829999999999</v>
      </c>
      <c r="K28" s="184">
        <f>VLOOKUP(E28,потребители!$E$8:$K$94,7,0)/1000000</f>
        <v>1.512227</v>
      </c>
      <c r="L28" s="185" t="s">
        <v>412</v>
      </c>
      <c r="M28" s="185">
        <f t="shared" si="16"/>
        <v>0.33754400000000007</v>
      </c>
      <c r="N28" s="186">
        <f t="shared" si="17"/>
        <v>0.28734901245697775</v>
      </c>
      <c r="O28" s="182"/>
      <c r="P28" s="182"/>
      <c r="Q28" s="230"/>
      <c r="R28" s="233"/>
      <c r="S28" s="180" t="s">
        <v>406</v>
      </c>
      <c r="T28" s="180"/>
    </row>
    <row r="29" spans="1:20" outlineLevel="1" x14ac:dyDescent="0.25">
      <c r="A29" s="177"/>
      <c r="B29" s="345" t="str">
        <f t="shared" ref="B29:D29" si="19">B26</f>
        <v>Республика Бурятия</v>
      </c>
      <c r="C29" s="345" t="str">
        <f t="shared" si="19"/>
        <v>МРСК Сибири</v>
      </c>
      <c r="D29" s="346" t="str">
        <f t="shared" si="19"/>
        <v>Бурятэнерго</v>
      </c>
      <c r="E29" s="347" t="s">
        <v>288</v>
      </c>
      <c r="F29" s="181"/>
      <c r="G29" s="182"/>
      <c r="H29" s="182"/>
      <c r="I29" s="183"/>
      <c r="J29" s="184">
        <f>VLOOKUP(E29,потребители!$E$8:$K$94,6,0)/1000000</f>
        <v>2.8766159999999998</v>
      </c>
      <c r="K29" s="184">
        <f>VLOOKUP(E29,потребители!$E$8:$K$94,7,0)/1000000</f>
        <v>3.308808794257065</v>
      </c>
      <c r="L29" s="185" t="s">
        <v>412</v>
      </c>
      <c r="M29" s="185">
        <f t="shared" si="16"/>
        <v>0.43219279425706514</v>
      </c>
      <c r="N29" s="186">
        <f t="shared" si="17"/>
        <v>0.15024347853765163</v>
      </c>
      <c r="O29" s="182"/>
      <c r="P29" s="182"/>
      <c r="Q29" s="230"/>
      <c r="R29" s="233"/>
      <c r="S29" s="180" t="s">
        <v>406</v>
      </c>
      <c r="T29" s="180"/>
    </row>
    <row r="30" spans="1:20" outlineLevel="1" x14ac:dyDescent="0.25">
      <c r="A30" s="177"/>
      <c r="B30" s="345" t="str">
        <f t="shared" ref="B30:D30" si="20">B27</f>
        <v>Республика Бурятия</v>
      </c>
      <c r="C30" s="345" t="str">
        <f t="shared" si="20"/>
        <v>МРСК Сибири</v>
      </c>
      <c r="D30" s="346" t="str">
        <f t="shared" si="20"/>
        <v>Бурятэнерго</v>
      </c>
      <c r="E30" s="347" t="s">
        <v>290</v>
      </c>
      <c r="F30" s="181"/>
      <c r="G30" s="182"/>
      <c r="H30" s="182"/>
      <c r="I30" s="183"/>
      <c r="J30" s="184">
        <f>VLOOKUP(E30,потребители!$E$8:$K$94,6,0)/1000000</f>
        <v>4.7745129999999998</v>
      </c>
      <c r="K30" s="184">
        <f>VLOOKUP(E30,потребители!$E$8:$K$94,7,0)/1000000</f>
        <v>4.5646590000000105</v>
      </c>
      <c r="L30" s="185" t="s">
        <v>412</v>
      </c>
      <c r="M30" s="185">
        <f t="shared" si="16"/>
        <v>-0.20985399999998933</v>
      </c>
      <c r="N30" s="186">
        <f t="shared" si="17"/>
        <v>-4.3952964417520612E-2</v>
      </c>
      <c r="O30" s="182"/>
      <c r="P30" s="182"/>
      <c r="Q30" s="230"/>
      <c r="R30" s="233"/>
      <c r="S30" s="180" t="s">
        <v>406</v>
      </c>
      <c r="T30" s="180"/>
    </row>
    <row r="31" spans="1:20" outlineLevel="1" x14ac:dyDescent="0.25">
      <c r="A31" s="177"/>
      <c r="B31" s="345" t="str">
        <f t="shared" ref="B31:D31" si="21">B28</f>
        <v>Республика Бурятия</v>
      </c>
      <c r="C31" s="345" t="str">
        <f t="shared" si="21"/>
        <v>МРСК Сибири</v>
      </c>
      <c r="D31" s="346" t="str">
        <f t="shared" si="21"/>
        <v>Бурятэнерго</v>
      </c>
      <c r="E31" s="347" t="s">
        <v>292</v>
      </c>
      <c r="F31" s="181"/>
      <c r="G31" s="182"/>
      <c r="H31" s="182"/>
      <c r="I31" s="183"/>
      <c r="J31" s="184">
        <f>VLOOKUP(E31,потребители!$E$8:$K$94,6,0)/1000000</f>
        <v>0.12904499999999999</v>
      </c>
      <c r="K31" s="184">
        <f>VLOOKUP(E31,потребители!$E$8:$K$94,7,0)/1000000</f>
        <v>0.139954</v>
      </c>
      <c r="L31" s="185" t="s">
        <v>412</v>
      </c>
      <c r="M31" s="185">
        <f t="shared" si="16"/>
        <v>1.0909000000000002E-2</v>
      </c>
      <c r="N31" s="186">
        <f t="shared" si="17"/>
        <v>8.453640203029944E-2</v>
      </c>
      <c r="O31" s="182"/>
      <c r="P31" s="182"/>
      <c r="Q31" s="230"/>
      <c r="R31" s="233"/>
      <c r="S31" s="180" t="s">
        <v>406</v>
      </c>
      <c r="T31" s="180"/>
    </row>
    <row r="32" spans="1:20" outlineLevel="1" x14ac:dyDescent="0.25">
      <c r="A32" s="177"/>
      <c r="B32" s="345" t="str">
        <f t="shared" ref="B32:D32" si="22">B29</f>
        <v>Республика Бурятия</v>
      </c>
      <c r="C32" s="345" t="str">
        <f t="shared" si="22"/>
        <v>МРСК Сибири</v>
      </c>
      <c r="D32" s="346" t="str">
        <f t="shared" si="22"/>
        <v>Бурятэнерго</v>
      </c>
      <c r="E32" s="347" t="s">
        <v>293</v>
      </c>
      <c r="F32" s="181"/>
      <c r="G32" s="182"/>
      <c r="H32" s="182"/>
      <c r="I32" s="183"/>
      <c r="J32" s="184">
        <f>VLOOKUP(E32,потребители!$E$8:$K$94,6,0)/1000000</f>
        <v>0.32341999999999999</v>
      </c>
      <c r="K32" s="184">
        <f>VLOOKUP(E32,потребители!$E$8:$K$94,7,0)/1000000</f>
        <v>0.30576799999999998</v>
      </c>
      <c r="L32" s="185" t="s">
        <v>412</v>
      </c>
      <c r="M32" s="185">
        <f t="shared" si="16"/>
        <v>-1.7652000000000001E-2</v>
      </c>
      <c r="N32" s="186">
        <f t="shared" si="17"/>
        <v>-5.4579184960732219E-2</v>
      </c>
      <c r="O32" s="182"/>
      <c r="P32" s="182"/>
      <c r="Q32" s="230"/>
      <c r="R32" s="233"/>
      <c r="S32" s="180" t="s">
        <v>406</v>
      </c>
      <c r="T32" s="180"/>
    </row>
    <row r="33" spans="1:20" outlineLevel="1" x14ac:dyDescent="0.25">
      <c r="A33" s="177"/>
      <c r="B33" s="345" t="str">
        <f t="shared" ref="B33:D33" si="23">B30</f>
        <v>Республика Бурятия</v>
      </c>
      <c r="C33" s="345" t="str">
        <f t="shared" si="23"/>
        <v>МРСК Сибири</v>
      </c>
      <c r="D33" s="346" t="str">
        <f t="shared" si="23"/>
        <v>Бурятэнерго</v>
      </c>
      <c r="E33" s="347" t="s">
        <v>304</v>
      </c>
      <c r="F33" s="181"/>
      <c r="G33" s="182"/>
      <c r="H33" s="182"/>
      <c r="I33" s="183"/>
      <c r="J33" s="184">
        <f>VLOOKUP(E33,потребители!$E$8:$K$94,6,0)/1000000</f>
        <v>0.31706000000000001</v>
      </c>
      <c r="K33" s="184">
        <f>VLOOKUP(E33,потребители!$E$8:$K$94,7,0)/1000000</f>
        <v>0.26535799999999998</v>
      </c>
      <c r="L33" s="185" t="s">
        <v>412</v>
      </c>
      <c r="M33" s="185">
        <f t="shared" si="16"/>
        <v>-5.1702000000000026E-2</v>
      </c>
      <c r="N33" s="186">
        <f t="shared" si="17"/>
        <v>-0.1630669273954457</v>
      </c>
      <c r="O33" s="182"/>
      <c r="P33" s="182"/>
      <c r="Q33" s="230"/>
      <c r="R33" s="233"/>
      <c r="S33" s="180" t="s">
        <v>406</v>
      </c>
      <c r="T33" s="180"/>
    </row>
    <row r="34" spans="1:20" ht="26.25" outlineLevel="1" x14ac:dyDescent="0.25">
      <c r="A34" s="177"/>
      <c r="B34" s="345" t="str">
        <f t="shared" ref="B34:D34" si="24">B31</f>
        <v>Республика Бурятия</v>
      </c>
      <c r="C34" s="345" t="str">
        <f t="shared" si="24"/>
        <v>МРСК Сибири</v>
      </c>
      <c r="D34" s="346" t="str">
        <f t="shared" si="24"/>
        <v>Бурятэнерго</v>
      </c>
      <c r="E34" s="347" t="s">
        <v>345</v>
      </c>
      <c r="F34" s="181"/>
      <c r="G34" s="182"/>
      <c r="H34" s="182"/>
      <c r="I34" s="183"/>
      <c r="J34" s="184">
        <f>VLOOKUP(E34,потребители!$E$8:$K$94,6,0)/1000000</f>
        <v>0.36701800000000001</v>
      </c>
      <c r="K34" s="184">
        <f>VLOOKUP(E34,потребители!$E$8:$K$94,7,0)/1000000</f>
        <v>0.35844500000000001</v>
      </c>
      <c r="L34" s="185" t="s">
        <v>412</v>
      </c>
      <c r="M34" s="185">
        <f t="shared" si="16"/>
        <v>-8.5729999999999973E-3</v>
      </c>
      <c r="N34" s="186">
        <f t="shared" si="17"/>
        <v>-2.3358527374679139E-2</v>
      </c>
      <c r="O34" s="182"/>
      <c r="P34" s="182"/>
      <c r="Q34" s="230"/>
      <c r="R34" s="233"/>
      <c r="S34" s="180" t="s">
        <v>406</v>
      </c>
      <c r="T34" s="180"/>
    </row>
    <row r="35" spans="1:20" outlineLevel="1" x14ac:dyDescent="0.25">
      <c r="A35" s="177"/>
      <c r="B35" s="345" t="str">
        <f t="shared" ref="B35:D35" si="25">B32</f>
        <v>Республика Бурятия</v>
      </c>
      <c r="C35" s="345" t="str">
        <f t="shared" si="25"/>
        <v>МРСК Сибири</v>
      </c>
      <c r="D35" s="346" t="str">
        <f t="shared" si="25"/>
        <v>Бурятэнерго</v>
      </c>
      <c r="E35" s="347" t="s">
        <v>349</v>
      </c>
      <c r="F35" s="181"/>
      <c r="G35" s="182"/>
      <c r="H35" s="182"/>
      <c r="I35" s="183"/>
      <c r="J35" s="184">
        <f>VLOOKUP(E35,потребители!$E$8:$K$94,6,0)/1000000</f>
        <v>5.595E-2</v>
      </c>
      <c r="K35" s="184">
        <f>VLOOKUP(E35,потребители!$E$8:$K$94,7,0)/1000000</f>
        <v>0.29338799999999998</v>
      </c>
      <c r="L35" s="185" t="s">
        <v>412</v>
      </c>
      <c r="M35" s="185">
        <f t="shared" si="16"/>
        <v>0.23743799999999998</v>
      </c>
      <c r="N35" s="186">
        <f t="shared" si="17"/>
        <v>4.2437533512064336</v>
      </c>
      <c r="O35" s="182"/>
      <c r="P35" s="182"/>
      <c r="Q35" s="230"/>
      <c r="R35" s="233"/>
      <c r="S35" s="180" t="s">
        <v>406</v>
      </c>
      <c r="T35" s="180"/>
    </row>
    <row r="36" spans="1:20" outlineLevel="1" x14ac:dyDescent="0.25">
      <c r="A36" s="177"/>
      <c r="B36" s="345" t="str">
        <f t="shared" ref="B36:D36" si="26">B33</f>
        <v>Республика Бурятия</v>
      </c>
      <c r="C36" s="345" t="str">
        <f t="shared" si="26"/>
        <v>МРСК Сибири</v>
      </c>
      <c r="D36" s="346" t="str">
        <f t="shared" si="26"/>
        <v>Бурятэнерго</v>
      </c>
      <c r="E36" s="347" t="s">
        <v>353</v>
      </c>
      <c r="F36" s="181"/>
      <c r="G36" s="182"/>
      <c r="H36" s="182"/>
      <c r="I36" s="183"/>
      <c r="J36" s="184">
        <f>VLOOKUP(E36,потребители!$E$8:$K$94,6,0)/1000000</f>
        <v>3.7217E-2</v>
      </c>
      <c r="K36" s="184">
        <f>VLOOKUP(E36,потребители!$E$8:$K$94,7,0)/1000000</f>
        <v>3.2998E-2</v>
      </c>
      <c r="L36" s="185" t="s">
        <v>412</v>
      </c>
      <c r="M36" s="185">
        <f t="shared" si="16"/>
        <v>-4.2190000000000005E-3</v>
      </c>
      <c r="N36" s="186">
        <f t="shared" si="17"/>
        <v>-0.11336217320041919</v>
      </c>
      <c r="O36" s="182"/>
      <c r="P36" s="182"/>
      <c r="Q36" s="230"/>
      <c r="R36" s="233"/>
      <c r="S36" s="180" t="s">
        <v>406</v>
      </c>
      <c r="T36" s="180"/>
    </row>
    <row r="37" spans="1:20" outlineLevel="1" x14ac:dyDescent="0.25">
      <c r="A37" s="177"/>
      <c r="B37" s="345" t="str">
        <f t="shared" ref="B37:D37" si="27">B34</f>
        <v>Республика Бурятия</v>
      </c>
      <c r="C37" s="345" t="str">
        <f t="shared" si="27"/>
        <v>МРСК Сибири</v>
      </c>
      <c r="D37" s="346" t="str">
        <f t="shared" si="27"/>
        <v>Бурятэнерго</v>
      </c>
      <c r="E37" s="347" t="s">
        <v>357</v>
      </c>
      <c r="F37" s="181"/>
      <c r="G37" s="182"/>
      <c r="H37" s="182"/>
      <c r="I37" s="183"/>
      <c r="J37" s="184">
        <f>VLOOKUP(E37,потребители!$E$8:$K$94,6,0)/1000000</f>
        <v>0.12670999999999999</v>
      </c>
      <c r="K37" s="184">
        <f>VLOOKUP(E37,потребители!$E$8:$K$94,7,0)/1000000</f>
        <v>0.118062</v>
      </c>
      <c r="L37" s="185" t="s">
        <v>412</v>
      </c>
      <c r="M37" s="185">
        <f t="shared" si="16"/>
        <v>-8.647999999999989E-3</v>
      </c>
      <c r="N37" s="186">
        <f t="shared" si="17"/>
        <v>-6.8250335411569663E-2</v>
      </c>
      <c r="O37" s="182"/>
      <c r="P37" s="182"/>
      <c r="Q37" s="230"/>
      <c r="R37" s="233"/>
      <c r="S37" s="180" t="s">
        <v>406</v>
      </c>
      <c r="T37" s="180"/>
    </row>
    <row r="38" spans="1:20" outlineLevel="1" x14ac:dyDescent="0.25">
      <c r="A38" s="177"/>
      <c r="B38" s="345" t="str">
        <f t="shared" ref="B38:D38" si="28">B35</f>
        <v>Республика Бурятия</v>
      </c>
      <c r="C38" s="345" t="str">
        <f t="shared" si="28"/>
        <v>МРСК Сибири</v>
      </c>
      <c r="D38" s="346" t="str">
        <f t="shared" si="28"/>
        <v>Бурятэнерго</v>
      </c>
      <c r="E38" s="347" t="s">
        <v>362</v>
      </c>
      <c r="F38" s="181"/>
      <c r="G38" s="182"/>
      <c r="H38" s="182"/>
      <c r="I38" s="183"/>
      <c r="J38" s="184">
        <f>VLOOKUP(E38,потребители!$E$8:$K$94,6,0)/1000000</f>
        <v>0.145237</v>
      </c>
      <c r="K38" s="184">
        <f>VLOOKUP(E38,потребители!$E$8:$K$94,7,0)/1000000</f>
        <v>0.20644100000000001</v>
      </c>
      <c r="L38" s="185" t="s">
        <v>412</v>
      </c>
      <c r="M38" s="185">
        <f t="shared" si="16"/>
        <v>6.1204000000000008E-2</v>
      </c>
      <c r="N38" s="186">
        <f t="shared" si="17"/>
        <v>0.42140776799300461</v>
      </c>
      <c r="O38" s="182"/>
      <c r="P38" s="182"/>
      <c r="Q38" s="230"/>
      <c r="R38" s="233"/>
      <c r="S38" s="180" t="s">
        <v>406</v>
      </c>
      <c r="T38" s="180"/>
    </row>
    <row r="39" spans="1:20" outlineLevel="1" x14ac:dyDescent="0.25">
      <c r="A39" s="177"/>
      <c r="B39" s="345" t="str">
        <f t="shared" ref="B39:D39" si="29">B36</f>
        <v>Республика Бурятия</v>
      </c>
      <c r="C39" s="345" t="str">
        <f t="shared" si="29"/>
        <v>МРСК Сибири</v>
      </c>
      <c r="D39" s="346" t="str">
        <f t="shared" si="29"/>
        <v>Бурятэнерго</v>
      </c>
      <c r="E39" s="347" t="s">
        <v>364</v>
      </c>
      <c r="F39" s="181"/>
      <c r="G39" s="182"/>
      <c r="H39" s="182"/>
      <c r="I39" s="183"/>
      <c r="J39" s="184">
        <f>VLOOKUP(E39,потребители!$E$8:$K$94,6,0)/1000000</f>
        <v>0.21062800000000001</v>
      </c>
      <c r="K39" s="184">
        <f>VLOOKUP(E39,потребители!$E$8:$K$94,7,0)/1000000</f>
        <v>0.27964645000000021</v>
      </c>
      <c r="L39" s="185" t="s">
        <v>412</v>
      </c>
      <c r="M39" s="185">
        <f t="shared" si="16"/>
        <v>6.9018450000000203E-2</v>
      </c>
      <c r="N39" s="186">
        <f t="shared" si="17"/>
        <v>0.32767936836508071</v>
      </c>
      <c r="O39" s="182"/>
      <c r="P39" s="182"/>
      <c r="Q39" s="230"/>
      <c r="R39" s="233"/>
      <c r="S39" s="180" t="s">
        <v>406</v>
      </c>
      <c r="T39" s="180"/>
    </row>
    <row r="40" spans="1:20" ht="26.25" outlineLevel="1" x14ac:dyDescent="0.25">
      <c r="A40" s="177"/>
      <c r="B40" s="345" t="str">
        <f t="shared" ref="B40:D40" si="30">B37</f>
        <v>Республика Бурятия</v>
      </c>
      <c r="C40" s="345" t="str">
        <f t="shared" si="30"/>
        <v>МРСК Сибири</v>
      </c>
      <c r="D40" s="346" t="str">
        <f t="shared" si="30"/>
        <v>Бурятэнерго</v>
      </c>
      <c r="E40" s="347" t="s">
        <v>417</v>
      </c>
      <c r="F40" s="181"/>
      <c r="G40" s="182"/>
      <c r="H40" s="182"/>
      <c r="I40" s="183"/>
      <c r="J40" s="184">
        <f>VLOOKUP(E40,потребители!$E$8:$K$94,6,0)/1000000</f>
        <v>0.20016700000000001</v>
      </c>
      <c r="K40" s="184">
        <f>VLOOKUP(E40,потребители!$E$8:$K$94,7,0)/1000000</f>
        <v>0.24485999999999999</v>
      </c>
      <c r="L40" s="185" t="s">
        <v>412</v>
      </c>
      <c r="M40" s="185">
        <f t="shared" si="16"/>
        <v>4.4692999999999983E-2</v>
      </c>
      <c r="N40" s="186">
        <f t="shared" si="17"/>
        <v>0.22327856240039567</v>
      </c>
      <c r="O40" s="182"/>
      <c r="P40" s="182"/>
      <c r="Q40" s="230"/>
      <c r="R40" s="233"/>
      <c r="S40" s="180" t="s">
        <v>406</v>
      </c>
      <c r="T40" s="180"/>
    </row>
    <row r="41" spans="1:20" outlineLevel="1" x14ac:dyDescent="0.25">
      <c r="A41" s="177"/>
      <c r="B41" s="345" t="str">
        <f t="shared" ref="B41:D41" si="31">B38</f>
        <v>Республика Бурятия</v>
      </c>
      <c r="C41" s="345" t="str">
        <f t="shared" si="31"/>
        <v>МРСК Сибири</v>
      </c>
      <c r="D41" s="346" t="str">
        <f t="shared" si="31"/>
        <v>Бурятэнерго</v>
      </c>
      <c r="E41" s="347" t="s">
        <v>376</v>
      </c>
      <c r="F41" s="181"/>
      <c r="G41" s="182"/>
      <c r="H41" s="182"/>
      <c r="I41" s="183"/>
      <c r="J41" s="184">
        <f>VLOOKUP(E41,потребители!$E$8:$K$94,6,0)/1000000</f>
        <v>5.7827999999999997E-2</v>
      </c>
      <c r="K41" s="184">
        <f>VLOOKUP(E41,потребители!$E$8:$K$94,7,0)/1000000</f>
        <v>4.0031999999999998E-2</v>
      </c>
      <c r="L41" s="185" t="s">
        <v>412</v>
      </c>
      <c r="M41" s="185">
        <f t="shared" si="16"/>
        <v>-1.7795999999999999E-2</v>
      </c>
      <c r="N41" s="186">
        <f t="shared" si="17"/>
        <v>-0.30774019506121597</v>
      </c>
      <c r="O41" s="182"/>
      <c r="P41" s="182"/>
      <c r="Q41" s="230"/>
      <c r="R41" s="233"/>
      <c r="S41" s="180" t="s">
        <v>406</v>
      </c>
      <c r="T41" s="180"/>
    </row>
    <row r="42" spans="1:20" outlineLevel="1" x14ac:dyDescent="0.25">
      <c r="A42" s="177"/>
      <c r="B42" s="345" t="str">
        <f t="shared" ref="B42:D42" si="32">B39</f>
        <v>Республика Бурятия</v>
      </c>
      <c r="C42" s="345" t="str">
        <f t="shared" si="32"/>
        <v>МРСК Сибири</v>
      </c>
      <c r="D42" s="346" t="str">
        <f t="shared" si="32"/>
        <v>Бурятэнерго</v>
      </c>
      <c r="E42" s="347" t="s">
        <v>377</v>
      </c>
      <c r="F42" s="181"/>
      <c r="G42" s="182"/>
      <c r="H42" s="182"/>
      <c r="I42" s="183"/>
      <c r="J42" s="184">
        <f>VLOOKUP(E42,потребители!$E$8:$K$94,6,0)/1000000</f>
        <v>0.27678399999999997</v>
      </c>
      <c r="K42" s="184">
        <f>VLOOKUP(E42,потребители!$E$8:$K$94,7,0)/1000000</f>
        <v>0.46409419999999957</v>
      </c>
      <c r="L42" s="185" t="s">
        <v>412</v>
      </c>
      <c r="M42" s="185">
        <f t="shared" si="16"/>
        <v>0.18731019999999959</v>
      </c>
      <c r="N42" s="186">
        <f t="shared" si="17"/>
        <v>0.67673781721486659</v>
      </c>
      <c r="O42" s="182"/>
      <c r="P42" s="182"/>
      <c r="Q42" s="230"/>
      <c r="R42" s="233"/>
      <c r="S42" s="180" t="s">
        <v>406</v>
      </c>
      <c r="T42" s="180"/>
    </row>
    <row r="43" spans="1:20" outlineLevel="1" x14ac:dyDescent="0.25">
      <c r="A43" s="177"/>
      <c r="B43" s="345" t="str">
        <f t="shared" ref="B43:D43" si="33">B40</f>
        <v>Республика Бурятия</v>
      </c>
      <c r="C43" s="345" t="str">
        <f t="shared" si="33"/>
        <v>МРСК Сибири</v>
      </c>
      <c r="D43" s="346" t="str">
        <f t="shared" si="33"/>
        <v>Бурятэнерго</v>
      </c>
      <c r="E43" s="347" t="s">
        <v>380</v>
      </c>
      <c r="F43" s="181"/>
      <c r="G43" s="182"/>
      <c r="H43" s="182"/>
      <c r="I43" s="183"/>
      <c r="J43" s="184">
        <f>VLOOKUP(E43,потребители!$E$8:$K$94,6,0)/1000000</f>
        <v>0.23769499999999999</v>
      </c>
      <c r="K43" s="184">
        <f>VLOOKUP(E43,потребители!$E$8:$K$94,7,0)/1000000</f>
        <v>0.32751200000000003</v>
      </c>
      <c r="L43" s="185" t="s">
        <v>412</v>
      </c>
      <c r="M43" s="185">
        <f t="shared" si="16"/>
        <v>8.9817000000000036E-2</v>
      </c>
      <c r="N43" s="186">
        <f t="shared" si="17"/>
        <v>0.37786659374408393</v>
      </c>
      <c r="O43" s="182"/>
      <c r="P43" s="182"/>
      <c r="Q43" s="230"/>
      <c r="R43" s="233"/>
      <c r="S43" s="180" t="s">
        <v>406</v>
      </c>
      <c r="T43" s="180"/>
    </row>
    <row r="44" spans="1:20" outlineLevel="1" x14ac:dyDescent="0.25">
      <c r="A44" s="177"/>
      <c r="B44" s="345" t="str">
        <f t="shared" ref="B44:D44" si="34">B41</f>
        <v>Республика Бурятия</v>
      </c>
      <c r="C44" s="345" t="str">
        <f t="shared" si="34"/>
        <v>МРСК Сибири</v>
      </c>
      <c r="D44" s="346" t="str">
        <f t="shared" si="34"/>
        <v>Бурятэнерго</v>
      </c>
      <c r="E44" s="347" t="s">
        <v>383</v>
      </c>
      <c r="F44" s="181"/>
      <c r="G44" s="182"/>
      <c r="H44" s="182"/>
      <c r="I44" s="183"/>
      <c r="J44" s="184">
        <f>VLOOKUP(E44,потребители!$E$8:$K$94,6,0)/1000000</f>
        <v>1.089601</v>
      </c>
      <c r="K44" s="184">
        <f>VLOOKUP(E44,потребители!$E$8:$K$94,7,0)/1000000</f>
        <v>1.0608390000000001</v>
      </c>
      <c r="L44" s="185" t="s">
        <v>412</v>
      </c>
      <c r="M44" s="185">
        <f t="shared" si="16"/>
        <v>-2.8761999999999954E-2</v>
      </c>
      <c r="N44" s="186">
        <f t="shared" si="17"/>
        <v>-2.6396818651965193E-2</v>
      </c>
      <c r="O44" s="182"/>
      <c r="P44" s="182"/>
      <c r="Q44" s="230"/>
      <c r="R44" s="233"/>
      <c r="S44" s="180" t="s">
        <v>406</v>
      </c>
      <c r="T44" s="180"/>
    </row>
    <row r="45" spans="1:20" outlineLevel="1" x14ac:dyDescent="0.25">
      <c r="A45" s="177"/>
      <c r="B45" s="345" t="str">
        <f t="shared" ref="B45:D45" si="35">B42</f>
        <v>Республика Бурятия</v>
      </c>
      <c r="C45" s="345" t="str">
        <f t="shared" si="35"/>
        <v>МРСК Сибири</v>
      </c>
      <c r="D45" s="346" t="str">
        <f t="shared" si="35"/>
        <v>Бурятэнерго</v>
      </c>
      <c r="E45" s="347" t="s">
        <v>384</v>
      </c>
      <c r="F45" s="181"/>
      <c r="G45" s="182"/>
      <c r="H45" s="182"/>
      <c r="I45" s="183"/>
      <c r="J45" s="184">
        <f>VLOOKUP(E45,потребители!$E$8:$K$94,6,0)/1000000</f>
        <v>0.15960099999999999</v>
      </c>
      <c r="K45" s="184">
        <f>VLOOKUP(E45,потребители!$E$8:$K$94,7,0)/1000000</f>
        <v>0.16695699999999999</v>
      </c>
      <c r="L45" s="185" t="s">
        <v>412</v>
      </c>
      <c r="M45" s="185">
        <f t="shared" si="16"/>
        <v>7.3560000000000014E-3</v>
      </c>
      <c r="N45" s="186">
        <f t="shared" si="17"/>
        <v>4.6089936779844853E-2</v>
      </c>
      <c r="O45" s="182"/>
      <c r="P45" s="182"/>
      <c r="Q45" s="230"/>
      <c r="R45" s="233"/>
      <c r="S45" s="180" t="s">
        <v>406</v>
      </c>
      <c r="T45" s="180"/>
    </row>
    <row r="46" spans="1:20" outlineLevel="1" x14ac:dyDescent="0.25">
      <c r="A46" s="177"/>
      <c r="B46" s="345" t="str">
        <f t="shared" ref="B46:D46" si="36">B43</f>
        <v>Республика Бурятия</v>
      </c>
      <c r="C46" s="345" t="str">
        <f t="shared" si="36"/>
        <v>МРСК Сибири</v>
      </c>
      <c r="D46" s="346" t="str">
        <f t="shared" si="36"/>
        <v>Бурятэнерго</v>
      </c>
      <c r="E46" s="347" t="s">
        <v>386</v>
      </c>
      <c r="F46" s="181"/>
      <c r="G46" s="182"/>
      <c r="H46" s="182"/>
      <c r="I46" s="183"/>
      <c r="J46" s="184">
        <f>VLOOKUP(E46,потребители!$E$8:$K$94,6,0)/1000000</f>
        <v>3.8123999999999998E-2</v>
      </c>
      <c r="K46" s="184">
        <f>VLOOKUP(E46,потребители!$E$8:$K$94,7,0)/1000000</f>
        <v>1.5374000000000001E-2</v>
      </c>
      <c r="L46" s="185" t="s">
        <v>412</v>
      </c>
      <c r="M46" s="185">
        <f t="shared" si="16"/>
        <v>-2.2749999999999999E-2</v>
      </c>
      <c r="N46" s="186">
        <f t="shared" si="17"/>
        <v>-0.59673696359248762</v>
      </c>
      <c r="O46" s="182"/>
      <c r="P46" s="182"/>
      <c r="Q46" s="230"/>
      <c r="R46" s="233"/>
      <c r="S46" s="180" t="s">
        <v>406</v>
      </c>
      <c r="T46" s="180"/>
    </row>
    <row r="47" spans="1:20" outlineLevel="1" x14ac:dyDescent="0.25">
      <c r="A47" s="177"/>
      <c r="B47" s="345" t="str">
        <f t="shared" ref="B47:D47" si="37">B44</f>
        <v>Республика Бурятия</v>
      </c>
      <c r="C47" s="345" t="str">
        <f t="shared" si="37"/>
        <v>МРСК Сибири</v>
      </c>
      <c r="D47" s="346" t="str">
        <f t="shared" si="37"/>
        <v>Бурятэнерго</v>
      </c>
      <c r="E47" s="347" t="s">
        <v>388</v>
      </c>
      <c r="F47" s="181"/>
      <c r="G47" s="182"/>
      <c r="H47" s="182"/>
      <c r="I47" s="183"/>
      <c r="J47" s="184">
        <f>VLOOKUP(E47,потребители!$E$8:$K$94,6,0)/1000000</f>
        <v>3.052E-3</v>
      </c>
      <c r="K47" s="184">
        <f>VLOOKUP(E47,потребители!$E$8:$K$94,7,0)/1000000</f>
        <v>1.8420000000000001E-3</v>
      </c>
      <c r="L47" s="185" t="s">
        <v>412</v>
      </c>
      <c r="M47" s="185">
        <f t="shared" si="16"/>
        <v>-1.2099999999999999E-3</v>
      </c>
      <c r="N47" s="186">
        <f t="shared" si="17"/>
        <v>-0.39646133682830931</v>
      </c>
      <c r="O47" s="182"/>
      <c r="P47" s="182"/>
      <c r="Q47" s="230"/>
      <c r="R47" s="233"/>
      <c r="S47" s="180" t="s">
        <v>406</v>
      </c>
      <c r="T47" s="180"/>
    </row>
    <row r="48" spans="1:20" x14ac:dyDescent="0.25">
      <c r="A48" s="177"/>
      <c r="B48" s="345" t="str">
        <f t="shared" ref="B48:D48" si="38">B45</f>
        <v>Республика Бурятия</v>
      </c>
      <c r="C48" s="345" t="str">
        <f t="shared" si="38"/>
        <v>МРСК Сибири</v>
      </c>
      <c r="D48" s="346" t="str">
        <f t="shared" si="38"/>
        <v>Бурятэнерго</v>
      </c>
      <c r="E48" s="180" t="s">
        <v>230</v>
      </c>
      <c r="F48" s="181"/>
      <c r="G48" s="182"/>
      <c r="H48" s="182"/>
      <c r="I48" s="183"/>
      <c r="J48" s="189">
        <f>'для расчета'!U27</f>
        <v>19.207785999999999</v>
      </c>
      <c r="K48" s="189">
        <f>'для расчета'!V27</f>
        <v>21.128564600000001</v>
      </c>
      <c r="L48" s="190"/>
      <c r="M48" s="185">
        <f t="shared" si="5"/>
        <v>1.920778600000002</v>
      </c>
      <c r="N48" s="186">
        <f t="shared" si="6"/>
        <v>0.10000000000000009</v>
      </c>
      <c r="O48" s="182"/>
      <c r="P48" s="182"/>
      <c r="Q48" s="230"/>
      <c r="R48" s="233"/>
      <c r="S48" s="180" t="s">
        <v>405</v>
      </c>
      <c r="T48" s="180"/>
    </row>
    <row r="49" spans="1:20" x14ac:dyDescent="0.25">
      <c r="A49" s="168" t="s">
        <v>13</v>
      </c>
      <c r="B49" s="169" t="str">
        <f t="shared" si="9"/>
        <v>Республика Бурятия</v>
      </c>
      <c r="C49" s="169" t="str">
        <f t="shared" si="9"/>
        <v>МРСК Сибири</v>
      </c>
      <c r="D49" s="170" t="str">
        <f t="shared" si="10"/>
        <v>Бурятэнерго</v>
      </c>
      <c r="E49" s="171" t="s">
        <v>201</v>
      </c>
      <c r="F49" s="138"/>
      <c r="G49" s="139"/>
      <c r="H49" s="139"/>
      <c r="I49" s="140"/>
      <c r="J49" s="172">
        <f>SUM(J50:J54)</f>
        <v>121.94543492132111</v>
      </c>
      <c r="K49" s="173">
        <f>SUM(K50:K54)</f>
        <v>121.53850513082112</v>
      </c>
      <c r="L49" s="173"/>
      <c r="M49" s="173">
        <f>K49-J49</f>
        <v>-0.40692979049998712</v>
      </c>
      <c r="N49" s="174">
        <f t="shared" si="6"/>
        <v>-3.3369825673469355E-3</v>
      </c>
      <c r="O49" s="139"/>
      <c r="P49" s="139"/>
      <c r="Q49" s="229"/>
      <c r="R49" s="232"/>
      <c r="S49" s="171"/>
      <c r="T49" s="171"/>
    </row>
    <row r="50" spans="1:20" x14ac:dyDescent="0.25">
      <c r="A50" s="177"/>
      <c r="B50" s="345" t="str">
        <f t="shared" si="9"/>
        <v>Республика Бурятия</v>
      </c>
      <c r="C50" s="345" t="str">
        <f t="shared" si="9"/>
        <v>МРСК Сибири</v>
      </c>
      <c r="D50" s="346" t="str">
        <f t="shared" si="10"/>
        <v>Бурятэнерго</v>
      </c>
      <c r="E50" s="191" t="s">
        <v>251</v>
      </c>
      <c r="F50" s="181"/>
      <c r="G50" s="182"/>
      <c r="H50" s="182"/>
      <c r="I50" s="183"/>
      <c r="J50" s="184">
        <f>'для расчета'!U29</f>
        <v>120.81977492132111</v>
      </c>
      <c r="K50" s="185">
        <f>'для расчета'!V29</f>
        <v>120.41284513082113</v>
      </c>
      <c r="L50" s="185" t="s">
        <v>199</v>
      </c>
      <c r="M50" s="185">
        <f t="shared" si="5"/>
        <v>-0.40692979049998712</v>
      </c>
      <c r="N50" s="186">
        <f t="shared" si="6"/>
        <v>-3.3680727411136147E-3</v>
      </c>
      <c r="O50" s="182"/>
      <c r="P50" s="182"/>
      <c r="Q50" s="230"/>
      <c r="R50" s="233"/>
      <c r="S50" s="191" t="s">
        <v>411</v>
      </c>
      <c r="T50" s="191"/>
    </row>
    <row r="51" spans="1:20" x14ac:dyDescent="0.25">
      <c r="A51" s="177"/>
      <c r="B51" s="345" t="str">
        <f t="shared" si="9"/>
        <v>Республика Бурятия</v>
      </c>
      <c r="C51" s="345" t="str">
        <f t="shared" si="9"/>
        <v>МРСК Сибири</v>
      </c>
      <c r="D51" s="346" t="str">
        <f t="shared" si="10"/>
        <v>Бурятэнерго</v>
      </c>
      <c r="E51" s="191" t="s">
        <v>196</v>
      </c>
      <c r="F51" s="181"/>
      <c r="G51" s="182"/>
      <c r="H51" s="182"/>
      <c r="I51" s="183"/>
      <c r="J51" s="184"/>
      <c r="K51" s="185"/>
      <c r="L51" s="185"/>
      <c r="M51" s="185">
        <f t="shared" si="5"/>
        <v>0</v>
      </c>
      <c r="N51" s="186" t="str">
        <f t="shared" si="6"/>
        <v/>
      </c>
      <c r="O51" s="182"/>
      <c r="P51" s="182"/>
      <c r="Q51" s="230"/>
      <c r="R51" s="233"/>
      <c r="S51" s="191"/>
      <c r="T51" s="191"/>
    </row>
    <row r="52" spans="1:20" x14ac:dyDescent="0.25">
      <c r="A52" s="177"/>
      <c r="B52" s="345" t="str">
        <f t="shared" si="9"/>
        <v>Республика Бурятия</v>
      </c>
      <c r="C52" s="345" t="str">
        <f t="shared" si="9"/>
        <v>МРСК Сибири</v>
      </c>
      <c r="D52" s="346" t="str">
        <f t="shared" si="10"/>
        <v>Бурятэнерго</v>
      </c>
      <c r="E52" s="191" t="s">
        <v>198</v>
      </c>
      <c r="F52" s="181"/>
      <c r="G52" s="182"/>
      <c r="H52" s="182"/>
      <c r="I52" s="183"/>
      <c r="J52" s="184"/>
      <c r="K52" s="185"/>
      <c r="L52" s="185"/>
      <c r="M52" s="185">
        <f t="shared" si="5"/>
        <v>0</v>
      </c>
      <c r="N52" s="186" t="str">
        <f t="shared" si="6"/>
        <v/>
      </c>
      <c r="O52" s="182"/>
      <c r="P52" s="182"/>
      <c r="Q52" s="230"/>
      <c r="R52" s="233"/>
      <c r="S52" s="191"/>
      <c r="T52" s="191"/>
    </row>
    <row r="53" spans="1:20" x14ac:dyDescent="0.25">
      <c r="A53" s="177"/>
      <c r="B53" s="345" t="str">
        <f t="shared" si="9"/>
        <v>Республика Бурятия</v>
      </c>
      <c r="C53" s="345" t="str">
        <f t="shared" si="9"/>
        <v>МРСК Сибири</v>
      </c>
      <c r="D53" s="346" t="str">
        <f t="shared" si="10"/>
        <v>Бурятэнерго</v>
      </c>
      <c r="E53" s="191" t="s">
        <v>229</v>
      </c>
      <c r="F53" s="181"/>
      <c r="G53" s="182"/>
      <c r="H53" s="182"/>
      <c r="I53" s="183"/>
      <c r="J53" s="184"/>
      <c r="K53" s="185"/>
      <c r="L53" s="185"/>
      <c r="M53" s="185">
        <f t="shared" ref="M53" si="39">K53-J53</f>
        <v>0</v>
      </c>
      <c r="N53" s="186" t="str">
        <f t="shared" ref="N53" si="40">IFERROR(K53/J53-1,"")</f>
        <v/>
      </c>
      <c r="O53" s="182"/>
      <c r="P53" s="182"/>
      <c r="Q53" s="230"/>
      <c r="R53" s="233"/>
      <c r="S53" s="191"/>
      <c r="T53" s="191"/>
    </row>
    <row r="54" spans="1:20" x14ac:dyDescent="0.25">
      <c r="A54" s="177"/>
      <c r="B54" s="345" t="str">
        <f t="shared" si="9"/>
        <v>Республика Бурятия</v>
      </c>
      <c r="C54" s="345" t="str">
        <f t="shared" si="9"/>
        <v>МРСК Сибири</v>
      </c>
      <c r="D54" s="346" t="str">
        <f t="shared" si="10"/>
        <v>Бурятэнерго</v>
      </c>
      <c r="E54" s="191" t="s">
        <v>230</v>
      </c>
      <c r="F54" s="181"/>
      <c r="G54" s="182"/>
      <c r="H54" s="182"/>
      <c r="I54" s="183"/>
      <c r="J54" s="184">
        <f>'для расчета'!U33</f>
        <v>1.1256599999999963</v>
      </c>
      <c r="K54" s="185">
        <f>'для расчета'!V33</f>
        <v>1.1256599999999963</v>
      </c>
      <c r="L54" s="185"/>
      <c r="M54" s="185">
        <f t="shared" si="5"/>
        <v>0</v>
      </c>
      <c r="N54" s="186">
        <f t="shared" si="6"/>
        <v>0</v>
      </c>
      <c r="O54" s="182"/>
      <c r="P54" s="182"/>
      <c r="Q54" s="230"/>
      <c r="R54" s="233"/>
      <c r="S54" s="191" t="s">
        <v>407</v>
      </c>
      <c r="T54" s="191"/>
    </row>
    <row r="55" spans="1:20" x14ac:dyDescent="0.25">
      <c r="A55" s="168" t="s">
        <v>15</v>
      </c>
      <c r="B55" s="169" t="str">
        <f t="shared" si="9"/>
        <v>Республика Бурятия</v>
      </c>
      <c r="C55" s="169" t="str">
        <f t="shared" si="9"/>
        <v>МРСК Сибири</v>
      </c>
      <c r="D55" s="170" t="str">
        <f t="shared" si="10"/>
        <v>Бурятэнерго</v>
      </c>
      <c r="E55" s="171" t="s">
        <v>186</v>
      </c>
      <c r="F55" s="138"/>
      <c r="G55" s="139"/>
      <c r="H55" s="139"/>
      <c r="I55" s="140"/>
      <c r="J55" s="172">
        <f t="shared" ref="J55:K55" si="41">SUM(J56:J60)</f>
        <v>0</v>
      </c>
      <c r="K55" s="173">
        <f t="shared" si="41"/>
        <v>0</v>
      </c>
      <c r="L55" s="173"/>
      <c r="M55" s="173">
        <f t="shared" si="5"/>
        <v>0</v>
      </c>
      <c r="N55" s="174" t="str">
        <f t="shared" si="6"/>
        <v/>
      </c>
      <c r="O55" s="139"/>
      <c r="P55" s="139"/>
      <c r="Q55" s="229"/>
      <c r="R55" s="232"/>
      <c r="S55" s="171"/>
      <c r="T55" s="171"/>
    </row>
    <row r="56" spans="1:20" x14ac:dyDescent="0.25">
      <c r="A56" s="177"/>
      <c r="B56" s="178" t="str">
        <f t="shared" si="9"/>
        <v>Республика Бурятия</v>
      </c>
      <c r="C56" s="178" t="str">
        <f t="shared" si="9"/>
        <v>МРСК Сибири</v>
      </c>
      <c r="D56" s="179" t="str">
        <f t="shared" si="10"/>
        <v>Бурятэнерго</v>
      </c>
      <c r="E56" s="191" t="s">
        <v>194</v>
      </c>
      <c r="F56" s="181"/>
      <c r="G56" s="182"/>
      <c r="H56" s="182"/>
      <c r="I56" s="183"/>
      <c r="J56" s="184"/>
      <c r="K56" s="185"/>
      <c r="L56" s="185"/>
      <c r="M56" s="185">
        <f t="shared" si="5"/>
        <v>0</v>
      </c>
      <c r="N56" s="186" t="str">
        <f t="shared" si="6"/>
        <v/>
      </c>
      <c r="O56" s="182"/>
      <c r="P56" s="182"/>
      <c r="Q56" s="230"/>
      <c r="R56" s="233"/>
      <c r="S56" s="191"/>
      <c r="T56" s="191"/>
    </row>
    <row r="57" spans="1:20" x14ac:dyDescent="0.25">
      <c r="A57" s="177"/>
      <c r="B57" s="178" t="str">
        <f t="shared" si="9"/>
        <v>Республика Бурятия</v>
      </c>
      <c r="C57" s="178" t="str">
        <f t="shared" si="9"/>
        <v>МРСК Сибири</v>
      </c>
      <c r="D57" s="179" t="str">
        <f t="shared" si="10"/>
        <v>Бурятэнерго</v>
      </c>
      <c r="E57" s="191" t="s">
        <v>196</v>
      </c>
      <c r="F57" s="181"/>
      <c r="G57" s="182"/>
      <c r="H57" s="182"/>
      <c r="I57" s="183"/>
      <c r="J57" s="184"/>
      <c r="K57" s="185"/>
      <c r="L57" s="185"/>
      <c r="M57" s="185">
        <f t="shared" si="5"/>
        <v>0</v>
      </c>
      <c r="N57" s="186" t="str">
        <f t="shared" si="6"/>
        <v/>
      </c>
      <c r="O57" s="182"/>
      <c r="P57" s="182"/>
      <c r="Q57" s="230"/>
      <c r="R57" s="233"/>
      <c r="S57" s="191"/>
      <c r="T57" s="191"/>
    </row>
    <row r="58" spans="1:20" x14ac:dyDescent="0.25">
      <c r="A58" s="177"/>
      <c r="B58" s="178" t="str">
        <f t="shared" si="9"/>
        <v>Республика Бурятия</v>
      </c>
      <c r="C58" s="178" t="str">
        <f t="shared" si="9"/>
        <v>МРСК Сибири</v>
      </c>
      <c r="D58" s="179" t="str">
        <f t="shared" si="10"/>
        <v>Бурятэнерго</v>
      </c>
      <c r="E58" s="191" t="s">
        <v>198</v>
      </c>
      <c r="F58" s="181"/>
      <c r="G58" s="182"/>
      <c r="H58" s="182"/>
      <c r="I58" s="183"/>
      <c r="J58" s="189"/>
      <c r="K58" s="190"/>
      <c r="L58" s="190"/>
      <c r="M58" s="185">
        <f t="shared" si="5"/>
        <v>0</v>
      </c>
      <c r="N58" s="186" t="str">
        <f t="shared" si="6"/>
        <v/>
      </c>
      <c r="O58" s="182"/>
      <c r="P58" s="182"/>
      <c r="Q58" s="230"/>
      <c r="R58" s="233"/>
      <c r="S58" s="191"/>
      <c r="T58" s="191"/>
    </row>
    <row r="59" spans="1:20" x14ac:dyDescent="0.25">
      <c r="A59" s="177"/>
      <c r="B59" s="178" t="str">
        <f t="shared" si="9"/>
        <v>Республика Бурятия</v>
      </c>
      <c r="C59" s="178" t="str">
        <f t="shared" si="9"/>
        <v>МРСК Сибири</v>
      </c>
      <c r="D59" s="179" t="str">
        <f t="shared" si="10"/>
        <v>Бурятэнерго</v>
      </c>
      <c r="E59" s="191" t="s">
        <v>229</v>
      </c>
      <c r="F59" s="181"/>
      <c r="G59" s="182"/>
      <c r="H59" s="182"/>
      <c r="I59" s="183"/>
      <c r="J59" s="184"/>
      <c r="K59" s="185"/>
      <c r="L59" s="185"/>
      <c r="M59" s="185">
        <f t="shared" ref="M59" si="42">K59-J59</f>
        <v>0</v>
      </c>
      <c r="N59" s="186" t="str">
        <f t="shared" ref="N59" si="43">IFERROR(K59/J59-1,"")</f>
        <v/>
      </c>
      <c r="O59" s="182"/>
      <c r="P59" s="182"/>
      <c r="Q59" s="230"/>
      <c r="R59" s="233"/>
      <c r="S59" s="191"/>
      <c r="T59" s="191"/>
    </row>
    <row r="60" spans="1:20" x14ac:dyDescent="0.25">
      <c r="A60" s="177"/>
      <c r="B60" s="178" t="str">
        <f t="shared" si="9"/>
        <v>Республика Бурятия</v>
      </c>
      <c r="C60" s="178" t="str">
        <f t="shared" si="9"/>
        <v>МРСК Сибири</v>
      </c>
      <c r="D60" s="179" t="str">
        <f t="shared" si="10"/>
        <v>Бурятэнерго</v>
      </c>
      <c r="E60" s="191" t="s">
        <v>230</v>
      </c>
      <c r="F60" s="181"/>
      <c r="G60" s="182"/>
      <c r="H60" s="182"/>
      <c r="I60" s="183"/>
      <c r="J60" s="184"/>
      <c r="K60" s="185"/>
      <c r="L60" s="185"/>
      <c r="M60" s="185">
        <f t="shared" si="5"/>
        <v>0</v>
      </c>
      <c r="N60" s="186" t="str">
        <f t="shared" si="6"/>
        <v/>
      </c>
      <c r="O60" s="182"/>
      <c r="P60" s="182"/>
      <c r="Q60" s="230"/>
      <c r="R60" s="233"/>
      <c r="S60" s="191"/>
      <c r="T60" s="191"/>
    </row>
    <row r="61" spans="1:20" x14ac:dyDescent="0.25">
      <c r="A61" s="168" t="s">
        <v>17</v>
      </c>
      <c r="B61" s="169" t="str">
        <f t="shared" si="9"/>
        <v>Республика Бурятия</v>
      </c>
      <c r="C61" s="169" t="str">
        <f t="shared" si="9"/>
        <v>МРСК Сибири</v>
      </c>
      <c r="D61" s="170" t="str">
        <f t="shared" si="10"/>
        <v>Бурятэнерго</v>
      </c>
      <c r="E61" s="171" t="s">
        <v>187</v>
      </c>
      <c r="F61" s="138"/>
      <c r="G61" s="139"/>
      <c r="H61" s="139"/>
      <c r="I61" s="140"/>
      <c r="J61" s="172">
        <f>SUM(J62:J65,J69)</f>
        <v>1.8094349999999999</v>
      </c>
      <c r="K61" s="172">
        <f>SUM(K62:K65,K69)</f>
        <v>1.82431389</v>
      </c>
      <c r="L61" s="173"/>
      <c r="M61" s="173">
        <f>K61-J61</f>
        <v>1.4878890000000089E-2</v>
      </c>
      <c r="N61" s="174">
        <f>IFERROR(K61/J61-1,"")</f>
        <v>8.2229480473186012E-3</v>
      </c>
      <c r="O61" s="139"/>
      <c r="P61" s="139"/>
      <c r="Q61" s="229"/>
      <c r="R61" s="232"/>
      <c r="S61" s="171"/>
      <c r="T61" s="171"/>
    </row>
    <row r="62" spans="1:20" x14ac:dyDescent="0.25">
      <c r="A62" s="177"/>
      <c r="B62" s="178" t="str">
        <f t="shared" si="9"/>
        <v>Республика Бурятия</v>
      </c>
      <c r="C62" s="178" t="str">
        <f t="shared" si="9"/>
        <v>МРСК Сибири</v>
      </c>
      <c r="D62" s="179" t="str">
        <f t="shared" si="10"/>
        <v>Бурятэнерго</v>
      </c>
      <c r="E62" s="191" t="s">
        <v>194</v>
      </c>
      <c r="F62" s="181"/>
      <c r="G62" s="182"/>
      <c r="H62" s="182"/>
      <c r="I62" s="183"/>
      <c r="J62" s="184"/>
      <c r="K62" s="185"/>
      <c r="L62" s="185"/>
      <c r="M62" s="185">
        <f t="shared" si="5"/>
        <v>0</v>
      </c>
      <c r="N62" s="186" t="str">
        <f t="shared" si="6"/>
        <v/>
      </c>
      <c r="O62" s="182"/>
      <c r="P62" s="182"/>
      <c r="Q62" s="230"/>
      <c r="R62" s="233"/>
      <c r="S62" s="191"/>
      <c r="T62" s="191"/>
    </row>
    <row r="63" spans="1:20" x14ac:dyDescent="0.25">
      <c r="A63" s="177"/>
      <c r="B63" s="178" t="str">
        <f t="shared" si="9"/>
        <v>Республика Бурятия</v>
      </c>
      <c r="C63" s="178" t="str">
        <f t="shared" si="9"/>
        <v>МРСК Сибири</v>
      </c>
      <c r="D63" s="179" t="str">
        <f t="shared" si="10"/>
        <v>Бурятэнерго</v>
      </c>
      <c r="E63" s="191" t="s">
        <v>196</v>
      </c>
      <c r="F63" s="181"/>
      <c r="G63" s="182"/>
      <c r="H63" s="182"/>
      <c r="I63" s="183"/>
      <c r="J63" s="184"/>
      <c r="K63" s="185"/>
      <c r="L63" s="185"/>
      <c r="M63" s="185">
        <f t="shared" si="5"/>
        <v>0</v>
      </c>
      <c r="N63" s="186" t="str">
        <f t="shared" si="6"/>
        <v/>
      </c>
      <c r="O63" s="182"/>
      <c r="P63" s="182"/>
      <c r="Q63" s="230"/>
      <c r="R63" s="233"/>
      <c r="S63" s="191"/>
      <c r="T63" s="191"/>
    </row>
    <row r="64" spans="1:20" x14ac:dyDescent="0.25">
      <c r="A64" s="177"/>
      <c r="B64" s="178" t="str">
        <f t="shared" si="9"/>
        <v>Республика Бурятия</v>
      </c>
      <c r="C64" s="178" t="str">
        <f t="shared" si="9"/>
        <v>МРСК Сибири</v>
      </c>
      <c r="D64" s="179" t="str">
        <f t="shared" si="10"/>
        <v>Бурятэнерго</v>
      </c>
      <c r="E64" s="191" t="s">
        <v>198</v>
      </c>
      <c r="F64" s="181"/>
      <c r="G64" s="182"/>
      <c r="H64" s="182"/>
      <c r="I64" s="183"/>
      <c r="J64" s="189"/>
      <c r="K64" s="190"/>
      <c r="L64" s="190"/>
      <c r="M64" s="185">
        <f t="shared" si="5"/>
        <v>0</v>
      </c>
      <c r="N64" s="186" t="str">
        <f t="shared" si="6"/>
        <v/>
      </c>
      <c r="O64" s="182"/>
      <c r="P64" s="182"/>
      <c r="Q64" s="230"/>
      <c r="R64" s="233"/>
      <c r="S64" s="191"/>
      <c r="T64" s="191"/>
    </row>
    <row r="65" spans="1:20" x14ac:dyDescent="0.25">
      <c r="A65" s="177"/>
      <c r="B65" s="178" t="str">
        <f t="shared" si="9"/>
        <v>Республика Бурятия</v>
      </c>
      <c r="C65" s="178" t="str">
        <f t="shared" si="9"/>
        <v>МРСК Сибири</v>
      </c>
      <c r="D65" s="179" t="str">
        <f t="shared" si="10"/>
        <v>Бурятэнерго</v>
      </c>
      <c r="E65" s="191" t="s">
        <v>229</v>
      </c>
      <c r="F65" s="181"/>
      <c r="G65" s="182"/>
      <c r="H65" s="182"/>
      <c r="I65" s="183"/>
      <c r="J65" s="184">
        <f>'для расчета'!U44</f>
        <v>1.563688</v>
      </c>
      <c r="K65" s="184">
        <f>'для расчета'!V44</f>
        <v>1.5490772500000001</v>
      </c>
      <c r="L65" s="185" t="s">
        <v>412</v>
      </c>
      <c r="M65" s="185">
        <f t="shared" ref="M65" si="44">K65-J65</f>
        <v>-1.4610749999999895E-2</v>
      </c>
      <c r="N65" s="186">
        <f t="shared" ref="N65" si="45">IFERROR(K65/J65-1,"")</f>
        <v>-9.3437757404289945E-3</v>
      </c>
      <c r="O65" s="182"/>
      <c r="P65" s="182"/>
      <c r="Q65" s="230"/>
      <c r="R65" s="233"/>
      <c r="S65" s="191"/>
      <c r="T65" s="191"/>
    </row>
    <row r="66" spans="1:20" outlineLevel="1" x14ac:dyDescent="0.25">
      <c r="A66" s="177"/>
      <c r="B66" s="178" t="str">
        <f t="shared" ref="B66:C66" si="46">B65</f>
        <v>Республика Бурятия</v>
      </c>
      <c r="C66" s="178" t="str">
        <f t="shared" si="46"/>
        <v>МРСК Сибири</v>
      </c>
      <c r="D66" s="179" t="str">
        <f t="shared" si="10"/>
        <v>Бурятэнерго</v>
      </c>
      <c r="E66" s="191" t="s">
        <v>324</v>
      </c>
      <c r="F66" s="181"/>
      <c r="G66" s="182"/>
      <c r="H66" s="182"/>
      <c r="I66" s="183"/>
      <c r="J66" s="184">
        <f>VLOOKUP(E66,потребители!$E$8:$K$94,6,0)/1000000</f>
        <v>0.36283500000000002</v>
      </c>
      <c r="K66" s="184">
        <f>VLOOKUP(E66,потребители!$E$8:$K$94,7,0)/1000000</f>
        <v>0.35316199999999998</v>
      </c>
      <c r="L66" s="185" t="s">
        <v>412</v>
      </c>
      <c r="M66" s="185">
        <f t="shared" ref="M66:M69" si="47">K66-J66</f>
        <v>-9.6730000000000427E-3</v>
      </c>
      <c r="N66" s="186">
        <f t="shared" ref="N66:N69" si="48">IFERROR(K66/J66-1,"")</f>
        <v>-2.6659500875053532E-2</v>
      </c>
      <c r="O66" s="182"/>
      <c r="P66" s="182"/>
      <c r="Q66" s="230"/>
      <c r="R66" s="233"/>
      <c r="S66" s="191"/>
      <c r="T66" s="191"/>
    </row>
    <row r="67" spans="1:20" outlineLevel="1" x14ac:dyDescent="0.25">
      <c r="A67" s="177"/>
      <c r="B67" s="178" t="str">
        <f t="shared" ref="B67:C67" si="49">B66</f>
        <v>Республика Бурятия</v>
      </c>
      <c r="C67" s="178" t="str">
        <f t="shared" si="49"/>
        <v>МРСК Сибири</v>
      </c>
      <c r="D67" s="179" t="str">
        <f t="shared" si="10"/>
        <v>Бурятэнерго</v>
      </c>
      <c r="E67" s="191" t="s">
        <v>370</v>
      </c>
      <c r="F67" s="181"/>
      <c r="G67" s="182"/>
      <c r="H67" s="182"/>
      <c r="I67" s="183"/>
      <c r="J67" s="184">
        <f>VLOOKUP(E67,потребители!$E$8:$K$94,6,0)/1000000</f>
        <v>1.168299</v>
      </c>
      <c r="K67" s="184">
        <f>VLOOKUP(E67,потребители!$E$8:$K$94,7,0)/1000000</f>
        <v>1.16265525</v>
      </c>
      <c r="L67" s="185" t="s">
        <v>412</v>
      </c>
      <c r="M67" s="185">
        <f t="shared" si="47"/>
        <v>-5.6437499999999474E-3</v>
      </c>
      <c r="N67" s="186">
        <f t="shared" si="48"/>
        <v>-4.8307411030908964E-3</v>
      </c>
      <c r="O67" s="182"/>
      <c r="P67" s="182"/>
      <c r="Q67" s="230"/>
      <c r="R67" s="233"/>
      <c r="S67" s="191"/>
      <c r="T67" s="191"/>
    </row>
    <row r="68" spans="1:20" outlineLevel="1" x14ac:dyDescent="0.25">
      <c r="A68" s="177"/>
      <c r="B68" s="178" t="str">
        <f t="shared" ref="B68:C68" si="50">B67</f>
        <v>Республика Бурятия</v>
      </c>
      <c r="C68" s="178" t="str">
        <f t="shared" si="50"/>
        <v>МРСК Сибири</v>
      </c>
      <c r="D68" s="179" t="str">
        <f t="shared" si="10"/>
        <v>Бурятэнерго</v>
      </c>
      <c r="E68" s="191" t="s">
        <v>395</v>
      </c>
      <c r="F68" s="181"/>
      <c r="G68" s="182"/>
      <c r="H68" s="182"/>
      <c r="I68" s="183"/>
      <c r="J68" s="184">
        <f>VLOOKUP(E68,потребители!$E$8:$K$94,6,0)/1000000</f>
        <v>3.2554000000000007E-2</v>
      </c>
      <c r="K68" s="184">
        <f>VLOOKUP(E68,потребители!$E$8:$K$94,7,0)/1000000</f>
        <v>3.3259999999999998E-2</v>
      </c>
      <c r="L68" s="185" t="s">
        <v>412</v>
      </c>
      <c r="M68" s="185">
        <f t="shared" si="47"/>
        <v>7.0599999999999136E-4</v>
      </c>
      <c r="N68" s="186">
        <f t="shared" si="48"/>
        <v>2.1687043066904055E-2</v>
      </c>
      <c r="O68" s="182"/>
      <c r="P68" s="182"/>
      <c r="Q68" s="230"/>
      <c r="R68" s="233"/>
      <c r="S68" s="191"/>
      <c r="T68" s="191"/>
    </row>
    <row r="69" spans="1:20" x14ac:dyDescent="0.25">
      <c r="A69" s="177"/>
      <c r="B69" s="178" t="str">
        <f t="shared" ref="B69:C69" si="51">B68</f>
        <v>Республика Бурятия</v>
      </c>
      <c r="C69" s="178" t="str">
        <f t="shared" si="51"/>
        <v>МРСК Сибири</v>
      </c>
      <c r="D69" s="179" t="str">
        <f t="shared" si="10"/>
        <v>Бурятэнерго</v>
      </c>
      <c r="E69" s="191" t="s">
        <v>230</v>
      </c>
      <c r="F69" s="181"/>
      <c r="G69" s="182"/>
      <c r="H69" s="182"/>
      <c r="I69" s="183"/>
      <c r="J69" s="189">
        <f>'для расчета'!U45</f>
        <v>0.24574699999999994</v>
      </c>
      <c r="K69" s="189">
        <f>'для расчета'!V45</f>
        <v>0.27523663999999998</v>
      </c>
      <c r="L69" s="185"/>
      <c r="M69" s="185">
        <f t="shared" si="47"/>
        <v>2.9489640000000039E-2</v>
      </c>
      <c r="N69" s="186">
        <f t="shared" si="48"/>
        <v>0.12000000000000011</v>
      </c>
      <c r="O69" s="182"/>
      <c r="P69" s="182"/>
      <c r="Q69" s="230"/>
      <c r="R69" s="233"/>
      <c r="S69" s="191" t="s">
        <v>407</v>
      </c>
      <c r="T69" s="191"/>
    </row>
    <row r="70" spans="1:20" x14ac:dyDescent="0.25">
      <c r="A70" s="168" t="s">
        <v>19</v>
      </c>
      <c r="B70" s="169" t="str">
        <f t="shared" si="9"/>
        <v>Республика Бурятия</v>
      </c>
      <c r="C70" s="169" t="str">
        <f t="shared" si="9"/>
        <v>МРСК Сибири</v>
      </c>
      <c r="D70" s="170" t="str">
        <f t="shared" si="10"/>
        <v>Бурятэнерго</v>
      </c>
      <c r="E70" s="171" t="s">
        <v>188</v>
      </c>
      <c r="F70" s="138"/>
      <c r="G70" s="139"/>
      <c r="H70" s="139"/>
      <c r="I70" s="140"/>
      <c r="J70" s="172">
        <f>SUM(J71:J74,J89)</f>
        <v>52.444212999999998</v>
      </c>
      <c r="K70" s="172">
        <f>SUM(K71:K74,K89)</f>
        <v>61.031238999999999</v>
      </c>
      <c r="L70" s="173"/>
      <c r="M70" s="173">
        <f t="shared" si="5"/>
        <v>8.5870260000000016</v>
      </c>
      <c r="N70" s="174">
        <f t="shared" si="6"/>
        <v>0.16373638784511835</v>
      </c>
      <c r="O70" s="139"/>
      <c r="P70" s="139"/>
      <c r="Q70" s="229"/>
      <c r="R70" s="232"/>
      <c r="S70" s="171"/>
      <c r="T70" s="171"/>
    </row>
    <row r="71" spans="1:20" x14ac:dyDescent="0.25">
      <c r="A71" s="177"/>
      <c r="B71" s="178" t="str">
        <f t="shared" si="9"/>
        <v>Республика Бурятия</v>
      </c>
      <c r="C71" s="178" t="str">
        <f t="shared" si="9"/>
        <v>МРСК Сибири</v>
      </c>
      <c r="D71" s="179" t="str">
        <f t="shared" si="10"/>
        <v>Бурятэнерго</v>
      </c>
      <c r="E71" s="191" t="s">
        <v>194</v>
      </c>
      <c r="F71" s="181"/>
      <c r="G71" s="182"/>
      <c r="H71" s="182"/>
      <c r="I71" s="183"/>
      <c r="J71" s="189"/>
      <c r="K71" s="190"/>
      <c r="L71" s="190"/>
      <c r="M71" s="185">
        <f t="shared" si="5"/>
        <v>0</v>
      </c>
      <c r="N71" s="186" t="str">
        <f t="shared" si="6"/>
        <v/>
      </c>
      <c r="O71" s="182"/>
      <c r="P71" s="182"/>
      <c r="Q71" s="230"/>
      <c r="R71" s="233"/>
      <c r="S71" s="191"/>
      <c r="T71" s="191"/>
    </row>
    <row r="72" spans="1:20" x14ac:dyDescent="0.25">
      <c r="A72" s="177"/>
      <c r="B72" s="178" t="str">
        <f t="shared" si="9"/>
        <v>Республика Бурятия</v>
      </c>
      <c r="C72" s="178" t="str">
        <f t="shared" si="9"/>
        <v>МРСК Сибири</v>
      </c>
      <c r="D72" s="179" t="str">
        <f t="shared" si="10"/>
        <v>Бурятэнерго</v>
      </c>
      <c r="E72" s="191" t="s">
        <v>196</v>
      </c>
      <c r="F72" s="181"/>
      <c r="G72" s="182"/>
      <c r="H72" s="182"/>
      <c r="I72" s="183"/>
      <c r="J72" s="189"/>
      <c r="K72" s="190"/>
      <c r="L72" s="190"/>
      <c r="M72" s="185">
        <f t="shared" si="5"/>
        <v>0</v>
      </c>
      <c r="N72" s="186" t="str">
        <f t="shared" si="6"/>
        <v/>
      </c>
      <c r="O72" s="182"/>
      <c r="P72" s="182"/>
      <c r="Q72" s="230"/>
      <c r="R72" s="233"/>
      <c r="S72" s="191"/>
      <c r="T72" s="191"/>
    </row>
    <row r="73" spans="1:20" x14ac:dyDescent="0.25">
      <c r="A73" s="177"/>
      <c r="B73" s="178" t="str">
        <f t="shared" si="9"/>
        <v>Республика Бурятия</v>
      </c>
      <c r="C73" s="178" t="str">
        <f t="shared" si="9"/>
        <v>МРСК Сибири</v>
      </c>
      <c r="D73" s="179" t="str">
        <f t="shared" si="10"/>
        <v>Бурятэнерго</v>
      </c>
      <c r="E73" s="191" t="s">
        <v>198</v>
      </c>
      <c r="F73" s="181"/>
      <c r="G73" s="182"/>
      <c r="H73" s="182"/>
      <c r="I73" s="183"/>
      <c r="J73" s="189"/>
      <c r="K73" s="190"/>
      <c r="L73" s="190"/>
      <c r="M73" s="185">
        <f t="shared" si="5"/>
        <v>0</v>
      </c>
      <c r="N73" s="186" t="str">
        <f t="shared" si="6"/>
        <v/>
      </c>
      <c r="O73" s="182"/>
      <c r="P73" s="182"/>
      <c r="Q73" s="230"/>
      <c r="R73" s="233"/>
      <c r="S73" s="191"/>
      <c r="T73" s="191"/>
    </row>
    <row r="74" spans="1:20" x14ac:dyDescent="0.25">
      <c r="A74" s="177"/>
      <c r="B74" s="178" t="str">
        <f t="shared" si="9"/>
        <v>Республика Бурятия</v>
      </c>
      <c r="C74" s="178" t="str">
        <f t="shared" si="9"/>
        <v>МРСК Сибири</v>
      </c>
      <c r="D74" s="179" t="str">
        <f t="shared" si="10"/>
        <v>Бурятэнерго</v>
      </c>
      <c r="E74" s="191" t="s">
        <v>229</v>
      </c>
      <c r="F74" s="181"/>
      <c r="G74" s="182"/>
      <c r="H74" s="182"/>
      <c r="I74" s="183"/>
      <c r="J74" s="184">
        <f>'для расчета'!U50</f>
        <v>5.1289269999999947</v>
      </c>
      <c r="K74" s="184">
        <f>'для расчета'!V50</f>
        <v>4.8942389999999998</v>
      </c>
      <c r="L74" s="185" t="s">
        <v>412</v>
      </c>
      <c r="M74" s="185">
        <f t="shared" ref="M74" si="52">K74-J74</f>
        <v>-0.2346879999999949</v>
      </c>
      <c r="N74" s="186">
        <f t="shared" ref="N74" si="53">IFERROR(K74/J74-1,"")</f>
        <v>-4.5757718914696044E-2</v>
      </c>
      <c r="O74" s="182"/>
      <c r="P74" s="182"/>
      <c r="Q74" s="230"/>
      <c r="R74" s="233"/>
      <c r="S74" s="180" t="s">
        <v>406</v>
      </c>
      <c r="T74" s="191"/>
    </row>
    <row r="75" spans="1:20" ht="14.25" customHeight="1" outlineLevel="1" x14ac:dyDescent="0.25">
      <c r="A75" s="177"/>
      <c r="B75" s="178" t="str">
        <f t="shared" ref="B75:C75" si="54">B74</f>
        <v>Республика Бурятия</v>
      </c>
      <c r="C75" s="178" t="str">
        <f t="shared" si="54"/>
        <v>МРСК Сибири</v>
      </c>
      <c r="D75" s="179" t="str">
        <f t="shared" si="10"/>
        <v>Бурятэнерго</v>
      </c>
      <c r="E75" s="348" t="s">
        <v>305</v>
      </c>
      <c r="F75" s="181"/>
      <c r="G75" s="182"/>
      <c r="H75" s="182"/>
      <c r="I75" s="183"/>
      <c r="J75" s="184">
        <f>VLOOKUP(E75,потребители!$E$8:$K$94,6,0)/1000000</f>
        <v>0.229658</v>
      </c>
      <c r="K75" s="184">
        <f>VLOOKUP(E75,потребители!$E$8:$K$94,7,0)/1000000</f>
        <v>0.16143199999999999</v>
      </c>
      <c r="L75" s="185" t="s">
        <v>412</v>
      </c>
      <c r="M75" s="185">
        <f t="shared" ref="M75:M88" si="55">K75-J75</f>
        <v>-6.8226000000000009E-2</v>
      </c>
      <c r="N75" s="186">
        <f t="shared" ref="N75:N88" si="56">IFERROR(K75/J75-1,"")</f>
        <v>-0.29707652248125482</v>
      </c>
      <c r="O75" s="182"/>
      <c r="P75" s="182"/>
      <c r="Q75" s="230"/>
      <c r="R75" s="233"/>
      <c r="S75" s="180"/>
      <c r="T75" s="191"/>
    </row>
    <row r="76" spans="1:20" ht="32.25" customHeight="1" outlineLevel="1" x14ac:dyDescent="0.25">
      <c r="A76" s="177"/>
      <c r="B76" s="178" t="str">
        <f t="shared" ref="B76:C76" si="57">B75</f>
        <v>Республика Бурятия</v>
      </c>
      <c r="C76" s="178" t="str">
        <f t="shared" si="57"/>
        <v>МРСК Сибири</v>
      </c>
      <c r="D76" s="179" t="str">
        <f t="shared" si="10"/>
        <v>Бурятэнерго</v>
      </c>
      <c r="E76" s="348" t="s">
        <v>418</v>
      </c>
      <c r="F76" s="181"/>
      <c r="G76" s="182"/>
      <c r="H76" s="182"/>
      <c r="I76" s="183"/>
      <c r="J76" s="184">
        <f>VLOOKUP(E76,потребители!$E$8:$K$94,6,0)/1000000</f>
        <v>0.37862600000000002</v>
      </c>
      <c r="K76" s="184">
        <f>VLOOKUP(E76,потребители!$E$8:$K$94,7,0)/1000000</f>
        <v>0.363485</v>
      </c>
      <c r="L76" s="185" t="s">
        <v>412</v>
      </c>
      <c r="M76" s="185">
        <f t="shared" si="55"/>
        <v>-1.5141000000000016E-2</v>
      </c>
      <c r="N76" s="186">
        <f t="shared" si="56"/>
        <v>-3.9989329840000476E-2</v>
      </c>
      <c r="O76" s="182"/>
      <c r="P76" s="182"/>
      <c r="Q76" s="230"/>
      <c r="R76" s="233"/>
      <c r="S76" s="180"/>
      <c r="T76" s="191"/>
    </row>
    <row r="77" spans="1:20" ht="31.5" customHeight="1" outlineLevel="1" x14ac:dyDescent="0.25">
      <c r="A77" s="177"/>
      <c r="B77" s="178" t="str">
        <f t="shared" ref="B77:C77" si="58">B76</f>
        <v>Республика Бурятия</v>
      </c>
      <c r="C77" s="178" t="str">
        <f t="shared" si="58"/>
        <v>МРСК Сибири</v>
      </c>
      <c r="D77" s="179" t="str">
        <f t="shared" si="10"/>
        <v>Бурятэнерго</v>
      </c>
      <c r="E77" s="348" t="s">
        <v>419</v>
      </c>
      <c r="F77" s="181"/>
      <c r="G77" s="182"/>
      <c r="H77" s="182"/>
      <c r="I77" s="183"/>
      <c r="J77" s="184">
        <f>VLOOKUP(E77,потребители!$E$8:$K$94,6,0)/1000000</f>
        <v>0.413657</v>
      </c>
      <c r="K77" s="184">
        <f>VLOOKUP(E77,потребители!$E$8:$K$94,7,0)/1000000</f>
        <v>0.39426099999999997</v>
      </c>
      <c r="L77" s="185" t="s">
        <v>412</v>
      </c>
      <c r="M77" s="185">
        <f t="shared" si="55"/>
        <v>-1.9396000000000024E-2</v>
      </c>
      <c r="N77" s="186">
        <f t="shared" si="56"/>
        <v>-4.6889089269612327E-2</v>
      </c>
      <c r="O77" s="182"/>
      <c r="P77" s="182"/>
      <c r="Q77" s="230"/>
      <c r="R77" s="233"/>
      <c r="S77" s="180"/>
      <c r="T77" s="191"/>
    </row>
    <row r="78" spans="1:20" ht="14.25" customHeight="1" outlineLevel="1" x14ac:dyDescent="0.25">
      <c r="A78" s="177"/>
      <c r="B78" s="178" t="str">
        <f t="shared" ref="B78:C78" si="59">B77</f>
        <v>Республика Бурятия</v>
      </c>
      <c r="C78" s="178" t="str">
        <f t="shared" si="59"/>
        <v>МРСК Сибири</v>
      </c>
      <c r="D78" s="179" t="str">
        <f t="shared" si="10"/>
        <v>Бурятэнерго</v>
      </c>
      <c r="E78" s="348" t="s">
        <v>311</v>
      </c>
      <c r="F78" s="181"/>
      <c r="G78" s="182"/>
      <c r="H78" s="182"/>
      <c r="I78" s="183"/>
      <c r="J78" s="184">
        <f>VLOOKUP(E78,потребители!$E$8:$K$94,6,0)/1000000</f>
        <v>0.18070800000000001</v>
      </c>
      <c r="K78" s="184">
        <f>VLOOKUP(E78,потребители!$E$8:$K$94,7,0)/1000000</f>
        <v>0.138685</v>
      </c>
      <c r="L78" s="185" t="s">
        <v>412</v>
      </c>
      <c r="M78" s="185">
        <f t="shared" si="55"/>
        <v>-4.2023000000000005E-2</v>
      </c>
      <c r="N78" s="186">
        <f t="shared" si="56"/>
        <v>-0.2325464284923745</v>
      </c>
      <c r="O78" s="182"/>
      <c r="P78" s="182"/>
      <c r="Q78" s="230"/>
      <c r="R78" s="233"/>
      <c r="S78" s="180"/>
      <c r="T78" s="191"/>
    </row>
    <row r="79" spans="1:20" ht="14.25" customHeight="1" outlineLevel="1" x14ac:dyDescent="0.25">
      <c r="A79" s="177"/>
      <c r="B79" s="178" t="str">
        <f t="shared" ref="B79:C79" si="60">B78</f>
        <v>Республика Бурятия</v>
      </c>
      <c r="C79" s="178" t="str">
        <f t="shared" si="60"/>
        <v>МРСК Сибири</v>
      </c>
      <c r="D79" s="179" t="str">
        <f t="shared" si="10"/>
        <v>Бурятэнерго</v>
      </c>
      <c r="E79" s="348" t="s">
        <v>313</v>
      </c>
      <c r="F79" s="181"/>
      <c r="G79" s="182"/>
      <c r="H79" s="182"/>
      <c r="I79" s="183"/>
      <c r="J79" s="184">
        <f>VLOOKUP(E79,потребители!$E$8:$K$94,6,0)/1000000</f>
        <v>0.33077800000000002</v>
      </c>
      <c r="K79" s="184">
        <f>VLOOKUP(E79,потребители!$E$8:$K$94,7,0)/1000000</f>
        <v>0.31384800000000002</v>
      </c>
      <c r="L79" s="185" t="s">
        <v>412</v>
      </c>
      <c r="M79" s="185">
        <f t="shared" si="55"/>
        <v>-1.6930000000000001E-2</v>
      </c>
      <c r="N79" s="186">
        <f t="shared" si="56"/>
        <v>-5.1182364002442693E-2</v>
      </c>
      <c r="O79" s="182"/>
      <c r="P79" s="182"/>
      <c r="Q79" s="230"/>
      <c r="R79" s="233"/>
      <c r="S79" s="180"/>
      <c r="T79" s="191"/>
    </row>
    <row r="80" spans="1:20" ht="14.25" customHeight="1" outlineLevel="1" x14ac:dyDescent="0.25">
      <c r="A80" s="177"/>
      <c r="B80" s="178" t="str">
        <f t="shared" ref="B80:C80" si="61">B79</f>
        <v>Республика Бурятия</v>
      </c>
      <c r="C80" s="178" t="str">
        <f t="shared" si="61"/>
        <v>МРСК Сибири</v>
      </c>
      <c r="D80" s="179" t="str">
        <f t="shared" si="10"/>
        <v>Бурятэнерго</v>
      </c>
      <c r="E80" s="348" t="s">
        <v>315</v>
      </c>
      <c r="F80" s="181"/>
      <c r="G80" s="182"/>
      <c r="H80" s="182"/>
      <c r="I80" s="183"/>
      <c r="J80" s="184">
        <f>VLOOKUP(E80,потребители!$E$8:$K$94,6,0)/1000000</f>
        <v>1.4790909999999999</v>
      </c>
      <c r="K80" s="184">
        <f>VLOOKUP(E80,потребители!$E$8:$K$94,7,0)/1000000</f>
        <v>1.4578960000000001</v>
      </c>
      <c r="L80" s="185" t="s">
        <v>412</v>
      </c>
      <c r="M80" s="185">
        <f t="shared" si="55"/>
        <v>-2.1194999999999853E-2</v>
      </c>
      <c r="N80" s="186">
        <f t="shared" si="56"/>
        <v>-1.4329747121711867E-2</v>
      </c>
      <c r="O80" s="182"/>
      <c r="P80" s="182"/>
      <c r="Q80" s="230"/>
      <c r="R80" s="233"/>
      <c r="S80" s="180"/>
      <c r="T80" s="191"/>
    </row>
    <row r="81" spans="1:20" ht="14.25" customHeight="1" outlineLevel="1" x14ac:dyDescent="0.25">
      <c r="A81" s="177"/>
      <c r="B81" s="178" t="str">
        <f t="shared" ref="B81:C81" si="62">B80</f>
        <v>Республика Бурятия</v>
      </c>
      <c r="C81" s="178" t="str">
        <f t="shared" si="62"/>
        <v>МРСК Сибири</v>
      </c>
      <c r="D81" s="179" t="str">
        <f t="shared" si="10"/>
        <v>Бурятэнерго</v>
      </c>
      <c r="E81" s="348" t="s">
        <v>247</v>
      </c>
      <c r="F81" s="181"/>
      <c r="G81" s="182"/>
      <c r="H81" s="182"/>
      <c r="I81" s="183"/>
      <c r="J81" s="184">
        <f>VLOOKUP(E81,потребители!$E$8:$K$94,6,0)/1000000</f>
        <v>0.183528</v>
      </c>
      <c r="K81" s="184">
        <f>VLOOKUP(E81,потребители!$E$8:$K$94,7,0)/1000000</f>
        <v>0.18402499999999999</v>
      </c>
      <c r="L81" s="185" t="s">
        <v>412</v>
      </c>
      <c r="M81" s="185">
        <f t="shared" si="55"/>
        <v>4.9699999999999744E-4</v>
      </c>
      <c r="N81" s="186">
        <f t="shared" si="56"/>
        <v>2.7080336515408199E-3</v>
      </c>
      <c r="O81" s="182"/>
      <c r="P81" s="182"/>
      <c r="Q81" s="230"/>
      <c r="R81" s="233"/>
      <c r="S81" s="180"/>
      <c r="T81" s="191"/>
    </row>
    <row r="82" spans="1:20" ht="14.25" customHeight="1" outlineLevel="1" x14ac:dyDescent="0.25">
      <c r="A82" s="177"/>
      <c r="B82" s="178" t="str">
        <f t="shared" ref="B82:C82" si="63">B81</f>
        <v>Республика Бурятия</v>
      </c>
      <c r="C82" s="178" t="str">
        <f t="shared" si="63"/>
        <v>МРСК Сибири</v>
      </c>
      <c r="D82" s="179" t="str">
        <f t="shared" si="10"/>
        <v>Бурятэнерго</v>
      </c>
      <c r="E82" s="348" t="s">
        <v>334</v>
      </c>
      <c r="F82" s="181"/>
      <c r="G82" s="182"/>
      <c r="H82" s="182"/>
      <c r="I82" s="183"/>
      <c r="J82" s="184">
        <f>VLOOKUP(E82,потребители!$E$8:$K$94,6,0)/1000000</f>
        <v>0.60622399999999999</v>
      </c>
      <c r="K82" s="184">
        <f>VLOOKUP(E82,потребители!$E$8:$K$94,7,0)/1000000</f>
        <v>0.57745999999999997</v>
      </c>
      <c r="L82" s="185" t="s">
        <v>412</v>
      </c>
      <c r="M82" s="185">
        <f t="shared" si="55"/>
        <v>-2.8764000000000012E-2</v>
      </c>
      <c r="N82" s="186">
        <f t="shared" si="56"/>
        <v>-4.7447808070944064E-2</v>
      </c>
      <c r="O82" s="182"/>
      <c r="P82" s="182"/>
      <c r="Q82" s="230"/>
      <c r="R82" s="233"/>
      <c r="S82" s="180"/>
      <c r="T82" s="191"/>
    </row>
    <row r="83" spans="1:20" ht="14.25" customHeight="1" outlineLevel="1" x14ac:dyDescent="0.25">
      <c r="A83" s="177"/>
      <c r="B83" s="178" t="str">
        <f t="shared" ref="B83:C83" si="64">B82</f>
        <v>Республика Бурятия</v>
      </c>
      <c r="C83" s="178" t="str">
        <f t="shared" si="64"/>
        <v>МРСК Сибири</v>
      </c>
      <c r="D83" s="179" t="str">
        <f t="shared" si="10"/>
        <v>Бурятэнерго</v>
      </c>
      <c r="E83" s="348" t="s">
        <v>338</v>
      </c>
      <c r="F83" s="181"/>
      <c r="G83" s="182"/>
      <c r="H83" s="182"/>
      <c r="I83" s="183"/>
      <c r="J83" s="184">
        <f>VLOOKUP(E83,потребители!$E$8:$K$94,6,0)/1000000</f>
        <v>0.31604899999999403</v>
      </c>
      <c r="K83" s="184">
        <f>VLOOKUP(E83,потребители!$E$8:$K$94,7,0)/1000000</f>
        <v>0.26593299999999997</v>
      </c>
      <c r="L83" s="185" t="s">
        <v>412</v>
      </c>
      <c r="M83" s="185">
        <f t="shared" si="55"/>
        <v>-5.0115999999994054E-2</v>
      </c>
      <c r="N83" s="186">
        <f t="shared" si="56"/>
        <v>-0.15857034826876526</v>
      </c>
      <c r="O83" s="182"/>
      <c r="P83" s="182"/>
      <c r="Q83" s="230"/>
      <c r="R83" s="233"/>
      <c r="S83" s="180"/>
      <c r="T83" s="191"/>
    </row>
    <row r="84" spans="1:20" ht="14.25" customHeight="1" outlineLevel="1" x14ac:dyDescent="0.25">
      <c r="A84" s="177"/>
      <c r="B84" s="178" t="str">
        <f t="shared" ref="B84:C84" si="65">B83</f>
        <v>Республика Бурятия</v>
      </c>
      <c r="C84" s="178" t="str">
        <f t="shared" si="65"/>
        <v>МРСК Сибири</v>
      </c>
      <c r="D84" s="179" t="str">
        <f t="shared" si="10"/>
        <v>Бурятэнерго</v>
      </c>
      <c r="E84" s="348" t="s">
        <v>361</v>
      </c>
      <c r="F84" s="181"/>
      <c r="G84" s="182"/>
      <c r="H84" s="182"/>
      <c r="I84" s="183"/>
      <c r="J84" s="184">
        <f>VLOOKUP(E84,потребители!$E$8:$K$94,6,0)/1000000</f>
        <v>0.38939800000000002</v>
      </c>
      <c r="K84" s="184">
        <f>VLOOKUP(E84,потребители!$E$8:$K$94,7,0)/1000000</f>
        <v>0.36987100000000001</v>
      </c>
      <c r="L84" s="185" t="s">
        <v>412</v>
      </c>
      <c r="M84" s="185">
        <f t="shared" si="55"/>
        <v>-1.9527000000000017E-2</v>
      </c>
      <c r="N84" s="186">
        <f t="shared" si="56"/>
        <v>-5.0146636603166983E-2</v>
      </c>
      <c r="O84" s="182"/>
      <c r="P84" s="182"/>
      <c r="Q84" s="230"/>
      <c r="R84" s="233"/>
      <c r="S84" s="180"/>
      <c r="T84" s="191"/>
    </row>
    <row r="85" spans="1:20" ht="14.25" customHeight="1" outlineLevel="1" x14ac:dyDescent="0.25">
      <c r="A85" s="177"/>
      <c r="B85" s="178" t="str">
        <f t="shared" ref="B85:C85" si="66">B84</f>
        <v>Республика Бурятия</v>
      </c>
      <c r="C85" s="178" t="str">
        <f t="shared" si="66"/>
        <v>МРСК Сибири</v>
      </c>
      <c r="D85" s="179" t="str">
        <f t="shared" si="10"/>
        <v>Бурятэнерго</v>
      </c>
      <c r="E85" s="348" t="s">
        <v>387</v>
      </c>
      <c r="F85" s="181"/>
      <c r="G85" s="182"/>
      <c r="H85" s="182"/>
      <c r="I85" s="183"/>
      <c r="J85" s="184">
        <f>VLOOKUP(E85,потребители!$E$8:$K$94,6,0)/1000000</f>
        <v>9.3200000000000002E-3</v>
      </c>
      <c r="K85" s="184">
        <f>VLOOKUP(E85,потребители!$E$8:$K$94,7,0)/1000000</f>
        <v>8.7399999999999995E-3</v>
      </c>
      <c r="L85" s="185" t="s">
        <v>412</v>
      </c>
      <c r="M85" s="185">
        <f t="shared" si="55"/>
        <v>-5.8000000000000065E-4</v>
      </c>
      <c r="N85" s="186">
        <f t="shared" si="56"/>
        <v>-6.2231759656652397E-2</v>
      </c>
      <c r="O85" s="182"/>
      <c r="P85" s="182"/>
      <c r="Q85" s="230"/>
      <c r="R85" s="233"/>
      <c r="S85" s="180"/>
      <c r="T85" s="191"/>
    </row>
    <row r="86" spans="1:20" ht="14.25" customHeight="1" outlineLevel="1" x14ac:dyDescent="0.25">
      <c r="A86" s="177"/>
      <c r="B86" s="178" t="str">
        <f t="shared" ref="B86:C86" si="67">B85</f>
        <v>Республика Бурятия</v>
      </c>
      <c r="C86" s="178" t="str">
        <f t="shared" si="67"/>
        <v>МРСК Сибири</v>
      </c>
      <c r="D86" s="179" t="str">
        <f t="shared" si="10"/>
        <v>Бурятэнерго</v>
      </c>
      <c r="E86" s="348" t="s">
        <v>392</v>
      </c>
      <c r="F86" s="181"/>
      <c r="G86" s="182"/>
      <c r="H86" s="182"/>
      <c r="I86" s="183"/>
      <c r="J86" s="184">
        <f>VLOOKUP(E86,потребители!$E$8:$K$94,6,0)/1000000</f>
        <v>0.12306300000000001</v>
      </c>
      <c r="K86" s="184">
        <f>VLOOKUP(E86,потребители!$E$8:$K$94,7,0)/1000000</f>
        <v>0.117946</v>
      </c>
      <c r="L86" s="185" t="s">
        <v>412</v>
      </c>
      <c r="M86" s="185">
        <f t="shared" si="55"/>
        <v>-5.1170000000000104E-3</v>
      </c>
      <c r="N86" s="186">
        <f t="shared" si="56"/>
        <v>-4.1580328774692754E-2</v>
      </c>
      <c r="O86" s="182"/>
      <c r="P86" s="182"/>
      <c r="Q86" s="230"/>
      <c r="R86" s="233"/>
      <c r="S86" s="180"/>
      <c r="T86" s="191"/>
    </row>
    <row r="87" spans="1:20" ht="14.25" customHeight="1" outlineLevel="1" x14ac:dyDescent="0.25">
      <c r="A87" s="177"/>
      <c r="B87" s="178" t="str">
        <f t="shared" ref="B87:C87" si="68">B86</f>
        <v>Республика Бурятия</v>
      </c>
      <c r="C87" s="178" t="str">
        <f t="shared" si="68"/>
        <v>МРСК Сибири</v>
      </c>
      <c r="D87" s="179" t="str">
        <f t="shared" si="10"/>
        <v>Бурятэнерго</v>
      </c>
      <c r="E87" s="348" t="s">
        <v>396</v>
      </c>
      <c r="F87" s="181"/>
      <c r="G87" s="182"/>
      <c r="H87" s="182"/>
      <c r="I87" s="183"/>
      <c r="J87" s="184">
        <f>VLOOKUP(E87,потребители!$E$8:$K$94,6,0)/1000000</f>
        <v>8.4765999999999994E-2</v>
      </c>
      <c r="K87" s="184">
        <f>VLOOKUP(E87,потребители!$E$8:$K$94,7,0)/1000000</f>
        <v>8.0874000000000001E-2</v>
      </c>
      <c r="L87" s="185" t="s">
        <v>412</v>
      </c>
      <c r="M87" s="185">
        <f t="shared" si="55"/>
        <v>-3.8919999999999927E-3</v>
      </c>
      <c r="N87" s="186">
        <f t="shared" si="56"/>
        <v>-4.5914635585022179E-2</v>
      </c>
      <c r="O87" s="182"/>
      <c r="P87" s="182"/>
      <c r="Q87" s="230"/>
      <c r="R87" s="233"/>
      <c r="S87" s="180"/>
      <c r="T87" s="191"/>
    </row>
    <row r="88" spans="1:20" ht="14.25" customHeight="1" outlineLevel="1" x14ac:dyDescent="0.25">
      <c r="A88" s="177"/>
      <c r="B88" s="178" t="str">
        <f t="shared" ref="B88:C88" si="69">B87</f>
        <v>Республика Бурятия</v>
      </c>
      <c r="C88" s="178" t="str">
        <f t="shared" si="69"/>
        <v>МРСК Сибири</v>
      </c>
      <c r="D88" s="179" t="str">
        <f t="shared" si="10"/>
        <v>Бурятэнерго</v>
      </c>
      <c r="E88" s="348" t="s">
        <v>400</v>
      </c>
      <c r="F88" s="181"/>
      <c r="G88" s="182"/>
      <c r="H88" s="182"/>
      <c r="I88" s="183"/>
      <c r="J88" s="184">
        <f>VLOOKUP(E88,потребители!$E$8:$K$94,6,0)/1000000</f>
        <v>0.404061</v>
      </c>
      <c r="K88" s="184">
        <f>VLOOKUP(E88,потребители!$E$8:$K$94,7,0)/1000000</f>
        <v>0.459783</v>
      </c>
      <c r="L88" s="185" t="s">
        <v>412</v>
      </c>
      <c r="M88" s="185">
        <f t="shared" si="55"/>
        <v>5.5721999999999994E-2</v>
      </c>
      <c r="N88" s="186">
        <f t="shared" si="56"/>
        <v>0.13790492029668777</v>
      </c>
      <c r="O88" s="182"/>
      <c r="P88" s="182"/>
      <c r="Q88" s="230"/>
      <c r="R88" s="233"/>
      <c r="S88" s="180"/>
      <c r="T88" s="191"/>
    </row>
    <row r="89" spans="1:20" ht="26.25" x14ac:dyDescent="0.25">
      <c r="A89" s="177"/>
      <c r="B89" s="178" t="str">
        <f>B74</f>
        <v>Республика Бурятия</v>
      </c>
      <c r="C89" s="178" t="str">
        <f>C74</f>
        <v>МРСК Сибири</v>
      </c>
      <c r="D89" s="179" t="str">
        <f>D74</f>
        <v>Бурятэнерго</v>
      </c>
      <c r="E89" s="191" t="s">
        <v>230</v>
      </c>
      <c r="F89" s="181"/>
      <c r="G89" s="182"/>
      <c r="H89" s="182"/>
      <c r="I89" s="183"/>
      <c r="J89" s="184">
        <f>'для расчета'!U51</f>
        <v>47.315286</v>
      </c>
      <c r="K89" s="184">
        <f>'для расчета'!V51</f>
        <v>56.137</v>
      </c>
      <c r="L89" s="185"/>
      <c r="M89" s="185">
        <f t="shared" si="5"/>
        <v>8.8217140000000001</v>
      </c>
      <c r="N89" s="186">
        <f t="shared" si="6"/>
        <v>0.18644532762625587</v>
      </c>
      <c r="O89" s="182"/>
      <c r="P89" s="182"/>
      <c r="Q89" s="230"/>
      <c r="R89" s="233"/>
      <c r="S89" s="180" t="s">
        <v>405</v>
      </c>
      <c r="T89" s="191" t="s">
        <v>408</v>
      </c>
    </row>
    <row r="90" spans="1:20" ht="30" x14ac:dyDescent="0.25">
      <c r="A90" s="168" t="s">
        <v>21</v>
      </c>
      <c r="B90" s="169" t="str">
        <f t="shared" si="9"/>
        <v>Республика Бурятия</v>
      </c>
      <c r="C90" s="169" t="str">
        <f t="shared" si="9"/>
        <v>МРСК Сибири</v>
      </c>
      <c r="D90" s="170" t="str">
        <f t="shared" si="10"/>
        <v>Бурятэнерго</v>
      </c>
      <c r="E90" s="171" t="s">
        <v>189</v>
      </c>
      <c r="F90" s="138"/>
      <c r="G90" s="139"/>
      <c r="H90" s="139"/>
      <c r="I90" s="140"/>
      <c r="J90" s="172">
        <f t="shared" ref="J90:K90" si="70">SUM(J91:J95)</f>
        <v>29.385151</v>
      </c>
      <c r="K90" s="173">
        <f t="shared" si="70"/>
        <v>28.209744959999998</v>
      </c>
      <c r="L90" s="173"/>
      <c r="M90" s="173">
        <f t="shared" si="5"/>
        <v>-1.1754060400000022</v>
      </c>
      <c r="N90" s="174">
        <f t="shared" si="6"/>
        <v>-4.0000000000000036E-2</v>
      </c>
      <c r="O90" s="139"/>
      <c r="P90" s="139"/>
      <c r="Q90" s="229"/>
      <c r="R90" s="232"/>
      <c r="S90" s="171"/>
      <c r="T90" s="171"/>
    </row>
    <row r="91" spans="1:20" x14ac:dyDescent="0.25">
      <c r="A91" s="177"/>
      <c r="B91" s="178" t="str">
        <f t="shared" si="9"/>
        <v>Республика Бурятия</v>
      </c>
      <c r="C91" s="178" t="str">
        <f t="shared" si="9"/>
        <v>МРСК Сибири</v>
      </c>
      <c r="D91" s="179" t="str">
        <f t="shared" si="10"/>
        <v>Бурятэнерго</v>
      </c>
      <c r="E91" s="191" t="s">
        <v>194</v>
      </c>
      <c r="F91" s="181"/>
      <c r="G91" s="182"/>
      <c r="H91" s="182"/>
      <c r="I91" s="183"/>
      <c r="J91" s="184"/>
      <c r="K91" s="185"/>
      <c r="L91" s="185"/>
      <c r="M91" s="185">
        <f t="shared" si="5"/>
        <v>0</v>
      </c>
      <c r="N91" s="186" t="str">
        <f t="shared" si="6"/>
        <v/>
      </c>
      <c r="O91" s="182"/>
      <c r="P91" s="182"/>
      <c r="Q91" s="230"/>
      <c r="R91" s="233"/>
      <c r="S91" s="191"/>
      <c r="T91" s="191"/>
    </row>
    <row r="92" spans="1:20" x14ac:dyDescent="0.25">
      <c r="A92" s="177"/>
      <c r="B92" s="178" t="str">
        <f t="shared" si="9"/>
        <v>Республика Бурятия</v>
      </c>
      <c r="C92" s="178" t="str">
        <f t="shared" si="9"/>
        <v>МРСК Сибири</v>
      </c>
      <c r="D92" s="179" t="str">
        <f t="shared" si="10"/>
        <v>Бурятэнерго</v>
      </c>
      <c r="E92" s="191" t="s">
        <v>196</v>
      </c>
      <c r="F92" s="181"/>
      <c r="G92" s="182"/>
      <c r="H92" s="182"/>
      <c r="I92" s="183"/>
      <c r="J92" s="184"/>
      <c r="K92" s="185"/>
      <c r="L92" s="185"/>
      <c r="M92" s="185">
        <f t="shared" si="5"/>
        <v>0</v>
      </c>
      <c r="N92" s="186" t="str">
        <f t="shared" si="6"/>
        <v/>
      </c>
      <c r="O92" s="182"/>
      <c r="P92" s="182"/>
      <c r="Q92" s="230"/>
      <c r="R92" s="233"/>
      <c r="S92" s="191"/>
      <c r="T92" s="191"/>
    </row>
    <row r="93" spans="1:20" x14ac:dyDescent="0.25">
      <c r="A93" s="177"/>
      <c r="B93" s="178" t="str">
        <f t="shared" si="9"/>
        <v>Республика Бурятия</v>
      </c>
      <c r="C93" s="178" t="str">
        <f t="shared" si="9"/>
        <v>МРСК Сибири</v>
      </c>
      <c r="D93" s="179" t="str">
        <f t="shared" si="10"/>
        <v>Бурятэнерго</v>
      </c>
      <c r="E93" s="191" t="s">
        <v>198</v>
      </c>
      <c r="F93" s="181"/>
      <c r="G93" s="182"/>
      <c r="H93" s="182"/>
      <c r="I93" s="183"/>
      <c r="J93" s="189"/>
      <c r="K93" s="190"/>
      <c r="L93" s="190"/>
      <c r="M93" s="185">
        <f t="shared" si="5"/>
        <v>0</v>
      </c>
      <c r="N93" s="186" t="str">
        <f t="shared" si="6"/>
        <v/>
      </c>
      <c r="O93" s="182"/>
      <c r="P93" s="182"/>
      <c r="Q93" s="230"/>
      <c r="R93" s="233"/>
      <c r="S93" s="191"/>
      <c r="T93" s="191"/>
    </row>
    <row r="94" spans="1:20" x14ac:dyDescent="0.25">
      <c r="A94" s="177"/>
      <c r="B94" s="178" t="str">
        <f t="shared" si="9"/>
        <v>Республика Бурятия</v>
      </c>
      <c r="C94" s="178" t="str">
        <f t="shared" si="9"/>
        <v>МРСК Сибири</v>
      </c>
      <c r="D94" s="179" t="str">
        <f t="shared" si="10"/>
        <v>Бурятэнерго</v>
      </c>
      <c r="E94" s="191" t="s">
        <v>229</v>
      </c>
      <c r="F94" s="181"/>
      <c r="G94" s="182"/>
      <c r="H94" s="182"/>
      <c r="I94" s="183"/>
      <c r="J94" s="184"/>
      <c r="K94" s="185"/>
      <c r="L94" s="185"/>
      <c r="M94" s="185">
        <f t="shared" ref="M94" si="71">K94-J94</f>
        <v>0</v>
      </c>
      <c r="N94" s="186" t="str">
        <f t="shared" ref="N94" si="72">IFERROR(K94/J94-1,"")</f>
        <v/>
      </c>
      <c r="O94" s="182"/>
      <c r="P94" s="182"/>
      <c r="Q94" s="230"/>
      <c r="R94" s="233"/>
      <c r="S94" s="191"/>
      <c r="T94" s="191"/>
    </row>
    <row r="95" spans="1:20" x14ac:dyDescent="0.25">
      <c r="A95" s="177"/>
      <c r="B95" s="178" t="str">
        <f t="shared" si="9"/>
        <v>Республика Бурятия</v>
      </c>
      <c r="C95" s="178" t="str">
        <f t="shared" si="9"/>
        <v>МРСК Сибири</v>
      </c>
      <c r="D95" s="179" t="str">
        <f t="shared" si="10"/>
        <v>Бурятэнерго</v>
      </c>
      <c r="E95" s="191" t="s">
        <v>230</v>
      </c>
      <c r="F95" s="181"/>
      <c r="G95" s="182"/>
      <c r="H95" s="182"/>
      <c r="I95" s="183"/>
      <c r="J95" s="184">
        <f>'для расчета'!U57</f>
        <v>29.385151</v>
      </c>
      <c r="K95" s="184">
        <f>'для расчета'!V57</f>
        <v>28.209744959999998</v>
      </c>
      <c r="L95" s="185"/>
      <c r="M95" s="185">
        <f t="shared" si="5"/>
        <v>-1.1754060400000022</v>
      </c>
      <c r="N95" s="186">
        <f t="shared" si="6"/>
        <v>-4.0000000000000036E-2</v>
      </c>
      <c r="O95" s="182"/>
      <c r="P95" s="182"/>
      <c r="Q95" s="230"/>
      <c r="R95" s="233"/>
      <c r="S95" s="180" t="s">
        <v>405</v>
      </c>
      <c r="T95" s="191" t="s">
        <v>409</v>
      </c>
    </row>
    <row r="96" spans="1:20" x14ac:dyDescent="0.25">
      <c r="A96" s="168" t="s">
        <v>23</v>
      </c>
      <c r="B96" s="169" t="str">
        <f t="shared" si="9"/>
        <v>Республика Бурятия</v>
      </c>
      <c r="C96" s="169" t="str">
        <f t="shared" si="9"/>
        <v>МРСК Сибири</v>
      </c>
      <c r="D96" s="170" t="str">
        <f t="shared" si="10"/>
        <v>Бурятэнерго</v>
      </c>
      <c r="E96" s="171" t="s">
        <v>190</v>
      </c>
      <c r="F96" s="138"/>
      <c r="G96" s="139"/>
      <c r="H96" s="139"/>
      <c r="I96" s="140"/>
      <c r="J96" s="172">
        <f>'для расчета'!U58</f>
        <v>96.278102599999997</v>
      </c>
      <c r="K96" s="172">
        <f>'для расчета'!V58</f>
        <v>97.240883625999999</v>
      </c>
      <c r="L96" s="173"/>
      <c r="M96" s="193">
        <f>K96-J96</f>
        <v>0.96278102600000182</v>
      </c>
      <c r="N96" s="194">
        <f t="shared" si="6"/>
        <v>1.0000000000000009E-2</v>
      </c>
      <c r="O96" s="139"/>
      <c r="P96" s="139"/>
      <c r="Q96" s="229"/>
      <c r="R96" s="232"/>
      <c r="S96" s="171"/>
      <c r="T96" s="171"/>
    </row>
    <row r="97" spans="1:20" x14ac:dyDescent="0.25">
      <c r="A97" s="168" t="s">
        <v>25</v>
      </c>
      <c r="B97" s="169" t="str">
        <f t="shared" si="9"/>
        <v>Республика Бурятия</v>
      </c>
      <c r="C97" s="169" t="str">
        <f t="shared" si="9"/>
        <v>МРСК Сибири</v>
      </c>
      <c r="D97" s="170" t="str">
        <f t="shared" si="10"/>
        <v>Бурятэнерго</v>
      </c>
      <c r="E97" s="171" t="s">
        <v>191</v>
      </c>
      <c r="F97" s="138"/>
      <c r="G97" s="139"/>
      <c r="H97" s="139"/>
      <c r="I97" s="140"/>
      <c r="J97" s="172">
        <f>SUM(J98:J102)</f>
        <v>61.847472078678912</v>
      </c>
      <c r="K97" s="173">
        <f>SUM(K98:K102)</f>
        <v>63.966896614414686</v>
      </c>
      <c r="L97" s="173"/>
      <c r="M97" s="173">
        <f t="shared" si="5"/>
        <v>2.1194245357357744</v>
      </c>
      <c r="N97" s="174">
        <f t="shared" si="6"/>
        <v>3.4268571770234457E-2</v>
      </c>
      <c r="O97" s="139"/>
      <c r="P97" s="139"/>
      <c r="Q97" s="229"/>
      <c r="R97" s="232"/>
      <c r="S97" s="171"/>
      <c r="T97" s="171"/>
    </row>
    <row r="98" spans="1:20" ht="51.75" x14ac:dyDescent="0.25">
      <c r="A98" s="177"/>
      <c r="B98" s="178" t="str">
        <f t="shared" si="9"/>
        <v>Республика Бурятия</v>
      </c>
      <c r="C98" s="178" t="str">
        <f t="shared" si="9"/>
        <v>МРСК Сибири</v>
      </c>
      <c r="D98" s="179" t="str">
        <f t="shared" si="10"/>
        <v>Бурятэнерго</v>
      </c>
      <c r="E98" s="191" t="s">
        <v>258</v>
      </c>
      <c r="F98" s="181"/>
      <c r="G98" s="182"/>
      <c r="H98" s="182"/>
      <c r="I98" s="183"/>
      <c r="J98" s="184">
        <f>'для расчета'!U60</f>
        <v>13.083245999999999</v>
      </c>
      <c r="K98" s="185">
        <f>'для расчета'!V60</f>
        <v>12.82158108</v>
      </c>
      <c r="L98" s="185"/>
      <c r="M98" s="185">
        <f t="shared" si="5"/>
        <v>-0.26166491999999941</v>
      </c>
      <c r="N98" s="186">
        <f t="shared" si="6"/>
        <v>-1.9999999999999907E-2</v>
      </c>
      <c r="O98" s="182"/>
      <c r="P98" s="182"/>
      <c r="Q98" s="230"/>
      <c r="R98" s="233"/>
      <c r="S98" s="180" t="s">
        <v>405</v>
      </c>
      <c r="T98" s="200" t="s">
        <v>410</v>
      </c>
    </row>
    <row r="99" spans="1:20" ht="51.75" x14ac:dyDescent="0.25">
      <c r="A99" s="177"/>
      <c r="B99" s="178" t="str">
        <f t="shared" si="9"/>
        <v>Республика Бурятия</v>
      </c>
      <c r="C99" s="178" t="str">
        <f t="shared" si="9"/>
        <v>МРСК Сибири</v>
      </c>
      <c r="D99" s="179" t="str">
        <f t="shared" si="10"/>
        <v>Бурятэнерго</v>
      </c>
      <c r="E99" s="191" t="s">
        <v>259</v>
      </c>
      <c r="F99" s="181"/>
      <c r="G99" s="182"/>
      <c r="H99" s="182"/>
      <c r="I99" s="183"/>
      <c r="J99" s="184">
        <f>'для расчета'!U61</f>
        <v>12.063600578678859</v>
      </c>
      <c r="K99" s="185">
        <f>'для расчета'!V61</f>
        <v>14.47632069441463</v>
      </c>
      <c r="L99" s="185"/>
      <c r="M99" s="185">
        <f t="shared" si="5"/>
        <v>2.4127201157357714</v>
      </c>
      <c r="N99" s="186">
        <f t="shared" si="6"/>
        <v>0.19999999999999996</v>
      </c>
      <c r="O99" s="182"/>
      <c r="P99" s="182"/>
      <c r="Q99" s="230"/>
      <c r="R99" s="233"/>
      <c r="S99" s="180" t="s">
        <v>405</v>
      </c>
      <c r="T99" s="200" t="s">
        <v>410</v>
      </c>
    </row>
    <row r="100" spans="1:20" ht="51.75" x14ac:dyDescent="0.25">
      <c r="A100" s="177"/>
      <c r="B100" s="178" t="str">
        <f t="shared" si="9"/>
        <v>Республика Бурятия</v>
      </c>
      <c r="C100" s="178" t="str">
        <f t="shared" si="9"/>
        <v>МРСК Сибири</v>
      </c>
      <c r="D100" s="179" t="str">
        <f t="shared" si="10"/>
        <v>Бурятэнерго</v>
      </c>
      <c r="E100" s="191" t="s">
        <v>260</v>
      </c>
      <c r="F100" s="181"/>
      <c r="G100" s="182"/>
      <c r="H100" s="182"/>
      <c r="I100" s="183"/>
      <c r="J100" s="184">
        <f>'для расчета'!U62</f>
        <v>3.1630659999999988</v>
      </c>
      <c r="K100" s="185">
        <f>'для расчета'!V62</f>
        <v>3.131435339999999</v>
      </c>
      <c r="L100" s="185"/>
      <c r="M100" s="185">
        <f t="shared" ref="M100" si="73">K100-J100</f>
        <v>-3.1630659999999811E-2</v>
      </c>
      <c r="N100" s="186">
        <f t="shared" ref="N100" si="74">IFERROR(K100/J100-1,"")</f>
        <v>-9.9999999999998979E-3</v>
      </c>
      <c r="O100" s="182"/>
      <c r="P100" s="182"/>
      <c r="Q100" s="230"/>
      <c r="R100" s="233"/>
      <c r="S100" s="180" t="s">
        <v>405</v>
      </c>
      <c r="T100" s="200" t="s">
        <v>410</v>
      </c>
    </row>
    <row r="101" spans="1:20" x14ac:dyDescent="0.25">
      <c r="A101" s="177"/>
      <c r="B101" s="178" t="str">
        <f t="shared" si="9"/>
        <v>Республика Бурятия</v>
      </c>
      <c r="C101" s="178" t="str">
        <f t="shared" si="9"/>
        <v>МРСК Сибири</v>
      </c>
      <c r="D101" s="179" t="str">
        <f t="shared" si="10"/>
        <v>Бурятэнерго</v>
      </c>
      <c r="E101" s="191" t="s">
        <v>229</v>
      </c>
      <c r="F101" s="181"/>
      <c r="G101" s="182"/>
      <c r="H101" s="182"/>
      <c r="I101" s="183"/>
      <c r="J101" s="184">
        <f>'для расчета'!U63</f>
        <v>0</v>
      </c>
      <c r="K101" s="185">
        <f>'для расчета'!V63</f>
        <v>0</v>
      </c>
      <c r="L101" s="185"/>
      <c r="M101" s="185">
        <f t="shared" si="5"/>
        <v>0</v>
      </c>
      <c r="N101" s="186" t="str">
        <f t="shared" si="6"/>
        <v/>
      </c>
      <c r="O101" s="182"/>
      <c r="P101" s="182"/>
      <c r="Q101" s="230"/>
      <c r="R101" s="233"/>
      <c r="S101" s="191"/>
      <c r="T101" s="191"/>
    </row>
    <row r="102" spans="1:20" ht="52.5" thickBot="1" x14ac:dyDescent="0.3">
      <c r="A102" s="197"/>
      <c r="B102" s="198" t="str">
        <f t="shared" si="9"/>
        <v>Республика Бурятия</v>
      </c>
      <c r="C102" s="198" t="str">
        <f t="shared" si="9"/>
        <v>МРСК Сибири</v>
      </c>
      <c r="D102" s="199" t="str">
        <f t="shared" si="10"/>
        <v>Бурятэнерго</v>
      </c>
      <c r="E102" s="200" t="s">
        <v>230</v>
      </c>
      <c r="F102" s="201"/>
      <c r="G102" s="202"/>
      <c r="H102" s="202"/>
      <c r="I102" s="203"/>
      <c r="J102" s="204">
        <f>'для расчета'!U64</f>
        <v>33.537559500000057</v>
      </c>
      <c r="K102" s="205">
        <f>'для расчета'!V64</f>
        <v>33.537559500000057</v>
      </c>
      <c r="L102" s="205"/>
      <c r="M102" s="205">
        <f t="shared" si="5"/>
        <v>0</v>
      </c>
      <c r="N102" s="206">
        <f t="shared" si="6"/>
        <v>0</v>
      </c>
      <c r="O102" s="202"/>
      <c r="P102" s="202"/>
      <c r="Q102" s="231"/>
      <c r="R102" s="234"/>
      <c r="S102" s="180" t="s">
        <v>405</v>
      </c>
      <c r="T102" s="200" t="s">
        <v>410</v>
      </c>
    </row>
  </sheetData>
  <autoFilter ref="A9:E102"/>
  <mergeCells count="20">
    <mergeCell ref="A6:A8"/>
    <mergeCell ref="B6:B8"/>
    <mergeCell ref="C6:C8"/>
    <mergeCell ref="D6:D8"/>
    <mergeCell ref="E6:E8"/>
    <mergeCell ref="M7:N7"/>
    <mergeCell ref="O7:O8"/>
    <mergeCell ref="F6:I6"/>
    <mergeCell ref="S6:S8"/>
    <mergeCell ref="T6:T8"/>
    <mergeCell ref="P7:P8"/>
    <mergeCell ref="Q7:R7"/>
    <mergeCell ref="J6:N6"/>
    <mergeCell ref="O6:R6"/>
    <mergeCell ref="F7:F8"/>
    <mergeCell ref="G7:G8"/>
    <mergeCell ref="H7:I7"/>
    <mergeCell ref="J7:J8"/>
    <mergeCell ref="K7:K8"/>
    <mergeCell ref="L7:L8"/>
  </mergeCells>
  <conditionalFormatting sqref="I10:I25 I48:I52 I54:I58 I60:I64 I69:I73 I89:I93 I95:I99 I101:I102 H26:I47 Q10:R52 M10:N52 H74:I88 Q74:R88 M74:N88">
    <cfRule type="cellIs" dxfId="195" priority="95" operator="lessThan">
      <formula>0</formula>
    </cfRule>
    <cfRule type="cellIs" dxfId="194" priority="96" operator="greaterThan">
      <formula>0</formula>
    </cfRule>
  </conditionalFormatting>
  <conditionalFormatting sqref="N54:N58 N60:N64 N70:N73 N89:N93 N95:N99 N101:N102">
    <cfRule type="cellIs" dxfId="193" priority="93" operator="lessThan">
      <formula>0</formula>
    </cfRule>
    <cfRule type="cellIs" dxfId="192" priority="94" operator="greaterThan">
      <formula>0</formula>
    </cfRule>
  </conditionalFormatting>
  <conditionalFormatting sqref="R54:R58 R60:R64 R69:R73 R89:R93 R95:R99 R101:R102">
    <cfRule type="cellIs" dxfId="191" priority="91" operator="lessThan">
      <formula>0</formula>
    </cfRule>
    <cfRule type="cellIs" dxfId="190" priority="92" operator="greaterThan">
      <formula>0</formula>
    </cfRule>
  </conditionalFormatting>
  <conditionalFormatting sqref="H10:H25 H48:H52 H54:H58 H60:H64 H69:H73 H89:H93 H95:H99 H101:H102">
    <cfRule type="cellIs" dxfId="189" priority="89" operator="lessThan">
      <formula>0</formula>
    </cfRule>
    <cfRule type="cellIs" dxfId="188" priority="90" operator="greaterThan">
      <formula>0</formula>
    </cfRule>
  </conditionalFormatting>
  <conditionalFormatting sqref="M54:M58 M60:M64 M70:M73 M89:M93 M95:M99 M101:M102">
    <cfRule type="cellIs" dxfId="187" priority="87" operator="lessThan">
      <formula>0</formula>
    </cfRule>
    <cfRule type="cellIs" dxfId="186" priority="88" operator="greaterThan">
      <formula>0</formula>
    </cfRule>
  </conditionalFormatting>
  <conditionalFormatting sqref="Q54:Q58 Q60:Q64 Q69:Q73 Q89:Q93 Q95:Q99 Q101:Q102">
    <cfRule type="cellIs" dxfId="185" priority="85" operator="lessThan">
      <formula>0</formula>
    </cfRule>
    <cfRule type="cellIs" dxfId="184" priority="86" operator="greaterThan">
      <formula>0</formula>
    </cfRule>
  </conditionalFormatting>
  <conditionalFormatting sqref="I53">
    <cfRule type="cellIs" dxfId="183" priority="71" operator="lessThan">
      <formula>0</formula>
    </cfRule>
    <cfRule type="cellIs" dxfId="182" priority="72" operator="greaterThan">
      <formula>0</formula>
    </cfRule>
  </conditionalFormatting>
  <conditionalFormatting sqref="N53">
    <cfRule type="cellIs" dxfId="181" priority="69" operator="lessThan">
      <formula>0</formula>
    </cfRule>
    <cfRule type="cellIs" dxfId="180" priority="70" operator="greaterThan">
      <formula>0</formula>
    </cfRule>
  </conditionalFormatting>
  <conditionalFormatting sqref="R53">
    <cfRule type="cellIs" dxfId="179" priority="67" operator="lessThan">
      <formula>0</formula>
    </cfRule>
    <cfRule type="cellIs" dxfId="178" priority="68" operator="greaterThan">
      <formula>0</formula>
    </cfRule>
  </conditionalFormatting>
  <conditionalFormatting sqref="H53">
    <cfRule type="cellIs" dxfId="177" priority="65" operator="lessThan">
      <formula>0</formula>
    </cfRule>
    <cfRule type="cellIs" dxfId="176" priority="66" operator="greaterThan">
      <formula>0</formula>
    </cfRule>
  </conditionalFormatting>
  <conditionalFormatting sqref="M53">
    <cfRule type="cellIs" dxfId="175" priority="63" operator="lessThan">
      <formula>0</formula>
    </cfRule>
    <cfRule type="cellIs" dxfId="174" priority="64" operator="greaterThan">
      <formula>0</formula>
    </cfRule>
  </conditionalFormatting>
  <conditionalFormatting sqref="Q53">
    <cfRule type="cellIs" dxfId="173" priority="61" operator="lessThan">
      <formula>0</formula>
    </cfRule>
    <cfRule type="cellIs" dxfId="172" priority="62" operator="greaterThan">
      <formula>0</formula>
    </cfRule>
  </conditionalFormatting>
  <conditionalFormatting sqref="I59">
    <cfRule type="cellIs" dxfId="171" priority="59" operator="lessThan">
      <formula>0</formula>
    </cfRule>
    <cfRule type="cellIs" dxfId="170" priority="60" operator="greaterThan">
      <formula>0</formula>
    </cfRule>
  </conditionalFormatting>
  <conditionalFormatting sqref="N59">
    <cfRule type="cellIs" dxfId="169" priority="57" operator="lessThan">
      <formula>0</formula>
    </cfRule>
    <cfRule type="cellIs" dxfId="168" priority="58" operator="greaterThan">
      <formula>0</formula>
    </cfRule>
  </conditionalFormatting>
  <conditionalFormatting sqref="R59">
    <cfRule type="cellIs" dxfId="167" priority="55" operator="lessThan">
      <formula>0</formula>
    </cfRule>
    <cfRule type="cellIs" dxfId="166" priority="56" operator="greaterThan">
      <formula>0</formula>
    </cfRule>
  </conditionalFormatting>
  <conditionalFormatting sqref="H59">
    <cfRule type="cellIs" dxfId="165" priority="53" operator="lessThan">
      <formula>0</formula>
    </cfRule>
    <cfRule type="cellIs" dxfId="164" priority="54" operator="greaterThan">
      <formula>0</formula>
    </cfRule>
  </conditionalFormatting>
  <conditionalFormatting sqref="M59">
    <cfRule type="cellIs" dxfId="163" priority="51" operator="lessThan">
      <formula>0</formula>
    </cfRule>
    <cfRule type="cellIs" dxfId="162" priority="52" operator="greaterThan">
      <formula>0</formula>
    </cfRule>
  </conditionalFormatting>
  <conditionalFormatting sqref="Q59">
    <cfRule type="cellIs" dxfId="161" priority="49" operator="lessThan">
      <formula>0</formula>
    </cfRule>
    <cfRule type="cellIs" dxfId="160" priority="50" operator="greaterThan">
      <formula>0</formula>
    </cfRule>
  </conditionalFormatting>
  <conditionalFormatting sqref="I65:I68">
    <cfRule type="cellIs" dxfId="159" priority="47" operator="lessThan">
      <formula>0</formula>
    </cfRule>
    <cfRule type="cellIs" dxfId="158" priority="48" operator="greaterThan">
      <formula>0</formula>
    </cfRule>
  </conditionalFormatting>
  <conditionalFormatting sqref="N65:N69">
    <cfRule type="cellIs" dxfId="157" priority="45" operator="lessThan">
      <formula>0</formula>
    </cfRule>
    <cfRule type="cellIs" dxfId="156" priority="46" operator="greaterThan">
      <formula>0</formula>
    </cfRule>
  </conditionalFormatting>
  <conditionalFormatting sqref="R65:R68">
    <cfRule type="cellIs" dxfId="155" priority="43" operator="lessThan">
      <formula>0</formula>
    </cfRule>
    <cfRule type="cellIs" dxfId="154" priority="44" operator="greaterThan">
      <formula>0</formula>
    </cfRule>
  </conditionalFormatting>
  <conditionalFormatting sqref="H65:H68">
    <cfRule type="cellIs" dxfId="153" priority="41" operator="lessThan">
      <formula>0</formula>
    </cfRule>
    <cfRule type="cellIs" dxfId="152" priority="42" operator="greaterThan">
      <formula>0</formula>
    </cfRule>
  </conditionalFormatting>
  <conditionalFormatting sqref="M65:M69">
    <cfRule type="cellIs" dxfId="151" priority="39" operator="lessThan">
      <formula>0</formula>
    </cfRule>
    <cfRule type="cellIs" dxfId="150" priority="40" operator="greaterThan">
      <formula>0</formula>
    </cfRule>
  </conditionalFormatting>
  <conditionalFormatting sqref="Q65:Q68">
    <cfRule type="cellIs" dxfId="149" priority="37" operator="lessThan">
      <formula>0</formula>
    </cfRule>
    <cfRule type="cellIs" dxfId="148" priority="38" operator="greaterThan">
      <formula>0</formula>
    </cfRule>
  </conditionalFormatting>
  <conditionalFormatting sqref="I94">
    <cfRule type="cellIs" dxfId="147" priority="23" operator="lessThan">
      <formula>0</formula>
    </cfRule>
    <cfRule type="cellIs" dxfId="146" priority="24" operator="greaterThan">
      <formula>0</formula>
    </cfRule>
  </conditionalFormatting>
  <conditionalFormatting sqref="N94">
    <cfRule type="cellIs" dxfId="145" priority="21" operator="lessThan">
      <formula>0</formula>
    </cfRule>
    <cfRule type="cellIs" dxfId="144" priority="22" operator="greaterThan">
      <formula>0</formula>
    </cfRule>
  </conditionalFormatting>
  <conditionalFormatting sqref="R94">
    <cfRule type="cellIs" dxfId="143" priority="19" operator="lessThan">
      <formula>0</formula>
    </cfRule>
    <cfRule type="cellIs" dxfId="142" priority="20" operator="greaterThan">
      <formula>0</formula>
    </cfRule>
  </conditionalFormatting>
  <conditionalFormatting sqref="H94">
    <cfRule type="cellIs" dxfId="141" priority="17" operator="lessThan">
      <formula>0</formula>
    </cfRule>
    <cfRule type="cellIs" dxfId="140" priority="18" operator="greaterThan">
      <formula>0</formula>
    </cfRule>
  </conditionalFormatting>
  <conditionalFormatting sqref="M94">
    <cfRule type="cellIs" dxfId="139" priority="15" operator="lessThan">
      <formula>0</formula>
    </cfRule>
    <cfRule type="cellIs" dxfId="138" priority="16" operator="greaterThan">
      <formula>0</formula>
    </cfRule>
  </conditionalFormatting>
  <conditionalFormatting sqref="Q94">
    <cfRule type="cellIs" dxfId="137" priority="13" operator="lessThan">
      <formula>0</formula>
    </cfRule>
    <cfRule type="cellIs" dxfId="136" priority="14" operator="greaterThan">
      <formula>0</formula>
    </cfRule>
  </conditionalFormatting>
  <conditionalFormatting sqref="I100">
    <cfRule type="cellIs" dxfId="135" priority="11" operator="lessThan">
      <formula>0</formula>
    </cfRule>
    <cfRule type="cellIs" dxfId="134" priority="12" operator="greaterThan">
      <formula>0</formula>
    </cfRule>
  </conditionalFormatting>
  <conditionalFormatting sqref="N100">
    <cfRule type="cellIs" dxfId="133" priority="9" operator="lessThan">
      <formula>0</formula>
    </cfRule>
    <cfRule type="cellIs" dxfId="132" priority="10" operator="greaterThan">
      <formula>0</formula>
    </cfRule>
  </conditionalFormatting>
  <conditionalFormatting sqref="R100">
    <cfRule type="cellIs" dxfId="131" priority="7" operator="lessThan">
      <formula>0</formula>
    </cfRule>
    <cfRule type="cellIs" dxfId="130" priority="8" operator="greaterThan">
      <formula>0</formula>
    </cfRule>
  </conditionalFormatting>
  <conditionalFormatting sqref="H100">
    <cfRule type="cellIs" dxfId="129" priority="5" operator="lessThan">
      <formula>0</formula>
    </cfRule>
    <cfRule type="cellIs" dxfId="128" priority="6" operator="greaterThan">
      <formula>0</formula>
    </cfRule>
  </conditionalFormatting>
  <conditionalFormatting sqref="M100">
    <cfRule type="cellIs" dxfId="127" priority="3" operator="lessThan">
      <formula>0</formula>
    </cfRule>
    <cfRule type="cellIs" dxfId="126" priority="4" operator="greaterThan">
      <formula>0</formula>
    </cfRule>
  </conditionalFormatting>
  <conditionalFormatting sqref="Q100">
    <cfRule type="cellIs" dxfId="125" priority="1" operator="lessThan">
      <formula>0</formula>
    </cfRule>
    <cfRule type="cellIs" dxfId="124" priority="2" operator="greaterThan">
      <formula>0</formula>
    </cfRule>
  </conditionalFormatting>
  <pageMargins left="0" right="0" top="0" bottom="0" header="0" footer="0"/>
  <pageSetup paperSize="9" scale="36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R55"/>
  <sheetViews>
    <sheetView zoomScale="85" zoomScaleNormal="85" workbookViewId="0">
      <pane xSplit="5" ySplit="9" topLeftCell="J10" activePane="bottomRight" state="frozen"/>
      <selection pane="topRight" activeCell="E1" sqref="E1"/>
      <selection pane="bottomLeft" activeCell="A9" sqref="A9"/>
      <selection pane="bottomRight" activeCell="O14" sqref="O14"/>
    </sheetView>
  </sheetViews>
  <sheetFormatPr defaultColWidth="9.140625" defaultRowHeight="15" x14ac:dyDescent="0.25"/>
  <cols>
    <col min="1" max="1" width="6.7109375" style="133" customWidth="1"/>
    <col min="2" max="2" width="26.140625" style="133" customWidth="1"/>
    <col min="3" max="3" width="33.28515625" style="133" customWidth="1"/>
    <col min="4" max="4" width="33.85546875" style="133" customWidth="1"/>
    <col min="5" max="5" width="52.5703125" style="133" customWidth="1"/>
    <col min="6" max="7" width="16.7109375" style="133" customWidth="1"/>
    <col min="8" max="8" width="17.140625" style="133" customWidth="1"/>
    <col min="9" max="9" width="17.42578125" style="133" customWidth="1"/>
    <col min="10" max="12" width="16.7109375" style="133" customWidth="1"/>
    <col min="13" max="13" width="17.140625" style="133" customWidth="1"/>
    <col min="14" max="14" width="18.42578125" style="133" customWidth="1"/>
    <col min="15" max="16" width="16.7109375" style="133" customWidth="1"/>
    <col min="17" max="17" width="17.140625" style="133" customWidth="1"/>
    <col min="18" max="18" width="18" style="133" customWidth="1"/>
    <col min="19" max="16384" width="9.140625" style="133"/>
  </cols>
  <sheetData>
    <row r="1" spans="1:18" s="110" customFormat="1" ht="15.75" x14ac:dyDescent="0.25">
      <c r="A1" s="109" t="s">
        <v>170</v>
      </c>
      <c r="C1" s="111">
        <v>43932</v>
      </c>
    </row>
    <row r="2" spans="1:18" s="110" customFormat="1" ht="12.75" x14ac:dyDescent="0.2"/>
    <row r="3" spans="1:18" s="110" customFormat="1" ht="15.75" x14ac:dyDescent="0.25">
      <c r="A3" s="112" t="s">
        <v>171</v>
      </c>
      <c r="B3" s="112"/>
    </row>
    <row r="4" spans="1:18" s="110" customFormat="1" ht="12" customHeight="1" x14ac:dyDescent="0.2"/>
    <row r="5" spans="1:18" s="110" customFormat="1" ht="12" customHeight="1" thickBot="1" x14ac:dyDescent="0.25"/>
    <row r="6" spans="1:18" s="110" customFormat="1" ht="24.75" customHeight="1" x14ac:dyDescent="0.2">
      <c r="A6" s="502" t="s">
        <v>172</v>
      </c>
      <c r="B6" s="479" t="s">
        <v>1</v>
      </c>
      <c r="C6" s="479" t="s">
        <v>2</v>
      </c>
      <c r="D6" s="479" t="s">
        <v>3</v>
      </c>
      <c r="E6" s="506" t="s">
        <v>173</v>
      </c>
      <c r="F6" s="492" t="s">
        <v>174</v>
      </c>
      <c r="G6" s="493"/>
      <c r="H6" s="493"/>
      <c r="I6" s="494"/>
      <c r="J6" s="492" t="s">
        <v>175</v>
      </c>
      <c r="K6" s="493"/>
      <c r="L6" s="493"/>
      <c r="M6" s="493"/>
      <c r="N6" s="494"/>
      <c r="O6" s="493" t="s">
        <v>176</v>
      </c>
      <c r="P6" s="493"/>
      <c r="Q6" s="493"/>
      <c r="R6" s="494"/>
    </row>
    <row r="7" spans="1:18" s="110" customFormat="1" ht="24.75" customHeight="1" x14ac:dyDescent="0.2">
      <c r="A7" s="503"/>
      <c r="B7" s="480"/>
      <c r="C7" s="480"/>
      <c r="D7" s="480"/>
      <c r="E7" s="507"/>
      <c r="F7" s="490">
        <v>2019</v>
      </c>
      <c r="G7" s="500">
        <v>2020</v>
      </c>
      <c r="H7" s="488" t="s">
        <v>177</v>
      </c>
      <c r="I7" s="489"/>
      <c r="J7" s="490">
        <v>2019</v>
      </c>
      <c r="K7" s="500">
        <v>2020</v>
      </c>
      <c r="L7" s="500" t="s">
        <v>178</v>
      </c>
      <c r="M7" s="488" t="s">
        <v>177</v>
      </c>
      <c r="N7" s="489"/>
      <c r="O7" s="490">
        <v>2019</v>
      </c>
      <c r="P7" s="500">
        <v>2020</v>
      </c>
      <c r="Q7" s="488" t="s">
        <v>177</v>
      </c>
      <c r="R7" s="489"/>
    </row>
    <row r="8" spans="1:18" s="110" customFormat="1" ht="42.75" customHeight="1" thickBot="1" x14ac:dyDescent="0.25">
      <c r="A8" s="504"/>
      <c r="B8" s="505"/>
      <c r="C8" s="505"/>
      <c r="D8" s="505"/>
      <c r="E8" s="507"/>
      <c r="F8" s="491"/>
      <c r="G8" s="501"/>
      <c r="H8" s="113" t="s">
        <v>179</v>
      </c>
      <c r="I8" s="114" t="s">
        <v>180</v>
      </c>
      <c r="J8" s="491"/>
      <c r="K8" s="501"/>
      <c r="L8" s="501"/>
      <c r="M8" s="113" t="s">
        <v>179</v>
      </c>
      <c r="N8" s="114" t="s">
        <v>180</v>
      </c>
      <c r="O8" s="491"/>
      <c r="P8" s="501"/>
      <c r="Q8" s="113" t="s">
        <v>179</v>
      </c>
      <c r="R8" s="114" t="s">
        <v>180</v>
      </c>
    </row>
    <row r="9" spans="1:18" s="110" customFormat="1" ht="13.5" thickBot="1" x14ac:dyDescent="0.25">
      <c r="A9" s="115">
        <v>1</v>
      </c>
      <c r="B9" s="116">
        <f>A9+1</f>
        <v>2</v>
      </c>
      <c r="C9" s="116">
        <f t="shared" ref="C9:P9" si="0">B9+1</f>
        <v>3</v>
      </c>
      <c r="D9" s="117">
        <f t="shared" si="0"/>
        <v>4</v>
      </c>
      <c r="E9" s="118">
        <f t="shared" si="0"/>
        <v>5</v>
      </c>
      <c r="F9" s="119">
        <f t="shared" si="0"/>
        <v>6</v>
      </c>
      <c r="G9" s="120">
        <f t="shared" si="0"/>
        <v>7</v>
      </c>
      <c r="H9" s="120" t="s">
        <v>216</v>
      </c>
      <c r="I9" s="121" t="s">
        <v>219</v>
      </c>
      <c r="J9" s="119">
        <v>10</v>
      </c>
      <c r="K9" s="120">
        <f t="shared" si="0"/>
        <v>11</v>
      </c>
      <c r="L9" s="120">
        <f t="shared" si="0"/>
        <v>12</v>
      </c>
      <c r="M9" s="120" t="s">
        <v>217</v>
      </c>
      <c r="N9" s="121" t="s">
        <v>218</v>
      </c>
      <c r="O9" s="120">
        <v>15</v>
      </c>
      <c r="P9" s="120">
        <f t="shared" si="0"/>
        <v>16</v>
      </c>
      <c r="Q9" s="122" t="s">
        <v>222</v>
      </c>
      <c r="R9" s="122" t="s">
        <v>221</v>
      </c>
    </row>
    <row r="10" spans="1:18" ht="15.75" x14ac:dyDescent="0.25">
      <c r="A10" s="123" t="s">
        <v>181</v>
      </c>
      <c r="B10" s="124" t="s">
        <v>182</v>
      </c>
      <c r="C10" s="124" t="s">
        <v>192</v>
      </c>
      <c r="D10" s="125" t="s">
        <v>182</v>
      </c>
      <c r="E10" s="126" t="s">
        <v>183</v>
      </c>
      <c r="F10" s="127">
        <f t="shared" ref="F10:G10" si="1">SUMIFS(F18:F4992,$A18:$A4992,$A10,$C18:$C4992,$C10)</f>
        <v>0</v>
      </c>
      <c r="G10" s="128">
        <f t="shared" si="1"/>
        <v>0</v>
      </c>
      <c r="H10" s="128">
        <f>G10-F10</f>
        <v>0</v>
      </c>
      <c r="I10" s="129" t="str">
        <f>IFERROR(G10/F10-1,"")</f>
        <v/>
      </c>
      <c r="J10" s="130">
        <f>SUM(J11:J18)</f>
        <v>0</v>
      </c>
      <c r="K10" s="128">
        <f t="shared" ref="K10" si="2">SUM(K11:K18)</f>
        <v>0</v>
      </c>
      <c r="L10" s="128"/>
      <c r="M10" s="128">
        <f>K10-J10</f>
        <v>0</v>
      </c>
      <c r="N10" s="129" t="str">
        <f>IFERROR(K10/J10-1,"")</f>
        <v/>
      </c>
      <c r="O10" s="128">
        <f t="shared" ref="O10:P10" si="3">SUMIFS(O18:O4992,$A18:$A4992,$A10,$C18:$C4992,$C10)</f>
        <v>0</v>
      </c>
      <c r="P10" s="128">
        <f t="shared" si="3"/>
        <v>0</v>
      </c>
      <c r="Q10" s="131">
        <f t="shared" ref="Q10:Q19" si="4">P10-O10</f>
        <v>0</v>
      </c>
      <c r="R10" s="132" t="str">
        <f t="shared" ref="R10:R19" si="5">IFERROR(P10/O10-1,"")</f>
        <v/>
      </c>
    </row>
    <row r="11" spans="1:18" x14ac:dyDescent="0.25">
      <c r="A11" s="134" t="s">
        <v>10</v>
      </c>
      <c r="B11" s="135" t="s">
        <v>182</v>
      </c>
      <c r="C11" s="135" t="str">
        <f>C10</f>
        <v>ДЗО 1</v>
      </c>
      <c r="D11" s="136" t="s">
        <v>182</v>
      </c>
      <c r="E11" s="137" t="s">
        <v>184</v>
      </c>
      <c r="F11" s="138"/>
      <c r="G11" s="139"/>
      <c r="H11" s="139"/>
      <c r="I11" s="140"/>
      <c r="J11" s="141">
        <f>SUMIFS(J19:J4993,$A19:$A4993,$A11,$C19:$C4993,$C11)</f>
        <v>0</v>
      </c>
      <c r="K11" s="142">
        <f>SUMIFS(K19:K4993,$A19:$A4993,$A11,$C19:$C4993,$C11)</f>
        <v>0</v>
      </c>
      <c r="L11" s="142"/>
      <c r="M11" s="142">
        <f t="shared" ref="M11:M55" si="6">K11-J11</f>
        <v>0</v>
      </c>
      <c r="N11" s="143" t="str">
        <f t="shared" ref="N11:N55" si="7">IFERROR(K11/J11-1,"")</f>
        <v/>
      </c>
      <c r="O11" s="139"/>
      <c r="P11" s="139"/>
      <c r="Q11" s="229"/>
      <c r="R11" s="232"/>
    </row>
    <row r="12" spans="1:18" x14ac:dyDescent="0.25">
      <c r="A12" s="134" t="s">
        <v>13</v>
      </c>
      <c r="B12" s="135" t="s">
        <v>182</v>
      </c>
      <c r="C12" s="135" t="str">
        <f t="shared" ref="C12:C18" si="8">C11</f>
        <v>ДЗО 1</v>
      </c>
      <c r="D12" s="136" t="s">
        <v>182</v>
      </c>
      <c r="E12" s="137" t="s">
        <v>185</v>
      </c>
      <c r="F12" s="138"/>
      <c r="G12" s="139"/>
      <c r="H12" s="139"/>
      <c r="I12" s="140"/>
      <c r="J12" s="141">
        <f>SUMIFS(J19:J4993,$A19:$A4993,$A12,$C19:$C4993,$C12)</f>
        <v>0</v>
      </c>
      <c r="K12" s="142">
        <f>SUMIFS(K19:K4993,$A19:$A4993,$A12,$C19:$C4993,$C12)</f>
        <v>0</v>
      </c>
      <c r="L12" s="142"/>
      <c r="M12" s="142">
        <f t="shared" si="6"/>
        <v>0</v>
      </c>
      <c r="N12" s="143" t="str">
        <f t="shared" si="7"/>
        <v/>
      </c>
      <c r="O12" s="139"/>
      <c r="P12" s="139"/>
      <c r="Q12" s="229"/>
      <c r="R12" s="232"/>
    </row>
    <row r="13" spans="1:18" x14ac:dyDescent="0.25">
      <c r="A13" s="134" t="s">
        <v>15</v>
      </c>
      <c r="B13" s="135" t="s">
        <v>182</v>
      </c>
      <c r="C13" s="135" t="str">
        <f t="shared" si="8"/>
        <v>ДЗО 1</v>
      </c>
      <c r="D13" s="136" t="s">
        <v>182</v>
      </c>
      <c r="E13" s="137" t="s">
        <v>186</v>
      </c>
      <c r="F13" s="138"/>
      <c r="G13" s="139"/>
      <c r="H13" s="139"/>
      <c r="I13" s="140"/>
      <c r="J13" s="141">
        <f>SUMIFS(J19:J4993,$A19:$A4993,$A13,$C19:$C4993,$C13)</f>
        <v>0</v>
      </c>
      <c r="K13" s="142">
        <f>SUMIFS(K19:K4993,$A19:$A4993,$A13,$C19:$C4993,$C13)</f>
        <v>0</v>
      </c>
      <c r="L13" s="142"/>
      <c r="M13" s="142">
        <f t="shared" si="6"/>
        <v>0</v>
      </c>
      <c r="N13" s="143" t="str">
        <f t="shared" si="7"/>
        <v/>
      </c>
      <c r="O13" s="139"/>
      <c r="P13" s="139"/>
      <c r="Q13" s="229"/>
      <c r="R13" s="232"/>
    </row>
    <row r="14" spans="1:18" x14ac:dyDescent="0.25">
      <c r="A14" s="134" t="s">
        <v>17</v>
      </c>
      <c r="B14" s="135" t="s">
        <v>182</v>
      </c>
      <c r="C14" s="135" t="str">
        <f t="shared" si="8"/>
        <v>ДЗО 1</v>
      </c>
      <c r="D14" s="136" t="s">
        <v>182</v>
      </c>
      <c r="E14" s="137" t="s">
        <v>187</v>
      </c>
      <c r="F14" s="138"/>
      <c r="G14" s="139"/>
      <c r="H14" s="139"/>
      <c r="I14" s="140"/>
      <c r="J14" s="141">
        <f>SUMIFS(J19:J4993,$A19:$A4993,$A14,$C19:$C4993,$C14)</f>
        <v>0</v>
      </c>
      <c r="K14" s="142">
        <f>SUMIFS(K19:K4993,$A19:$A4993,$A14,$C19:$C4993,$C14)</f>
        <v>0</v>
      </c>
      <c r="L14" s="142"/>
      <c r="M14" s="142">
        <f t="shared" si="6"/>
        <v>0</v>
      </c>
      <c r="N14" s="143" t="str">
        <f t="shared" si="7"/>
        <v/>
      </c>
      <c r="O14" s="139"/>
      <c r="P14" s="139"/>
      <c r="Q14" s="229"/>
      <c r="R14" s="232"/>
    </row>
    <row r="15" spans="1:18" x14ac:dyDescent="0.25">
      <c r="A15" s="134" t="s">
        <v>19</v>
      </c>
      <c r="B15" s="135" t="s">
        <v>182</v>
      </c>
      <c r="C15" s="135" t="str">
        <f t="shared" si="8"/>
        <v>ДЗО 1</v>
      </c>
      <c r="D15" s="136" t="s">
        <v>182</v>
      </c>
      <c r="E15" s="137" t="s">
        <v>188</v>
      </c>
      <c r="F15" s="138"/>
      <c r="G15" s="139"/>
      <c r="H15" s="139"/>
      <c r="I15" s="140"/>
      <c r="J15" s="141">
        <f>SUMIFS(J19:J4993,$A19:$A4993,$A15,$C19:$C4993,$C15)</f>
        <v>0</v>
      </c>
      <c r="K15" s="142">
        <f>SUMIFS(K19:K4993,$A19:$A4993,$A15,$C19:$C4993,$C15)</f>
        <v>0</v>
      </c>
      <c r="L15" s="142"/>
      <c r="M15" s="142">
        <f t="shared" si="6"/>
        <v>0</v>
      </c>
      <c r="N15" s="143" t="str">
        <f t="shared" si="7"/>
        <v/>
      </c>
      <c r="O15" s="139"/>
      <c r="P15" s="139"/>
      <c r="Q15" s="229"/>
      <c r="R15" s="232"/>
    </row>
    <row r="16" spans="1:18" ht="30" x14ac:dyDescent="0.25">
      <c r="A16" s="134" t="s">
        <v>21</v>
      </c>
      <c r="B16" s="135" t="s">
        <v>182</v>
      </c>
      <c r="C16" s="135" t="str">
        <f t="shared" si="8"/>
        <v>ДЗО 1</v>
      </c>
      <c r="D16" s="136" t="s">
        <v>182</v>
      </c>
      <c r="E16" s="137" t="s">
        <v>189</v>
      </c>
      <c r="F16" s="138"/>
      <c r="G16" s="139"/>
      <c r="H16" s="139"/>
      <c r="I16" s="140"/>
      <c r="J16" s="141">
        <f>SUMIFS(J19:J4993,$A19:$A4993,$A16,$C19:$C4993,$C16)</f>
        <v>0</v>
      </c>
      <c r="K16" s="142">
        <f>SUMIFS(K19:K4993,$A19:$A4993,$A16,$C19:$C4993,$C16)</f>
        <v>0</v>
      </c>
      <c r="L16" s="142"/>
      <c r="M16" s="142">
        <f t="shared" si="6"/>
        <v>0</v>
      </c>
      <c r="N16" s="143" t="str">
        <f t="shared" si="7"/>
        <v/>
      </c>
      <c r="O16" s="139"/>
      <c r="P16" s="139"/>
      <c r="Q16" s="229"/>
      <c r="R16" s="232"/>
    </row>
    <row r="17" spans="1:18" x14ac:dyDescent="0.25">
      <c r="A17" s="134" t="s">
        <v>23</v>
      </c>
      <c r="B17" s="135" t="s">
        <v>182</v>
      </c>
      <c r="C17" s="135" t="str">
        <f t="shared" si="8"/>
        <v>ДЗО 1</v>
      </c>
      <c r="D17" s="136" t="s">
        <v>182</v>
      </c>
      <c r="E17" s="137" t="s">
        <v>190</v>
      </c>
      <c r="F17" s="138"/>
      <c r="G17" s="139"/>
      <c r="H17" s="139"/>
      <c r="I17" s="140"/>
      <c r="J17" s="141">
        <f>SUMIFS(J19:J4993,$A19:$A4993,$A17,$C19:$C4993,$C17)</f>
        <v>0</v>
      </c>
      <c r="K17" s="142">
        <f>SUMIFS(K19:K4993,$A19:$A4993,$A17,$C19:$C4993,$C17)</f>
        <v>0</v>
      </c>
      <c r="L17" s="142"/>
      <c r="M17" s="142">
        <f t="shared" si="6"/>
        <v>0</v>
      </c>
      <c r="N17" s="143" t="str">
        <f t="shared" si="7"/>
        <v/>
      </c>
      <c r="O17" s="139"/>
      <c r="P17" s="139"/>
      <c r="Q17" s="229"/>
      <c r="R17" s="232"/>
    </row>
    <row r="18" spans="1:18" x14ac:dyDescent="0.25">
      <c r="A18" s="146" t="s">
        <v>25</v>
      </c>
      <c r="B18" s="147" t="s">
        <v>182</v>
      </c>
      <c r="C18" s="147" t="str">
        <f t="shared" si="8"/>
        <v>ДЗО 1</v>
      </c>
      <c r="D18" s="148" t="s">
        <v>182</v>
      </c>
      <c r="E18" s="149" t="s">
        <v>191</v>
      </c>
      <c r="F18" s="150"/>
      <c r="G18" s="151"/>
      <c r="H18" s="151"/>
      <c r="I18" s="152"/>
      <c r="J18" s="153">
        <f>SUMIFS(J19:J4993,$A19:$A4993,$A18,$C19:$C4993,$C18)</f>
        <v>0</v>
      </c>
      <c r="K18" s="154">
        <f>SUMIFS(K19:K4993,$A19:$A4993,$A18,$C19:$C4993,$C18)</f>
        <v>0</v>
      </c>
      <c r="L18" s="154"/>
      <c r="M18" s="154">
        <f t="shared" si="6"/>
        <v>0</v>
      </c>
      <c r="N18" s="155" t="str">
        <f t="shared" si="7"/>
        <v/>
      </c>
      <c r="O18" s="151"/>
      <c r="P18" s="151"/>
      <c r="Q18" s="235"/>
      <c r="R18" s="236"/>
    </row>
    <row r="19" spans="1:18" ht="15.75" x14ac:dyDescent="0.25">
      <c r="A19" s="158" t="s">
        <v>181</v>
      </c>
      <c r="B19" s="159" t="s">
        <v>206</v>
      </c>
      <c r="C19" s="160" t="s">
        <v>192</v>
      </c>
      <c r="D19" s="161" t="s">
        <v>207</v>
      </c>
      <c r="E19" s="162" t="s">
        <v>183</v>
      </c>
      <c r="F19" s="209"/>
      <c r="G19" s="210"/>
      <c r="H19" s="163">
        <f>G19-F19</f>
        <v>0</v>
      </c>
      <c r="I19" s="164" t="str">
        <f>IFERROR(G19/F19-1,"")</f>
        <v/>
      </c>
      <c r="J19" s="165">
        <f>SUM(J20,J25,J30,J35,J40,J45,J50,J51)</f>
        <v>0</v>
      </c>
      <c r="K19" s="163">
        <f>SUM(K20,K25,K30,K35,K40,K45,K50,K51)</f>
        <v>0</v>
      </c>
      <c r="L19" s="163"/>
      <c r="M19" s="163">
        <f t="shared" si="6"/>
        <v>0</v>
      </c>
      <c r="N19" s="164" t="str">
        <f t="shared" si="7"/>
        <v/>
      </c>
      <c r="O19" s="210"/>
      <c r="P19" s="210"/>
      <c r="Q19" s="166">
        <f t="shared" si="4"/>
        <v>0</v>
      </c>
      <c r="R19" s="167" t="str">
        <f t="shared" si="5"/>
        <v/>
      </c>
    </row>
    <row r="20" spans="1:18" x14ac:dyDescent="0.25">
      <c r="A20" s="168" t="s">
        <v>10</v>
      </c>
      <c r="B20" s="169" t="str">
        <f>B19</f>
        <v>субъект РФ 1</v>
      </c>
      <c r="C20" s="169" t="str">
        <f t="shared" ref="C20:D35" si="9">C19</f>
        <v>ДЗО 1</v>
      </c>
      <c r="D20" s="170" t="str">
        <f>D19</f>
        <v>филиал 1</v>
      </c>
      <c r="E20" s="171" t="s">
        <v>193</v>
      </c>
      <c r="F20" s="138"/>
      <c r="G20" s="139"/>
      <c r="H20" s="139"/>
      <c r="I20" s="140"/>
      <c r="J20" s="172">
        <f>SUM(J21:J24)</f>
        <v>0</v>
      </c>
      <c r="K20" s="173">
        <f>SUM(K21:K24)</f>
        <v>0</v>
      </c>
      <c r="L20" s="173"/>
      <c r="M20" s="173">
        <f t="shared" si="6"/>
        <v>0</v>
      </c>
      <c r="N20" s="174" t="str">
        <f t="shared" si="7"/>
        <v/>
      </c>
      <c r="O20" s="139"/>
      <c r="P20" s="139"/>
      <c r="Q20" s="229"/>
      <c r="R20" s="232"/>
    </row>
    <row r="21" spans="1:18" x14ac:dyDescent="0.25">
      <c r="A21" s="177"/>
      <c r="B21" s="178" t="str">
        <f t="shared" ref="B21:D36" si="10">B20</f>
        <v>субъект РФ 1</v>
      </c>
      <c r="C21" s="178" t="str">
        <f t="shared" si="9"/>
        <v>ДЗО 1</v>
      </c>
      <c r="D21" s="179" t="str">
        <f t="shared" si="9"/>
        <v>филиал 1</v>
      </c>
      <c r="E21" s="180" t="s">
        <v>194</v>
      </c>
      <c r="F21" s="181"/>
      <c r="G21" s="182"/>
      <c r="H21" s="182"/>
      <c r="I21" s="183"/>
      <c r="J21" s="211"/>
      <c r="K21" s="185"/>
      <c r="L21" s="185" t="s">
        <v>195</v>
      </c>
      <c r="M21" s="185">
        <f t="shared" si="6"/>
        <v>0</v>
      </c>
      <c r="N21" s="186" t="str">
        <f t="shared" si="7"/>
        <v/>
      </c>
      <c r="O21" s="182"/>
      <c r="P21" s="182"/>
      <c r="Q21" s="230"/>
      <c r="R21" s="233"/>
    </row>
    <row r="22" spans="1:18" x14ac:dyDescent="0.25">
      <c r="A22" s="177"/>
      <c r="B22" s="178" t="str">
        <f t="shared" si="10"/>
        <v>субъект РФ 1</v>
      </c>
      <c r="C22" s="178" t="str">
        <f t="shared" si="9"/>
        <v>ДЗО 1</v>
      </c>
      <c r="D22" s="179" t="str">
        <f t="shared" si="9"/>
        <v>филиал 1</v>
      </c>
      <c r="E22" s="180" t="s">
        <v>196</v>
      </c>
      <c r="F22" s="181"/>
      <c r="G22" s="182"/>
      <c r="H22" s="182"/>
      <c r="I22" s="183"/>
      <c r="J22" s="184"/>
      <c r="K22" s="185"/>
      <c r="L22" s="185" t="s">
        <v>197</v>
      </c>
      <c r="M22" s="185">
        <f t="shared" si="6"/>
        <v>0</v>
      </c>
      <c r="N22" s="186" t="str">
        <f t="shared" si="7"/>
        <v/>
      </c>
      <c r="O22" s="182"/>
      <c r="P22" s="182"/>
      <c r="Q22" s="230"/>
      <c r="R22" s="233"/>
    </row>
    <row r="23" spans="1:18" x14ac:dyDescent="0.25">
      <c r="A23" s="177"/>
      <c r="B23" s="178" t="str">
        <f t="shared" si="10"/>
        <v>субъект РФ 1</v>
      </c>
      <c r="C23" s="178" t="str">
        <f t="shared" si="9"/>
        <v>ДЗО 1</v>
      </c>
      <c r="D23" s="179" t="str">
        <f t="shared" si="9"/>
        <v>филиал 1</v>
      </c>
      <c r="E23" s="180" t="s">
        <v>198</v>
      </c>
      <c r="F23" s="181"/>
      <c r="G23" s="182"/>
      <c r="H23" s="182"/>
      <c r="I23" s="183"/>
      <c r="J23" s="184"/>
      <c r="K23" s="185"/>
      <c r="L23" s="185" t="s">
        <v>199</v>
      </c>
      <c r="M23" s="185">
        <f t="shared" si="6"/>
        <v>0</v>
      </c>
      <c r="N23" s="186" t="str">
        <f t="shared" si="7"/>
        <v/>
      </c>
      <c r="O23" s="182"/>
      <c r="P23" s="182"/>
      <c r="Q23" s="230"/>
      <c r="R23" s="233"/>
    </row>
    <row r="24" spans="1:18" x14ac:dyDescent="0.25">
      <c r="A24" s="177"/>
      <c r="B24" s="178" t="str">
        <f t="shared" si="10"/>
        <v>субъект РФ 1</v>
      </c>
      <c r="C24" s="178" t="str">
        <f t="shared" si="9"/>
        <v>ДЗО 1</v>
      </c>
      <c r="D24" s="179" t="str">
        <f t="shared" si="9"/>
        <v>филиал 1</v>
      </c>
      <c r="E24" s="180" t="s">
        <v>200</v>
      </c>
      <c r="F24" s="181"/>
      <c r="G24" s="182"/>
      <c r="H24" s="182"/>
      <c r="I24" s="183"/>
      <c r="J24" s="189"/>
      <c r="K24" s="190"/>
      <c r="L24" s="190"/>
      <c r="M24" s="185">
        <f t="shared" si="6"/>
        <v>0</v>
      </c>
      <c r="N24" s="186" t="str">
        <f t="shared" si="7"/>
        <v/>
      </c>
      <c r="O24" s="182"/>
      <c r="P24" s="182"/>
      <c r="Q24" s="230"/>
      <c r="R24" s="233"/>
    </row>
    <row r="25" spans="1:18" x14ac:dyDescent="0.25">
      <c r="A25" s="168" t="s">
        <v>13</v>
      </c>
      <c r="B25" s="169" t="str">
        <f t="shared" si="10"/>
        <v>субъект РФ 1</v>
      </c>
      <c r="C25" s="169" t="str">
        <f t="shared" si="9"/>
        <v>ДЗО 1</v>
      </c>
      <c r="D25" s="170" t="str">
        <f t="shared" si="9"/>
        <v>филиал 1</v>
      </c>
      <c r="E25" s="171" t="s">
        <v>201</v>
      </c>
      <c r="F25" s="138"/>
      <c r="G25" s="139"/>
      <c r="H25" s="139"/>
      <c r="I25" s="140"/>
      <c r="J25" s="172">
        <f t="shared" ref="J25:K25" si="11">SUM(J26:J29)</f>
        <v>0</v>
      </c>
      <c r="K25" s="173">
        <f t="shared" si="11"/>
        <v>0</v>
      </c>
      <c r="L25" s="173"/>
      <c r="M25" s="173">
        <f t="shared" si="6"/>
        <v>0</v>
      </c>
      <c r="N25" s="174" t="str">
        <f t="shared" si="7"/>
        <v/>
      </c>
      <c r="O25" s="139"/>
      <c r="P25" s="139"/>
      <c r="Q25" s="229"/>
      <c r="R25" s="232"/>
    </row>
    <row r="26" spans="1:18" x14ac:dyDescent="0.25">
      <c r="A26" s="177"/>
      <c r="B26" s="178" t="str">
        <f t="shared" si="10"/>
        <v>субъект РФ 1</v>
      </c>
      <c r="C26" s="178" t="str">
        <f t="shared" si="9"/>
        <v>ДЗО 1</v>
      </c>
      <c r="D26" s="179" t="str">
        <f t="shared" si="9"/>
        <v>филиал 1</v>
      </c>
      <c r="E26" s="191" t="s">
        <v>194</v>
      </c>
      <c r="F26" s="181"/>
      <c r="G26" s="182"/>
      <c r="H26" s="182"/>
      <c r="I26" s="183"/>
      <c r="J26" s="184"/>
      <c r="K26" s="185"/>
      <c r="L26" s="185"/>
      <c r="M26" s="185">
        <f t="shared" si="6"/>
        <v>0</v>
      </c>
      <c r="N26" s="186" t="str">
        <f t="shared" si="7"/>
        <v/>
      </c>
      <c r="O26" s="182"/>
      <c r="P26" s="182"/>
      <c r="Q26" s="230"/>
      <c r="R26" s="233"/>
    </row>
    <row r="27" spans="1:18" x14ac:dyDescent="0.25">
      <c r="A27" s="177"/>
      <c r="B27" s="178" t="str">
        <f t="shared" si="10"/>
        <v>субъект РФ 1</v>
      </c>
      <c r="C27" s="178" t="str">
        <f t="shared" si="9"/>
        <v>ДЗО 1</v>
      </c>
      <c r="D27" s="179" t="str">
        <f t="shared" si="9"/>
        <v>филиал 1</v>
      </c>
      <c r="E27" s="191" t="s">
        <v>196</v>
      </c>
      <c r="F27" s="181"/>
      <c r="G27" s="182"/>
      <c r="H27" s="182"/>
      <c r="I27" s="183"/>
      <c r="J27" s="184"/>
      <c r="K27" s="185"/>
      <c r="L27" s="185"/>
      <c r="M27" s="185">
        <f t="shared" si="6"/>
        <v>0</v>
      </c>
      <c r="N27" s="186" t="str">
        <f t="shared" si="7"/>
        <v/>
      </c>
      <c r="O27" s="182"/>
      <c r="P27" s="182"/>
      <c r="Q27" s="230"/>
      <c r="R27" s="233"/>
    </row>
    <row r="28" spans="1:18" x14ac:dyDescent="0.25">
      <c r="A28" s="177"/>
      <c r="B28" s="178" t="str">
        <f t="shared" si="10"/>
        <v>субъект РФ 1</v>
      </c>
      <c r="C28" s="178" t="str">
        <f t="shared" si="9"/>
        <v>ДЗО 1</v>
      </c>
      <c r="D28" s="179" t="str">
        <f t="shared" si="9"/>
        <v>филиал 1</v>
      </c>
      <c r="E28" s="191" t="s">
        <v>198</v>
      </c>
      <c r="F28" s="181"/>
      <c r="G28" s="182"/>
      <c r="H28" s="182"/>
      <c r="I28" s="183"/>
      <c r="J28" s="184"/>
      <c r="K28" s="185"/>
      <c r="L28" s="185"/>
      <c r="M28" s="185">
        <f t="shared" si="6"/>
        <v>0</v>
      </c>
      <c r="N28" s="186" t="str">
        <f t="shared" si="7"/>
        <v/>
      </c>
      <c r="O28" s="182"/>
      <c r="P28" s="182"/>
      <c r="Q28" s="230"/>
      <c r="R28" s="233"/>
    </row>
    <row r="29" spans="1:18" x14ac:dyDescent="0.25">
      <c r="A29" s="177"/>
      <c r="B29" s="178" t="str">
        <f t="shared" si="10"/>
        <v>субъект РФ 1</v>
      </c>
      <c r="C29" s="178" t="str">
        <f t="shared" si="9"/>
        <v>ДЗО 1</v>
      </c>
      <c r="D29" s="179" t="str">
        <f t="shared" si="9"/>
        <v>филиал 1</v>
      </c>
      <c r="E29" s="191" t="s">
        <v>200</v>
      </c>
      <c r="F29" s="181"/>
      <c r="G29" s="182"/>
      <c r="H29" s="182"/>
      <c r="I29" s="183"/>
      <c r="J29" s="184"/>
      <c r="K29" s="185"/>
      <c r="L29" s="185"/>
      <c r="M29" s="185">
        <f t="shared" si="6"/>
        <v>0</v>
      </c>
      <c r="N29" s="186" t="str">
        <f t="shared" si="7"/>
        <v/>
      </c>
      <c r="O29" s="182"/>
      <c r="P29" s="182"/>
      <c r="Q29" s="230"/>
      <c r="R29" s="233"/>
    </row>
    <row r="30" spans="1:18" x14ac:dyDescent="0.25">
      <c r="A30" s="168" t="s">
        <v>15</v>
      </c>
      <c r="B30" s="169" t="str">
        <f t="shared" si="10"/>
        <v>субъект РФ 1</v>
      </c>
      <c r="C30" s="169" t="str">
        <f t="shared" si="9"/>
        <v>ДЗО 1</v>
      </c>
      <c r="D30" s="170" t="str">
        <f t="shared" si="9"/>
        <v>филиал 1</v>
      </c>
      <c r="E30" s="171" t="s">
        <v>186</v>
      </c>
      <c r="F30" s="212"/>
      <c r="G30" s="139"/>
      <c r="H30" s="139"/>
      <c r="I30" s="140"/>
      <c r="J30" s="172">
        <f t="shared" ref="J30:K30" si="12">SUM(J31:J34)</f>
        <v>0</v>
      </c>
      <c r="K30" s="173">
        <f t="shared" si="12"/>
        <v>0</v>
      </c>
      <c r="L30" s="173"/>
      <c r="M30" s="173">
        <f t="shared" si="6"/>
        <v>0</v>
      </c>
      <c r="N30" s="174" t="str">
        <f t="shared" si="7"/>
        <v/>
      </c>
      <c r="O30" s="139"/>
      <c r="P30" s="139"/>
      <c r="Q30" s="229"/>
      <c r="R30" s="232"/>
    </row>
    <row r="31" spans="1:18" x14ac:dyDescent="0.25">
      <c r="A31" s="177"/>
      <c r="B31" s="178" t="str">
        <f t="shared" si="10"/>
        <v>субъект РФ 1</v>
      </c>
      <c r="C31" s="178" t="str">
        <f t="shared" si="9"/>
        <v>ДЗО 1</v>
      </c>
      <c r="D31" s="179" t="str">
        <f t="shared" si="9"/>
        <v>филиал 1</v>
      </c>
      <c r="E31" s="191" t="s">
        <v>194</v>
      </c>
      <c r="F31" s="181"/>
      <c r="G31" s="182"/>
      <c r="H31" s="182"/>
      <c r="I31" s="183"/>
      <c r="J31" s="211"/>
      <c r="K31" s="185"/>
      <c r="L31" s="185"/>
      <c r="M31" s="185">
        <f t="shared" si="6"/>
        <v>0</v>
      </c>
      <c r="N31" s="186" t="str">
        <f t="shared" si="7"/>
        <v/>
      </c>
      <c r="O31" s="182"/>
      <c r="P31" s="182"/>
      <c r="Q31" s="230"/>
      <c r="R31" s="233"/>
    </row>
    <row r="32" spans="1:18" x14ac:dyDescent="0.25">
      <c r="A32" s="177"/>
      <c r="B32" s="178" t="str">
        <f t="shared" si="10"/>
        <v>субъект РФ 1</v>
      </c>
      <c r="C32" s="178" t="str">
        <f t="shared" si="9"/>
        <v>ДЗО 1</v>
      </c>
      <c r="D32" s="179" t="str">
        <f t="shared" si="9"/>
        <v>филиал 1</v>
      </c>
      <c r="E32" s="191" t="s">
        <v>196</v>
      </c>
      <c r="F32" s="181"/>
      <c r="G32" s="182"/>
      <c r="H32" s="182"/>
      <c r="I32" s="183"/>
      <c r="J32" s="184"/>
      <c r="K32" s="185"/>
      <c r="L32" s="185"/>
      <c r="M32" s="185">
        <f t="shared" si="6"/>
        <v>0</v>
      </c>
      <c r="N32" s="186" t="str">
        <f t="shared" si="7"/>
        <v/>
      </c>
      <c r="O32" s="182"/>
      <c r="P32" s="182"/>
      <c r="Q32" s="230"/>
      <c r="R32" s="233"/>
    </row>
    <row r="33" spans="1:18" x14ac:dyDescent="0.25">
      <c r="A33" s="177"/>
      <c r="B33" s="178" t="str">
        <f t="shared" si="10"/>
        <v>субъект РФ 1</v>
      </c>
      <c r="C33" s="178" t="str">
        <f t="shared" si="9"/>
        <v>ДЗО 1</v>
      </c>
      <c r="D33" s="179" t="str">
        <f t="shared" si="9"/>
        <v>филиал 1</v>
      </c>
      <c r="E33" s="191" t="s">
        <v>198</v>
      </c>
      <c r="F33" s="181"/>
      <c r="G33" s="182"/>
      <c r="H33" s="182"/>
      <c r="I33" s="183"/>
      <c r="J33" s="189"/>
      <c r="K33" s="190"/>
      <c r="L33" s="190"/>
      <c r="M33" s="185">
        <f t="shared" si="6"/>
        <v>0</v>
      </c>
      <c r="N33" s="186" t="str">
        <f t="shared" si="7"/>
        <v/>
      </c>
      <c r="O33" s="182"/>
      <c r="P33" s="182"/>
      <c r="Q33" s="230"/>
      <c r="R33" s="233"/>
    </row>
    <row r="34" spans="1:18" x14ac:dyDescent="0.25">
      <c r="A34" s="177"/>
      <c r="B34" s="178" t="str">
        <f t="shared" si="10"/>
        <v>субъект РФ 1</v>
      </c>
      <c r="C34" s="178" t="str">
        <f t="shared" si="9"/>
        <v>ДЗО 1</v>
      </c>
      <c r="D34" s="179" t="str">
        <f t="shared" si="9"/>
        <v>филиал 1</v>
      </c>
      <c r="E34" s="191" t="s">
        <v>200</v>
      </c>
      <c r="F34" s="181"/>
      <c r="G34" s="182"/>
      <c r="H34" s="182"/>
      <c r="I34" s="183"/>
      <c r="J34" s="184"/>
      <c r="K34" s="185"/>
      <c r="L34" s="185"/>
      <c r="M34" s="185">
        <f t="shared" si="6"/>
        <v>0</v>
      </c>
      <c r="N34" s="186" t="str">
        <f t="shared" si="7"/>
        <v/>
      </c>
      <c r="O34" s="182"/>
      <c r="P34" s="182"/>
      <c r="Q34" s="230"/>
      <c r="R34" s="233"/>
    </row>
    <row r="35" spans="1:18" x14ac:dyDescent="0.25">
      <c r="A35" s="168" t="s">
        <v>17</v>
      </c>
      <c r="B35" s="169" t="str">
        <f t="shared" si="10"/>
        <v>субъект РФ 1</v>
      </c>
      <c r="C35" s="169" t="str">
        <f t="shared" si="9"/>
        <v>ДЗО 1</v>
      </c>
      <c r="D35" s="170" t="str">
        <f t="shared" si="9"/>
        <v>филиал 1</v>
      </c>
      <c r="E35" s="171" t="s">
        <v>187</v>
      </c>
      <c r="F35" s="138"/>
      <c r="G35" s="139"/>
      <c r="H35" s="139"/>
      <c r="I35" s="140"/>
      <c r="J35" s="172">
        <f t="shared" ref="J35:K35" si="13">SUM(J36:J39)</f>
        <v>0</v>
      </c>
      <c r="K35" s="173">
        <f t="shared" si="13"/>
        <v>0</v>
      </c>
      <c r="L35" s="173"/>
      <c r="M35" s="173">
        <f t="shared" si="6"/>
        <v>0</v>
      </c>
      <c r="N35" s="174" t="str">
        <f t="shared" si="7"/>
        <v/>
      </c>
      <c r="O35" s="139"/>
      <c r="P35" s="139"/>
      <c r="Q35" s="229"/>
      <c r="R35" s="232"/>
    </row>
    <row r="36" spans="1:18" x14ac:dyDescent="0.25">
      <c r="A36" s="177"/>
      <c r="B36" s="178" t="str">
        <f t="shared" si="10"/>
        <v>субъект РФ 1</v>
      </c>
      <c r="C36" s="178" t="str">
        <f t="shared" si="10"/>
        <v>ДЗО 1</v>
      </c>
      <c r="D36" s="179" t="str">
        <f t="shared" si="10"/>
        <v>филиал 1</v>
      </c>
      <c r="E36" s="191" t="s">
        <v>194</v>
      </c>
      <c r="F36" s="181"/>
      <c r="G36" s="182"/>
      <c r="H36" s="182"/>
      <c r="I36" s="183"/>
      <c r="J36" s="184"/>
      <c r="K36" s="185"/>
      <c r="L36" s="185"/>
      <c r="M36" s="185">
        <f t="shared" si="6"/>
        <v>0</v>
      </c>
      <c r="N36" s="186" t="str">
        <f t="shared" si="7"/>
        <v/>
      </c>
      <c r="O36" s="182"/>
      <c r="P36" s="182"/>
      <c r="Q36" s="230"/>
      <c r="R36" s="233"/>
    </row>
    <row r="37" spans="1:18" x14ac:dyDescent="0.25">
      <c r="A37" s="177"/>
      <c r="B37" s="178" t="str">
        <f t="shared" ref="B37:D52" si="14">B36</f>
        <v>субъект РФ 1</v>
      </c>
      <c r="C37" s="178" t="str">
        <f t="shared" si="14"/>
        <v>ДЗО 1</v>
      </c>
      <c r="D37" s="179" t="str">
        <f t="shared" si="14"/>
        <v>филиал 1</v>
      </c>
      <c r="E37" s="191" t="s">
        <v>196</v>
      </c>
      <c r="F37" s="181"/>
      <c r="G37" s="182"/>
      <c r="H37" s="182"/>
      <c r="I37" s="183"/>
      <c r="J37" s="184"/>
      <c r="K37" s="185"/>
      <c r="L37" s="185"/>
      <c r="M37" s="185">
        <f t="shared" si="6"/>
        <v>0</v>
      </c>
      <c r="N37" s="186" t="str">
        <f t="shared" si="7"/>
        <v/>
      </c>
      <c r="O37" s="182"/>
      <c r="P37" s="182"/>
      <c r="Q37" s="230"/>
      <c r="R37" s="233"/>
    </row>
    <row r="38" spans="1:18" x14ac:dyDescent="0.25">
      <c r="A38" s="177"/>
      <c r="B38" s="178" t="str">
        <f t="shared" si="14"/>
        <v>субъект РФ 1</v>
      </c>
      <c r="C38" s="178" t="str">
        <f t="shared" si="14"/>
        <v>ДЗО 1</v>
      </c>
      <c r="D38" s="179" t="str">
        <f t="shared" si="14"/>
        <v>филиал 1</v>
      </c>
      <c r="E38" s="191" t="s">
        <v>198</v>
      </c>
      <c r="F38" s="181"/>
      <c r="G38" s="182"/>
      <c r="H38" s="182"/>
      <c r="I38" s="183"/>
      <c r="J38" s="189"/>
      <c r="K38" s="190"/>
      <c r="L38" s="190"/>
      <c r="M38" s="185">
        <f t="shared" si="6"/>
        <v>0</v>
      </c>
      <c r="N38" s="186" t="str">
        <f t="shared" si="7"/>
        <v/>
      </c>
      <c r="O38" s="182"/>
      <c r="P38" s="182"/>
      <c r="Q38" s="230"/>
      <c r="R38" s="233"/>
    </row>
    <row r="39" spans="1:18" x14ac:dyDescent="0.25">
      <c r="A39" s="177"/>
      <c r="B39" s="178" t="str">
        <f t="shared" si="14"/>
        <v>субъект РФ 1</v>
      </c>
      <c r="C39" s="178" t="str">
        <f t="shared" si="14"/>
        <v>ДЗО 1</v>
      </c>
      <c r="D39" s="179" t="str">
        <f t="shared" si="14"/>
        <v>филиал 1</v>
      </c>
      <c r="E39" s="191" t="s">
        <v>200</v>
      </c>
      <c r="F39" s="181"/>
      <c r="G39" s="182"/>
      <c r="H39" s="182"/>
      <c r="I39" s="183"/>
      <c r="J39" s="184"/>
      <c r="K39" s="185"/>
      <c r="L39" s="185"/>
      <c r="M39" s="185">
        <f t="shared" si="6"/>
        <v>0</v>
      </c>
      <c r="N39" s="186" t="str">
        <f t="shared" si="7"/>
        <v/>
      </c>
      <c r="O39" s="182"/>
      <c r="P39" s="182"/>
      <c r="Q39" s="230"/>
      <c r="R39" s="233"/>
    </row>
    <row r="40" spans="1:18" x14ac:dyDescent="0.25">
      <c r="A40" s="168" t="s">
        <v>19</v>
      </c>
      <c r="B40" s="169" t="str">
        <f t="shared" si="14"/>
        <v>субъект РФ 1</v>
      </c>
      <c r="C40" s="169" t="str">
        <f t="shared" si="14"/>
        <v>ДЗО 1</v>
      </c>
      <c r="D40" s="170" t="str">
        <f t="shared" si="14"/>
        <v>филиал 1</v>
      </c>
      <c r="E40" s="171" t="s">
        <v>188</v>
      </c>
      <c r="F40" s="138"/>
      <c r="G40" s="139"/>
      <c r="H40" s="139"/>
      <c r="I40" s="140"/>
      <c r="J40" s="172">
        <f t="shared" ref="J40:K40" si="15">SUM(J41:J44)</f>
        <v>0</v>
      </c>
      <c r="K40" s="173">
        <f t="shared" si="15"/>
        <v>0</v>
      </c>
      <c r="L40" s="173"/>
      <c r="M40" s="173">
        <f t="shared" si="6"/>
        <v>0</v>
      </c>
      <c r="N40" s="174" t="str">
        <f t="shared" si="7"/>
        <v/>
      </c>
      <c r="O40" s="139"/>
      <c r="P40" s="139"/>
      <c r="Q40" s="229"/>
      <c r="R40" s="232"/>
    </row>
    <row r="41" spans="1:18" x14ac:dyDescent="0.25">
      <c r="A41" s="177"/>
      <c r="B41" s="178" t="str">
        <f t="shared" si="14"/>
        <v>субъект РФ 1</v>
      </c>
      <c r="C41" s="178" t="str">
        <f t="shared" si="14"/>
        <v>ДЗО 1</v>
      </c>
      <c r="D41" s="179" t="str">
        <f t="shared" si="14"/>
        <v>филиал 1</v>
      </c>
      <c r="E41" s="191" t="s">
        <v>194</v>
      </c>
      <c r="F41" s="181"/>
      <c r="G41" s="182"/>
      <c r="H41" s="182"/>
      <c r="I41" s="183"/>
      <c r="J41" s="189"/>
      <c r="K41" s="190"/>
      <c r="L41" s="190"/>
      <c r="M41" s="185">
        <f t="shared" si="6"/>
        <v>0</v>
      </c>
      <c r="N41" s="186" t="str">
        <f t="shared" si="7"/>
        <v/>
      </c>
      <c r="O41" s="182"/>
      <c r="P41" s="182"/>
      <c r="Q41" s="230"/>
      <c r="R41" s="233"/>
    </row>
    <row r="42" spans="1:18" x14ac:dyDescent="0.25">
      <c r="A42" s="177"/>
      <c r="B42" s="178" t="str">
        <f t="shared" si="14"/>
        <v>субъект РФ 1</v>
      </c>
      <c r="C42" s="178" t="str">
        <f t="shared" si="14"/>
        <v>ДЗО 1</v>
      </c>
      <c r="D42" s="179" t="str">
        <f t="shared" si="14"/>
        <v>филиал 1</v>
      </c>
      <c r="E42" s="191" t="s">
        <v>196</v>
      </c>
      <c r="F42" s="181"/>
      <c r="G42" s="182"/>
      <c r="H42" s="182"/>
      <c r="I42" s="183"/>
      <c r="J42" s="189"/>
      <c r="K42" s="190"/>
      <c r="L42" s="190"/>
      <c r="M42" s="185">
        <f t="shared" si="6"/>
        <v>0</v>
      </c>
      <c r="N42" s="186" t="str">
        <f t="shared" si="7"/>
        <v/>
      </c>
      <c r="O42" s="182"/>
      <c r="P42" s="182"/>
      <c r="Q42" s="230"/>
      <c r="R42" s="233"/>
    </row>
    <row r="43" spans="1:18" x14ac:dyDescent="0.25">
      <c r="A43" s="177"/>
      <c r="B43" s="178" t="str">
        <f t="shared" si="14"/>
        <v>субъект РФ 1</v>
      </c>
      <c r="C43" s="178" t="str">
        <f t="shared" si="14"/>
        <v>ДЗО 1</v>
      </c>
      <c r="D43" s="179" t="str">
        <f t="shared" si="14"/>
        <v>филиал 1</v>
      </c>
      <c r="E43" s="191" t="s">
        <v>198</v>
      </c>
      <c r="F43" s="181"/>
      <c r="G43" s="182"/>
      <c r="H43" s="182"/>
      <c r="I43" s="183"/>
      <c r="J43" s="189"/>
      <c r="K43" s="190"/>
      <c r="L43" s="190"/>
      <c r="M43" s="185">
        <f t="shared" si="6"/>
        <v>0</v>
      </c>
      <c r="N43" s="186" t="str">
        <f t="shared" si="7"/>
        <v/>
      </c>
      <c r="O43" s="182"/>
      <c r="P43" s="182"/>
      <c r="Q43" s="230"/>
      <c r="R43" s="233"/>
    </row>
    <row r="44" spans="1:18" x14ac:dyDescent="0.25">
      <c r="A44" s="177"/>
      <c r="B44" s="178" t="str">
        <f t="shared" si="14"/>
        <v>субъект РФ 1</v>
      </c>
      <c r="C44" s="178" t="str">
        <f t="shared" si="14"/>
        <v>ДЗО 1</v>
      </c>
      <c r="D44" s="179" t="str">
        <f t="shared" si="14"/>
        <v>филиал 1</v>
      </c>
      <c r="E44" s="191" t="s">
        <v>200</v>
      </c>
      <c r="F44" s="181"/>
      <c r="G44" s="182"/>
      <c r="H44" s="182"/>
      <c r="I44" s="183"/>
      <c r="J44" s="184"/>
      <c r="K44" s="185"/>
      <c r="L44" s="185"/>
      <c r="M44" s="185">
        <f t="shared" si="6"/>
        <v>0</v>
      </c>
      <c r="N44" s="186" t="str">
        <f t="shared" si="7"/>
        <v/>
      </c>
      <c r="O44" s="182"/>
      <c r="P44" s="182"/>
      <c r="Q44" s="230"/>
      <c r="R44" s="233"/>
    </row>
    <row r="45" spans="1:18" ht="30" x14ac:dyDescent="0.25">
      <c r="A45" s="168" t="s">
        <v>21</v>
      </c>
      <c r="B45" s="169" t="str">
        <f t="shared" si="14"/>
        <v>субъект РФ 1</v>
      </c>
      <c r="C45" s="169" t="str">
        <f t="shared" si="14"/>
        <v>ДЗО 1</v>
      </c>
      <c r="D45" s="170" t="str">
        <f t="shared" si="14"/>
        <v>филиал 1</v>
      </c>
      <c r="E45" s="171" t="s">
        <v>189</v>
      </c>
      <c r="F45" s="138"/>
      <c r="G45" s="139"/>
      <c r="H45" s="139"/>
      <c r="I45" s="140"/>
      <c r="J45" s="172">
        <f t="shared" ref="J45:K45" si="16">SUM(J46:J49)</f>
        <v>0</v>
      </c>
      <c r="K45" s="173">
        <f t="shared" si="16"/>
        <v>0</v>
      </c>
      <c r="L45" s="173"/>
      <c r="M45" s="173">
        <f t="shared" si="6"/>
        <v>0</v>
      </c>
      <c r="N45" s="174" t="str">
        <f t="shared" si="7"/>
        <v/>
      </c>
      <c r="O45" s="139"/>
      <c r="P45" s="139"/>
      <c r="Q45" s="229"/>
      <c r="R45" s="232"/>
    </row>
    <row r="46" spans="1:18" x14ac:dyDescent="0.25">
      <c r="A46" s="177"/>
      <c r="B46" s="178" t="str">
        <f t="shared" si="14"/>
        <v>субъект РФ 1</v>
      </c>
      <c r="C46" s="178" t="str">
        <f t="shared" si="14"/>
        <v>ДЗО 1</v>
      </c>
      <c r="D46" s="179" t="str">
        <f t="shared" si="14"/>
        <v>филиал 1</v>
      </c>
      <c r="E46" s="191" t="s">
        <v>194</v>
      </c>
      <c r="F46" s="181"/>
      <c r="G46" s="182"/>
      <c r="H46" s="182"/>
      <c r="I46" s="183"/>
      <c r="J46" s="184"/>
      <c r="K46" s="185"/>
      <c r="L46" s="185"/>
      <c r="M46" s="185">
        <f t="shared" si="6"/>
        <v>0</v>
      </c>
      <c r="N46" s="186" t="str">
        <f t="shared" si="7"/>
        <v/>
      </c>
      <c r="O46" s="182"/>
      <c r="P46" s="182"/>
      <c r="Q46" s="230"/>
      <c r="R46" s="233"/>
    </row>
    <row r="47" spans="1:18" x14ac:dyDescent="0.25">
      <c r="A47" s="177"/>
      <c r="B47" s="178" t="str">
        <f t="shared" si="14"/>
        <v>субъект РФ 1</v>
      </c>
      <c r="C47" s="178" t="str">
        <f t="shared" si="14"/>
        <v>ДЗО 1</v>
      </c>
      <c r="D47" s="179" t="str">
        <f t="shared" si="14"/>
        <v>филиал 1</v>
      </c>
      <c r="E47" s="191" t="s">
        <v>196</v>
      </c>
      <c r="F47" s="181"/>
      <c r="G47" s="182"/>
      <c r="H47" s="182"/>
      <c r="I47" s="183"/>
      <c r="J47" s="184"/>
      <c r="K47" s="185"/>
      <c r="L47" s="185"/>
      <c r="M47" s="185">
        <f t="shared" si="6"/>
        <v>0</v>
      </c>
      <c r="N47" s="186" t="str">
        <f t="shared" si="7"/>
        <v/>
      </c>
      <c r="O47" s="182"/>
      <c r="P47" s="182"/>
      <c r="Q47" s="230"/>
      <c r="R47" s="233"/>
    </row>
    <row r="48" spans="1:18" x14ac:dyDescent="0.25">
      <c r="A48" s="177"/>
      <c r="B48" s="178" t="str">
        <f t="shared" si="14"/>
        <v>субъект РФ 1</v>
      </c>
      <c r="C48" s="178" t="str">
        <f t="shared" si="14"/>
        <v>ДЗО 1</v>
      </c>
      <c r="D48" s="179" t="str">
        <f t="shared" si="14"/>
        <v>филиал 1</v>
      </c>
      <c r="E48" s="191" t="s">
        <v>198</v>
      </c>
      <c r="F48" s="181"/>
      <c r="G48" s="182"/>
      <c r="H48" s="182"/>
      <c r="I48" s="183"/>
      <c r="J48" s="189"/>
      <c r="K48" s="190"/>
      <c r="L48" s="190"/>
      <c r="M48" s="185">
        <f t="shared" si="6"/>
        <v>0</v>
      </c>
      <c r="N48" s="186" t="str">
        <f t="shared" si="7"/>
        <v/>
      </c>
      <c r="O48" s="182"/>
      <c r="P48" s="182"/>
      <c r="Q48" s="230"/>
      <c r="R48" s="233"/>
    </row>
    <row r="49" spans="1:18" x14ac:dyDescent="0.25">
      <c r="A49" s="177"/>
      <c r="B49" s="178" t="str">
        <f t="shared" si="14"/>
        <v>субъект РФ 1</v>
      </c>
      <c r="C49" s="178" t="str">
        <f t="shared" si="14"/>
        <v>ДЗО 1</v>
      </c>
      <c r="D49" s="179" t="str">
        <f t="shared" si="14"/>
        <v>филиал 1</v>
      </c>
      <c r="E49" s="191" t="s">
        <v>200</v>
      </c>
      <c r="F49" s="181"/>
      <c r="G49" s="182"/>
      <c r="H49" s="182"/>
      <c r="I49" s="183"/>
      <c r="J49" s="184"/>
      <c r="K49" s="185"/>
      <c r="L49" s="185"/>
      <c r="M49" s="185">
        <f t="shared" si="6"/>
        <v>0</v>
      </c>
      <c r="N49" s="186" t="str">
        <f t="shared" si="7"/>
        <v/>
      </c>
      <c r="O49" s="182"/>
      <c r="P49" s="182"/>
      <c r="Q49" s="230"/>
      <c r="R49" s="233"/>
    </row>
    <row r="50" spans="1:18" x14ac:dyDescent="0.25">
      <c r="A50" s="168" t="s">
        <v>23</v>
      </c>
      <c r="B50" s="169" t="str">
        <f t="shared" si="14"/>
        <v>субъект РФ 1</v>
      </c>
      <c r="C50" s="169" t="str">
        <f t="shared" si="14"/>
        <v>ДЗО 1</v>
      </c>
      <c r="D50" s="170" t="str">
        <f t="shared" si="14"/>
        <v>филиал 1</v>
      </c>
      <c r="E50" s="171" t="s">
        <v>190</v>
      </c>
      <c r="F50" s="138"/>
      <c r="G50" s="139"/>
      <c r="H50" s="139"/>
      <c r="I50" s="140"/>
      <c r="J50" s="192"/>
      <c r="K50" s="193"/>
      <c r="L50" s="193"/>
      <c r="M50" s="193">
        <f t="shared" si="6"/>
        <v>0</v>
      </c>
      <c r="N50" s="194" t="str">
        <f t="shared" si="7"/>
        <v/>
      </c>
      <c r="O50" s="139"/>
      <c r="P50" s="139"/>
      <c r="Q50" s="229"/>
      <c r="R50" s="232"/>
    </row>
    <row r="51" spans="1:18" x14ac:dyDescent="0.25">
      <c r="A51" s="168" t="s">
        <v>25</v>
      </c>
      <c r="B51" s="169" t="str">
        <f t="shared" si="14"/>
        <v>субъект РФ 1</v>
      </c>
      <c r="C51" s="169" t="str">
        <f t="shared" si="14"/>
        <v>ДЗО 1</v>
      </c>
      <c r="D51" s="170" t="str">
        <f t="shared" si="14"/>
        <v>филиал 1</v>
      </c>
      <c r="E51" s="171" t="s">
        <v>191</v>
      </c>
      <c r="F51" s="138"/>
      <c r="G51" s="139"/>
      <c r="H51" s="139"/>
      <c r="I51" s="140"/>
      <c r="J51" s="172">
        <f>SUM(J52:J55)</f>
        <v>0</v>
      </c>
      <c r="K51" s="173">
        <f>SUM(K52:K55)</f>
        <v>0</v>
      </c>
      <c r="L51" s="173"/>
      <c r="M51" s="173">
        <f t="shared" si="6"/>
        <v>0</v>
      </c>
      <c r="N51" s="174" t="str">
        <f t="shared" si="7"/>
        <v/>
      </c>
      <c r="O51" s="139"/>
      <c r="P51" s="139"/>
      <c r="Q51" s="229"/>
      <c r="R51" s="232"/>
    </row>
    <row r="52" spans="1:18" x14ac:dyDescent="0.25">
      <c r="A52" s="177"/>
      <c r="B52" s="178" t="str">
        <f t="shared" si="14"/>
        <v>субъект РФ 1</v>
      </c>
      <c r="C52" s="178" t="str">
        <f t="shared" si="14"/>
        <v>ДЗО 1</v>
      </c>
      <c r="D52" s="179" t="str">
        <f t="shared" si="14"/>
        <v>филиал 1</v>
      </c>
      <c r="E52" s="191" t="s">
        <v>202</v>
      </c>
      <c r="F52" s="181"/>
      <c r="G52" s="182"/>
      <c r="H52" s="182"/>
      <c r="I52" s="183"/>
      <c r="J52" s="184"/>
      <c r="K52" s="185"/>
      <c r="L52" s="185"/>
      <c r="M52" s="185">
        <f t="shared" si="6"/>
        <v>0</v>
      </c>
      <c r="N52" s="186" t="str">
        <f t="shared" si="7"/>
        <v/>
      </c>
      <c r="O52" s="182"/>
      <c r="P52" s="182"/>
      <c r="Q52" s="230"/>
      <c r="R52" s="233"/>
    </row>
    <row r="53" spans="1:18" x14ac:dyDescent="0.25">
      <c r="A53" s="177"/>
      <c r="B53" s="178" t="str">
        <f t="shared" ref="B53:D55" si="17">B52</f>
        <v>субъект РФ 1</v>
      </c>
      <c r="C53" s="178" t="str">
        <f t="shared" si="17"/>
        <v>ДЗО 1</v>
      </c>
      <c r="D53" s="179" t="str">
        <f t="shared" si="17"/>
        <v>филиал 1</v>
      </c>
      <c r="E53" s="191" t="s">
        <v>203</v>
      </c>
      <c r="F53" s="181"/>
      <c r="G53" s="182"/>
      <c r="H53" s="182"/>
      <c r="I53" s="183"/>
      <c r="J53" s="184"/>
      <c r="K53" s="185"/>
      <c r="L53" s="185"/>
      <c r="M53" s="185">
        <f t="shared" si="6"/>
        <v>0</v>
      </c>
      <c r="N53" s="186" t="str">
        <f t="shared" si="7"/>
        <v/>
      </c>
      <c r="O53" s="182"/>
      <c r="P53" s="182"/>
      <c r="Q53" s="230"/>
      <c r="R53" s="233"/>
    </row>
    <row r="54" spans="1:18" x14ac:dyDescent="0.25">
      <c r="A54" s="177"/>
      <c r="B54" s="178" t="str">
        <f t="shared" si="17"/>
        <v>субъект РФ 1</v>
      </c>
      <c r="C54" s="178" t="str">
        <f t="shared" si="17"/>
        <v>ДЗО 1</v>
      </c>
      <c r="D54" s="179" t="str">
        <f t="shared" si="17"/>
        <v>филиал 1</v>
      </c>
      <c r="E54" s="191" t="s">
        <v>204</v>
      </c>
      <c r="F54" s="181"/>
      <c r="G54" s="182"/>
      <c r="H54" s="182"/>
      <c r="I54" s="183"/>
      <c r="J54" s="184"/>
      <c r="K54" s="185"/>
      <c r="L54" s="185"/>
      <c r="M54" s="185">
        <f t="shared" si="6"/>
        <v>0</v>
      </c>
      <c r="N54" s="186" t="str">
        <f t="shared" si="7"/>
        <v/>
      </c>
      <c r="O54" s="182"/>
      <c r="P54" s="182"/>
      <c r="Q54" s="230"/>
      <c r="R54" s="233"/>
    </row>
    <row r="55" spans="1:18" ht="15.75" thickBot="1" x14ac:dyDescent="0.3">
      <c r="A55" s="197"/>
      <c r="B55" s="198" t="str">
        <f t="shared" si="17"/>
        <v>субъект РФ 1</v>
      </c>
      <c r="C55" s="198" t="str">
        <f t="shared" si="17"/>
        <v>ДЗО 1</v>
      </c>
      <c r="D55" s="199" t="str">
        <f t="shared" si="17"/>
        <v>филиал 1</v>
      </c>
      <c r="E55" s="200" t="s">
        <v>205</v>
      </c>
      <c r="F55" s="201"/>
      <c r="G55" s="202"/>
      <c r="H55" s="202"/>
      <c r="I55" s="203"/>
      <c r="J55" s="204"/>
      <c r="K55" s="205"/>
      <c r="L55" s="205"/>
      <c r="M55" s="205">
        <f t="shared" si="6"/>
        <v>0</v>
      </c>
      <c r="N55" s="206" t="str">
        <f t="shared" si="7"/>
        <v/>
      </c>
      <c r="O55" s="202"/>
      <c r="P55" s="202"/>
      <c r="Q55" s="231"/>
      <c r="R55" s="234"/>
    </row>
  </sheetData>
  <autoFilter ref="A9:E55"/>
  <mergeCells count="18">
    <mergeCell ref="A6:A8"/>
    <mergeCell ref="B6:B8"/>
    <mergeCell ref="C6:C8"/>
    <mergeCell ref="D6:D8"/>
    <mergeCell ref="E6:E8"/>
    <mergeCell ref="P7:P8"/>
    <mergeCell ref="Q7:R7"/>
    <mergeCell ref="J6:N6"/>
    <mergeCell ref="O6:R6"/>
    <mergeCell ref="F7:F8"/>
    <mergeCell ref="G7:G8"/>
    <mergeCell ref="H7:I7"/>
    <mergeCell ref="J7:J8"/>
    <mergeCell ref="K7:K8"/>
    <mergeCell ref="L7:L8"/>
    <mergeCell ref="M7:N7"/>
    <mergeCell ref="O7:O8"/>
    <mergeCell ref="F6:I6"/>
  </mergeCells>
  <conditionalFormatting sqref="I10:I55">
    <cfRule type="cellIs" dxfId="123" priority="15" operator="lessThan">
      <formula>0</formula>
    </cfRule>
    <cfRule type="cellIs" dxfId="122" priority="16" operator="greaterThan">
      <formula>0</formula>
    </cfRule>
  </conditionalFormatting>
  <conditionalFormatting sqref="N10:N55">
    <cfRule type="cellIs" dxfId="121" priority="13" operator="lessThan">
      <formula>0</formula>
    </cfRule>
    <cfRule type="cellIs" dxfId="120" priority="14" operator="greaterThan">
      <formula>0</formula>
    </cfRule>
  </conditionalFormatting>
  <conditionalFormatting sqref="H10:H55">
    <cfRule type="cellIs" dxfId="119" priority="9" operator="lessThan">
      <formula>0</formula>
    </cfRule>
    <cfRule type="cellIs" dxfId="118" priority="10" operator="greaterThan">
      <formula>0</formula>
    </cfRule>
  </conditionalFormatting>
  <conditionalFormatting sqref="M10:M55">
    <cfRule type="cellIs" dxfId="117" priority="7" operator="lessThan">
      <formula>0</formula>
    </cfRule>
    <cfRule type="cellIs" dxfId="116" priority="8" operator="greaterThan">
      <formula>0</formula>
    </cfRule>
  </conditionalFormatting>
  <conditionalFormatting sqref="R10:R55">
    <cfRule type="cellIs" dxfId="115" priority="3" operator="lessThan">
      <formula>0</formula>
    </cfRule>
    <cfRule type="cellIs" dxfId="114" priority="4" operator="greaterThan">
      <formula>0</formula>
    </cfRule>
  </conditionalFormatting>
  <conditionalFormatting sqref="Q10:Q55">
    <cfRule type="cellIs" dxfId="113" priority="1" operator="lessThan">
      <formula>0</formula>
    </cfRule>
    <cfRule type="cellIs" dxfId="112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U55"/>
  <sheetViews>
    <sheetView zoomScale="85" zoomScaleNormal="85" workbookViewId="0">
      <pane xSplit="5" ySplit="9" topLeftCell="F10" activePane="bottomRight" state="frozen"/>
      <selection activeCell="R10" sqref="R10"/>
      <selection pane="topRight" activeCell="R10" sqref="R10"/>
      <selection pane="bottomLeft" activeCell="R10" sqref="R10"/>
      <selection pane="bottomRight" activeCell="R10" sqref="R10"/>
    </sheetView>
  </sheetViews>
  <sheetFormatPr defaultColWidth="9.140625" defaultRowHeight="15" x14ac:dyDescent="0.25"/>
  <cols>
    <col min="1" max="1" width="6.7109375" style="133" customWidth="1"/>
    <col min="2" max="2" width="26.140625" style="133" customWidth="1"/>
    <col min="3" max="3" width="33.28515625" style="133" customWidth="1"/>
    <col min="4" max="4" width="33.85546875" style="133" customWidth="1"/>
    <col min="5" max="5" width="52.5703125" style="133" customWidth="1"/>
    <col min="6" max="7" width="16.7109375" style="133" customWidth="1"/>
    <col min="8" max="9" width="17.140625" style="133" customWidth="1"/>
    <col min="10" max="11" width="16.7109375" style="133" customWidth="1"/>
    <col min="12" max="12" width="17.140625" style="133" customWidth="1"/>
    <col min="13" max="13" width="20" style="133" customWidth="1"/>
    <col min="14" max="17" width="16.7109375" style="133" customWidth="1"/>
    <col min="18" max="18" width="17.140625" style="133" customWidth="1"/>
    <col min="19" max="19" width="19" style="133" customWidth="1"/>
    <col min="20" max="21" width="17.140625" style="133" customWidth="1"/>
    <col min="22" max="16384" width="9.140625" style="133"/>
  </cols>
  <sheetData>
    <row r="1" spans="1:21" s="110" customFormat="1" ht="15.75" x14ac:dyDescent="0.25">
      <c r="A1" s="109" t="s">
        <v>208</v>
      </c>
      <c r="C1" s="111" t="s">
        <v>209</v>
      </c>
    </row>
    <row r="2" spans="1:21" s="110" customFormat="1" ht="12.75" x14ac:dyDescent="0.2"/>
    <row r="3" spans="1:21" s="110" customFormat="1" ht="15.75" x14ac:dyDescent="0.25">
      <c r="A3" s="112" t="s">
        <v>210</v>
      </c>
      <c r="B3" s="112"/>
    </row>
    <row r="4" spans="1:21" s="110" customFormat="1" ht="12" customHeight="1" x14ac:dyDescent="0.2"/>
    <row r="5" spans="1:21" s="110" customFormat="1" ht="12" customHeight="1" thickBot="1" x14ac:dyDescent="0.25"/>
    <row r="6" spans="1:21" s="110" customFormat="1" ht="24.75" customHeight="1" x14ac:dyDescent="0.2">
      <c r="A6" s="502" t="s">
        <v>172</v>
      </c>
      <c r="B6" s="479" t="s">
        <v>1</v>
      </c>
      <c r="C6" s="479" t="s">
        <v>2</v>
      </c>
      <c r="D6" s="479" t="s">
        <v>3</v>
      </c>
      <c r="E6" s="506" t="s">
        <v>173</v>
      </c>
      <c r="F6" s="508" t="s">
        <v>174</v>
      </c>
      <c r="G6" s="493"/>
      <c r="H6" s="493"/>
      <c r="I6" s="509"/>
      <c r="J6" s="508" t="s">
        <v>175</v>
      </c>
      <c r="K6" s="493"/>
      <c r="L6" s="493"/>
      <c r="M6" s="509"/>
      <c r="N6" s="508" t="s">
        <v>211</v>
      </c>
      <c r="O6" s="493"/>
      <c r="P6" s="493"/>
      <c r="Q6" s="493"/>
      <c r="R6" s="493"/>
      <c r="S6" s="493"/>
      <c r="T6" s="493"/>
      <c r="U6" s="509"/>
    </row>
    <row r="7" spans="1:21" s="110" customFormat="1" ht="24.75" customHeight="1" x14ac:dyDescent="0.2">
      <c r="A7" s="503"/>
      <c r="B7" s="480"/>
      <c r="C7" s="480"/>
      <c r="D7" s="480"/>
      <c r="E7" s="507"/>
      <c r="F7" s="490">
        <v>2019</v>
      </c>
      <c r="G7" s="500">
        <v>2020</v>
      </c>
      <c r="H7" s="488" t="s">
        <v>177</v>
      </c>
      <c r="I7" s="489"/>
      <c r="J7" s="490">
        <v>2019</v>
      </c>
      <c r="K7" s="500">
        <v>2020</v>
      </c>
      <c r="L7" s="488" t="s">
        <v>177</v>
      </c>
      <c r="M7" s="489"/>
      <c r="N7" s="511" t="s">
        <v>212</v>
      </c>
      <c r="O7" s="510"/>
      <c r="P7" s="488" t="s">
        <v>176</v>
      </c>
      <c r="Q7" s="510"/>
      <c r="R7" s="488" t="s">
        <v>213</v>
      </c>
      <c r="S7" s="510"/>
      <c r="T7" s="488" t="s">
        <v>214</v>
      </c>
      <c r="U7" s="489"/>
    </row>
    <row r="8" spans="1:21" s="110" customFormat="1" ht="42.75" customHeight="1" thickBot="1" x14ac:dyDescent="0.25">
      <c r="A8" s="504"/>
      <c r="B8" s="505"/>
      <c r="C8" s="505"/>
      <c r="D8" s="505"/>
      <c r="E8" s="507"/>
      <c r="F8" s="491"/>
      <c r="G8" s="501"/>
      <c r="H8" s="113" t="s">
        <v>179</v>
      </c>
      <c r="I8" s="114" t="s">
        <v>180</v>
      </c>
      <c r="J8" s="491"/>
      <c r="K8" s="501"/>
      <c r="L8" s="113" t="s">
        <v>179</v>
      </c>
      <c r="M8" s="114" t="s">
        <v>180</v>
      </c>
      <c r="N8" s="213">
        <v>2019</v>
      </c>
      <c r="O8" s="214">
        <v>2020</v>
      </c>
      <c r="P8" s="214">
        <v>2019</v>
      </c>
      <c r="Q8" s="214">
        <v>2020</v>
      </c>
      <c r="R8" s="215" t="s">
        <v>179</v>
      </c>
      <c r="S8" s="215" t="s">
        <v>180</v>
      </c>
      <c r="T8" s="215" t="s">
        <v>179</v>
      </c>
      <c r="U8" s="216" t="s">
        <v>180</v>
      </c>
    </row>
    <row r="9" spans="1:21" s="110" customFormat="1" ht="13.5" thickBot="1" x14ac:dyDescent="0.25">
      <c r="A9" s="115">
        <v>1</v>
      </c>
      <c r="B9" s="116">
        <f>A9+1</f>
        <v>2</v>
      </c>
      <c r="C9" s="116">
        <f t="shared" ref="C9:Q9" si="0">B9+1</f>
        <v>3</v>
      </c>
      <c r="D9" s="117">
        <f t="shared" si="0"/>
        <v>4</v>
      </c>
      <c r="E9" s="118">
        <f t="shared" si="0"/>
        <v>5</v>
      </c>
      <c r="F9" s="119">
        <f t="shared" si="0"/>
        <v>6</v>
      </c>
      <c r="G9" s="120">
        <f t="shared" si="0"/>
        <v>7</v>
      </c>
      <c r="H9" s="120" t="s">
        <v>216</v>
      </c>
      <c r="I9" s="121" t="s">
        <v>219</v>
      </c>
      <c r="J9" s="119">
        <v>10</v>
      </c>
      <c r="K9" s="120">
        <f t="shared" si="0"/>
        <v>11</v>
      </c>
      <c r="L9" s="120" t="s">
        <v>223</v>
      </c>
      <c r="M9" s="121" t="s">
        <v>224</v>
      </c>
      <c r="N9" s="119">
        <v>14</v>
      </c>
      <c r="O9" s="120">
        <f t="shared" si="0"/>
        <v>15</v>
      </c>
      <c r="P9" s="120">
        <f t="shared" si="0"/>
        <v>16</v>
      </c>
      <c r="Q9" s="120">
        <f t="shared" si="0"/>
        <v>17</v>
      </c>
      <c r="R9" s="122" t="s">
        <v>225</v>
      </c>
      <c r="S9" s="122" t="s">
        <v>226</v>
      </c>
      <c r="T9" s="122" t="s">
        <v>228</v>
      </c>
      <c r="U9" s="122" t="s">
        <v>227</v>
      </c>
    </row>
    <row r="10" spans="1:21" ht="15.75" x14ac:dyDescent="0.25">
      <c r="A10" s="123" t="s">
        <v>181</v>
      </c>
      <c r="B10" s="124" t="s">
        <v>182</v>
      </c>
      <c r="C10" s="124" t="s">
        <v>192</v>
      </c>
      <c r="D10" s="125" t="s">
        <v>182</v>
      </c>
      <c r="E10" s="126" t="s">
        <v>183</v>
      </c>
      <c r="F10" s="217">
        <f t="shared" ref="F10:G10" si="1">SUMIFS(F18:F4992,$A18:$A4992,$A10,$C18:$C4992,$C10)</f>
        <v>0</v>
      </c>
      <c r="G10" s="128">
        <f t="shared" si="1"/>
        <v>0</v>
      </c>
      <c r="H10" s="128">
        <f>G10-F10</f>
        <v>0</v>
      </c>
      <c r="I10" s="129" t="str">
        <f>IFERROR(G10/F10-1,"")</f>
        <v/>
      </c>
      <c r="J10" s="130">
        <f t="shared" ref="J10:K10" si="2">SUM(J11:J18)</f>
        <v>0</v>
      </c>
      <c r="K10" s="128">
        <f t="shared" si="2"/>
        <v>0</v>
      </c>
      <c r="L10" s="128">
        <f>K10-J10</f>
        <v>0</v>
      </c>
      <c r="M10" s="129" t="str">
        <f>IFERROR(K10/J10-1,"")</f>
        <v/>
      </c>
      <c r="N10" s="130">
        <f t="shared" ref="N10:Q10" si="3">SUM(N11:N18)</f>
        <v>0</v>
      </c>
      <c r="O10" s="128">
        <f t="shared" si="3"/>
        <v>0</v>
      </c>
      <c r="P10" s="128">
        <f t="shared" si="3"/>
        <v>0</v>
      </c>
      <c r="Q10" s="128">
        <f t="shared" si="3"/>
        <v>0</v>
      </c>
      <c r="R10" s="131">
        <f>O10-N10</f>
        <v>0</v>
      </c>
      <c r="S10" s="218" t="str">
        <f>IFERROR(O10/N10-1,"")</f>
        <v/>
      </c>
      <c r="T10" s="131">
        <f>Q10-P10</f>
        <v>0</v>
      </c>
      <c r="U10" s="132" t="str">
        <f>IFERROR(Q10/P10-1,"")</f>
        <v/>
      </c>
    </row>
    <row r="11" spans="1:21" x14ac:dyDescent="0.25">
      <c r="A11" s="134" t="s">
        <v>10</v>
      </c>
      <c r="B11" s="135" t="s">
        <v>182</v>
      </c>
      <c r="C11" s="135" t="str">
        <f>C10</f>
        <v>ДЗО 1</v>
      </c>
      <c r="D11" s="136" t="s">
        <v>182</v>
      </c>
      <c r="E11" s="137" t="s">
        <v>184</v>
      </c>
      <c r="F11" s="138"/>
      <c r="G11" s="139"/>
      <c r="H11" s="139"/>
      <c r="I11" s="140"/>
      <c r="J11" s="141">
        <f>SUMIFS(J19:J4993,$A19:$A4993,$A11,$C19:$C4993,$C11)</f>
        <v>0</v>
      </c>
      <c r="K11" s="142">
        <f>SUMIFS(K19:K4993,$A19:$A4993,$A11,$C19:$C4993,$C11)</f>
        <v>0</v>
      </c>
      <c r="L11" s="142">
        <f t="shared" ref="L11:L55" si="4">K11-J11</f>
        <v>0</v>
      </c>
      <c r="M11" s="143" t="str">
        <f t="shared" ref="M11:M55" si="5">IFERROR(K11/J11-1,"")</f>
        <v/>
      </c>
      <c r="N11" s="141">
        <f>SUMIFS(N19:N4993,$A19:$A4993,$A11,$C19:$C4993,$C11)</f>
        <v>0</v>
      </c>
      <c r="O11" s="142">
        <f>SUMIFS(O19:O4993,$A19:$A4993,$A11,$C19:$C4993,$C11)</f>
        <v>0</v>
      </c>
      <c r="P11" s="142">
        <f>SUMIFS(P19:P4993,$A19:$A4993,$A11,$C19:$C4993,$C11)</f>
        <v>0</v>
      </c>
      <c r="Q11" s="142">
        <f>SUMIFS(Q19:Q4993,$A19:$A4993,$A11,$C19:$C4993,$C11)</f>
        <v>0</v>
      </c>
      <c r="R11" s="144">
        <f t="shared" ref="R11:R55" si="6">O11-N11</f>
        <v>0</v>
      </c>
      <c r="S11" s="219" t="str">
        <f t="shared" ref="S11:S55" si="7">IFERROR(O11/N11-1,"")</f>
        <v/>
      </c>
      <c r="T11" s="144">
        <f t="shared" ref="T11:T55" si="8">Q11-P11</f>
        <v>0</v>
      </c>
      <c r="U11" s="145" t="str">
        <f t="shared" ref="U11:U55" si="9">IFERROR(Q11/P11-1,"")</f>
        <v/>
      </c>
    </row>
    <row r="12" spans="1:21" x14ac:dyDescent="0.25">
      <c r="A12" s="134" t="s">
        <v>13</v>
      </c>
      <c r="B12" s="135" t="s">
        <v>182</v>
      </c>
      <c r="C12" s="135" t="str">
        <f t="shared" ref="C12:C18" si="10">C11</f>
        <v>ДЗО 1</v>
      </c>
      <c r="D12" s="136" t="s">
        <v>182</v>
      </c>
      <c r="E12" s="137" t="s">
        <v>185</v>
      </c>
      <c r="F12" s="138"/>
      <c r="G12" s="139"/>
      <c r="H12" s="139"/>
      <c r="I12" s="140"/>
      <c r="J12" s="141">
        <f>SUMIFS(J19:J4993,$A19:$A4993,$A12,$C19:$C4993,$C12)</f>
        <v>0</v>
      </c>
      <c r="K12" s="142">
        <f>SUMIFS(K19:K4993,$A19:$A4993,$A12,$C19:$C4993,$C12)</f>
        <v>0</v>
      </c>
      <c r="L12" s="142">
        <f t="shared" si="4"/>
        <v>0</v>
      </c>
      <c r="M12" s="143" t="str">
        <f t="shared" si="5"/>
        <v/>
      </c>
      <c r="N12" s="141">
        <f>SUMIFS(N19:N4993,$A19:$A4993,$A12,$C19:$C4993,$C12)</f>
        <v>0</v>
      </c>
      <c r="O12" s="142">
        <f>SUMIFS(O19:O4993,$A19:$A4993,$A12,$C19:$C4993,$C12)</f>
        <v>0</v>
      </c>
      <c r="P12" s="142">
        <f>SUMIFS(P19:P4993,$A19:$A4993,$A12,$C19:$C4993,$C12)</f>
        <v>0</v>
      </c>
      <c r="Q12" s="142">
        <f>SUMIFS(Q19:Q4993,$A19:$A4993,$A12,$C19:$C4993,$C12)</f>
        <v>0</v>
      </c>
      <c r="R12" s="144">
        <f t="shared" si="6"/>
        <v>0</v>
      </c>
      <c r="S12" s="219" t="str">
        <f t="shared" si="7"/>
        <v/>
      </c>
      <c r="T12" s="144">
        <f t="shared" si="8"/>
        <v>0</v>
      </c>
      <c r="U12" s="145" t="str">
        <f t="shared" si="9"/>
        <v/>
      </c>
    </row>
    <row r="13" spans="1:21" x14ac:dyDescent="0.25">
      <c r="A13" s="134" t="s">
        <v>15</v>
      </c>
      <c r="B13" s="135" t="s">
        <v>182</v>
      </c>
      <c r="C13" s="135" t="str">
        <f t="shared" si="10"/>
        <v>ДЗО 1</v>
      </c>
      <c r="D13" s="136" t="s">
        <v>182</v>
      </c>
      <c r="E13" s="137" t="s">
        <v>186</v>
      </c>
      <c r="F13" s="138"/>
      <c r="G13" s="139"/>
      <c r="H13" s="139"/>
      <c r="I13" s="140"/>
      <c r="J13" s="141">
        <f>SUMIFS(J19:J4993,$A19:$A4993,$A13,$C19:$C4993,$C13)</f>
        <v>0</v>
      </c>
      <c r="K13" s="142">
        <f>SUMIFS(K19:K4993,$A19:$A4993,$A13,$C19:$C4993,$C13)</f>
        <v>0</v>
      </c>
      <c r="L13" s="142">
        <f t="shared" si="4"/>
        <v>0</v>
      </c>
      <c r="M13" s="143" t="str">
        <f t="shared" si="5"/>
        <v/>
      </c>
      <c r="N13" s="141">
        <f>SUMIFS(N19:N4993,$A19:$A4993,$A13,$C19:$C4993,$C13)</f>
        <v>0</v>
      </c>
      <c r="O13" s="142">
        <f>SUMIFS(O19:O4993,$A19:$A4993,$A13,$C19:$C4993,$C13)</f>
        <v>0</v>
      </c>
      <c r="P13" s="142">
        <f>SUMIFS(P19:P4993,$A19:$A4993,$A13,$C19:$C4993,$C13)</f>
        <v>0</v>
      </c>
      <c r="Q13" s="142">
        <f>SUMIFS(Q19:Q4993,$A19:$A4993,$A13,$C19:$C4993,$C13)</f>
        <v>0</v>
      </c>
      <c r="R13" s="144">
        <f t="shared" si="6"/>
        <v>0</v>
      </c>
      <c r="S13" s="219" t="str">
        <f t="shared" si="7"/>
        <v/>
      </c>
      <c r="T13" s="144">
        <f t="shared" si="8"/>
        <v>0</v>
      </c>
      <c r="U13" s="145" t="str">
        <f t="shared" si="9"/>
        <v/>
      </c>
    </row>
    <row r="14" spans="1:21" x14ac:dyDescent="0.25">
      <c r="A14" s="134" t="s">
        <v>17</v>
      </c>
      <c r="B14" s="135" t="s">
        <v>182</v>
      </c>
      <c r="C14" s="135" t="str">
        <f t="shared" si="10"/>
        <v>ДЗО 1</v>
      </c>
      <c r="D14" s="136" t="s">
        <v>182</v>
      </c>
      <c r="E14" s="137" t="s">
        <v>187</v>
      </c>
      <c r="F14" s="138"/>
      <c r="G14" s="139"/>
      <c r="H14" s="139"/>
      <c r="I14" s="140"/>
      <c r="J14" s="141">
        <f>SUMIFS(J19:J4993,$A19:$A4993,$A14,$C19:$C4993,$C14)</f>
        <v>0</v>
      </c>
      <c r="K14" s="142">
        <f>SUMIFS(K19:K4993,$A19:$A4993,$A14,$C19:$C4993,$C14)</f>
        <v>0</v>
      </c>
      <c r="L14" s="142">
        <f t="shared" si="4"/>
        <v>0</v>
      </c>
      <c r="M14" s="143" t="str">
        <f t="shared" si="5"/>
        <v/>
      </c>
      <c r="N14" s="141">
        <f>SUMIFS(N19:N4993,$A19:$A4993,$A14,$C19:$C4993,$C14)</f>
        <v>0</v>
      </c>
      <c r="O14" s="142">
        <f>SUMIFS(O19:O4993,$A19:$A4993,$A14,$C19:$C4993,$C14)</f>
        <v>0</v>
      </c>
      <c r="P14" s="142">
        <f>SUMIFS(P19:P4993,$A19:$A4993,$A14,$C19:$C4993,$C14)</f>
        <v>0</v>
      </c>
      <c r="Q14" s="142">
        <f>SUMIFS(Q19:Q4993,$A19:$A4993,$A14,$C19:$C4993,$C14)</f>
        <v>0</v>
      </c>
      <c r="R14" s="144">
        <f t="shared" si="6"/>
        <v>0</v>
      </c>
      <c r="S14" s="219" t="str">
        <f t="shared" si="7"/>
        <v/>
      </c>
      <c r="T14" s="144">
        <f t="shared" si="8"/>
        <v>0</v>
      </c>
      <c r="U14" s="145" t="str">
        <f t="shared" si="9"/>
        <v/>
      </c>
    </row>
    <row r="15" spans="1:21" x14ac:dyDescent="0.25">
      <c r="A15" s="134" t="s">
        <v>19</v>
      </c>
      <c r="B15" s="135" t="s">
        <v>182</v>
      </c>
      <c r="C15" s="135" t="str">
        <f t="shared" si="10"/>
        <v>ДЗО 1</v>
      </c>
      <c r="D15" s="136" t="s">
        <v>182</v>
      </c>
      <c r="E15" s="137" t="s">
        <v>188</v>
      </c>
      <c r="F15" s="138"/>
      <c r="G15" s="139"/>
      <c r="H15" s="139"/>
      <c r="I15" s="140"/>
      <c r="J15" s="141">
        <f>SUMIFS(J19:J4993,$A19:$A4993,$A15,$C19:$C4993,$C15)</f>
        <v>0</v>
      </c>
      <c r="K15" s="142">
        <f>SUMIFS(K19:K4993,$A19:$A4993,$A15,$C19:$C4993,$C15)</f>
        <v>0</v>
      </c>
      <c r="L15" s="142">
        <f t="shared" si="4"/>
        <v>0</v>
      </c>
      <c r="M15" s="143" t="str">
        <f t="shared" si="5"/>
        <v/>
      </c>
      <c r="N15" s="141">
        <f>SUMIFS(N19:N4993,$A19:$A4993,$A15,$C19:$C4993,$C15)</f>
        <v>0</v>
      </c>
      <c r="O15" s="142">
        <f>SUMIFS(O19:O4993,$A19:$A4993,$A15,$C19:$C4993,$C15)</f>
        <v>0</v>
      </c>
      <c r="P15" s="142">
        <f>SUMIFS(P19:P4993,$A19:$A4993,$A15,$C19:$C4993,$C15)</f>
        <v>0</v>
      </c>
      <c r="Q15" s="142">
        <f>SUMIFS(Q19:Q4993,$A19:$A4993,$A15,$C19:$C4993,$C15)</f>
        <v>0</v>
      </c>
      <c r="R15" s="144">
        <f t="shared" si="6"/>
        <v>0</v>
      </c>
      <c r="S15" s="219" t="str">
        <f t="shared" si="7"/>
        <v/>
      </c>
      <c r="T15" s="144">
        <f t="shared" si="8"/>
        <v>0</v>
      </c>
      <c r="U15" s="145" t="str">
        <f t="shared" si="9"/>
        <v/>
      </c>
    </row>
    <row r="16" spans="1:21" ht="30" x14ac:dyDescent="0.25">
      <c r="A16" s="134" t="s">
        <v>21</v>
      </c>
      <c r="B16" s="135" t="s">
        <v>182</v>
      </c>
      <c r="C16" s="135" t="str">
        <f t="shared" si="10"/>
        <v>ДЗО 1</v>
      </c>
      <c r="D16" s="136" t="s">
        <v>182</v>
      </c>
      <c r="E16" s="137" t="s">
        <v>189</v>
      </c>
      <c r="F16" s="226"/>
      <c r="G16" s="139"/>
      <c r="H16" s="139"/>
      <c r="I16" s="140"/>
      <c r="J16" s="141">
        <f>SUMIFS(J19:J4993,$A19:$A4993,$A16,$C19:$C4993,$C16)</f>
        <v>0</v>
      </c>
      <c r="K16" s="142">
        <f>SUMIFS(K19:K4993,$A19:$A4993,$A16,$C19:$C4993,$C16)</f>
        <v>0</v>
      </c>
      <c r="L16" s="142">
        <f t="shared" si="4"/>
        <v>0</v>
      </c>
      <c r="M16" s="143" t="str">
        <f t="shared" si="5"/>
        <v/>
      </c>
      <c r="N16" s="141">
        <f>SUMIFS(N19:N4993,$A19:$A4993,$A16,$C19:$C4993,$C16)</f>
        <v>0</v>
      </c>
      <c r="O16" s="142">
        <f>SUMIFS(O19:O4993,$A19:$A4993,$A16,$C19:$C4993,$C16)</f>
        <v>0</v>
      </c>
      <c r="P16" s="142">
        <f>SUMIFS(P19:P4993,$A19:$A4993,$A16,$C19:$C4993,$C16)</f>
        <v>0</v>
      </c>
      <c r="Q16" s="142">
        <f>SUMIFS(Q19:Q4993,$A19:$A4993,$A16,$C19:$C4993,$C16)</f>
        <v>0</v>
      </c>
      <c r="R16" s="144">
        <f t="shared" si="6"/>
        <v>0</v>
      </c>
      <c r="S16" s="219" t="str">
        <f t="shared" si="7"/>
        <v/>
      </c>
      <c r="T16" s="144">
        <f t="shared" si="8"/>
        <v>0</v>
      </c>
      <c r="U16" s="145" t="str">
        <f t="shared" si="9"/>
        <v/>
      </c>
    </row>
    <row r="17" spans="1:21" x14ac:dyDescent="0.25">
      <c r="A17" s="134" t="s">
        <v>23</v>
      </c>
      <c r="B17" s="135" t="s">
        <v>182</v>
      </c>
      <c r="C17" s="135" t="str">
        <f t="shared" si="10"/>
        <v>ДЗО 1</v>
      </c>
      <c r="D17" s="136" t="s">
        <v>182</v>
      </c>
      <c r="E17" s="137" t="s">
        <v>190</v>
      </c>
      <c r="F17" s="138"/>
      <c r="G17" s="139"/>
      <c r="H17" s="139"/>
      <c r="I17" s="140"/>
      <c r="J17" s="141">
        <f>SUMIFS(J19:J4993,$A19:$A4993,$A17,$C19:$C4993,$C17)</f>
        <v>0</v>
      </c>
      <c r="K17" s="142">
        <f>SUMIFS(K19:K4993,$A19:$A4993,$A17,$C19:$C4993,$C17)</f>
        <v>0</v>
      </c>
      <c r="L17" s="142">
        <f t="shared" si="4"/>
        <v>0</v>
      </c>
      <c r="M17" s="143" t="str">
        <f t="shared" si="5"/>
        <v/>
      </c>
      <c r="N17" s="141">
        <f>SUMIFS(N19:N4993,$A19:$A4993,$A17,$C19:$C4993,$C17)</f>
        <v>0</v>
      </c>
      <c r="O17" s="142">
        <f>SUMIFS(O19:O4993,$A19:$A4993,$A17,$C19:$C4993,$C17)</f>
        <v>0</v>
      </c>
      <c r="P17" s="142">
        <f>SUMIFS(P19:P4993,$A19:$A4993,$A17,$C19:$C4993,$C17)</f>
        <v>0</v>
      </c>
      <c r="Q17" s="142">
        <f>SUMIFS(Q19:Q4993,$A19:$A4993,$A17,$C19:$C4993,$C17)</f>
        <v>0</v>
      </c>
      <c r="R17" s="144">
        <f t="shared" si="6"/>
        <v>0</v>
      </c>
      <c r="S17" s="219" t="str">
        <f t="shared" si="7"/>
        <v/>
      </c>
      <c r="T17" s="144">
        <f t="shared" si="8"/>
        <v>0</v>
      </c>
      <c r="U17" s="145" t="str">
        <f t="shared" si="9"/>
        <v/>
      </c>
    </row>
    <row r="18" spans="1:21" x14ac:dyDescent="0.25">
      <c r="A18" s="146" t="s">
        <v>25</v>
      </c>
      <c r="B18" s="147" t="s">
        <v>182</v>
      </c>
      <c r="C18" s="147" t="str">
        <f t="shared" si="10"/>
        <v>ДЗО 1</v>
      </c>
      <c r="D18" s="148" t="s">
        <v>182</v>
      </c>
      <c r="E18" s="149" t="s">
        <v>191</v>
      </c>
      <c r="F18" s="150"/>
      <c r="G18" s="151"/>
      <c r="H18" s="151"/>
      <c r="I18" s="152"/>
      <c r="J18" s="153">
        <f>SUMIFS(J19:J4993,$A19:$A4993,$A18,$C19:$C4993,$C18)</f>
        <v>0</v>
      </c>
      <c r="K18" s="154">
        <f>SUMIFS(K19:K4993,$A19:$A4993,$A18,$C19:$C4993,$C18)</f>
        <v>0</v>
      </c>
      <c r="L18" s="154">
        <f t="shared" si="4"/>
        <v>0</v>
      </c>
      <c r="M18" s="155" t="str">
        <f t="shared" si="5"/>
        <v/>
      </c>
      <c r="N18" s="153">
        <f>SUMIFS(N19:N4993,$A19:$A4993,$A18,$C19:$C4993,$C18)</f>
        <v>0</v>
      </c>
      <c r="O18" s="154">
        <f>SUMIFS(O19:O4993,$A19:$A4993,$A18,$C19:$C4993,$C18)</f>
        <v>0</v>
      </c>
      <c r="P18" s="154">
        <f>SUMIFS(P19:P4993,$A19:$A4993,$A18,$C19:$C4993,$C18)</f>
        <v>0</v>
      </c>
      <c r="Q18" s="154">
        <f>SUMIFS(Q19:Q4993,$A19:$A4993,$A18,$C19:$C4993,$C18)</f>
        <v>0</v>
      </c>
      <c r="R18" s="156">
        <f t="shared" si="6"/>
        <v>0</v>
      </c>
      <c r="S18" s="220" t="str">
        <f t="shared" si="7"/>
        <v/>
      </c>
      <c r="T18" s="156">
        <f t="shared" si="8"/>
        <v>0</v>
      </c>
      <c r="U18" s="157" t="str">
        <f t="shared" si="9"/>
        <v/>
      </c>
    </row>
    <row r="19" spans="1:21" ht="15.75" x14ac:dyDescent="0.25">
      <c r="A19" s="158" t="s">
        <v>181</v>
      </c>
      <c r="B19" s="159" t="s">
        <v>206</v>
      </c>
      <c r="C19" s="160" t="s">
        <v>192</v>
      </c>
      <c r="D19" s="161" t="s">
        <v>207</v>
      </c>
      <c r="E19" s="162" t="s">
        <v>183</v>
      </c>
      <c r="F19" s="209"/>
      <c r="G19" s="210"/>
      <c r="H19" s="163">
        <f>G19-F19</f>
        <v>0</v>
      </c>
      <c r="I19" s="164" t="str">
        <f>IFERROR(G19/F19-1,"")</f>
        <v/>
      </c>
      <c r="J19" s="165">
        <f>SUM(J20,J25,J30,J35,J40,J45,J50,J51)</f>
        <v>0</v>
      </c>
      <c r="K19" s="163">
        <f>SUM(K20,K25,K30,K35,K40,K45,K50,K51)</f>
        <v>0</v>
      </c>
      <c r="L19" s="163">
        <f t="shared" si="4"/>
        <v>0</v>
      </c>
      <c r="M19" s="164" t="str">
        <f t="shared" si="5"/>
        <v/>
      </c>
      <c r="N19" s="165">
        <f>SUM(N20,N25,N30,N35,N40,N45,N50,N51)</f>
        <v>0</v>
      </c>
      <c r="O19" s="163">
        <f>SUM(O20,O25,O30,O35,O40,O45,O50,O51)</f>
        <v>0</v>
      </c>
      <c r="P19" s="163">
        <f>SUM(P20,P25,P30,P35,P40,P45,P50,P51)</f>
        <v>0</v>
      </c>
      <c r="Q19" s="163">
        <f>SUM(Q20,Q25,Q30,Q35,Q40,Q45,Q50,Q51)</f>
        <v>0</v>
      </c>
      <c r="R19" s="166">
        <f t="shared" si="6"/>
        <v>0</v>
      </c>
      <c r="S19" s="221" t="str">
        <f t="shared" si="7"/>
        <v/>
      </c>
      <c r="T19" s="166">
        <f t="shared" si="8"/>
        <v>0</v>
      </c>
      <c r="U19" s="167" t="str">
        <f t="shared" si="9"/>
        <v/>
      </c>
    </row>
    <row r="20" spans="1:21" x14ac:dyDescent="0.25">
      <c r="A20" s="168" t="s">
        <v>10</v>
      </c>
      <c r="B20" s="169" t="str">
        <f>B19</f>
        <v>субъект РФ 1</v>
      </c>
      <c r="C20" s="169" t="str">
        <f t="shared" ref="C20:D35" si="11">C19</f>
        <v>ДЗО 1</v>
      </c>
      <c r="D20" s="170" t="str">
        <f>D19</f>
        <v>филиал 1</v>
      </c>
      <c r="E20" s="171" t="s">
        <v>193</v>
      </c>
      <c r="F20" s="138"/>
      <c r="G20" s="139"/>
      <c r="H20" s="139"/>
      <c r="I20" s="140"/>
      <c r="J20" s="172">
        <f>SUM(J21:J24)</f>
        <v>0</v>
      </c>
      <c r="K20" s="173">
        <f>SUM(K21:K24)</f>
        <v>0</v>
      </c>
      <c r="L20" s="173">
        <f t="shared" si="4"/>
        <v>0</v>
      </c>
      <c r="M20" s="174" t="str">
        <f t="shared" si="5"/>
        <v/>
      </c>
      <c r="N20" s="172">
        <f>SUM(N21:N24)</f>
        <v>0</v>
      </c>
      <c r="O20" s="173">
        <f>SUM(O21:O24)</f>
        <v>0</v>
      </c>
      <c r="P20" s="173">
        <f>SUM(P21:P24)</f>
        <v>0</v>
      </c>
      <c r="Q20" s="173">
        <f>SUM(Q21:Q24)</f>
        <v>0</v>
      </c>
      <c r="R20" s="175">
        <f t="shared" si="6"/>
        <v>0</v>
      </c>
      <c r="S20" s="222" t="str">
        <f t="shared" si="7"/>
        <v/>
      </c>
      <c r="T20" s="175">
        <f t="shared" si="8"/>
        <v>0</v>
      </c>
      <c r="U20" s="176" t="str">
        <f t="shared" si="9"/>
        <v/>
      </c>
    </row>
    <row r="21" spans="1:21" x14ac:dyDescent="0.25">
      <c r="A21" s="177"/>
      <c r="B21" s="178" t="str">
        <f t="shared" ref="B21:D36" si="12">B20</f>
        <v>субъект РФ 1</v>
      </c>
      <c r="C21" s="178" t="str">
        <f t="shared" si="11"/>
        <v>ДЗО 1</v>
      </c>
      <c r="D21" s="179" t="str">
        <f t="shared" si="11"/>
        <v>филиал 1</v>
      </c>
      <c r="E21" s="191" t="s">
        <v>194</v>
      </c>
      <c r="F21" s="181"/>
      <c r="G21" s="182"/>
      <c r="H21" s="182"/>
      <c r="I21" s="183"/>
      <c r="J21" s="211"/>
      <c r="K21" s="185"/>
      <c r="L21" s="185">
        <f t="shared" si="4"/>
        <v>0</v>
      </c>
      <c r="M21" s="186" t="str">
        <f t="shared" si="5"/>
        <v/>
      </c>
      <c r="N21" s="184"/>
      <c r="O21" s="185"/>
      <c r="P21" s="185"/>
      <c r="Q21" s="185"/>
      <c r="R21" s="187">
        <f t="shared" si="6"/>
        <v>0</v>
      </c>
      <c r="S21" s="223" t="str">
        <f t="shared" si="7"/>
        <v/>
      </c>
      <c r="T21" s="187">
        <f t="shared" si="8"/>
        <v>0</v>
      </c>
      <c r="U21" s="188" t="str">
        <f t="shared" si="9"/>
        <v/>
      </c>
    </row>
    <row r="22" spans="1:21" x14ac:dyDescent="0.25">
      <c r="A22" s="177"/>
      <c r="B22" s="178" t="str">
        <f t="shared" si="12"/>
        <v>субъект РФ 1</v>
      </c>
      <c r="C22" s="178" t="str">
        <f t="shared" si="11"/>
        <v>ДЗО 1</v>
      </c>
      <c r="D22" s="179" t="str">
        <f t="shared" si="11"/>
        <v>филиал 1</v>
      </c>
      <c r="E22" s="191" t="s">
        <v>196</v>
      </c>
      <c r="F22" s="181"/>
      <c r="G22" s="182"/>
      <c r="H22" s="182"/>
      <c r="I22" s="183"/>
      <c r="J22" s="184"/>
      <c r="K22" s="185"/>
      <c r="L22" s="185">
        <f t="shared" si="4"/>
        <v>0</v>
      </c>
      <c r="M22" s="186" t="str">
        <f t="shared" si="5"/>
        <v/>
      </c>
      <c r="N22" s="184"/>
      <c r="O22" s="185"/>
      <c r="P22" s="185"/>
      <c r="Q22" s="185"/>
      <c r="R22" s="187">
        <f t="shared" si="6"/>
        <v>0</v>
      </c>
      <c r="S22" s="223" t="str">
        <f t="shared" si="7"/>
        <v/>
      </c>
      <c r="T22" s="187">
        <f t="shared" si="8"/>
        <v>0</v>
      </c>
      <c r="U22" s="188" t="str">
        <f t="shared" si="9"/>
        <v/>
      </c>
    </row>
    <row r="23" spans="1:21" x14ac:dyDescent="0.25">
      <c r="A23" s="177"/>
      <c r="B23" s="178" t="str">
        <f t="shared" si="12"/>
        <v>субъект РФ 1</v>
      </c>
      <c r="C23" s="178" t="str">
        <f t="shared" si="11"/>
        <v>ДЗО 1</v>
      </c>
      <c r="D23" s="179" t="str">
        <f t="shared" si="11"/>
        <v>филиал 1</v>
      </c>
      <c r="E23" s="191" t="s">
        <v>198</v>
      </c>
      <c r="F23" s="181"/>
      <c r="G23" s="182"/>
      <c r="H23" s="182"/>
      <c r="I23" s="183"/>
      <c r="J23" s="184"/>
      <c r="K23" s="185"/>
      <c r="L23" s="185">
        <f t="shared" si="4"/>
        <v>0</v>
      </c>
      <c r="M23" s="186" t="str">
        <f t="shared" si="5"/>
        <v/>
      </c>
      <c r="N23" s="184"/>
      <c r="O23" s="185"/>
      <c r="P23" s="185"/>
      <c r="Q23" s="185"/>
      <c r="R23" s="187">
        <f t="shared" si="6"/>
        <v>0</v>
      </c>
      <c r="S23" s="223" t="str">
        <f t="shared" si="7"/>
        <v/>
      </c>
      <c r="T23" s="187">
        <f t="shared" si="8"/>
        <v>0</v>
      </c>
      <c r="U23" s="188" t="str">
        <f t="shared" si="9"/>
        <v/>
      </c>
    </row>
    <row r="24" spans="1:21" x14ac:dyDescent="0.25">
      <c r="A24" s="177"/>
      <c r="B24" s="178" t="str">
        <f t="shared" si="12"/>
        <v>субъект РФ 1</v>
      </c>
      <c r="C24" s="178" t="str">
        <f t="shared" si="11"/>
        <v>ДЗО 1</v>
      </c>
      <c r="D24" s="179" t="str">
        <f t="shared" si="11"/>
        <v>филиал 1</v>
      </c>
      <c r="E24" s="191" t="s">
        <v>200</v>
      </c>
      <c r="F24" s="181"/>
      <c r="G24" s="182"/>
      <c r="H24" s="182"/>
      <c r="I24" s="183"/>
      <c r="J24" s="189"/>
      <c r="K24" s="190"/>
      <c r="L24" s="185">
        <f t="shared" si="4"/>
        <v>0</v>
      </c>
      <c r="M24" s="186" t="str">
        <f t="shared" si="5"/>
        <v/>
      </c>
      <c r="N24" s="189"/>
      <c r="O24" s="190"/>
      <c r="P24" s="190"/>
      <c r="Q24" s="190"/>
      <c r="R24" s="187">
        <f t="shared" si="6"/>
        <v>0</v>
      </c>
      <c r="S24" s="223" t="str">
        <f t="shared" si="7"/>
        <v/>
      </c>
      <c r="T24" s="187">
        <f t="shared" si="8"/>
        <v>0</v>
      </c>
      <c r="U24" s="188" t="str">
        <f t="shared" si="9"/>
        <v/>
      </c>
    </row>
    <row r="25" spans="1:21" x14ac:dyDescent="0.25">
      <c r="A25" s="168" t="s">
        <v>13</v>
      </c>
      <c r="B25" s="169" t="str">
        <f t="shared" si="12"/>
        <v>субъект РФ 1</v>
      </c>
      <c r="C25" s="169" t="str">
        <f t="shared" si="11"/>
        <v>ДЗО 1</v>
      </c>
      <c r="D25" s="170" t="str">
        <f t="shared" si="11"/>
        <v>филиал 1</v>
      </c>
      <c r="E25" s="171" t="s">
        <v>201</v>
      </c>
      <c r="F25" s="138"/>
      <c r="G25" s="139"/>
      <c r="H25" s="139"/>
      <c r="I25" s="140"/>
      <c r="J25" s="172">
        <f t="shared" ref="J25:K25" si="13">SUM(J26:J29)</f>
        <v>0</v>
      </c>
      <c r="K25" s="173">
        <f t="shared" si="13"/>
        <v>0</v>
      </c>
      <c r="L25" s="173">
        <f t="shared" si="4"/>
        <v>0</v>
      </c>
      <c r="M25" s="174" t="str">
        <f t="shared" si="5"/>
        <v/>
      </c>
      <c r="N25" s="172">
        <f t="shared" ref="N25:Q25" si="14">SUM(N26:N29)</f>
        <v>0</v>
      </c>
      <c r="O25" s="173">
        <f t="shared" si="14"/>
        <v>0</v>
      </c>
      <c r="P25" s="173">
        <f t="shared" si="14"/>
        <v>0</v>
      </c>
      <c r="Q25" s="173">
        <f t="shared" si="14"/>
        <v>0</v>
      </c>
      <c r="R25" s="175">
        <f t="shared" si="6"/>
        <v>0</v>
      </c>
      <c r="S25" s="222" t="str">
        <f t="shared" si="7"/>
        <v/>
      </c>
      <c r="T25" s="175">
        <f t="shared" si="8"/>
        <v>0</v>
      </c>
      <c r="U25" s="176" t="str">
        <f t="shared" si="9"/>
        <v/>
      </c>
    </row>
    <row r="26" spans="1:21" x14ac:dyDescent="0.25">
      <c r="A26" s="177"/>
      <c r="B26" s="178" t="str">
        <f t="shared" si="12"/>
        <v>субъект РФ 1</v>
      </c>
      <c r="C26" s="178" t="str">
        <f t="shared" si="11"/>
        <v>ДЗО 1</v>
      </c>
      <c r="D26" s="179" t="str">
        <f t="shared" si="11"/>
        <v>филиал 1</v>
      </c>
      <c r="E26" s="191" t="s">
        <v>194</v>
      </c>
      <c r="F26" s="181"/>
      <c r="G26" s="182"/>
      <c r="H26" s="182"/>
      <c r="I26" s="183"/>
      <c r="J26" s="184"/>
      <c r="K26" s="185"/>
      <c r="L26" s="185">
        <f t="shared" si="4"/>
        <v>0</v>
      </c>
      <c r="M26" s="186" t="str">
        <f t="shared" si="5"/>
        <v/>
      </c>
      <c r="N26" s="184"/>
      <c r="O26" s="185"/>
      <c r="P26" s="185"/>
      <c r="Q26" s="185"/>
      <c r="R26" s="187">
        <f t="shared" si="6"/>
        <v>0</v>
      </c>
      <c r="S26" s="223" t="str">
        <f t="shared" si="7"/>
        <v/>
      </c>
      <c r="T26" s="187">
        <f t="shared" si="8"/>
        <v>0</v>
      </c>
      <c r="U26" s="188" t="str">
        <f t="shared" si="9"/>
        <v/>
      </c>
    </row>
    <row r="27" spans="1:21" x14ac:dyDescent="0.25">
      <c r="A27" s="177"/>
      <c r="B27" s="178" t="str">
        <f t="shared" si="12"/>
        <v>субъект РФ 1</v>
      </c>
      <c r="C27" s="178" t="str">
        <f t="shared" si="11"/>
        <v>ДЗО 1</v>
      </c>
      <c r="D27" s="179" t="str">
        <f t="shared" si="11"/>
        <v>филиал 1</v>
      </c>
      <c r="E27" s="191" t="s">
        <v>196</v>
      </c>
      <c r="F27" s="181"/>
      <c r="G27" s="182"/>
      <c r="H27" s="182"/>
      <c r="I27" s="183"/>
      <c r="J27" s="184"/>
      <c r="K27" s="185"/>
      <c r="L27" s="185">
        <f t="shared" si="4"/>
        <v>0</v>
      </c>
      <c r="M27" s="186" t="str">
        <f t="shared" si="5"/>
        <v/>
      </c>
      <c r="N27" s="184"/>
      <c r="O27" s="185"/>
      <c r="P27" s="185"/>
      <c r="Q27" s="185"/>
      <c r="R27" s="187">
        <f t="shared" si="6"/>
        <v>0</v>
      </c>
      <c r="S27" s="223" t="str">
        <f t="shared" si="7"/>
        <v/>
      </c>
      <c r="T27" s="187">
        <f t="shared" si="8"/>
        <v>0</v>
      </c>
      <c r="U27" s="188" t="str">
        <f t="shared" si="9"/>
        <v/>
      </c>
    </row>
    <row r="28" spans="1:21" x14ac:dyDescent="0.25">
      <c r="A28" s="177"/>
      <c r="B28" s="178" t="str">
        <f t="shared" si="12"/>
        <v>субъект РФ 1</v>
      </c>
      <c r="C28" s="178" t="str">
        <f t="shared" si="11"/>
        <v>ДЗО 1</v>
      </c>
      <c r="D28" s="179" t="str">
        <f t="shared" si="11"/>
        <v>филиал 1</v>
      </c>
      <c r="E28" s="191" t="s">
        <v>198</v>
      </c>
      <c r="F28" s="181"/>
      <c r="G28" s="182"/>
      <c r="H28" s="182"/>
      <c r="I28" s="183"/>
      <c r="J28" s="184"/>
      <c r="K28" s="185"/>
      <c r="L28" s="185">
        <f t="shared" si="4"/>
        <v>0</v>
      </c>
      <c r="M28" s="186" t="str">
        <f t="shared" si="5"/>
        <v/>
      </c>
      <c r="N28" s="184"/>
      <c r="O28" s="185"/>
      <c r="P28" s="185"/>
      <c r="Q28" s="185"/>
      <c r="R28" s="187">
        <f t="shared" si="6"/>
        <v>0</v>
      </c>
      <c r="S28" s="223" t="str">
        <f t="shared" si="7"/>
        <v/>
      </c>
      <c r="T28" s="187">
        <f t="shared" si="8"/>
        <v>0</v>
      </c>
      <c r="U28" s="188" t="str">
        <f t="shared" si="9"/>
        <v/>
      </c>
    </row>
    <row r="29" spans="1:21" x14ac:dyDescent="0.25">
      <c r="A29" s="177"/>
      <c r="B29" s="178" t="str">
        <f t="shared" si="12"/>
        <v>субъект РФ 1</v>
      </c>
      <c r="C29" s="178" t="str">
        <f t="shared" si="11"/>
        <v>ДЗО 1</v>
      </c>
      <c r="D29" s="179" t="str">
        <f t="shared" si="11"/>
        <v>филиал 1</v>
      </c>
      <c r="E29" s="191" t="s">
        <v>200</v>
      </c>
      <c r="F29" s="181"/>
      <c r="G29" s="182"/>
      <c r="H29" s="182"/>
      <c r="I29" s="183"/>
      <c r="J29" s="184"/>
      <c r="K29" s="185"/>
      <c r="L29" s="185">
        <f t="shared" si="4"/>
        <v>0</v>
      </c>
      <c r="M29" s="186" t="str">
        <f t="shared" si="5"/>
        <v/>
      </c>
      <c r="N29" s="184"/>
      <c r="O29" s="185"/>
      <c r="P29" s="185"/>
      <c r="Q29" s="185"/>
      <c r="R29" s="187">
        <f t="shared" si="6"/>
        <v>0</v>
      </c>
      <c r="S29" s="223" t="str">
        <f t="shared" si="7"/>
        <v/>
      </c>
      <c r="T29" s="187">
        <f t="shared" si="8"/>
        <v>0</v>
      </c>
      <c r="U29" s="188" t="str">
        <f t="shared" si="9"/>
        <v/>
      </c>
    </row>
    <row r="30" spans="1:21" x14ac:dyDescent="0.25">
      <c r="A30" s="168" t="s">
        <v>15</v>
      </c>
      <c r="B30" s="169" t="str">
        <f t="shared" si="12"/>
        <v>субъект РФ 1</v>
      </c>
      <c r="C30" s="169" t="str">
        <f t="shared" si="11"/>
        <v>ДЗО 1</v>
      </c>
      <c r="D30" s="170" t="str">
        <f t="shared" si="11"/>
        <v>филиал 1</v>
      </c>
      <c r="E30" s="171" t="s">
        <v>186</v>
      </c>
      <c r="F30" s="138"/>
      <c r="G30" s="139"/>
      <c r="H30" s="139"/>
      <c r="I30" s="140"/>
      <c r="J30" s="172">
        <f t="shared" ref="J30:K30" si="15">SUM(J31:J34)</f>
        <v>0</v>
      </c>
      <c r="K30" s="173">
        <f t="shared" si="15"/>
        <v>0</v>
      </c>
      <c r="L30" s="173">
        <f t="shared" si="4"/>
        <v>0</v>
      </c>
      <c r="M30" s="174" t="str">
        <f t="shared" si="5"/>
        <v/>
      </c>
      <c r="N30" s="172">
        <f t="shared" ref="N30:Q30" si="16">SUM(N31:N34)</f>
        <v>0</v>
      </c>
      <c r="O30" s="173">
        <f t="shared" si="16"/>
        <v>0</v>
      </c>
      <c r="P30" s="173">
        <f t="shared" si="16"/>
        <v>0</v>
      </c>
      <c r="Q30" s="173">
        <f t="shared" si="16"/>
        <v>0</v>
      </c>
      <c r="R30" s="175">
        <f t="shared" si="6"/>
        <v>0</v>
      </c>
      <c r="S30" s="222" t="str">
        <f t="shared" si="7"/>
        <v/>
      </c>
      <c r="T30" s="175">
        <f t="shared" si="8"/>
        <v>0</v>
      </c>
      <c r="U30" s="176" t="str">
        <f t="shared" si="9"/>
        <v/>
      </c>
    </row>
    <row r="31" spans="1:21" x14ac:dyDescent="0.25">
      <c r="A31" s="177"/>
      <c r="B31" s="178" t="str">
        <f t="shared" si="12"/>
        <v>субъект РФ 1</v>
      </c>
      <c r="C31" s="178" t="str">
        <f t="shared" si="11"/>
        <v>ДЗО 1</v>
      </c>
      <c r="D31" s="179" t="str">
        <f t="shared" si="11"/>
        <v>филиал 1</v>
      </c>
      <c r="E31" s="191" t="s">
        <v>194</v>
      </c>
      <c r="F31" s="181"/>
      <c r="G31" s="182"/>
      <c r="H31" s="182"/>
      <c r="I31" s="183"/>
      <c r="J31" s="184"/>
      <c r="K31" s="185"/>
      <c r="L31" s="185">
        <f t="shared" si="4"/>
        <v>0</v>
      </c>
      <c r="M31" s="186" t="str">
        <f t="shared" si="5"/>
        <v/>
      </c>
      <c r="N31" s="184"/>
      <c r="O31" s="185"/>
      <c r="P31" s="185"/>
      <c r="Q31" s="185"/>
      <c r="R31" s="187">
        <f t="shared" si="6"/>
        <v>0</v>
      </c>
      <c r="S31" s="223" t="str">
        <f t="shared" si="7"/>
        <v/>
      </c>
      <c r="T31" s="187">
        <f t="shared" si="8"/>
        <v>0</v>
      </c>
      <c r="U31" s="188" t="str">
        <f t="shared" si="9"/>
        <v/>
      </c>
    </row>
    <row r="32" spans="1:21" x14ac:dyDescent="0.25">
      <c r="A32" s="177"/>
      <c r="B32" s="178" t="str">
        <f t="shared" si="12"/>
        <v>субъект РФ 1</v>
      </c>
      <c r="C32" s="178" t="str">
        <f t="shared" si="11"/>
        <v>ДЗО 1</v>
      </c>
      <c r="D32" s="179" t="str">
        <f t="shared" si="11"/>
        <v>филиал 1</v>
      </c>
      <c r="E32" s="191" t="s">
        <v>196</v>
      </c>
      <c r="F32" s="181"/>
      <c r="G32" s="182"/>
      <c r="H32" s="182"/>
      <c r="I32" s="183"/>
      <c r="J32" s="184"/>
      <c r="K32" s="185"/>
      <c r="L32" s="185">
        <f t="shared" si="4"/>
        <v>0</v>
      </c>
      <c r="M32" s="186" t="str">
        <f t="shared" si="5"/>
        <v/>
      </c>
      <c r="N32" s="184"/>
      <c r="O32" s="185"/>
      <c r="P32" s="185"/>
      <c r="Q32" s="185"/>
      <c r="R32" s="187">
        <f t="shared" si="6"/>
        <v>0</v>
      </c>
      <c r="S32" s="223" t="str">
        <f t="shared" si="7"/>
        <v/>
      </c>
      <c r="T32" s="187">
        <f t="shared" si="8"/>
        <v>0</v>
      </c>
      <c r="U32" s="188" t="str">
        <f t="shared" si="9"/>
        <v/>
      </c>
    </row>
    <row r="33" spans="1:21" x14ac:dyDescent="0.25">
      <c r="A33" s="177"/>
      <c r="B33" s="178" t="str">
        <f t="shared" si="12"/>
        <v>субъект РФ 1</v>
      </c>
      <c r="C33" s="178" t="str">
        <f t="shared" si="11"/>
        <v>ДЗО 1</v>
      </c>
      <c r="D33" s="179" t="str">
        <f t="shared" si="11"/>
        <v>филиал 1</v>
      </c>
      <c r="E33" s="191" t="s">
        <v>198</v>
      </c>
      <c r="F33" s="181"/>
      <c r="G33" s="182"/>
      <c r="H33" s="182"/>
      <c r="I33" s="183"/>
      <c r="J33" s="189"/>
      <c r="K33" s="190"/>
      <c r="L33" s="185">
        <f t="shared" si="4"/>
        <v>0</v>
      </c>
      <c r="M33" s="186" t="str">
        <f t="shared" si="5"/>
        <v/>
      </c>
      <c r="N33" s="189"/>
      <c r="O33" s="190"/>
      <c r="P33" s="190"/>
      <c r="Q33" s="190"/>
      <c r="R33" s="187">
        <f t="shared" si="6"/>
        <v>0</v>
      </c>
      <c r="S33" s="223" t="str">
        <f t="shared" si="7"/>
        <v/>
      </c>
      <c r="T33" s="187">
        <f t="shared" si="8"/>
        <v>0</v>
      </c>
      <c r="U33" s="188" t="str">
        <f t="shared" si="9"/>
        <v/>
      </c>
    </row>
    <row r="34" spans="1:21" x14ac:dyDescent="0.25">
      <c r="A34" s="177"/>
      <c r="B34" s="178" t="str">
        <f t="shared" si="12"/>
        <v>субъект РФ 1</v>
      </c>
      <c r="C34" s="178" t="str">
        <f t="shared" si="11"/>
        <v>ДЗО 1</v>
      </c>
      <c r="D34" s="179" t="str">
        <f t="shared" si="11"/>
        <v>филиал 1</v>
      </c>
      <c r="E34" s="191" t="s">
        <v>200</v>
      </c>
      <c r="F34" s="181"/>
      <c r="G34" s="182"/>
      <c r="H34" s="182"/>
      <c r="I34" s="183"/>
      <c r="J34" s="184"/>
      <c r="K34" s="185"/>
      <c r="L34" s="185">
        <f t="shared" si="4"/>
        <v>0</v>
      </c>
      <c r="M34" s="186" t="str">
        <f t="shared" si="5"/>
        <v/>
      </c>
      <c r="N34" s="184"/>
      <c r="O34" s="185"/>
      <c r="P34" s="185"/>
      <c r="Q34" s="185"/>
      <c r="R34" s="187">
        <f t="shared" si="6"/>
        <v>0</v>
      </c>
      <c r="S34" s="223" t="str">
        <f t="shared" si="7"/>
        <v/>
      </c>
      <c r="T34" s="187">
        <f t="shared" si="8"/>
        <v>0</v>
      </c>
      <c r="U34" s="188" t="str">
        <f t="shared" si="9"/>
        <v/>
      </c>
    </row>
    <row r="35" spans="1:21" x14ac:dyDescent="0.25">
      <c r="A35" s="168" t="s">
        <v>17</v>
      </c>
      <c r="B35" s="169" t="str">
        <f t="shared" si="12"/>
        <v>субъект РФ 1</v>
      </c>
      <c r="C35" s="169" t="str">
        <f t="shared" si="11"/>
        <v>ДЗО 1</v>
      </c>
      <c r="D35" s="170" t="str">
        <f t="shared" si="11"/>
        <v>филиал 1</v>
      </c>
      <c r="E35" s="171" t="s">
        <v>187</v>
      </c>
      <c r="F35" s="138"/>
      <c r="G35" s="139"/>
      <c r="H35" s="139"/>
      <c r="I35" s="140"/>
      <c r="J35" s="172">
        <f t="shared" ref="J35:K35" si="17">SUM(J36:J39)</f>
        <v>0</v>
      </c>
      <c r="K35" s="173">
        <f t="shared" si="17"/>
        <v>0</v>
      </c>
      <c r="L35" s="173">
        <f t="shared" si="4"/>
        <v>0</v>
      </c>
      <c r="M35" s="174" t="str">
        <f t="shared" si="5"/>
        <v/>
      </c>
      <c r="N35" s="172">
        <f t="shared" ref="N35:Q35" si="18">SUM(N36:N39)</f>
        <v>0</v>
      </c>
      <c r="O35" s="173">
        <f t="shared" si="18"/>
        <v>0</v>
      </c>
      <c r="P35" s="173">
        <f t="shared" si="18"/>
        <v>0</v>
      </c>
      <c r="Q35" s="173">
        <f t="shared" si="18"/>
        <v>0</v>
      </c>
      <c r="R35" s="175">
        <f t="shared" si="6"/>
        <v>0</v>
      </c>
      <c r="S35" s="222" t="str">
        <f t="shared" si="7"/>
        <v/>
      </c>
      <c r="T35" s="175">
        <f t="shared" si="8"/>
        <v>0</v>
      </c>
      <c r="U35" s="176" t="str">
        <f t="shared" si="9"/>
        <v/>
      </c>
    </row>
    <row r="36" spans="1:21" x14ac:dyDescent="0.25">
      <c r="A36" s="177"/>
      <c r="B36" s="178" t="str">
        <f t="shared" si="12"/>
        <v>субъект РФ 1</v>
      </c>
      <c r="C36" s="178" t="str">
        <f t="shared" si="12"/>
        <v>ДЗО 1</v>
      </c>
      <c r="D36" s="179" t="str">
        <f t="shared" si="12"/>
        <v>филиал 1</v>
      </c>
      <c r="E36" s="191" t="s">
        <v>194</v>
      </c>
      <c r="F36" s="181"/>
      <c r="G36" s="182"/>
      <c r="H36" s="182"/>
      <c r="I36" s="183"/>
      <c r="J36" s="184"/>
      <c r="K36" s="185"/>
      <c r="L36" s="185">
        <f t="shared" si="4"/>
        <v>0</v>
      </c>
      <c r="M36" s="186" t="str">
        <f t="shared" si="5"/>
        <v/>
      </c>
      <c r="N36" s="184"/>
      <c r="O36" s="185"/>
      <c r="P36" s="185"/>
      <c r="Q36" s="185"/>
      <c r="R36" s="187">
        <f t="shared" si="6"/>
        <v>0</v>
      </c>
      <c r="S36" s="223" t="str">
        <f t="shared" si="7"/>
        <v/>
      </c>
      <c r="T36" s="187">
        <f t="shared" si="8"/>
        <v>0</v>
      </c>
      <c r="U36" s="188" t="str">
        <f t="shared" si="9"/>
        <v/>
      </c>
    </row>
    <row r="37" spans="1:21" x14ac:dyDescent="0.25">
      <c r="A37" s="177"/>
      <c r="B37" s="178" t="str">
        <f t="shared" ref="B37:D52" si="19">B36</f>
        <v>субъект РФ 1</v>
      </c>
      <c r="C37" s="178" t="str">
        <f t="shared" si="19"/>
        <v>ДЗО 1</v>
      </c>
      <c r="D37" s="179" t="str">
        <f t="shared" si="19"/>
        <v>филиал 1</v>
      </c>
      <c r="E37" s="191" t="s">
        <v>196</v>
      </c>
      <c r="F37" s="181"/>
      <c r="G37" s="182"/>
      <c r="H37" s="182"/>
      <c r="I37" s="183"/>
      <c r="J37" s="184"/>
      <c r="K37" s="185"/>
      <c r="L37" s="185">
        <f t="shared" si="4"/>
        <v>0</v>
      </c>
      <c r="M37" s="186" t="str">
        <f t="shared" si="5"/>
        <v/>
      </c>
      <c r="N37" s="184"/>
      <c r="O37" s="185"/>
      <c r="P37" s="185"/>
      <c r="Q37" s="185"/>
      <c r="R37" s="187">
        <f t="shared" si="6"/>
        <v>0</v>
      </c>
      <c r="S37" s="223" t="str">
        <f t="shared" si="7"/>
        <v/>
      </c>
      <c r="T37" s="187">
        <f t="shared" si="8"/>
        <v>0</v>
      </c>
      <c r="U37" s="188" t="str">
        <f t="shared" si="9"/>
        <v/>
      </c>
    </row>
    <row r="38" spans="1:21" x14ac:dyDescent="0.25">
      <c r="A38" s="177"/>
      <c r="B38" s="178" t="str">
        <f t="shared" si="19"/>
        <v>субъект РФ 1</v>
      </c>
      <c r="C38" s="178" t="str">
        <f t="shared" si="19"/>
        <v>ДЗО 1</v>
      </c>
      <c r="D38" s="179" t="str">
        <f t="shared" si="19"/>
        <v>филиал 1</v>
      </c>
      <c r="E38" s="191" t="s">
        <v>198</v>
      </c>
      <c r="F38" s="181"/>
      <c r="G38" s="182"/>
      <c r="H38" s="182"/>
      <c r="I38" s="183"/>
      <c r="J38" s="189"/>
      <c r="K38" s="190"/>
      <c r="L38" s="185">
        <f t="shared" si="4"/>
        <v>0</v>
      </c>
      <c r="M38" s="186" t="str">
        <f t="shared" si="5"/>
        <v/>
      </c>
      <c r="N38" s="189"/>
      <c r="O38" s="190"/>
      <c r="P38" s="190"/>
      <c r="Q38" s="190"/>
      <c r="R38" s="187">
        <f t="shared" si="6"/>
        <v>0</v>
      </c>
      <c r="S38" s="223" t="str">
        <f t="shared" si="7"/>
        <v/>
      </c>
      <c r="T38" s="187">
        <f t="shared" si="8"/>
        <v>0</v>
      </c>
      <c r="U38" s="188" t="str">
        <f t="shared" si="9"/>
        <v/>
      </c>
    </row>
    <row r="39" spans="1:21" x14ac:dyDescent="0.25">
      <c r="A39" s="177"/>
      <c r="B39" s="178" t="str">
        <f t="shared" si="19"/>
        <v>субъект РФ 1</v>
      </c>
      <c r="C39" s="178" t="str">
        <f t="shared" si="19"/>
        <v>ДЗО 1</v>
      </c>
      <c r="D39" s="179" t="str">
        <f t="shared" si="19"/>
        <v>филиал 1</v>
      </c>
      <c r="E39" s="191" t="s">
        <v>200</v>
      </c>
      <c r="F39" s="181"/>
      <c r="G39" s="182"/>
      <c r="H39" s="182"/>
      <c r="I39" s="183"/>
      <c r="J39" s="184"/>
      <c r="K39" s="185"/>
      <c r="L39" s="185">
        <f t="shared" si="4"/>
        <v>0</v>
      </c>
      <c r="M39" s="186" t="str">
        <f t="shared" si="5"/>
        <v/>
      </c>
      <c r="N39" s="184"/>
      <c r="O39" s="185"/>
      <c r="P39" s="185"/>
      <c r="Q39" s="185"/>
      <c r="R39" s="187">
        <f t="shared" si="6"/>
        <v>0</v>
      </c>
      <c r="S39" s="223" t="str">
        <f t="shared" si="7"/>
        <v/>
      </c>
      <c r="T39" s="187">
        <f t="shared" si="8"/>
        <v>0</v>
      </c>
      <c r="U39" s="188" t="str">
        <f t="shared" si="9"/>
        <v/>
      </c>
    </row>
    <row r="40" spans="1:21" x14ac:dyDescent="0.25">
      <c r="A40" s="168" t="s">
        <v>19</v>
      </c>
      <c r="B40" s="169" t="str">
        <f t="shared" si="19"/>
        <v>субъект РФ 1</v>
      </c>
      <c r="C40" s="169" t="str">
        <f t="shared" si="19"/>
        <v>ДЗО 1</v>
      </c>
      <c r="D40" s="170" t="str">
        <f t="shared" si="19"/>
        <v>филиал 1</v>
      </c>
      <c r="E40" s="171" t="s">
        <v>188</v>
      </c>
      <c r="F40" s="138"/>
      <c r="G40" s="139"/>
      <c r="H40" s="139"/>
      <c r="I40" s="140"/>
      <c r="J40" s="172">
        <f t="shared" ref="J40:K40" si="20">SUM(J41:J44)</f>
        <v>0</v>
      </c>
      <c r="K40" s="173">
        <f t="shared" si="20"/>
        <v>0</v>
      </c>
      <c r="L40" s="173">
        <f t="shared" si="4"/>
        <v>0</v>
      </c>
      <c r="M40" s="174" t="str">
        <f t="shared" si="5"/>
        <v/>
      </c>
      <c r="N40" s="172">
        <f t="shared" ref="N40:Q40" si="21">SUM(N41:N44)</f>
        <v>0</v>
      </c>
      <c r="O40" s="173">
        <f t="shared" si="21"/>
        <v>0</v>
      </c>
      <c r="P40" s="173">
        <f t="shared" si="21"/>
        <v>0</v>
      </c>
      <c r="Q40" s="173">
        <f t="shared" si="21"/>
        <v>0</v>
      </c>
      <c r="R40" s="175">
        <f t="shared" si="6"/>
        <v>0</v>
      </c>
      <c r="S40" s="222" t="str">
        <f t="shared" si="7"/>
        <v/>
      </c>
      <c r="T40" s="175">
        <f t="shared" si="8"/>
        <v>0</v>
      </c>
      <c r="U40" s="176" t="str">
        <f t="shared" si="9"/>
        <v/>
      </c>
    </row>
    <row r="41" spans="1:21" x14ac:dyDescent="0.25">
      <c r="A41" s="177"/>
      <c r="B41" s="178" t="str">
        <f t="shared" si="19"/>
        <v>субъект РФ 1</v>
      </c>
      <c r="C41" s="178" t="str">
        <f t="shared" si="19"/>
        <v>ДЗО 1</v>
      </c>
      <c r="D41" s="179" t="str">
        <f t="shared" si="19"/>
        <v>филиал 1</v>
      </c>
      <c r="E41" s="191" t="s">
        <v>194</v>
      </c>
      <c r="F41" s="181"/>
      <c r="G41" s="182"/>
      <c r="H41" s="182"/>
      <c r="I41" s="183"/>
      <c r="J41" s="189"/>
      <c r="K41" s="190"/>
      <c r="L41" s="185">
        <f t="shared" si="4"/>
        <v>0</v>
      </c>
      <c r="M41" s="186" t="str">
        <f t="shared" si="5"/>
        <v/>
      </c>
      <c r="N41" s="189"/>
      <c r="O41" s="190"/>
      <c r="P41" s="190"/>
      <c r="Q41" s="190"/>
      <c r="R41" s="187">
        <f t="shared" si="6"/>
        <v>0</v>
      </c>
      <c r="S41" s="223" t="str">
        <f t="shared" si="7"/>
        <v/>
      </c>
      <c r="T41" s="187">
        <f t="shared" si="8"/>
        <v>0</v>
      </c>
      <c r="U41" s="188" t="str">
        <f t="shared" si="9"/>
        <v/>
      </c>
    </row>
    <row r="42" spans="1:21" x14ac:dyDescent="0.25">
      <c r="A42" s="177"/>
      <c r="B42" s="178" t="str">
        <f t="shared" si="19"/>
        <v>субъект РФ 1</v>
      </c>
      <c r="C42" s="178" t="str">
        <f t="shared" si="19"/>
        <v>ДЗО 1</v>
      </c>
      <c r="D42" s="179" t="str">
        <f t="shared" si="19"/>
        <v>филиал 1</v>
      </c>
      <c r="E42" s="191" t="s">
        <v>196</v>
      </c>
      <c r="F42" s="181"/>
      <c r="G42" s="182"/>
      <c r="H42" s="182"/>
      <c r="I42" s="183"/>
      <c r="J42" s="189"/>
      <c r="K42" s="190"/>
      <c r="L42" s="185">
        <f t="shared" si="4"/>
        <v>0</v>
      </c>
      <c r="M42" s="186" t="str">
        <f t="shared" si="5"/>
        <v/>
      </c>
      <c r="N42" s="189"/>
      <c r="O42" s="190"/>
      <c r="P42" s="190"/>
      <c r="Q42" s="190"/>
      <c r="R42" s="187">
        <f t="shared" si="6"/>
        <v>0</v>
      </c>
      <c r="S42" s="223" t="str">
        <f t="shared" si="7"/>
        <v/>
      </c>
      <c r="T42" s="187">
        <f t="shared" si="8"/>
        <v>0</v>
      </c>
      <c r="U42" s="188" t="str">
        <f t="shared" si="9"/>
        <v/>
      </c>
    </row>
    <row r="43" spans="1:21" x14ac:dyDescent="0.25">
      <c r="A43" s="177"/>
      <c r="B43" s="178" t="str">
        <f t="shared" si="19"/>
        <v>субъект РФ 1</v>
      </c>
      <c r="C43" s="178" t="str">
        <f t="shared" si="19"/>
        <v>ДЗО 1</v>
      </c>
      <c r="D43" s="179" t="str">
        <f t="shared" si="19"/>
        <v>филиал 1</v>
      </c>
      <c r="E43" s="191" t="s">
        <v>198</v>
      </c>
      <c r="F43" s="181"/>
      <c r="G43" s="182"/>
      <c r="H43" s="182"/>
      <c r="I43" s="183"/>
      <c r="J43" s="189"/>
      <c r="K43" s="190"/>
      <c r="L43" s="185">
        <f t="shared" si="4"/>
        <v>0</v>
      </c>
      <c r="M43" s="186" t="str">
        <f t="shared" si="5"/>
        <v/>
      </c>
      <c r="N43" s="189"/>
      <c r="O43" s="190"/>
      <c r="P43" s="190"/>
      <c r="Q43" s="190"/>
      <c r="R43" s="187">
        <f t="shared" si="6"/>
        <v>0</v>
      </c>
      <c r="S43" s="223" t="str">
        <f t="shared" si="7"/>
        <v/>
      </c>
      <c r="T43" s="187">
        <f t="shared" si="8"/>
        <v>0</v>
      </c>
      <c r="U43" s="188" t="str">
        <f t="shared" si="9"/>
        <v/>
      </c>
    </row>
    <row r="44" spans="1:21" x14ac:dyDescent="0.25">
      <c r="A44" s="177"/>
      <c r="B44" s="178" t="str">
        <f t="shared" si="19"/>
        <v>субъект РФ 1</v>
      </c>
      <c r="C44" s="178" t="str">
        <f t="shared" si="19"/>
        <v>ДЗО 1</v>
      </c>
      <c r="D44" s="179" t="str">
        <f t="shared" si="19"/>
        <v>филиал 1</v>
      </c>
      <c r="E44" s="191" t="s">
        <v>200</v>
      </c>
      <c r="F44" s="181"/>
      <c r="G44" s="182"/>
      <c r="H44" s="182"/>
      <c r="I44" s="183"/>
      <c r="J44" s="184"/>
      <c r="K44" s="185"/>
      <c r="L44" s="185">
        <f t="shared" si="4"/>
        <v>0</v>
      </c>
      <c r="M44" s="186" t="str">
        <f t="shared" si="5"/>
        <v/>
      </c>
      <c r="N44" s="184"/>
      <c r="O44" s="185"/>
      <c r="P44" s="185"/>
      <c r="Q44" s="185"/>
      <c r="R44" s="187">
        <f t="shared" si="6"/>
        <v>0</v>
      </c>
      <c r="S44" s="223" t="str">
        <f t="shared" si="7"/>
        <v/>
      </c>
      <c r="T44" s="187">
        <f t="shared" si="8"/>
        <v>0</v>
      </c>
      <c r="U44" s="188" t="str">
        <f t="shared" si="9"/>
        <v/>
      </c>
    </row>
    <row r="45" spans="1:21" ht="30" x14ac:dyDescent="0.25">
      <c r="A45" s="168" t="s">
        <v>21</v>
      </c>
      <c r="B45" s="169" t="str">
        <f t="shared" si="19"/>
        <v>субъект РФ 1</v>
      </c>
      <c r="C45" s="169" t="str">
        <f t="shared" si="19"/>
        <v>ДЗО 1</v>
      </c>
      <c r="D45" s="170" t="str">
        <f t="shared" si="19"/>
        <v>филиал 1</v>
      </c>
      <c r="E45" s="171" t="s">
        <v>189</v>
      </c>
      <c r="F45" s="138"/>
      <c r="G45" s="139"/>
      <c r="H45" s="139"/>
      <c r="I45" s="140"/>
      <c r="J45" s="172">
        <f t="shared" ref="J45:K45" si="22">SUM(J46:J49)</f>
        <v>0</v>
      </c>
      <c r="K45" s="173">
        <f t="shared" si="22"/>
        <v>0</v>
      </c>
      <c r="L45" s="173">
        <f t="shared" si="4"/>
        <v>0</v>
      </c>
      <c r="M45" s="174" t="str">
        <f t="shared" si="5"/>
        <v/>
      </c>
      <c r="N45" s="172">
        <f t="shared" ref="N45:Q45" si="23">SUM(N46:N49)</f>
        <v>0</v>
      </c>
      <c r="O45" s="173">
        <f t="shared" si="23"/>
        <v>0</v>
      </c>
      <c r="P45" s="173">
        <f t="shared" si="23"/>
        <v>0</v>
      </c>
      <c r="Q45" s="173">
        <f t="shared" si="23"/>
        <v>0</v>
      </c>
      <c r="R45" s="175">
        <f t="shared" si="6"/>
        <v>0</v>
      </c>
      <c r="S45" s="222" t="str">
        <f t="shared" si="7"/>
        <v/>
      </c>
      <c r="T45" s="175">
        <f t="shared" si="8"/>
        <v>0</v>
      </c>
      <c r="U45" s="176" t="str">
        <f t="shared" si="9"/>
        <v/>
      </c>
    </row>
    <row r="46" spans="1:21" x14ac:dyDescent="0.25">
      <c r="A46" s="177"/>
      <c r="B46" s="178" t="str">
        <f t="shared" si="19"/>
        <v>субъект РФ 1</v>
      </c>
      <c r="C46" s="178" t="str">
        <f t="shared" si="19"/>
        <v>ДЗО 1</v>
      </c>
      <c r="D46" s="179" t="str">
        <f t="shared" si="19"/>
        <v>филиал 1</v>
      </c>
      <c r="E46" s="191" t="s">
        <v>194</v>
      </c>
      <c r="F46" s="181"/>
      <c r="G46" s="182"/>
      <c r="H46" s="182"/>
      <c r="I46" s="183"/>
      <c r="J46" s="184"/>
      <c r="K46" s="185"/>
      <c r="L46" s="185">
        <f t="shared" si="4"/>
        <v>0</v>
      </c>
      <c r="M46" s="186" t="str">
        <f t="shared" si="5"/>
        <v/>
      </c>
      <c r="N46" s="184"/>
      <c r="O46" s="185"/>
      <c r="P46" s="185"/>
      <c r="Q46" s="185"/>
      <c r="R46" s="187">
        <f t="shared" si="6"/>
        <v>0</v>
      </c>
      <c r="S46" s="223" t="str">
        <f t="shared" si="7"/>
        <v/>
      </c>
      <c r="T46" s="187">
        <f t="shared" si="8"/>
        <v>0</v>
      </c>
      <c r="U46" s="188" t="str">
        <f t="shared" si="9"/>
        <v/>
      </c>
    </row>
    <row r="47" spans="1:21" x14ac:dyDescent="0.25">
      <c r="A47" s="177"/>
      <c r="B47" s="178" t="str">
        <f t="shared" si="19"/>
        <v>субъект РФ 1</v>
      </c>
      <c r="C47" s="178" t="str">
        <f t="shared" si="19"/>
        <v>ДЗО 1</v>
      </c>
      <c r="D47" s="179" t="str">
        <f t="shared" si="19"/>
        <v>филиал 1</v>
      </c>
      <c r="E47" s="191" t="s">
        <v>196</v>
      </c>
      <c r="F47" s="181"/>
      <c r="G47" s="182"/>
      <c r="H47" s="182"/>
      <c r="I47" s="183"/>
      <c r="J47" s="184"/>
      <c r="K47" s="185"/>
      <c r="L47" s="185">
        <f t="shared" si="4"/>
        <v>0</v>
      </c>
      <c r="M47" s="186" t="str">
        <f t="shared" si="5"/>
        <v/>
      </c>
      <c r="N47" s="184"/>
      <c r="O47" s="185"/>
      <c r="P47" s="185"/>
      <c r="Q47" s="185"/>
      <c r="R47" s="187">
        <f t="shared" si="6"/>
        <v>0</v>
      </c>
      <c r="S47" s="223" t="str">
        <f t="shared" si="7"/>
        <v/>
      </c>
      <c r="T47" s="187">
        <f t="shared" si="8"/>
        <v>0</v>
      </c>
      <c r="U47" s="188" t="str">
        <f t="shared" si="9"/>
        <v/>
      </c>
    </row>
    <row r="48" spans="1:21" x14ac:dyDescent="0.25">
      <c r="A48" s="177"/>
      <c r="B48" s="178" t="str">
        <f t="shared" si="19"/>
        <v>субъект РФ 1</v>
      </c>
      <c r="C48" s="178" t="str">
        <f t="shared" si="19"/>
        <v>ДЗО 1</v>
      </c>
      <c r="D48" s="179" t="str">
        <f t="shared" si="19"/>
        <v>филиал 1</v>
      </c>
      <c r="E48" s="191" t="s">
        <v>198</v>
      </c>
      <c r="F48" s="181"/>
      <c r="G48" s="182"/>
      <c r="H48" s="182"/>
      <c r="I48" s="183"/>
      <c r="J48" s="189"/>
      <c r="K48" s="190"/>
      <c r="L48" s="185">
        <f t="shared" si="4"/>
        <v>0</v>
      </c>
      <c r="M48" s="186" t="str">
        <f t="shared" si="5"/>
        <v/>
      </c>
      <c r="N48" s="189"/>
      <c r="O48" s="190"/>
      <c r="P48" s="190"/>
      <c r="Q48" s="190"/>
      <c r="R48" s="187">
        <f t="shared" si="6"/>
        <v>0</v>
      </c>
      <c r="S48" s="223" t="str">
        <f t="shared" si="7"/>
        <v/>
      </c>
      <c r="T48" s="187">
        <f t="shared" si="8"/>
        <v>0</v>
      </c>
      <c r="U48" s="188" t="str">
        <f t="shared" si="9"/>
        <v/>
      </c>
    </row>
    <row r="49" spans="1:21" x14ac:dyDescent="0.25">
      <c r="A49" s="177"/>
      <c r="B49" s="178" t="str">
        <f t="shared" si="19"/>
        <v>субъект РФ 1</v>
      </c>
      <c r="C49" s="178" t="str">
        <f t="shared" si="19"/>
        <v>ДЗО 1</v>
      </c>
      <c r="D49" s="179" t="str">
        <f t="shared" si="19"/>
        <v>филиал 1</v>
      </c>
      <c r="E49" s="191" t="s">
        <v>200</v>
      </c>
      <c r="F49" s="181"/>
      <c r="G49" s="182"/>
      <c r="H49" s="182"/>
      <c r="I49" s="183"/>
      <c r="J49" s="184"/>
      <c r="K49" s="185"/>
      <c r="L49" s="185">
        <f t="shared" si="4"/>
        <v>0</v>
      </c>
      <c r="M49" s="186" t="str">
        <f t="shared" si="5"/>
        <v/>
      </c>
      <c r="N49" s="184"/>
      <c r="O49" s="185"/>
      <c r="P49" s="185"/>
      <c r="Q49" s="185"/>
      <c r="R49" s="187">
        <f t="shared" si="6"/>
        <v>0</v>
      </c>
      <c r="S49" s="223" t="str">
        <f t="shared" si="7"/>
        <v/>
      </c>
      <c r="T49" s="187">
        <f t="shared" si="8"/>
        <v>0</v>
      </c>
      <c r="U49" s="188" t="str">
        <f t="shared" si="9"/>
        <v/>
      </c>
    </row>
    <row r="50" spans="1:21" x14ac:dyDescent="0.25">
      <c r="A50" s="168" t="s">
        <v>23</v>
      </c>
      <c r="B50" s="169" t="str">
        <f t="shared" si="19"/>
        <v>субъект РФ 1</v>
      </c>
      <c r="C50" s="169" t="str">
        <f t="shared" si="19"/>
        <v>ДЗО 1</v>
      </c>
      <c r="D50" s="170" t="str">
        <f t="shared" si="19"/>
        <v>филиал 1</v>
      </c>
      <c r="E50" s="171" t="s">
        <v>190</v>
      </c>
      <c r="F50" s="138"/>
      <c r="G50" s="139"/>
      <c r="H50" s="139"/>
      <c r="I50" s="140"/>
      <c r="J50" s="192"/>
      <c r="K50" s="193"/>
      <c r="L50" s="193">
        <f t="shared" si="4"/>
        <v>0</v>
      </c>
      <c r="M50" s="194" t="str">
        <f t="shared" si="5"/>
        <v/>
      </c>
      <c r="N50" s="192"/>
      <c r="O50" s="193"/>
      <c r="P50" s="193"/>
      <c r="Q50" s="193"/>
      <c r="R50" s="195">
        <f t="shared" si="6"/>
        <v>0</v>
      </c>
      <c r="S50" s="224" t="str">
        <f t="shared" si="7"/>
        <v/>
      </c>
      <c r="T50" s="195">
        <f t="shared" si="8"/>
        <v>0</v>
      </c>
      <c r="U50" s="196" t="str">
        <f t="shared" si="9"/>
        <v/>
      </c>
    </row>
    <row r="51" spans="1:21" x14ac:dyDescent="0.25">
      <c r="A51" s="168" t="s">
        <v>25</v>
      </c>
      <c r="B51" s="169" t="str">
        <f t="shared" si="19"/>
        <v>субъект РФ 1</v>
      </c>
      <c r="C51" s="169" t="str">
        <f t="shared" si="19"/>
        <v>ДЗО 1</v>
      </c>
      <c r="D51" s="170" t="str">
        <f t="shared" si="19"/>
        <v>филиал 1</v>
      </c>
      <c r="E51" s="171" t="s">
        <v>191</v>
      </c>
      <c r="F51" s="138"/>
      <c r="G51" s="139"/>
      <c r="H51" s="139"/>
      <c r="I51" s="140"/>
      <c r="J51" s="172">
        <f>SUM(J52:J55)</f>
        <v>0</v>
      </c>
      <c r="K51" s="173">
        <f>SUM(K52:K55)</f>
        <v>0</v>
      </c>
      <c r="L51" s="173">
        <f t="shared" si="4"/>
        <v>0</v>
      </c>
      <c r="M51" s="174" t="str">
        <f t="shared" si="5"/>
        <v/>
      </c>
      <c r="N51" s="172">
        <f>SUM(N52:N55)</f>
        <v>0</v>
      </c>
      <c r="O51" s="173">
        <f>SUM(O52:O55)</f>
        <v>0</v>
      </c>
      <c r="P51" s="173">
        <f>SUM(P52:P55)</f>
        <v>0</v>
      </c>
      <c r="Q51" s="173">
        <f>SUM(Q52:Q55)</f>
        <v>0</v>
      </c>
      <c r="R51" s="175">
        <f t="shared" si="6"/>
        <v>0</v>
      </c>
      <c r="S51" s="222" t="str">
        <f t="shared" si="7"/>
        <v/>
      </c>
      <c r="T51" s="175">
        <f t="shared" si="8"/>
        <v>0</v>
      </c>
      <c r="U51" s="176" t="str">
        <f t="shared" si="9"/>
        <v/>
      </c>
    </row>
    <row r="52" spans="1:21" x14ac:dyDescent="0.25">
      <c r="A52" s="177"/>
      <c r="B52" s="178" t="str">
        <f t="shared" si="19"/>
        <v>субъект РФ 1</v>
      </c>
      <c r="C52" s="178" t="str">
        <f t="shared" si="19"/>
        <v>ДЗО 1</v>
      </c>
      <c r="D52" s="179" t="str">
        <f t="shared" si="19"/>
        <v>филиал 1</v>
      </c>
      <c r="E52" s="191" t="s">
        <v>202</v>
      </c>
      <c r="F52" s="181"/>
      <c r="G52" s="182"/>
      <c r="H52" s="182"/>
      <c r="I52" s="183"/>
      <c r="J52" s="184"/>
      <c r="K52" s="185"/>
      <c r="L52" s="185">
        <f t="shared" si="4"/>
        <v>0</v>
      </c>
      <c r="M52" s="186" t="str">
        <f t="shared" si="5"/>
        <v/>
      </c>
      <c r="N52" s="184"/>
      <c r="O52" s="185"/>
      <c r="P52" s="185"/>
      <c r="Q52" s="185"/>
      <c r="R52" s="187">
        <f t="shared" si="6"/>
        <v>0</v>
      </c>
      <c r="S52" s="223" t="str">
        <f t="shared" si="7"/>
        <v/>
      </c>
      <c r="T52" s="187">
        <f t="shared" si="8"/>
        <v>0</v>
      </c>
      <c r="U52" s="188" t="str">
        <f t="shared" si="9"/>
        <v/>
      </c>
    </row>
    <row r="53" spans="1:21" x14ac:dyDescent="0.25">
      <c r="A53" s="177"/>
      <c r="B53" s="178" t="str">
        <f t="shared" ref="B53:D55" si="24">B52</f>
        <v>субъект РФ 1</v>
      </c>
      <c r="C53" s="178" t="str">
        <f t="shared" si="24"/>
        <v>ДЗО 1</v>
      </c>
      <c r="D53" s="179" t="str">
        <f t="shared" si="24"/>
        <v>филиал 1</v>
      </c>
      <c r="E53" s="191" t="s">
        <v>203</v>
      </c>
      <c r="F53" s="181"/>
      <c r="G53" s="182"/>
      <c r="H53" s="182"/>
      <c r="I53" s="183"/>
      <c r="J53" s="184"/>
      <c r="K53" s="185"/>
      <c r="L53" s="185">
        <f t="shared" si="4"/>
        <v>0</v>
      </c>
      <c r="M53" s="186" t="str">
        <f t="shared" si="5"/>
        <v/>
      </c>
      <c r="N53" s="184"/>
      <c r="O53" s="185"/>
      <c r="P53" s="185"/>
      <c r="Q53" s="185"/>
      <c r="R53" s="187">
        <f t="shared" si="6"/>
        <v>0</v>
      </c>
      <c r="S53" s="223" t="str">
        <f t="shared" si="7"/>
        <v/>
      </c>
      <c r="T53" s="187">
        <f t="shared" si="8"/>
        <v>0</v>
      </c>
      <c r="U53" s="188" t="str">
        <f t="shared" si="9"/>
        <v/>
      </c>
    </row>
    <row r="54" spans="1:21" x14ac:dyDescent="0.25">
      <c r="A54" s="177"/>
      <c r="B54" s="178" t="str">
        <f t="shared" si="24"/>
        <v>субъект РФ 1</v>
      </c>
      <c r="C54" s="178" t="str">
        <f t="shared" si="24"/>
        <v>ДЗО 1</v>
      </c>
      <c r="D54" s="179" t="str">
        <f t="shared" si="24"/>
        <v>филиал 1</v>
      </c>
      <c r="E54" s="191" t="s">
        <v>204</v>
      </c>
      <c r="F54" s="181"/>
      <c r="G54" s="182"/>
      <c r="H54" s="182"/>
      <c r="I54" s="183"/>
      <c r="J54" s="184"/>
      <c r="K54" s="185"/>
      <c r="L54" s="185">
        <f t="shared" si="4"/>
        <v>0</v>
      </c>
      <c r="M54" s="186" t="str">
        <f t="shared" si="5"/>
        <v/>
      </c>
      <c r="N54" s="184"/>
      <c r="O54" s="185"/>
      <c r="P54" s="185"/>
      <c r="Q54" s="185"/>
      <c r="R54" s="187">
        <f t="shared" si="6"/>
        <v>0</v>
      </c>
      <c r="S54" s="223" t="str">
        <f t="shared" si="7"/>
        <v/>
      </c>
      <c r="T54" s="187">
        <f t="shared" si="8"/>
        <v>0</v>
      </c>
      <c r="U54" s="188" t="str">
        <f t="shared" si="9"/>
        <v/>
      </c>
    </row>
    <row r="55" spans="1:21" ht="15.75" thickBot="1" x14ac:dyDescent="0.3">
      <c r="A55" s="197"/>
      <c r="B55" s="198" t="str">
        <f t="shared" si="24"/>
        <v>субъект РФ 1</v>
      </c>
      <c r="C55" s="198" t="str">
        <f t="shared" si="24"/>
        <v>ДЗО 1</v>
      </c>
      <c r="D55" s="199" t="str">
        <f t="shared" si="24"/>
        <v>филиал 1</v>
      </c>
      <c r="E55" s="200" t="s">
        <v>205</v>
      </c>
      <c r="F55" s="201"/>
      <c r="G55" s="202"/>
      <c r="H55" s="202"/>
      <c r="I55" s="203"/>
      <c r="J55" s="204"/>
      <c r="K55" s="205"/>
      <c r="L55" s="205">
        <f t="shared" si="4"/>
        <v>0</v>
      </c>
      <c r="M55" s="206" t="str">
        <f t="shared" si="5"/>
        <v/>
      </c>
      <c r="N55" s="204"/>
      <c r="O55" s="205"/>
      <c r="P55" s="205"/>
      <c r="Q55" s="205"/>
      <c r="R55" s="207">
        <f t="shared" si="6"/>
        <v>0</v>
      </c>
      <c r="S55" s="225" t="str">
        <f t="shared" si="7"/>
        <v/>
      </c>
      <c r="T55" s="207">
        <f t="shared" si="8"/>
        <v>0</v>
      </c>
      <c r="U55" s="208" t="str">
        <f t="shared" si="9"/>
        <v/>
      </c>
    </row>
  </sheetData>
  <autoFilter ref="A9:U55"/>
  <mergeCells count="18">
    <mergeCell ref="A6:A8"/>
    <mergeCell ref="B6:B8"/>
    <mergeCell ref="C6:C8"/>
    <mergeCell ref="D6:D8"/>
    <mergeCell ref="E6:E8"/>
    <mergeCell ref="J6:M6"/>
    <mergeCell ref="N6:U6"/>
    <mergeCell ref="F7:F8"/>
    <mergeCell ref="G7:G8"/>
    <mergeCell ref="H7:I7"/>
    <mergeCell ref="J7:J8"/>
    <mergeCell ref="K7:K8"/>
    <mergeCell ref="L7:M7"/>
    <mergeCell ref="R7:S7"/>
    <mergeCell ref="T7:U7"/>
    <mergeCell ref="F6:I6"/>
    <mergeCell ref="N7:O7"/>
    <mergeCell ref="P7:Q7"/>
  </mergeCells>
  <conditionalFormatting sqref="I10:I55">
    <cfRule type="cellIs" dxfId="111" priority="15" operator="lessThan">
      <formula>0</formula>
    </cfRule>
    <cfRule type="cellIs" dxfId="110" priority="16" operator="greaterThan">
      <formula>0</formula>
    </cfRule>
  </conditionalFormatting>
  <conditionalFormatting sqref="M10:M55">
    <cfRule type="cellIs" dxfId="109" priority="13" operator="lessThan">
      <formula>0</formula>
    </cfRule>
    <cfRule type="cellIs" dxfId="108" priority="14" operator="greaterThan">
      <formula>0</formula>
    </cfRule>
  </conditionalFormatting>
  <conditionalFormatting sqref="U10:U55">
    <cfRule type="cellIs" dxfId="107" priority="11" operator="lessThan">
      <formula>0</formula>
    </cfRule>
    <cfRule type="cellIs" dxfId="106" priority="12" operator="greaterThan">
      <formula>0</formula>
    </cfRule>
  </conditionalFormatting>
  <conditionalFormatting sqref="H10:H55">
    <cfRule type="cellIs" dxfId="105" priority="9" operator="lessThan">
      <formula>0</formula>
    </cfRule>
    <cfRule type="cellIs" dxfId="104" priority="10" operator="greaterThan">
      <formula>0</formula>
    </cfRule>
  </conditionalFormatting>
  <conditionalFormatting sqref="L10:L55">
    <cfRule type="cellIs" dxfId="103" priority="7" operator="lessThan">
      <formula>0</formula>
    </cfRule>
    <cfRule type="cellIs" dxfId="102" priority="8" operator="greaterThan">
      <formula>0</formula>
    </cfRule>
  </conditionalFormatting>
  <conditionalFormatting sqref="R10:R55">
    <cfRule type="cellIs" dxfId="101" priority="5" operator="lessThan">
      <formula>0</formula>
    </cfRule>
    <cfRule type="cellIs" dxfId="100" priority="6" operator="greaterThan">
      <formula>0</formula>
    </cfRule>
  </conditionalFormatting>
  <conditionalFormatting sqref="S10:S55">
    <cfRule type="cellIs" dxfId="99" priority="3" operator="lessThan">
      <formula>0</formula>
    </cfRule>
    <cfRule type="cellIs" dxfId="98" priority="4" operator="greaterThan">
      <formula>0</formula>
    </cfRule>
  </conditionalFormatting>
  <conditionalFormatting sqref="T10:T55">
    <cfRule type="cellIs" dxfId="97" priority="1" operator="lessThan">
      <formula>0</formula>
    </cfRule>
    <cfRule type="cellIs" dxfId="96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AO93"/>
  <sheetViews>
    <sheetView zoomScale="70" zoomScaleNormal="70" workbookViewId="0">
      <pane xSplit="5" ySplit="19" topLeftCell="N41" activePane="bottomRight" state="frozenSplit"/>
      <selection pane="topRight" activeCell="S1" sqref="S1"/>
      <selection pane="bottomLeft" activeCell="A20" sqref="A20"/>
      <selection pane="bottomRight" activeCell="V51" sqref="V51"/>
    </sheetView>
  </sheetViews>
  <sheetFormatPr defaultColWidth="9.140625" defaultRowHeight="15" x14ac:dyDescent="0.25"/>
  <cols>
    <col min="1" max="1" width="6.7109375" style="133" customWidth="1"/>
    <col min="2" max="2" width="10" style="133" customWidth="1"/>
    <col min="3" max="3" width="12.140625" style="133" customWidth="1"/>
    <col min="4" max="4" width="11.42578125" style="133" customWidth="1"/>
    <col min="5" max="5" width="32.7109375" style="133" customWidth="1"/>
    <col min="6" max="6" width="15.85546875" style="133" customWidth="1"/>
    <col min="7" max="7" width="13" style="133" customWidth="1"/>
    <col min="8" max="8" width="12.5703125" style="133" bestFit="1" customWidth="1"/>
    <col min="9" max="14" width="16.7109375" style="133" customWidth="1"/>
    <col min="15" max="15" width="14.7109375" style="133" customWidth="1"/>
    <col min="16" max="16" width="11.5703125" style="133" customWidth="1"/>
    <col min="17" max="17" width="13.42578125" style="133" customWidth="1"/>
    <col min="18" max="18" width="16.42578125" style="133" customWidth="1"/>
    <col min="19" max="19" width="16.7109375" style="133" customWidth="1"/>
    <col min="20" max="20" width="17.5703125" style="133" customWidth="1"/>
    <col min="21" max="21" width="15.42578125" style="133" customWidth="1"/>
    <col min="22" max="22" width="13.42578125" style="133" customWidth="1"/>
    <col min="23" max="23" width="16.42578125" style="133" customWidth="1"/>
    <col min="24" max="24" width="6.85546875" style="133" customWidth="1"/>
    <col min="25" max="27" width="6.85546875" style="133" bestFit="1" customWidth="1"/>
    <col min="28" max="28" width="16.7109375" style="133" customWidth="1"/>
    <col min="29" max="29" width="17.140625" style="133" customWidth="1"/>
    <col min="30" max="30" width="17.42578125" style="133" customWidth="1"/>
    <col min="31" max="33" width="16.7109375" style="133" customWidth="1"/>
    <col min="34" max="34" width="17.140625" style="133" customWidth="1"/>
    <col min="35" max="35" width="18.42578125" style="133" customWidth="1"/>
    <col min="36" max="37" width="16.7109375" style="133" customWidth="1"/>
    <col min="38" max="38" width="17.140625" style="133" customWidth="1"/>
    <col min="39" max="39" width="18" style="133" customWidth="1"/>
    <col min="40" max="40" width="31" style="133" customWidth="1"/>
    <col min="41" max="41" width="25.5703125" style="133" customWidth="1"/>
    <col min="42" max="16384" width="9.140625" style="133"/>
  </cols>
  <sheetData>
    <row r="1" spans="1:41" s="110" customFormat="1" ht="15.75" x14ac:dyDescent="0.25">
      <c r="A1" s="109" t="s">
        <v>170</v>
      </c>
      <c r="C1" s="382">
        <v>44228</v>
      </c>
      <c r="F1" s="110">
        <v>408252.36275739921</v>
      </c>
      <c r="G1" s="110">
        <v>414979.66277</v>
      </c>
      <c r="J1" s="110">
        <f>41.195139</f>
        <v>41.195138999999998</v>
      </c>
      <c r="M1" s="433" t="s">
        <v>483</v>
      </c>
      <c r="P1" s="110">
        <v>1000</v>
      </c>
    </row>
    <row r="2" spans="1:41" s="110" customFormat="1" ht="16.5" customHeight="1" x14ac:dyDescent="0.2">
      <c r="F2" s="110">
        <f>F1/1000-F10</f>
        <v>1.8235920151710161E-7</v>
      </c>
      <c r="G2" s="110">
        <f>G1/1000-G10</f>
        <v>-5.0000005558104021E-7</v>
      </c>
      <c r="J2" s="110">
        <v>34.723426000000003</v>
      </c>
      <c r="K2" s="262">
        <f>J1-J2</f>
        <v>6.4717129999999941</v>
      </c>
      <c r="M2" s="262"/>
      <c r="R2" s="110">
        <f>отчет_еженедельный!H19</f>
        <v>10.594784900000093</v>
      </c>
      <c r="W2" s="110">
        <f>отчет_еженедельный!H19</f>
        <v>10.594784900000093</v>
      </c>
    </row>
    <row r="3" spans="1:41" s="110" customFormat="1" ht="15.75" x14ac:dyDescent="0.25">
      <c r="A3" s="112" t="s">
        <v>487</v>
      </c>
      <c r="B3" s="112"/>
      <c r="R3" s="349">
        <f>R19-R2</f>
        <v>-24.129160592998165</v>
      </c>
      <c r="S3" s="110">
        <f>85.9501978113537/17*30</f>
        <v>151.67681966709475</v>
      </c>
      <c r="U3" s="110">
        <f>S19*5/3</f>
        <v>691.63274933333332</v>
      </c>
      <c r="W3" s="349">
        <f>W19-W2</f>
        <v>-1.9919450722838405E-4</v>
      </c>
    </row>
    <row r="4" spans="1:41" s="110" customFormat="1" ht="9" customHeight="1" x14ac:dyDescent="0.2"/>
    <row r="5" spans="1:41" s="110" customFormat="1" ht="27" customHeight="1" thickBot="1" x14ac:dyDescent="0.3">
      <c r="S5" s="349">
        <f>S3-S10</f>
        <v>-263.3028299329053</v>
      </c>
      <c r="U5" s="434" t="s">
        <v>496</v>
      </c>
      <c r="W5" s="110" t="s">
        <v>177</v>
      </c>
    </row>
    <row r="6" spans="1:41" s="110" customFormat="1" ht="24.75" customHeight="1" x14ac:dyDescent="0.2">
      <c r="A6" s="502" t="s">
        <v>172</v>
      </c>
      <c r="B6" s="479" t="s">
        <v>1</v>
      </c>
      <c r="C6" s="479" t="s">
        <v>2</v>
      </c>
      <c r="D6" s="479" t="s">
        <v>3</v>
      </c>
      <c r="E6" s="506" t="s">
        <v>173</v>
      </c>
      <c r="F6" s="492" t="s">
        <v>233</v>
      </c>
      <c r="G6" s="493"/>
      <c r="H6" s="492" t="s">
        <v>234</v>
      </c>
      <c r="I6" s="493"/>
      <c r="J6" s="492" t="s">
        <v>235</v>
      </c>
      <c r="K6" s="493"/>
      <c r="L6" s="492" t="s">
        <v>441</v>
      </c>
      <c r="M6" s="493"/>
      <c r="N6" s="492" t="s">
        <v>209</v>
      </c>
      <c r="O6" s="494"/>
      <c r="P6" s="492">
        <v>29</v>
      </c>
      <c r="Q6" s="494"/>
      <c r="R6" s="250"/>
      <c r="S6" s="514" t="s">
        <v>489</v>
      </c>
      <c r="T6" s="515"/>
      <c r="U6" s="516" t="s">
        <v>490</v>
      </c>
      <c r="V6" s="517"/>
      <c r="W6" s="357"/>
      <c r="X6" s="355"/>
      <c r="Y6" s="492" t="s">
        <v>237</v>
      </c>
      <c r="Z6" s="493"/>
      <c r="AA6" s="492" t="s">
        <v>174</v>
      </c>
      <c r="AB6" s="493"/>
      <c r="AC6" s="493"/>
      <c r="AD6" s="494"/>
      <c r="AE6" s="492" t="s">
        <v>175</v>
      </c>
      <c r="AF6" s="493"/>
      <c r="AG6" s="493"/>
      <c r="AH6" s="493"/>
      <c r="AI6" s="494"/>
      <c r="AJ6" s="493" t="s">
        <v>176</v>
      </c>
      <c r="AK6" s="493"/>
      <c r="AL6" s="493"/>
      <c r="AM6" s="494"/>
      <c r="AN6" s="495" t="s">
        <v>231</v>
      </c>
      <c r="AO6" s="497" t="s">
        <v>232</v>
      </c>
    </row>
    <row r="7" spans="1:41" s="110" customFormat="1" ht="24.75" customHeight="1" x14ac:dyDescent="0.2">
      <c r="A7" s="503"/>
      <c r="B7" s="480"/>
      <c r="C7" s="480"/>
      <c r="D7" s="480"/>
      <c r="E7" s="507"/>
      <c r="F7" s="490">
        <v>2019</v>
      </c>
      <c r="G7" s="500">
        <v>2020</v>
      </c>
      <c r="H7" s="490">
        <v>2019</v>
      </c>
      <c r="I7" s="500">
        <v>2020</v>
      </c>
      <c r="J7" s="490">
        <v>2019</v>
      </c>
      <c r="K7" s="527">
        <v>2020</v>
      </c>
      <c r="L7" s="490"/>
      <c r="M7" s="527"/>
      <c r="N7" s="490">
        <v>2019</v>
      </c>
      <c r="O7" s="512">
        <v>2020</v>
      </c>
      <c r="P7" s="490">
        <v>2019</v>
      </c>
      <c r="Q7" s="512">
        <v>2020</v>
      </c>
      <c r="R7" s="315"/>
      <c r="S7" s="524">
        <v>2020</v>
      </c>
      <c r="T7" s="520">
        <v>2021</v>
      </c>
      <c r="U7" s="522">
        <v>2020</v>
      </c>
      <c r="V7" s="518">
        <v>2021</v>
      </c>
      <c r="W7" s="315"/>
      <c r="X7" s="315"/>
      <c r="Y7" s="490">
        <v>2019</v>
      </c>
      <c r="Z7" s="500">
        <v>2020</v>
      </c>
      <c r="AA7" s="490">
        <v>2019</v>
      </c>
      <c r="AB7" s="500">
        <v>2020</v>
      </c>
      <c r="AC7" s="488" t="s">
        <v>177</v>
      </c>
      <c r="AD7" s="489"/>
      <c r="AE7" s="490">
        <v>2019</v>
      </c>
      <c r="AF7" s="500">
        <v>2020</v>
      </c>
      <c r="AG7" s="500" t="s">
        <v>178</v>
      </c>
      <c r="AH7" s="488" t="s">
        <v>177</v>
      </c>
      <c r="AI7" s="489"/>
      <c r="AJ7" s="490">
        <v>2019</v>
      </c>
      <c r="AK7" s="500">
        <v>2020</v>
      </c>
      <c r="AL7" s="488" t="s">
        <v>177</v>
      </c>
      <c r="AM7" s="489"/>
      <c r="AN7" s="496"/>
      <c r="AO7" s="498"/>
    </row>
    <row r="8" spans="1:41" s="110" customFormat="1" ht="42.75" customHeight="1" thickBot="1" x14ac:dyDescent="0.25">
      <c r="A8" s="504"/>
      <c r="B8" s="505"/>
      <c r="C8" s="505"/>
      <c r="D8" s="505"/>
      <c r="E8" s="507"/>
      <c r="F8" s="491"/>
      <c r="G8" s="501"/>
      <c r="H8" s="491"/>
      <c r="I8" s="501"/>
      <c r="J8" s="491"/>
      <c r="K8" s="528"/>
      <c r="L8" s="491"/>
      <c r="M8" s="528"/>
      <c r="N8" s="491"/>
      <c r="O8" s="513"/>
      <c r="P8" s="491"/>
      <c r="Q8" s="513"/>
      <c r="R8" s="316"/>
      <c r="S8" s="525"/>
      <c r="T8" s="521"/>
      <c r="U8" s="523"/>
      <c r="V8" s="519"/>
      <c r="W8" s="316"/>
      <c r="X8" s="316"/>
      <c r="Y8" s="491"/>
      <c r="Z8" s="501"/>
      <c r="AA8" s="491"/>
      <c r="AB8" s="501"/>
      <c r="AC8" s="249" t="s">
        <v>179</v>
      </c>
      <c r="AD8" s="114" t="s">
        <v>180</v>
      </c>
      <c r="AE8" s="491"/>
      <c r="AF8" s="501"/>
      <c r="AG8" s="501"/>
      <c r="AH8" s="249" t="s">
        <v>179</v>
      </c>
      <c r="AI8" s="114" t="s">
        <v>180</v>
      </c>
      <c r="AJ8" s="491"/>
      <c r="AK8" s="501"/>
      <c r="AL8" s="249" t="s">
        <v>179</v>
      </c>
      <c r="AM8" s="114" t="s">
        <v>180</v>
      </c>
      <c r="AN8" s="496"/>
      <c r="AO8" s="499"/>
    </row>
    <row r="9" spans="1:41" s="110" customFormat="1" ht="13.5" thickBot="1" x14ac:dyDescent="0.25">
      <c r="A9" s="115">
        <v>1</v>
      </c>
      <c r="B9" s="116">
        <f>A9+1</f>
        <v>2</v>
      </c>
      <c r="C9" s="116">
        <f t="shared" ref="C9:AK9" si="0">B9+1</f>
        <v>3</v>
      </c>
      <c r="D9" s="117">
        <f t="shared" si="0"/>
        <v>4</v>
      </c>
      <c r="E9" s="118">
        <f t="shared" si="0"/>
        <v>5</v>
      </c>
      <c r="F9" s="119"/>
      <c r="G9" s="120"/>
      <c r="H9" s="119"/>
      <c r="I9" s="120"/>
      <c r="J9" s="119"/>
      <c r="K9" s="122"/>
      <c r="L9" s="119"/>
      <c r="M9" s="122"/>
      <c r="N9" s="119"/>
      <c r="O9" s="282"/>
      <c r="P9" s="119"/>
      <c r="Q9" s="265"/>
      <c r="R9" s="121"/>
      <c r="S9" s="119"/>
      <c r="T9" s="282"/>
      <c r="U9" s="119"/>
      <c r="V9" s="265"/>
      <c r="W9" s="121"/>
      <c r="X9" s="121"/>
      <c r="Y9" s="119"/>
      <c r="Z9" s="120"/>
      <c r="AA9" s="119">
        <f>E9+1</f>
        <v>6</v>
      </c>
      <c r="AB9" s="120">
        <f t="shared" si="0"/>
        <v>7</v>
      </c>
      <c r="AC9" s="120" t="s">
        <v>216</v>
      </c>
      <c r="AD9" s="121" t="s">
        <v>219</v>
      </c>
      <c r="AE9" s="119">
        <v>10</v>
      </c>
      <c r="AF9" s="120">
        <f t="shared" si="0"/>
        <v>11</v>
      </c>
      <c r="AG9" s="120">
        <f t="shared" si="0"/>
        <v>12</v>
      </c>
      <c r="AH9" s="120" t="s">
        <v>217</v>
      </c>
      <c r="AI9" s="121" t="s">
        <v>218</v>
      </c>
      <c r="AJ9" s="120">
        <v>15</v>
      </c>
      <c r="AK9" s="120">
        <f t="shared" si="0"/>
        <v>16</v>
      </c>
      <c r="AL9" s="122" t="s">
        <v>222</v>
      </c>
      <c r="AM9" s="122" t="s">
        <v>221</v>
      </c>
      <c r="AN9" s="118">
        <v>19</v>
      </c>
      <c r="AO9" s="118">
        <v>20</v>
      </c>
    </row>
    <row r="10" spans="1:41" ht="15.75" x14ac:dyDescent="0.25">
      <c r="A10" s="123" t="s">
        <v>181</v>
      </c>
      <c r="B10" s="124" t="s">
        <v>182</v>
      </c>
      <c r="C10" s="124" t="s">
        <v>192</v>
      </c>
      <c r="D10" s="125" t="s">
        <v>182</v>
      </c>
      <c r="E10" s="126" t="s">
        <v>183</v>
      </c>
      <c r="F10" s="130">
        <f t="shared" ref="F10:G10" si="1">SUM(F11:F18)</f>
        <v>408.25236257504002</v>
      </c>
      <c r="G10" s="128">
        <f t="shared" si="1"/>
        <v>414.97966327000006</v>
      </c>
      <c r="H10" s="130">
        <f t="shared" ref="H10:N10" si="2">SUM(H11:H18)</f>
        <v>370.08323666529384</v>
      </c>
      <c r="I10" s="128">
        <f t="shared" si="2"/>
        <v>373.78081183</v>
      </c>
      <c r="J10" s="130">
        <f t="shared" si="2"/>
        <v>348.31341699999996</v>
      </c>
      <c r="K10" s="281">
        <f t="shared" si="2"/>
        <v>357.67192821999998</v>
      </c>
      <c r="L10" s="130"/>
      <c r="M10" s="281"/>
      <c r="N10" s="266">
        <f t="shared" si="2"/>
        <v>330.09725800000001</v>
      </c>
      <c r="O10" s="267">
        <f t="shared" ref="O10:Z10" si="3">SUM(O11:O18)</f>
        <v>0</v>
      </c>
      <c r="P10" s="266"/>
      <c r="Q10" s="267"/>
      <c r="R10" s="263"/>
      <c r="S10" s="266">
        <f>SUM(S11:S18)</f>
        <v>414.97964960000002</v>
      </c>
      <c r="T10" s="267">
        <f>SUM(T11:T18)</f>
        <v>0</v>
      </c>
      <c r="U10" s="267">
        <f t="shared" ref="U10:V10" si="4">SUM(U11:U18)</f>
        <v>414.97964960000002</v>
      </c>
      <c r="V10" s="267">
        <f t="shared" si="4"/>
        <v>425.57423530549289</v>
      </c>
      <c r="W10" s="263"/>
      <c r="X10" s="130"/>
      <c r="Y10" s="130">
        <f t="shared" si="3"/>
        <v>0</v>
      </c>
      <c r="Z10" s="128">
        <f t="shared" si="3"/>
        <v>0</v>
      </c>
      <c r="AA10" s="127">
        <f>SUMIFS(AA18:AA5001,$A18:$A5001,$A10,$C18:$C5001,$C10)</f>
        <v>0</v>
      </c>
      <c r="AB10" s="128">
        <f>SUMIFS(AB18:AB5001,$A18:$A5001,$A10,$C18:$C5001,$C10)</f>
        <v>0</v>
      </c>
      <c r="AC10" s="128">
        <f>AB10-AA10</f>
        <v>0</v>
      </c>
      <c r="AD10" s="129" t="str">
        <f>IFERROR(AB10/AA10-1,"")</f>
        <v/>
      </c>
      <c r="AE10" s="130">
        <f t="shared" ref="AE10:AF10" si="5">SUM(AE11:AE18)</f>
        <v>0</v>
      </c>
      <c r="AF10" s="128">
        <f t="shared" si="5"/>
        <v>0</v>
      </c>
      <c r="AG10" s="128"/>
      <c r="AH10" s="128">
        <f>AF10-AE10</f>
        <v>0</v>
      </c>
      <c r="AI10" s="129" t="str">
        <f>IFERROR(AF10/AE10-1,"")</f>
        <v/>
      </c>
      <c r="AJ10" s="128">
        <f>SUMIFS(AJ18:AJ5001,$A18:$A5001,$A10,$C18:$C5001,$C10)</f>
        <v>0</v>
      </c>
      <c r="AK10" s="128">
        <f>SUMIFS(AK18:AK5001,$A18:$A5001,$A10,$C18:$C5001,$C10)</f>
        <v>0</v>
      </c>
      <c r="AL10" s="131">
        <f t="shared" ref="AL10:AL19" si="6">AK10-AJ10</f>
        <v>0</v>
      </c>
      <c r="AM10" s="132" t="str">
        <f t="shared" ref="AM10:AM19" si="7">IFERROR(AK10/AJ10-1,"")</f>
        <v/>
      </c>
      <c r="AN10" s="126"/>
      <c r="AO10" s="126"/>
    </row>
    <row r="11" spans="1:41" ht="15" customHeight="1" x14ac:dyDescent="0.25">
      <c r="A11" s="134" t="s">
        <v>10</v>
      </c>
      <c r="B11" s="135" t="s">
        <v>182</v>
      </c>
      <c r="C11" s="135" t="str">
        <f>C10</f>
        <v>ДЗО 1</v>
      </c>
      <c r="D11" s="136" t="s">
        <v>182</v>
      </c>
      <c r="E11" s="137" t="s">
        <v>184</v>
      </c>
      <c r="F11" s="141">
        <f t="shared" ref="F11:O11" si="8">SUMIFS(F19:F5002,$A19:$A5002,$A11,$C19:$C5002,$C11)</f>
        <v>53.643263507520004</v>
      </c>
      <c r="G11" s="142">
        <f t="shared" si="8"/>
        <v>49.525507000000005</v>
      </c>
      <c r="H11" s="141">
        <f t="shared" si="8"/>
        <v>49.613982604141903</v>
      </c>
      <c r="I11" s="142">
        <f t="shared" si="8"/>
        <v>50.264544999999998</v>
      </c>
      <c r="J11" s="141">
        <f t="shared" si="8"/>
        <v>44.994041000000003</v>
      </c>
      <c r="K11" s="251">
        <f t="shared" si="8"/>
        <v>47.369590000000002</v>
      </c>
      <c r="L11" s="141"/>
      <c r="M11" s="251"/>
      <c r="N11" s="268">
        <f t="shared" si="8"/>
        <v>38.362578999999997</v>
      </c>
      <c r="O11" s="269">
        <f t="shared" si="8"/>
        <v>0</v>
      </c>
      <c r="P11" s="268"/>
      <c r="Q11" s="269"/>
      <c r="R11" s="251"/>
      <c r="S11" s="268">
        <f>SUMIFS(S19:S5002,$A19:$A5002,$A11,$C19:$C5002,$C11)</f>
        <v>51.269841</v>
      </c>
      <c r="T11" s="269">
        <f>SUMIFS(T19:T5002,$A19:$A5002,$A11,$C19:$C5002,$C11)</f>
        <v>0</v>
      </c>
      <c r="U11" s="269">
        <f t="shared" ref="U11:V11" si="9">SUMIFS(U19:U5002,$A19:$A5002,$A11,$C19:$C5002,$C11)</f>
        <v>51.269841</v>
      </c>
      <c r="V11" s="269">
        <f t="shared" si="9"/>
        <v>51.76265208425707</v>
      </c>
      <c r="W11" s="251"/>
      <c r="X11" s="141"/>
      <c r="Y11" s="141">
        <f>SUMIFS(Y19:Y5002,$A19:$A5002,$A11,$C19:$C5002,$C11)</f>
        <v>0</v>
      </c>
      <c r="Z11" s="142">
        <f>SUMIFS(Z19:Z5002,$A19:$A5002,$A11,$C19:$C5002,$C11)</f>
        <v>0</v>
      </c>
      <c r="AA11" s="138"/>
      <c r="AB11" s="139"/>
      <c r="AC11" s="139"/>
      <c r="AD11" s="140"/>
      <c r="AE11" s="141">
        <f>SUMIFS(AE19:AE5002,$A19:$A5002,$A11,$C19:$C5002,$C11)</f>
        <v>0</v>
      </c>
      <c r="AF11" s="142">
        <f>SUMIFS(AF19:AF5002,$A19:$A5002,$A11,$C19:$C5002,$C11)</f>
        <v>0</v>
      </c>
      <c r="AG11" s="142"/>
      <c r="AH11" s="142">
        <f t="shared" ref="AH11:AH64" si="10">AF11-AE11</f>
        <v>0</v>
      </c>
      <c r="AI11" s="143" t="str">
        <f t="shared" ref="AI11:AI64" si="11">IFERROR(AF11/AE11-1,"")</f>
        <v/>
      </c>
      <c r="AJ11" s="139"/>
      <c r="AK11" s="139"/>
      <c r="AL11" s="229"/>
      <c r="AM11" s="232"/>
      <c r="AN11" s="137"/>
      <c r="AO11" s="137"/>
    </row>
    <row r="12" spans="1:41" ht="15" customHeight="1" x14ac:dyDescent="0.25">
      <c r="A12" s="134" t="s">
        <v>13</v>
      </c>
      <c r="B12" s="135" t="s">
        <v>182</v>
      </c>
      <c r="C12" s="135" t="str">
        <f t="shared" ref="C12:C18" si="12">C11</f>
        <v>ДЗО 1</v>
      </c>
      <c r="D12" s="136" t="s">
        <v>182</v>
      </c>
      <c r="E12" s="137" t="s">
        <v>185</v>
      </c>
      <c r="F12" s="141">
        <f t="shared" ref="F12:O12" si="13">SUMIFS(F19:F5002,$A19:$A5002,$A12,$C19:$C5002,$C12)</f>
        <v>122.11056367</v>
      </c>
      <c r="G12" s="142">
        <f t="shared" si="13"/>
        <v>121.94543492132111</v>
      </c>
      <c r="H12" s="141">
        <f t="shared" si="13"/>
        <v>105.76762926258064</v>
      </c>
      <c r="I12" s="142">
        <f t="shared" si="13"/>
        <v>111.07569167</v>
      </c>
      <c r="J12" s="141">
        <f t="shared" si="13"/>
        <v>114.60532500000001</v>
      </c>
      <c r="K12" s="251">
        <f t="shared" si="13"/>
        <v>113.87393852963669</v>
      </c>
      <c r="L12" s="141"/>
      <c r="M12" s="251"/>
      <c r="N12" s="268">
        <f t="shared" si="13"/>
        <v>106.3338605007896</v>
      </c>
      <c r="O12" s="269">
        <f t="shared" si="13"/>
        <v>0</v>
      </c>
      <c r="P12" s="268"/>
      <c r="Q12" s="269"/>
      <c r="R12" s="251"/>
      <c r="S12" s="268">
        <f>SUMIFS(S19:S5002,$A19:$A5002,$A12,$C19:$C5002,$C12)</f>
        <v>121.94543492132111</v>
      </c>
      <c r="T12" s="269">
        <f>SUMIFS(T19:T5002,$A19:$A5002,$A12,$C19:$C5002,$C12)</f>
        <v>0</v>
      </c>
      <c r="U12" s="269">
        <f t="shared" ref="U12:V12" si="14">SUMIFS(U19:U5002,$A19:$A5002,$A12,$C19:$C5002,$C12)</f>
        <v>121.94543492132111</v>
      </c>
      <c r="V12" s="269">
        <f t="shared" si="14"/>
        <v>121.53850513082112</v>
      </c>
      <c r="W12" s="251"/>
      <c r="X12" s="141"/>
      <c r="Y12" s="141">
        <f>SUMIFS(Y19:Y5002,$A19:$A5002,$A12,$C19:$C5002,$C12)</f>
        <v>0</v>
      </c>
      <c r="Z12" s="142">
        <f>SUMIFS(Z19:Z5002,$A19:$A5002,$A12,$C19:$C5002,$C12)</f>
        <v>0</v>
      </c>
      <c r="AA12" s="138"/>
      <c r="AB12" s="139"/>
      <c r="AC12" s="139"/>
      <c r="AD12" s="140"/>
      <c r="AE12" s="141">
        <f>SUMIFS(AE19:AE5002,$A19:$A5002,$A12,$C19:$C5002,$C12)</f>
        <v>0</v>
      </c>
      <c r="AF12" s="142">
        <f>SUMIFS(AF19:AF5002,$A19:$A5002,$A12,$C19:$C5002,$C12)</f>
        <v>0</v>
      </c>
      <c r="AG12" s="142"/>
      <c r="AH12" s="142">
        <f t="shared" si="10"/>
        <v>0</v>
      </c>
      <c r="AI12" s="143" t="str">
        <f t="shared" si="11"/>
        <v/>
      </c>
      <c r="AJ12" s="139"/>
      <c r="AK12" s="139"/>
      <c r="AL12" s="229"/>
      <c r="AM12" s="232"/>
      <c r="AN12" s="137"/>
      <c r="AO12" s="137"/>
    </row>
    <row r="13" spans="1:41" ht="15" customHeight="1" x14ac:dyDescent="0.25">
      <c r="A13" s="134" t="s">
        <v>15</v>
      </c>
      <c r="B13" s="135" t="s">
        <v>182</v>
      </c>
      <c r="C13" s="135" t="str">
        <f t="shared" si="12"/>
        <v>ДЗО 1</v>
      </c>
      <c r="D13" s="136" t="s">
        <v>182</v>
      </c>
      <c r="E13" s="137" t="s">
        <v>186</v>
      </c>
      <c r="F13" s="141">
        <f t="shared" ref="F13:O13" si="15">SUMIFS(F19:F5002,$A19:$A5002,$A13,$C19:$C5002,$C13)</f>
        <v>0</v>
      </c>
      <c r="G13" s="142">
        <f t="shared" si="15"/>
        <v>0</v>
      </c>
      <c r="H13" s="141">
        <f t="shared" si="15"/>
        <v>0</v>
      </c>
      <c r="I13" s="142">
        <f t="shared" si="15"/>
        <v>0</v>
      </c>
      <c r="J13" s="141">
        <f t="shared" si="15"/>
        <v>0</v>
      </c>
      <c r="K13" s="251">
        <f t="shared" si="15"/>
        <v>0</v>
      </c>
      <c r="L13" s="141"/>
      <c r="M13" s="251"/>
      <c r="N13" s="268">
        <f t="shared" si="15"/>
        <v>0</v>
      </c>
      <c r="O13" s="269">
        <f t="shared" si="15"/>
        <v>0</v>
      </c>
      <c r="P13" s="268"/>
      <c r="Q13" s="269"/>
      <c r="R13" s="251"/>
      <c r="S13" s="268">
        <f t="shared" ref="S13" si="16">SUMIFS(S19:S5002,$A19:$A5002,$A13,$C19:$C5002,$C13)</f>
        <v>0</v>
      </c>
      <c r="T13" s="269">
        <f>SUMIFS(T19:T5002,$A19:$A5002,$A13,$C19:$C5002,$C13)</f>
        <v>0</v>
      </c>
      <c r="U13" s="269">
        <f t="shared" ref="U13:V13" si="17">SUMIFS(U19:U5002,$A19:$A5002,$A13,$C19:$C5002,$C13)</f>
        <v>0</v>
      </c>
      <c r="V13" s="269">
        <f t="shared" si="17"/>
        <v>0</v>
      </c>
      <c r="W13" s="251"/>
      <c r="X13" s="141"/>
      <c r="Y13" s="141">
        <f>SUMIFS(Y19:Y5002,$A19:$A5002,$A13,$C19:$C5002,$C13)</f>
        <v>0</v>
      </c>
      <c r="Z13" s="142">
        <f>SUMIFS(Z19:Z5002,$A19:$A5002,$A13,$C19:$C5002,$C13)</f>
        <v>0</v>
      </c>
      <c r="AA13" s="138"/>
      <c r="AB13" s="139"/>
      <c r="AC13" s="139"/>
      <c r="AD13" s="140"/>
      <c r="AE13" s="141">
        <f>SUMIFS(AE19:AE5002,$A19:$A5002,$A13,$C19:$C5002,$C13)</f>
        <v>0</v>
      </c>
      <c r="AF13" s="142">
        <f>SUMIFS(AF19:AF5002,$A19:$A5002,$A13,$C19:$C5002,$C13)</f>
        <v>0</v>
      </c>
      <c r="AG13" s="142"/>
      <c r="AH13" s="142">
        <f t="shared" si="10"/>
        <v>0</v>
      </c>
      <c r="AI13" s="143" t="str">
        <f t="shared" si="11"/>
        <v/>
      </c>
      <c r="AJ13" s="139"/>
      <c r="AK13" s="139"/>
      <c r="AL13" s="229"/>
      <c r="AM13" s="232"/>
      <c r="AN13" s="137"/>
      <c r="AO13" s="137"/>
    </row>
    <row r="14" spans="1:41" ht="15" customHeight="1" x14ac:dyDescent="0.25">
      <c r="A14" s="134" t="s">
        <v>17</v>
      </c>
      <c r="B14" s="135" t="s">
        <v>182</v>
      </c>
      <c r="C14" s="135" t="str">
        <f t="shared" si="12"/>
        <v>ДЗО 1</v>
      </c>
      <c r="D14" s="136" t="s">
        <v>182</v>
      </c>
      <c r="E14" s="137" t="s">
        <v>187</v>
      </c>
      <c r="F14" s="141">
        <f t="shared" ref="F14:O14" si="18">SUMIFS(F19:F5002,$A19:$A5002,$A14,$C19:$C5002,$C14)</f>
        <v>2.2123140000000001</v>
      </c>
      <c r="G14" s="142">
        <f t="shared" si="18"/>
        <v>1.8094349999999999</v>
      </c>
      <c r="H14" s="141">
        <f t="shared" si="18"/>
        <v>1.398552</v>
      </c>
      <c r="I14" s="142">
        <f t="shared" si="18"/>
        <v>1.5857019999999999</v>
      </c>
      <c r="J14" s="141">
        <f t="shared" si="18"/>
        <v>1.3020370000000001</v>
      </c>
      <c r="K14" s="251">
        <f t="shared" si="18"/>
        <v>1.428058</v>
      </c>
      <c r="L14" s="141"/>
      <c r="M14" s="251"/>
      <c r="N14" s="268">
        <f t="shared" si="18"/>
        <v>1.2245139999999999</v>
      </c>
      <c r="O14" s="269">
        <f t="shared" si="18"/>
        <v>0</v>
      </c>
      <c r="P14" s="268"/>
      <c r="Q14" s="269"/>
      <c r="R14" s="251"/>
      <c r="S14" s="268">
        <f t="shared" ref="S14" si="19">SUMIFS(S19:S5002,$A19:$A5002,$A14,$C19:$C5002,$C14)</f>
        <v>1.8094349999999999</v>
      </c>
      <c r="T14" s="269">
        <f>SUMIFS(T19:T5002,$A19:$A5002,$A14,$C19:$C5002,$C14)</f>
        <v>0</v>
      </c>
      <c r="U14" s="269">
        <f t="shared" ref="U14:V14" si="20">SUMIFS(U19:U5002,$A19:$A5002,$A14,$C19:$C5002,$C14)</f>
        <v>1.8094349999999999</v>
      </c>
      <c r="V14" s="269">
        <f t="shared" si="20"/>
        <v>1.82431389</v>
      </c>
      <c r="W14" s="251"/>
      <c r="X14" s="141"/>
      <c r="Y14" s="141">
        <f>SUMIFS(Y19:Y5002,$A19:$A5002,$A14,$C19:$C5002,$C14)</f>
        <v>0</v>
      </c>
      <c r="Z14" s="142">
        <f>SUMIFS(Z19:Z5002,$A19:$A5002,$A14,$C19:$C5002,$C14)</f>
        <v>0</v>
      </c>
      <c r="AA14" s="138"/>
      <c r="AB14" s="139"/>
      <c r="AC14" s="139"/>
      <c r="AD14" s="140"/>
      <c r="AE14" s="141">
        <f>SUMIFS(AE19:AE5002,$A19:$A5002,$A14,$C19:$C5002,$C14)</f>
        <v>0</v>
      </c>
      <c r="AF14" s="142">
        <f>SUMIFS(AF19:AF5002,$A19:$A5002,$A14,$C19:$C5002,$C14)</f>
        <v>0</v>
      </c>
      <c r="AG14" s="142"/>
      <c r="AH14" s="142">
        <f t="shared" si="10"/>
        <v>0</v>
      </c>
      <c r="AI14" s="143" t="str">
        <f t="shared" si="11"/>
        <v/>
      </c>
      <c r="AJ14" s="139"/>
      <c r="AK14" s="139"/>
      <c r="AL14" s="229"/>
      <c r="AM14" s="232"/>
      <c r="AN14" s="137"/>
      <c r="AO14" s="137"/>
    </row>
    <row r="15" spans="1:41" ht="15" customHeight="1" x14ac:dyDescent="0.25">
      <c r="A15" s="134" t="s">
        <v>19</v>
      </c>
      <c r="B15" s="135" t="s">
        <v>182</v>
      </c>
      <c r="C15" s="135" t="str">
        <f t="shared" si="12"/>
        <v>ДЗО 1</v>
      </c>
      <c r="D15" s="136" t="s">
        <v>182</v>
      </c>
      <c r="E15" s="137" t="s">
        <v>188</v>
      </c>
      <c r="F15" s="141">
        <f t="shared" ref="F15:O15" si="21">SUMIFS(F19:F5002,$A19:$A5002,$A15,$C19:$C5002,$C15)</f>
        <v>49.94398307799981</v>
      </c>
      <c r="G15" s="142">
        <f t="shared" si="21"/>
        <v>54.188560670000001</v>
      </c>
      <c r="H15" s="141">
        <f t="shared" si="21"/>
        <v>47.508000000000003</v>
      </c>
      <c r="I15" s="142">
        <f t="shared" si="21"/>
        <v>44.83623862000001</v>
      </c>
      <c r="J15" s="141">
        <f t="shared" si="21"/>
        <v>45.115223999999955</v>
      </c>
      <c r="K15" s="251">
        <f t="shared" si="21"/>
        <v>45.141986219999978</v>
      </c>
      <c r="L15" s="141"/>
      <c r="M15" s="251"/>
      <c r="N15" s="268">
        <f t="shared" si="21"/>
        <v>50.077159799999997</v>
      </c>
      <c r="O15" s="269">
        <f t="shared" si="21"/>
        <v>0</v>
      </c>
      <c r="P15" s="268"/>
      <c r="Q15" s="269"/>
      <c r="R15" s="251"/>
      <c r="S15" s="268">
        <f t="shared" ref="S15" si="22">SUMIFS(S19:S5002,$A19:$A5002,$A15,$C19:$C5002,$C15)</f>
        <v>52.444212999999998</v>
      </c>
      <c r="T15" s="269">
        <f>SUMIFS(T19:T5002,$A19:$A5002,$A15,$C19:$C5002,$C15)</f>
        <v>0</v>
      </c>
      <c r="U15" s="269">
        <f t="shared" ref="U15:V15" si="23">SUMIFS(U19:U5002,$A19:$A5002,$A15,$C19:$C5002,$C15)</f>
        <v>52.444212999999998</v>
      </c>
      <c r="V15" s="269">
        <f t="shared" si="23"/>
        <v>61.031238999999999</v>
      </c>
      <c r="W15" s="251"/>
      <c r="X15" s="141"/>
      <c r="Y15" s="141">
        <f>SUMIFS(Y19:Y5002,$A19:$A5002,$A15,$C19:$C5002,$C15)</f>
        <v>0</v>
      </c>
      <c r="Z15" s="142">
        <f>SUMIFS(Z19:Z5002,$A19:$A5002,$A15,$C19:$C5002,$C15)</f>
        <v>0</v>
      </c>
      <c r="AA15" s="138"/>
      <c r="AB15" s="139"/>
      <c r="AC15" s="139"/>
      <c r="AD15" s="140"/>
      <c r="AE15" s="141">
        <f>SUMIFS(AE19:AE5002,$A19:$A5002,$A15,$C19:$C5002,$C15)</f>
        <v>0</v>
      </c>
      <c r="AF15" s="142">
        <f>SUMIFS(AF19:AF5002,$A19:$A5002,$A15,$C19:$C5002,$C15)</f>
        <v>0</v>
      </c>
      <c r="AG15" s="142"/>
      <c r="AH15" s="142">
        <f t="shared" si="10"/>
        <v>0</v>
      </c>
      <c r="AI15" s="143" t="str">
        <f t="shared" si="11"/>
        <v/>
      </c>
      <c r="AJ15" s="139"/>
      <c r="AK15" s="139"/>
      <c r="AL15" s="229"/>
      <c r="AM15" s="232"/>
      <c r="AN15" s="137"/>
      <c r="AO15" s="137"/>
    </row>
    <row r="16" spans="1:41" ht="30" customHeight="1" x14ac:dyDescent="0.25">
      <c r="A16" s="134" t="s">
        <v>21</v>
      </c>
      <c r="B16" s="135" t="s">
        <v>182</v>
      </c>
      <c r="C16" s="135" t="str">
        <f t="shared" si="12"/>
        <v>ДЗО 1</v>
      </c>
      <c r="D16" s="136" t="s">
        <v>182</v>
      </c>
      <c r="E16" s="137" t="s">
        <v>189</v>
      </c>
      <c r="F16" s="141">
        <f t="shared" ref="F16:O16" si="24">SUMIFS(F19:F5002,$A19:$A5002,$A16,$C19:$C5002,$C16)</f>
        <v>32.248236744480181</v>
      </c>
      <c r="G16" s="142">
        <f t="shared" si="24"/>
        <v>29.385151</v>
      </c>
      <c r="H16" s="141">
        <f t="shared" si="24"/>
        <v>27.271954961610255</v>
      </c>
      <c r="I16" s="142">
        <f t="shared" si="24"/>
        <v>26.286196949999997</v>
      </c>
      <c r="J16" s="141">
        <f t="shared" si="24"/>
        <v>22.243389000000001</v>
      </c>
      <c r="K16" s="251">
        <f t="shared" si="24"/>
        <v>21.928469</v>
      </c>
      <c r="L16" s="141"/>
      <c r="M16" s="251"/>
      <c r="N16" s="268">
        <f t="shared" si="24"/>
        <v>20.473308199999998</v>
      </c>
      <c r="O16" s="269">
        <f t="shared" si="24"/>
        <v>0</v>
      </c>
      <c r="P16" s="268"/>
      <c r="Q16" s="269"/>
      <c r="R16" s="251"/>
      <c r="S16" s="268">
        <f t="shared" ref="S16" si="25">SUMIFS(S19:S5002,$A19:$A5002,$A16,$C19:$C5002,$C16)</f>
        <v>29.385151</v>
      </c>
      <c r="T16" s="269">
        <f>SUMIFS(T19:T5002,$A19:$A5002,$A16,$C19:$C5002,$C16)</f>
        <v>0</v>
      </c>
      <c r="U16" s="269">
        <f t="shared" ref="U16:V16" si="26">SUMIFS(U19:U5002,$A19:$A5002,$A16,$C19:$C5002,$C16)</f>
        <v>29.385151</v>
      </c>
      <c r="V16" s="269">
        <f t="shared" si="26"/>
        <v>28.209744959999998</v>
      </c>
      <c r="W16" s="251"/>
      <c r="X16" s="141"/>
      <c r="Y16" s="141">
        <f>SUMIFS(Y19:Y5002,$A19:$A5002,$A16,$C19:$C5002,$C16)</f>
        <v>0</v>
      </c>
      <c r="Z16" s="142">
        <f>SUMIFS(Z19:Z5002,$A19:$A5002,$A16,$C19:$C5002,$C16)</f>
        <v>0</v>
      </c>
      <c r="AA16" s="138"/>
      <c r="AB16" s="139"/>
      <c r="AC16" s="139"/>
      <c r="AD16" s="140"/>
      <c r="AE16" s="141">
        <f>SUMIFS(AE19:AE5002,$A19:$A5002,$A16,$C19:$C5002,$C16)</f>
        <v>0</v>
      </c>
      <c r="AF16" s="142">
        <f>SUMIFS(AF19:AF5002,$A19:$A5002,$A16,$C19:$C5002,$C16)</f>
        <v>0</v>
      </c>
      <c r="AG16" s="142"/>
      <c r="AH16" s="142">
        <f t="shared" si="10"/>
        <v>0</v>
      </c>
      <c r="AI16" s="143" t="str">
        <f t="shared" si="11"/>
        <v/>
      </c>
      <c r="AJ16" s="139"/>
      <c r="AK16" s="139"/>
      <c r="AL16" s="229"/>
      <c r="AM16" s="232"/>
      <c r="AN16" s="137"/>
      <c r="AO16" s="137"/>
    </row>
    <row r="17" spans="1:41" ht="15" customHeight="1" x14ac:dyDescent="0.25">
      <c r="A17" s="134" t="s">
        <v>23</v>
      </c>
      <c r="B17" s="135" t="s">
        <v>182</v>
      </c>
      <c r="C17" s="135" t="str">
        <f t="shared" si="12"/>
        <v>ДЗО 1</v>
      </c>
      <c r="D17" s="136" t="s">
        <v>182</v>
      </c>
      <c r="E17" s="137" t="s">
        <v>190</v>
      </c>
      <c r="F17" s="141">
        <f t="shared" ref="F17:O17" si="27">SUMIFS(F19:F5002,$A19:$A5002,$A17,$C19:$C5002,$C17)</f>
        <v>91.108262175040011</v>
      </c>
      <c r="G17" s="142">
        <f t="shared" si="27"/>
        <v>96.278102599999997</v>
      </c>
      <c r="H17" s="141">
        <f t="shared" si="27"/>
        <v>88.228657836961006</v>
      </c>
      <c r="I17" s="142">
        <f t="shared" si="27"/>
        <v>86.097039260000003</v>
      </c>
      <c r="J17" s="141">
        <f t="shared" si="27"/>
        <v>75.140307000000007</v>
      </c>
      <c r="K17" s="251">
        <f t="shared" si="27"/>
        <v>78.107122000000004</v>
      </c>
      <c r="L17" s="141"/>
      <c r="M17" s="251"/>
      <c r="N17" s="268">
        <f t="shared" si="27"/>
        <v>73.589717999999991</v>
      </c>
      <c r="O17" s="269">
        <f t="shared" si="27"/>
        <v>0</v>
      </c>
      <c r="P17" s="268"/>
      <c r="Q17" s="269"/>
      <c r="R17" s="251"/>
      <c r="S17" s="268">
        <f t="shared" ref="S17" si="28">SUMIFS(S19:S5002,$A19:$A5002,$A17,$C19:$C5002,$C17)</f>
        <v>96.278102599999997</v>
      </c>
      <c r="T17" s="269">
        <f>SUMIFS(T19:T5002,$A19:$A5002,$A17,$C19:$C5002,$C17)</f>
        <v>0</v>
      </c>
      <c r="U17" s="269">
        <f t="shared" ref="U17:V17" si="29">SUMIFS(U19:U5002,$A19:$A5002,$A17,$C19:$C5002,$C17)</f>
        <v>96.278102599999997</v>
      </c>
      <c r="V17" s="269">
        <f t="shared" si="29"/>
        <v>97.240883625999999</v>
      </c>
      <c r="W17" s="251"/>
      <c r="X17" s="141"/>
      <c r="Y17" s="141">
        <f>SUMIFS(Y19:Y5002,$A19:$A5002,$A17,$C19:$C5002,$C17)</f>
        <v>0</v>
      </c>
      <c r="Z17" s="142">
        <f>SUMIFS(Z19:Z5002,$A19:$A5002,$A17,$C19:$C5002,$C17)</f>
        <v>0</v>
      </c>
      <c r="AA17" s="138"/>
      <c r="AB17" s="139"/>
      <c r="AC17" s="139"/>
      <c r="AD17" s="140"/>
      <c r="AE17" s="141">
        <f>SUMIFS(AE19:AE5002,$A19:$A5002,$A17,$C19:$C5002,$C17)</f>
        <v>0</v>
      </c>
      <c r="AF17" s="142">
        <f>SUMIFS(AF19:AF5002,$A19:$A5002,$A17,$C19:$C5002,$C17)</f>
        <v>0</v>
      </c>
      <c r="AG17" s="142"/>
      <c r="AH17" s="142">
        <f t="shared" si="10"/>
        <v>0</v>
      </c>
      <c r="AI17" s="143" t="str">
        <f t="shared" si="11"/>
        <v/>
      </c>
      <c r="AJ17" s="139"/>
      <c r="AK17" s="139"/>
      <c r="AL17" s="229"/>
      <c r="AM17" s="232"/>
      <c r="AN17" s="137"/>
      <c r="AO17" s="137"/>
    </row>
    <row r="18" spans="1:41" ht="15" customHeight="1" x14ac:dyDescent="0.25">
      <c r="A18" s="146" t="s">
        <v>25</v>
      </c>
      <c r="B18" s="147" t="s">
        <v>182</v>
      </c>
      <c r="C18" s="147" t="str">
        <f t="shared" si="12"/>
        <v>ДЗО 1</v>
      </c>
      <c r="D18" s="148" t="s">
        <v>182</v>
      </c>
      <c r="E18" s="149" t="s">
        <v>191</v>
      </c>
      <c r="F18" s="153">
        <f t="shared" ref="F18:O18" si="30">SUMIFS(F19:F5002,$A19:$A5002,$A18,$C19:$C5002,$C18)</f>
        <v>56.9857394</v>
      </c>
      <c r="G18" s="154">
        <f t="shared" si="30"/>
        <v>61.847472078678891</v>
      </c>
      <c r="H18" s="153">
        <f t="shared" si="30"/>
        <v>50.294459999999987</v>
      </c>
      <c r="I18" s="154">
        <f t="shared" si="30"/>
        <v>53.635398330000001</v>
      </c>
      <c r="J18" s="153">
        <f t="shared" si="30"/>
        <v>44.913094000000001</v>
      </c>
      <c r="K18" s="252">
        <f t="shared" si="30"/>
        <v>49.82276447036331</v>
      </c>
      <c r="L18" s="153"/>
      <c r="M18" s="252"/>
      <c r="N18" s="270">
        <f t="shared" si="30"/>
        <v>40.036118499210431</v>
      </c>
      <c r="O18" s="271">
        <f t="shared" si="30"/>
        <v>0</v>
      </c>
      <c r="P18" s="270"/>
      <c r="Q18" s="271"/>
      <c r="R18" s="252"/>
      <c r="S18" s="270">
        <f>SUMIFS(S19:S5002,$A19:$A5002,$A18,$C19:$C5002,$C18)</f>
        <v>61.847472078678919</v>
      </c>
      <c r="T18" s="271">
        <f>SUMIFS(T19:T5002,$A19:$A5002,$A18,$C19:$C5002,$C18)</f>
        <v>0</v>
      </c>
      <c r="U18" s="271">
        <f t="shared" ref="U18:V18" si="31">SUMIFS(U19:U5002,$A19:$A5002,$A18,$C19:$C5002,$C18)</f>
        <v>61.847472078678919</v>
      </c>
      <c r="V18" s="271">
        <f t="shared" si="31"/>
        <v>63.966896614414686</v>
      </c>
      <c r="W18" s="252"/>
      <c r="X18" s="153"/>
      <c r="Y18" s="153">
        <f>SUMIFS(Y19:Y5002,$A19:$A5002,$A18,$C19:$C5002,$C18)</f>
        <v>0</v>
      </c>
      <c r="Z18" s="154">
        <f>SUMIFS(Z19:Z5002,$A19:$A5002,$A18,$C19:$C5002,$C18)</f>
        <v>0</v>
      </c>
      <c r="AA18" s="150"/>
      <c r="AB18" s="151"/>
      <c r="AC18" s="151"/>
      <c r="AD18" s="152"/>
      <c r="AE18" s="153">
        <f>SUMIFS(AE19:AE5002,$A19:$A5002,$A18,$C19:$C5002,$C18)</f>
        <v>0</v>
      </c>
      <c r="AF18" s="154">
        <f>SUMIFS(AF19:AF5002,$A19:$A5002,$A18,$C19:$C5002,$C18)</f>
        <v>0</v>
      </c>
      <c r="AG18" s="154"/>
      <c r="AH18" s="154">
        <f t="shared" si="10"/>
        <v>0</v>
      </c>
      <c r="AI18" s="155" t="str">
        <f t="shared" si="11"/>
        <v/>
      </c>
      <c r="AJ18" s="151"/>
      <c r="AK18" s="151"/>
      <c r="AL18" s="235"/>
      <c r="AM18" s="236"/>
      <c r="AN18" s="149"/>
      <c r="AO18" s="149"/>
    </row>
    <row r="19" spans="1:41" ht="15.75" x14ac:dyDescent="0.25">
      <c r="A19" s="158" t="s">
        <v>181</v>
      </c>
      <c r="B19" s="159" t="s">
        <v>206</v>
      </c>
      <c r="C19" s="160" t="s">
        <v>192</v>
      </c>
      <c r="D19" s="161" t="s">
        <v>207</v>
      </c>
      <c r="E19" s="162" t="s">
        <v>183</v>
      </c>
      <c r="F19" s="165">
        <f t="shared" ref="F19:O19" si="32">SUM(F20,F28,F34,F40,F46,F52,F58,F59)</f>
        <v>408.25236257504002</v>
      </c>
      <c r="G19" s="163">
        <f t="shared" si="32"/>
        <v>414.97966327000006</v>
      </c>
      <c r="H19" s="165">
        <f t="shared" si="32"/>
        <v>370.08323666529384</v>
      </c>
      <c r="I19" s="163">
        <f t="shared" si="32"/>
        <v>373.78081183</v>
      </c>
      <c r="J19" s="165">
        <f t="shared" si="32"/>
        <v>348.31341699999996</v>
      </c>
      <c r="K19" s="253">
        <f>SUM(K20,K28,K34,K40,K46,K52,K58,K59)</f>
        <v>357.67192821999998</v>
      </c>
      <c r="L19" s="165">
        <f>F19+H19+J19</f>
        <v>1126.6490162403338</v>
      </c>
      <c r="M19" s="253">
        <f>G19+I19+K19</f>
        <v>1146.43240332</v>
      </c>
      <c r="N19" s="272">
        <f t="shared" si="32"/>
        <v>330.09725800000001</v>
      </c>
      <c r="O19" s="273">
        <f t="shared" si="32"/>
        <v>0</v>
      </c>
      <c r="P19" s="272"/>
      <c r="Q19" s="273"/>
      <c r="R19" s="272">
        <f t="shared" ref="R19" si="33">SUM(R20,R28,R34,R40,R46,R52,R58,R59)</f>
        <v>-13.534375692998072</v>
      </c>
      <c r="S19" s="272">
        <f>SUM(S20,S28,S34,S40,S46,S52,S58,S59)</f>
        <v>414.97964960000002</v>
      </c>
      <c r="T19" s="273">
        <f>SUM(T20,T28,T34,T40,T46,T52,T58,T59)</f>
        <v>0</v>
      </c>
      <c r="U19" s="273">
        <f t="shared" ref="U19:V19" si="34">SUM(U20,U28,U34,U40,U46,U52,U58,U59)</f>
        <v>414.97964960000002</v>
      </c>
      <c r="V19" s="273">
        <f t="shared" si="34"/>
        <v>425.57423530549289</v>
      </c>
      <c r="W19" s="272">
        <f t="shared" ref="W19" si="35">SUM(W20,W28,W34,W40,W46,W52,W58,W59)</f>
        <v>10.594585705492864</v>
      </c>
      <c r="X19" s="165"/>
      <c r="Y19" s="165">
        <f>SUM(Y20,Y28,Y34,Y40,Y46,Y52,Y58,Y59)</f>
        <v>0</v>
      </c>
      <c r="Z19" s="163">
        <f>SUM(Z20,Z28,Z34,Z40,Z46,Z52,Z58,Z59)</f>
        <v>0</v>
      </c>
      <c r="AA19" s="209"/>
      <c r="AB19" s="210"/>
      <c r="AC19" s="163">
        <f>AB19-AA19</f>
        <v>0</v>
      </c>
      <c r="AD19" s="164" t="str">
        <f>IFERROR(AB19/AA19-1,"")</f>
        <v/>
      </c>
      <c r="AE19" s="165">
        <f>SUM(AE20,AE28,AE34,AE40,AE46,AE52,AE58,AE59)</f>
        <v>0</v>
      </c>
      <c r="AF19" s="163">
        <f>SUM(AF20,AF28,AF34,AF40,AF46,AF52,AF58,AF59)</f>
        <v>0</v>
      </c>
      <c r="AG19" s="163"/>
      <c r="AH19" s="163">
        <f t="shared" si="10"/>
        <v>0</v>
      </c>
      <c r="AI19" s="164" t="str">
        <f t="shared" si="11"/>
        <v/>
      </c>
      <c r="AJ19" s="210"/>
      <c r="AK19" s="210"/>
      <c r="AL19" s="166">
        <f t="shared" si="6"/>
        <v>0</v>
      </c>
      <c r="AM19" s="167" t="str">
        <f t="shared" si="7"/>
        <v/>
      </c>
      <c r="AN19" s="162"/>
      <c r="AO19" s="162"/>
    </row>
    <row r="20" spans="1:41" x14ac:dyDescent="0.25">
      <c r="A20" s="168" t="s">
        <v>10</v>
      </c>
      <c r="B20" s="169" t="str">
        <f>B19</f>
        <v>субъект РФ 1</v>
      </c>
      <c r="C20" s="169" t="str">
        <f t="shared" ref="C20" si="36">C19</f>
        <v>ДЗО 1</v>
      </c>
      <c r="D20" s="170" t="str">
        <f>D19</f>
        <v>филиал 1</v>
      </c>
      <c r="E20" s="171" t="s">
        <v>193</v>
      </c>
      <c r="F20" s="172">
        <f>36.98675650752+SUM(F79:F83)</f>
        <v>53.643263507520004</v>
      </c>
      <c r="G20" s="173">
        <f>33.610809+SUM(G79:G83)</f>
        <v>49.525507000000005</v>
      </c>
      <c r="H20" s="172">
        <f>33.2180226041419+SUM(H79:H83)</f>
        <v>49.613982604141903</v>
      </c>
      <c r="I20" s="173">
        <f>34.760165+SUM(I79:I83)</f>
        <v>50.264544999999998</v>
      </c>
      <c r="J20" s="172">
        <f>34.723426+0.535444+0.083378+SUM(J80:J82)+6.471713</f>
        <v>44.994041000000003</v>
      </c>
      <c r="K20" s="175">
        <f>37.217111+SUM(K80:K82)+5.739298</f>
        <v>47.369590000000002</v>
      </c>
      <c r="L20" s="172">
        <f t="shared" ref="L20:L64" si="37">F20+H20+J20</f>
        <v>148.25128711166192</v>
      </c>
      <c r="M20" s="175">
        <f t="shared" ref="M20:M64" si="38">G20+I20+K20</f>
        <v>147.15964200000002</v>
      </c>
      <c r="N20" s="274">
        <f>34.379369+0.649+SUM(N80:N82)</f>
        <v>38.362578999999997</v>
      </c>
      <c r="O20" s="283"/>
      <c r="P20" s="274">
        <f>N20/30*29</f>
        <v>37.083826366666663</v>
      </c>
      <c r="Q20" s="275">
        <f>P20-1.546</f>
        <v>35.537826366666664</v>
      </c>
      <c r="R20" s="254">
        <f>SUM(R21:R27)</f>
        <v>-1.7794915114095944</v>
      </c>
      <c r="S20" s="451">
        <f>35.355143+S79+S80+S81+S82+S83</f>
        <v>51.269841</v>
      </c>
      <c r="T20" s="283"/>
      <c r="U20" s="377">
        <f>S20/31*31</f>
        <v>51.269841</v>
      </c>
      <c r="V20" s="376">
        <f>SUM(V21:V27)</f>
        <v>51.76265208425707</v>
      </c>
      <c r="W20" s="254">
        <f>SUM(W21:W27)</f>
        <v>0.49281108425707432</v>
      </c>
      <c r="X20" s="172"/>
      <c r="Y20" s="172"/>
      <c r="Z20" s="173"/>
      <c r="AA20" s="138"/>
      <c r="AB20" s="139"/>
      <c r="AC20" s="139"/>
      <c r="AD20" s="140"/>
      <c r="AE20" s="172">
        <f>SUM(AE21:AE27)</f>
        <v>0</v>
      </c>
      <c r="AF20" s="173">
        <f>SUM(AF21:AF27)</f>
        <v>0</v>
      </c>
      <c r="AG20" s="173"/>
      <c r="AH20" s="173">
        <f t="shared" si="10"/>
        <v>0</v>
      </c>
      <c r="AI20" s="174" t="str">
        <f t="shared" si="11"/>
        <v/>
      </c>
      <c r="AJ20" s="139"/>
      <c r="AK20" s="139"/>
      <c r="AL20" s="229"/>
      <c r="AM20" s="232"/>
      <c r="AN20" s="171"/>
      <c r="AO20" s="171"/>
    </row>
    <row r="21" spans="1:41" ht="39" x14ac:dyDescent="0.25">
      <c r="A21" s="177"/>
      <c r="B21" s="178" t="str">
        <f t="shared" ref="B21:D38" si="39">B20</f>
        <v>субъект РФ 1</v>
      </c>
      <c r="C21" s="178" t="str">
        <f t="shared" si="39"/>
        <v>ДЗО 1</v>
      </c>
      <c r="D21" s="179" t="str">
        <f t="shared" si="39"/>
        <v>филиал 1</v>
      </c>
      <c r="E21" s="180" t="s">
        <v>253</v>
      </c>
      <c r="F21" s="184"/>
      <c r="G21" s="185"/>
      <c r="H21" s="184">
        <v>0.44963999999999998</v>
      </c>
      <c r="I21" s="185">
        <v>0.48387400000000003</v>
      </c>
      <c r="J21" s="184">
        <v>0.457623</v>
      </c>
      <c r="K21" s="187">
        <v>0.46498600000000001</v>
      </c>
      <c r="L21" s="184">
        <f t="shared" si="37"/>
        <v>0.90726299999999993</v>
      </c>
      <c r="M21" s="187">
        <f t="shared" si="38"/>
        <v>0.94886000000000004</v>
      </c>
      <c r="N21" s="276">
        <f>[1]Лист1!$I$14/1000000</f>
        <v>0.410742</v>
      </c>
      <c r="O21" s="284"/>
      <c r="P21" s="276">
        <f>потребители!J101/1000000</f>
        <v>0.53085099999999996</v>
      </c>
      <c r="Q21" s="277">
        <f>SUM(потребители!K101)/1000000</f>
        <v>0.52702804000000003</v>
      </c>
      <c r="R21" s="317">
        <f>Q21-P21</f>
        <v>-3.8229599999999309E-3</v>
      </c>
      <c r="S21" s="276"/>
      <c r="T21" s="284"/>
      <c r="U21" s="276">
        <f>потребители!J101/1000000</f>
        <v>0.53085099999999996</v>
      </c>
      <c r="V21" s="277">
        <f>SUM(потребители!K101)/1000000</f>
        <v>0.52702804000000003</v>
      </c>
      <c r="W21" s="317">
        <f>V21-U21</f>
        <v>-3.8229599999999309E-3</v>
      </c>
      <c r="X21" s="184"/>
      <c r="Y21" s="184"/>
      <c r="Z21" s="185"/>
      <c r="AA21" s="181"/>
      <c r="AB21" s="182"/>
      <c r="AC21" s="182"/>
      <c r="AD21" s="183"/>
      <c r="AE21" s="184"/>
      <c r="AF21" s="185"/>
      <c r="AG21" s="185"/>
      <c r="AH21" s="185">
        <f t="shared" si="10"/>
        <v>0</v>
      </c>
      <c r="AI21" s="186" t="str">
        <f t="shared" si="11"/>
        <v/>
      </c>
      <c r="AJ21" s="182"/>
      <c r="AK21" s="182"/>
      <c r="AL21" s="230"/>
      <c r="AM21" s="233"/>
      <c r="AN21" s="180"/>
      <c r="AO21" s="180"/>
    </row>
    <row r="22" spans="1:41" ht="39" x14ac:dyDescent="0.25">
      <c r="A22" s="177"/>
      <c r="B22" s="178" t="str">
        <f t="shared" si="39"/>
        <v>субъект РФ 1</v>
      </c>
      <c r="C22" s="178" t="str">
        <f t="shared" si="39"/>
        <v>ДЗО 1</v>
      </c>
      <c r="D22" s="179" t="str">
        <f t="shared" si="39"/>
        <v>филиал 1</v>
      </c>
      <c r="E22" s="180" t="s">
        <v>254</v>
      </c>
      <c r="F22" s="184"/>
      <c r="G22" s="185"/>
      <c r="H22" s="184">
        <v>3.5032260000000002</v>
      </c>
      <c r="I22" s="185">
        <v>3.6012740000000001</v>
      </c>
      <c r="J22" s="184">
        <v>2.8739810000000001</v>
      </c>
      <c r="K22" s="187">
        <v>3.0210239999999997</v>
      </c>
      <c r="L22" s="184">
        <f t="shared" si="37"/>
        <v>6.3772070000000003</v>
      </c>
      <c r="M22" s="187">
        <f t="shared" si="38"/>
        <v>6.6222979999999998</v>
      </c>
      <c r="N22" s="276">
        <v>2.5172509999999999</v>
      </c>
      <c r="O22" s="284"/>
      <c r="P22" s="276">
        <f>потребители!J102/1000000</f>
        <v>3.7636500000000002</v>
      </c>
      <c r="Q22" s="277">
        <f>SUM(потребители!K102)/1000000</f>
        <v>5.2561960000000001</v>
      </c>
      <c r="R22" s="317">
        <f t="shared" ref="R22:R26" si="40">Q22-P22</f>
        <v>1.4925459999999999</v>
      </c>
      <c r="S22" s="276"/>
      <c r="T22" s="284"/>
      <c r="U22" s="276">
        <f>потребители!J102/1000000</f>
        <v>3.7636500000000002</v>
      </c>
      <c r="V22" s="277">
        <f>SUM(потребители!K102)/1000000</f>
        <v>5.2561960000000001</v>
      </c>
      <c r="W22" s="317">
        <f t="shared" ref="W22:W26" si="41">V22-U22</f>
        <v>1.4925459999999999</v>
      </c>
      <c r="X22" s="184"/>
      <c r="Y22" s="184"/>
      <c r="Z22" s="185"/>
      <c r="AA22" s="181"/>
      <c r="AB22" s="182"/>
      <c r="AC22" s="182"/>
      <c r="AD22" s="183"/>
      <c r="AE22" s="184"/>
      <c r="AF22" s="185"/>
      <c r="AG22" s="185"/>
      <c r="AH22" s="185">
        <f t="shared" si="10"/>
        <v>0</v>
      </c>
      <c r="AI22" s="186" t="str">
        <f t="shared" si="11"/>
        <v/>
      </c>
      <c r="AJ22" s="182"/>
      <c r="AK22" s="182"/>
      <c r="AL22" s="230"/>
      <c r="AM22" s="233"/>
      <c r="AN22" s="180"/>
      <c r="AO22" s="180"/>
    </row>
    <row r="23" spans="1:41" ht="26.25" x14ac:dyDescent="0.25">
      <c r="A23" s="177"/>
      <c r="B23" s="178" t="str">
        <f t="shared" si="39"/>
        <v>субъект РФ 1</v>
      </c>
      <c r="C23" s="178" t="str">
        <f t="shared" si="39"/>
        <v>ДЗО 1</v>
      </c>
      <c r="D23" s="179" t="str">
        <f t="shared" si="39"/>
        <v>филиал 1</v>
      </c>
      <c r="E23" s="180" t="s">
        <v>255</v>
      </c>
      <c r="F23" s="184"/>
      <c r="G23" s="185"/>
      <c r="H23" s="184">
        <v>6.562825000000001</v>
      </c>
      <c r="I23" s="185">
        <v>6.1533739999999995</v>
      </c>
      <c r="J23" s="184">
        <v>6.4717070000000003</v>
      </c>
      <c r="K23" s="187">
        <v>5.7564770000000003</v>
      </c>
      <c r="L23" s="184">
        <f t="shared" si="37"/>
        <v>13.034532000000002</v>
      </c>
      <c r="M23" s="187">
        <f t="shared" si="38"/>
        <v>11.909851</v>
      </c>
      <c r="N23" s="276">
        <f>N83</f>
        <v>6.1847630000000002</v>
      </c>
      <c r="O23" s="284"/>
      <c r="P23" s="276">
        <f>потребители!J103/1000000</f>
        <v>6.795051</v>
      </c>
      <c r="Q23" s="277">
        <f>SUM(потребители!K103)/1000000</f>
        <v>5.7352970000000001</v>
      </c>
      <c r="R23" s="317">
        <f t="shared" si="40"/>
        <v>-1.0597539999999999</v>
      </c>
      <c r="S23" s="276"/>
      <c r="T23" s="284"/>
      <c r="U23" s="276">
        <f>потребители!J103/1000000</f>
        <v>6.795051</v>
      </c>
      <c r="V23" s="277">
        <f>SUM(потребители!K103)/1000000</f>
        <v>5.7352970000000001</v>
      </c>
      <c r="W23" s="317">
        <f t="shared" si="41"/>
        <v>-1.0597539999999999</v>
      </c>
      <c r="X23" s="184"/>
      <c r="Y23" s="184"/>
      <c r="Z23" s="185"/>
      <c r="AA23" s="181"/>
      <c r="AB23" s="182"/>
      <c r="AC23" s="182"/>
      <c r="AD23" s="183"/>
      <c r="AE23" s="184"/>
      <c r="AF23" s="185"/>
      <c r="AG23" s="185"/>
      <c r="AH23" s="185">
        <f t="shared" si="10"/>
        <v>0</v>
      </c>
      <c r="AI23" s="186" t="str">
        <f t="shared" si="11"/>
        <v/>
      </c>
      <c r="AJ23" s="182"/>
      <c r="AK23" s="182"/>
      <c r="AL23" s="230"/>
      <c r="AM23" s="233"/>
      <c r="AN23" s="180"/>
      <c r="AO23" s="180"/>
    </row>
    <row r="24" spans="1:41" ht="26.25" x14ac:dyDescent="0.25">
      <c r="A24" s="177"/>
      <c r="B24" s="178" t="str">
        <f t="shared" ref="B24:D24" si="42">B23</f>
        <v>субъект РФ 1</v>
      </c>
      <c r="C24" s="178" t="str">
        <f t="shared" si="42"/>
        <v>ДЗО 1</v>
      </c>
      <c r="D24" s="179" t="str">
        <f t="shared" si="42"/>
        <v>филиал 1</v>
      </c>
      <c r="E24" s="180" t="s">
        <v>256</v>
      </c>
      <c r="F24" s="184"/>
      <c r="G24" s="185"/>
      <c r="H24" s="184">
        <v>2.7009150000000002</v>
      </c>
      <c r="I24" s="185">
        <v>3.9195819999999997</v>
      </c>
      <c r="J24" s="184">
        <v>3.3318919999999999</v>
      </c>
      <c r="K24" s="187">
        <v>4.7606460000000004</v>
      </c>
      <c r="L24" s="184">
        <f t="shared" si="37"/>
        <v>6.032807</v>
      </c>
      <c r="M24" s="187">
        <f t="shared" si="38"/>
        <v>8.6802279999999996</v>
      </c>
      <c r="N24" s="276">
        <f>[1]Лист1!$I$7/1000000</f>
        <v>5.0729980000000001</v>
      </c>
      <c r="O24" s="284"/>
      <c r="P24" s="276">
        <f>потребители!J104/1000000</f>
        <v>3.0736349999999999</v>
      </c>
      <c r="Q24" s="277">
        <f>SUM(потребители!K104)/1000000</f>
        <v>2.7329979999999998</v>
      </c>
      <c r="R24" s="317">
        <f t="shared" si="40"/>
        <v>-0.34063700000000008</v>
      </c>
      <c r="S24" s="276"/>
      <c r="T24" s="284"/>
      <c r="U24" s="276">
        <f>потребители!J104/1000000</f>
        <v>3.0736349999999999</v>
      </c>
      <c r="V24" s="277">
        <f>SUM(потребители!K104)/1000000</f>
        <v>2.7329979999999998</v>
      </c>
      <c r="W24" s="317">
        <f t="shared" si="41"/>
        <v>-0.34063700000000008</v>
      </c>
      <c r="X24" s="184"/>
      <c r="Y24" s="184"/>
      <c r="Z24" s="185"/>
      <c r="AA24" s="181"/>
      <c r="AB24" s="182"/>
      <c r="AC24" s="182"/>
      <c r="AD24" s="183"/>
      <c r="AE24" s="184"/>
      <c r="AF24" s="185"/>
      <c r="AG24" s="185"/>
      <c r="AH24" s="185"/>
      <c r="AI24" s="186"/>
      <c r="AJ24" s="182"/>
      <c r="AK24" s="182"/>
      <c r="AL24" s="230"/>
      <c r="AM24" s="233"/>
      <c r="AN24" s="180"/>
      <c r="AO24" s="180"/>
    </row>
    <row r="25" spans="1:41" ht="26.25" x14ac:dyDescent="0.25">
      <c r="A25" s="177"/>
      <c r="B25" s="178" t="str">
        <f t="shared" ref="B25:D25" si="43">B24</f>
        <v>субъект РФ 1</v>
      </c>
      <c r="C25" s="178" t="str">
        <f t="shared" si="43"/>
        <v>ДЗО 1</v>
      </c>
      <c r="D25" s="179" t="str">
        <f t="shared" si="43"/>
        <v>филиал 1</v>
      </c>
      <c r="E25" s="180" t="s">
        <v>257</v>
      </c>
      <c r="F25" s="184"/>
      <c r="G25" s="185"/>
      <c r="H25" s="184">
        <v>4.4970799999999995</v>
      </c>
      <c r="I25" s="185">
        <v>5.1714359999999999</v>
      </c>
      <c r="J25" s="184">
        <v>4.7190719999999997</v>
      </c>
      <c r="K25" s="187">
        <v>5.2074999999999996</v>
      </c>
      <c r="L25" s="184">
        <f t="shared" si="37"/>
        <v>9.2161519999999992</v>
      </c>
      <c r="M25" s="187">
        <f t="shared" si="38"/>
        <v>10.378935999999999</v>
      </c>
      <c r="N25" s="276">
        <f>([1]Лист1!$I$37+[1]Лист1!$I$38)/1000000</f>
        <v>4.57820000000003</v>
      </c>
      <c r="O25" s="284"/>
      <c r="P25" s="276">
        <f>потребители!J105/1000000</f>
        <v>5.1197990000000004</v>
      </c>
      <c r="Q25" s="277">
        <f>SUM(потребители!K105)/1000000</f>
        <v>2.534748</v>
      </c>
      <c r="R25" s="317">
        <f t="shared" si="40"/>
        <v>-2.5850510000000004</v>
      </c>
      <c r="S25" s="276"/>
      <c r="T25" s="284"/>
      <c r="U25" s="276">
        <f>потребители!J105/1000000</f>
        <v>5.1197990000000004</v>
      </c>
      <c r="V25" s="277">
        <f>SUM(потребители!K105)/1000000</f>
        <v>2.534748</v>
      </c>
      <c r="W25" s="317">
        <f t="shared" si="41"/>
        <v>-2.5850510000000004</v>
      </c>
      <c r="X25" s="184"/>
      <c r="Y25" s="184"/>
      <c r="Z25" s="185"/>
      <c r="AA25" s="181"/>
      <c r="AB25" s="182"/>
      <c r="AC25" s="182"/>
      <c r="AD25" s="183"/>
      <c r="AE25" s="184"/>
      <c r="AF25" s="185"/>
      <c r="AG25" s="185"/>
      <c r="AH25" s="185"/>
      <c r="AI25" s="186"/>
      <c r="AJ25" s="182"/>
      <c r="AK25" s="182"/>
      <c r="AL25" s="230"/>
      <c r="AM25" s="233"/>
      <c r="AN25" s="180"/>
      <c r="AO25" s="180"/>
    </row>
    <row r="26" spans="1:41" x14ac:dyDescent="0.25">
      <c r="A26" s="177"/>
      <c r="B26" s="178" t="str">
        <f>B23</f>
        <v>субъект РФ 1</v>
      </c>
      <c r="C26" s="178" t="str">
        <f>C23</f>
        <v>ДЗО 1</v>
      </c>
      <c r="D26" s="179" t="str">
        <f>D23</f>
        <v>филиал 1</v>
      </c>
      <c r="E26" s="180" t="s">
        <v>229</v>
      </c>
      <c r="F26" s="189"/>
      <c r="G26" s="190"/>
      <c r="H26" s="189">
        <v>1.1322122799999992</v>
      </c>
      <c r="I26" s="190">
        <v>1.8479524200000004</v>
      </c>
      <c r="J26" s="189">
        <v>1.7793937000000002</v>
      </c>
      <c r="K26" s="264">
        <v>1.8863908699999998</v>
      </c>
      <c r="L26" s="189">
        <f t="shared" si="37"/>
        <v>2.9116059799999991</v>
      </c>
      <c r="M26" s="264">
        <f t="shared" si="38"/>
        <v>3.73434329</v>
      </c>
      <c r="N26" s="278">
        <f>SUM(потребители!I97)/1000000</f>
        <v>12.779069</v>
      </c>
      <c r="O26" s="285"/>
      <c r="P26" s="278">
        <f>потребители!$J$97/1000000</f>
        <v>12.779069</v>
      </c>
      <c r="Q26" s="279">
        <f>потребители!$K$97/1000000</f>
        <v>13.847820444257072</v>
      </c>
      <c r="R26" s="317">
        <f t="shared" si="40"/>
        <v>1.0687514442570727</v>
      </c>
      <c r="S26" s="278"/>
      <c r="T26" s="285"/>
      <c r="U26" s="278">
        <f>потребители!$J$97/1000000</f>
        <v>12.779069</v>
      </c>
      <c r="V26" s="279">
        <f>потребители!$K$97/1000000</f>
        <v>13.847820444257072</v>
      </c>
      <c r="W26" s="317">
        <f t="shared" si="41"/>
        <v>1.0687514442570727</v>
      </c>
      <c r="X26" s="189"/>
      <c r="Y26" s="189"/>
      <c r="Z26" s="190"/>
      <c r="AA26" s="181"/>
      <c r="AB26" s="182"/>
      <c r="AC26" s="182"/>
      <c r="AD26" s="183"/>
      <c r="AE26" s="189"/>
      <c r="AF26" s="190"/>
      <c r="AG26" s="190"/>
      <c r="AH26" s="185">
        <f t="shared" si="10"/>
        <v>0</v>
      </c>
      <c r="AI26" s="186" t="str">
        <f t="shared" si="11"/>
        <v/>
      </c>
      <c r="AJ26" s="182"/>
      <c r="AK26" s="182"/>
      <c r="AL26" s="230"/>
      <c r="AM26" s="233"/>
      <c r="AN26" s="180"/>
      <c r="AO26" s="180"/>
    </row>
    <row r="27" spans="1:41" ht="26.25" x14ac:dyDescent="0.25">
      <c r="A27" s="177"/>
      <c r="B27" s="178" t="str">
        <f t="shared" si="39"/>
        <v>субъект РФ 1</v>
      </c>
      <c r="C27" s="178" t="str">
        <f t="shared" si="39"/>
        <v>ДЗО 1</v>
      </c>
      <c r="D27" s="179" t="str">
        <f t="shared" si="39"/>
        <v>филиал 1</v>
      </c>
      <c r="E27" s="180" t="s">
        <v>230</v>
      </c>
      <c r="F27" s="189"/>
      <c r="G27" s="190"/>
      <c r="H27" s="189">
        <f>H20-H21-H22-H23-H24-H25-H26</f>
        <v>30.768084324141896</v>
      </c>
      <c r="I27" s="189">
        <f t="shared" ref="I27" si="44">I20-I21-I22-I23-I24-I25-I26</f>
        <v>29.087052579999998</v>
      </c>
      <c r="J27" s="189">
        <v>27.139765999999998</v>
      </c>
      <c r="K27" s="256">
        <v>28.358474000000005</v>
      </c>
      <c r="L27" s="189">
        <f t="shared" si="37"/>
        <v>57.90785032414189</v>
      </c>
      <c r="M27" s="256">
        <f t="shared" si="38"/>
        <v>57.445526580000006</v>
      </c>
      <c r="N27" s="278">
        <f>N20-N21-N22-N23-N24-N25-N26</f>
        <v>6.8195559999999631</v>
      </c>
      <c r="O27" s="285"/>
      <c r="P27" s="318">
        <f>P20-P21-P22-P23-P24-P25-P26</f>
        <v>5.0217713666666661</v>
      </c>
      <c r="Q27" s="319">
        <f>P27*0.93</f>
        <v>4.6702473709999994</v>
      </c>
      <c r="R27" s="317">
        <f>Q27-P27</f>
        <v>-0.3515239956666667</v>
      </c>
      <c r="S27" s="278"/>
      <c r="T27" s="285"/>
      <c r="U27" s="318">
        <f>U20-U21-U22-U23-U24-U25-U26</f>
        <v>19.207785999999999</v>
      </c>
      <c r="V27" s="391">
        <f>U27*1.1</f>
        <v>21.128564600000001</v>
      </c>
      <c r="W27" s="317">
        <f>V27-U27</f>
        <v>1.920778600000002</v>
      </c>
      <c r="X27" s="189"/>
      <c r="Y27" s="189"/>
      <c r="Z27" s="190"/>
      <c r="AA27" s="181"/>
      <c r="AB27" s="182"/>
      <c r="AC27" s="182"/>
      <c r="AD27" s="183"/>
      <c r="AE27" s="189"/>
      <c r="AF27" s="190"/>
      <c r="AG27" s="190"/>
      <c r="AH27" s="185">
        <f t="shared" si="10"/>
        <v>0</v>
      </c>
      <c r="AI27" s="186" t="str">
        <f t="shared" si="11"/>
        <v/>
      </c>
      <c r="AJ27" s="182"/>
      <c r="AK27" s="182"/>
      <c r="AL27" s="230"/>
      <c r="AM27" s="233"/>
      <c r="AN27" s="180"/>
      <c r="AO27" s="180"/>
    </row>
    <row r="28" spans="1:41" x14ac:dyDescent="0.25">
      <c r="A28" s="168" t="s">
        <v>13</v>
      </c>
      <c r="B28" s="169" t="str">
        <f t="shared" si="39"/>
        <v>субъект РФ 1</v>
      </c>
      <c r="C28" s="169" t="str">
        <f t="shared" si="39"/>
        <v>ДЗО 1</v>
      </c>
      <c r="D28" s="170" t="str">
        <f t="shared" si="39"/>
        <v>филиал 1</v>
      </c>
      <c r="E28" s="171" t="s">
        <v>201</v>
      </c>
      <c r="F28" s="172">
        <f>F29+F33</f>
        <v>122.11056367</v>
      </c>
      <c r="G28" s="172">
        <f>G29+G33</f>
        <v>121.94543492132111</v>
      </c>
      <c r="H28" s="172">
        <f>1.00104926258064+SUM(H84:H86)</f>
        <v>105.76762926258064</v>
      </c>
      <c r="I28" s="173">
        <f>0.987458+SUM(I84:I86)</f>
        <v>111.07569167</v>
      </c>
      <c r="J28" s="172">
        <f>0.823305+SUM(J84:J86)</f>
        <v>114.60532500000001</v>
      </c>
      <c r="K28" s="175">
        <f>0.876024+SUM(K84:K86)</f>
        <v>113.87393852963669</v>
      </c>
      <c r="L28" s="172">
        <f t="shared" si="37"/>
        <v>342.48351793258064</v>
      </c>
      <c r="M28" s="175">
        <f t="shared" si="38"/>
        <v>346.89506512095778</v>
      </c>
      <c r="N28" s="274">
        <f>0.726038+SUM(N84:N86)</f>
        <v>106.3338605007896</v>
      </c>
      <c r="O28" s="283"/>
      <c r="P28" s="274">
        <f>N28/30*29</f>
        <v>102.78939848409662</v>
      </c>
      <c r="Q28" s="275">
        <f>Q29+Q33</f>
        <v>102.31065755409665</v>
      </c>
      <c r="R28" s="254">
        <f>SUM(R29:R33)</f>
        <v>-0.47874092999997231</v>
      </c>
      <c r="S28" s="274">
        <f>S29+S33</f>
        <v>121.94543492132111</v>
      </c>
      <c r="T28" s="283"/>
      <c r="U28" s="377">
        <f>S28/31*31</f>
        <v>121.94543492132111</v>
      </c>
      <c r="V28" s="376">
        <f>V29+V33</f>
        <v>121.53850513082112</v>
      </c>
      <c r="W28" s="254">
        <f>SUM(W29:W33)</f>
        <v>-0.40692979049998712</v>
      </c>
      <c r="X28" s="172"/>
      <c r="Y28" s="172"/>
      <c r="Z28" s="173"/>
      <c r="AA28" s="138"/>
      <c r="AB28" s="139"/>
      <c r="AC28" s="139"/>
      <c r="AD28" s="140"/>
      <c r="AE28" s="172">
        <f t="shared" ref="AE28:AF28" si="45">SUM(AE29:AE33)</f>
        <v>0</v>
      </c>
      <c r="AF28" s="173">
        <f t="shared" si="45"/>
        <v>0</v>
      </c>
      <c r="AG28" s="173"/>
      <c r="AH28" s="173">
        <f t="shared" si="10"/>
        <v>0</v>
      </c>
      <c r="AI28" s="174" t="str">
        <f t="shared" si="11"/>
        <v/>
      </c>
      <c r="AJ28" s="139"/>
      <c r="AK28" s="139"/>
      <c r="AL28" s="229"/>
      <c r="AM28" s="232"/>
      <c r="AN28" s="171"/>
      <c r="AO28" s="171"/>
    </row>
    <row r="29" spans="1:41" x14ac:dyDescent="0.25">
      <c r="A29" s="177"/>
      <c r="B29" s="178" t="str">
        <f t="shared" si="39"/>
        <v>субъект РФ 1</v>
      </c>
      <c r="C29" s="178" t="str">
        <f t="shared" si="39"/>
        <v>ДЗО 1</v>
      </c>
      <c r="D29" s="179" t="str">
        <f t="shared" si="39"/>
        <v>филиал 1</v>
      </c>
      <c r="E29" s="191" t="s">
        <v>251</v>
      </c>
      <c r="F29" s="184">
        <f>SUM(F84:F86)</f>
        <v>121.03990900000001</v>
      </c>
      <c r="G29" s="184">
        <f>SUM(G84:G86)</f>
        <v>120.81977492132111</v>
      </c>
      <c r="H29" s="184">
        <f>SUM(H84:H86)</f>
        <v>104.76658</v>
      </c>
      <c r="I29" s="184">
        <f t="shared" ref="I29:N29" si="46">SUM(I84:I86)</f>
        <v>110.08823366999999</v>
      </c>
      <c r="J29" s="184">
        <v>113.78202</v>
      </c>
      <c r="K29" s="255">
        <v>112.99791452963669</v>
      </c>
      <c r="L29" s="184">
        <f t="shared" si="37"/>
        <v>339.58850899999999</v>
      </c>
      <c r="M29" s="255">
        <f t="shared" si="38"/>
        <v>343.90592312095782</v>
      </c>
      <c r="N29" s="276">
        <f t="shared" si="46"/>
        <v>105.6078225007896</v>
      </c>
      <c r="O29" s="284"/>
      <c r="P29" s="276">
        <f>N29/30*29</f>
        <v>102.08756175076327</v>
      </c>
      <c r="Q29" s="277">
        <f>P29+потребители!L4/1000000</f>
        <v>101.6088208207633</v>
      </c>
      <c r="R29" s="317">
        <f t="shared" ref="R29" si="47">Q29-P29</f>
        <v>-0.47874092999997231</v>
      </c>
      <c r="S29" s="432">
        <f>SUM(S84:S86)</f>
        <v>120.81977492132111</v>
      </c>
      <c r="T29" s="284"/>
      <c r="U29" s="377">
        <f>S29/31*31</f>
        <v>120.81977492132111</v>
      </c>
      <c r="V29" s="375">
        <f>U29+потребители!L4/1000000*0.85</f>
        <v>120.41284513082113</v>
      </c>
      <c r="W29" s="317">
        <f>V29-U29</f>
        <v>-0.40692979049998712</v>
      </c>
      <c r="X29" s="184"/>
      <c r="Y29" s="184"/>
      <c r="Z29" s="185"/>
      <c r="AA29" s="181"/>
      <c r="AB29" s="182"/>
      <c r="AC29" s="182"/>
      <c r="AD29" s="183"/>
      <c r="AE29" s="184"/>
      <c r="AF29" s="185"/>
      <c r="AG29" s="185"/>
      <c r="AH29" s="185">
        <f t="shared" si="10"/>
        <v>0</v>
      </c>
      <c r="AI29" s="186" t="str">
        <f t="shared" si="11"/>
        <v/>
      </c>
      <c r="AJ29" s="182"/>
      <c r="AK29" s="182"/>
      <c r="AL29" s="230"/>
      <c r="AM29" s="233"/>
      <c r="AN29" s="191"/>
      <c r="AO29" s="191"/>
    </row>
    <row r="30" spans="1:41" x14ac:dyDescent="0.25">
      <c r="A30" s="177"/>
      <c r="B30" s="178" t="str">
        <f t="shared" si="39"/>
        <v>субъект РФ 1</v>
      </c>
      <c r="C30" s="178" t="str">
        <f t="shared" si="39"/>
        <v>ДЗО 1</v>
      </c>
      <c r="D30" s="179" t="str">
        <f t="shared" si="39"/>
        <v>филиал 1</v>
      </c>
      <c r="E30" s="191" t="s">
        <v>196</v>
      </c>
      <c r="F30" s="184"/>
      <c r="G30" s="185"/>
      <c r="H30" s="184"/>
      <c r="I30" s="185"/>
      <c r="J30" s="184"/>
      <c r="K30" s="187"/>
      <c r="L30" s="184">
        <f t="shared" si="37"/>
        <v>0</v>
      </c>
      <c r="M30" s="187">
        <f t="shared" si="38"/>
        <v>0</v>
      </c>
      <c r="N30" s="276"/>
      <c r="O30" s="284"/>
      <c r="P30" s="276"/>
      <c r="Q30" s="277"/>
      <c r="R30" s="255"/>
      <c r="S30" s="318"/>
      <c r="T30" s="284"/>
      <c r="U30" s="276"/>
      <c r="V30" s="277"/>
      <c r="W30" s="255"/>
      <c r="X30" s="184"/>
      <c r="Y30" s="184"/>
      <c r="Z30" s="185"/>
      <c r="AA30" s="181"/>
      <c r="AB30" s="182"/>
      <c r="AC30" s="182"/>
      <c r="AD30" s="183"/>
      <c r="AE30" s="184"/>
      <c r="AF30" s="185"/>
      <c r="AG30" s="185"/>
      <c r="AH30" s="185">
        <f t="shared" si="10"/>
        <v>0</v>
      </c>
      <c r="AI30" s="186" t="str">
        <f t="shared" si="11"/>
        <v/>
      </c>
      <c r="AJ30" s="182"/>
      <c r="AK30" s="182"/>
      <c r="AL30" s="230"/>
      <c r="AM30" s="233"/>
      <c r="AN30" s="191"/>
      <c r="AO30" s="191"/>
    </row>
    <row r="31" spans="1:41" x14ac:dyDescent="0.25">
      <c r="A31" s="177"/>
      <c r="B31" s="178" t="str">
        <f t="shared" si="39"/>
        <v>субъект РФ 1</v>
      </c>
      <c r="C31" s="178" t="str">
        <f t="shared" si="39"/>
        <v>ДЗО 1</v>
      </c>
      <c r="D31" s="179" t="str">
        <f t="shared" si="39"/>
        <v>филиал 1</v>
      </c>
      <c r="E31" s="191" t="s">
        <v>198</v>
      </c>
      <c r="F31" s="184"/>
      <c r="G31" s="185"/>
      <c r="H31" s="184"/>
      <c r="I31" s="185"/>
      <c r="J31" s="184"/>
      <c r="K31" s="187"/>
      <c r="L31" s="184">
        <f t="shared" si="37"/>
        <v>0</v>
      </c>
      <c r="M31" s="187">
        <f t="shared" si="38"/>
        <v>0</v>
      </c>
      <c r="N31" s="276"/>
      <c r="O31" s="284"/>
      <c r="P31" s="276"/>
      <c r="Q31" s="277"/>
      <c r="R31" s="255"/>
      <c r="S31" s="318"/>
      <c r="T31" s="284"/>
      <c r="U31" s="276"/>
      <c r="V31" s="277"/>
      <c r="W31" s="255"/>
      <c r="X31" s="184"/>
      <c r="Y31" s="184"/>
      <c r="Z31" s="185"/>
      <c r="AA31" s="181"/>
      <c r="AB31" s="182"/>
      <c r="AC31" s="182"/>
      <c r="AD31" s="183"/>
      <c r="AE31" s="184"/>
      <c r="AF31" s="185"/>
      <c r="AG31" s="185"/>
      <c r="AH31" s="185">
        <f t="shared" si="10"/>
        <v>0</v>
      </c>
      <c r="AI31" s="186" t="str">
        <f t="shared" si="11"/>
        <v/>
      </c>
      <c r="AJ31" s="182"/>
      <c r="AK31" s="182"/>
      <c r="AL31" s="230"/>
      <c r="AM31" s="233"/>
      <c r="AN31" s="191"/>
      <c r="AO31" s="191"/>
    </row>
    <row r="32" spans="1:41" x14ac:dyDescent="0.25">
      <c r="A32" s="177"/>
      <c r="B32" s="178" t="str">
        <f t="shared" si="39"/>
        <v>субъект РФ 1</v>
      </c>
      <c r="C32" s="178" t="str">
        <f t="shared" si="39"/>
        <v>ДЗО 1</v>
      </c>
      <c r="D32" s="179" t="str">
        <f t="shared" si="39"/>
        <v>филиал 1</v>
      </c>
      <c r="E32" s="191" t="s">
        <v>229</v>
      </c>
      <c r="F32" s="184"/>
      <c r="G32" s="185"/>
      <c r="H32" s="184"/>
      <c r="I32" s="185"/>
      <c r="J32" s="184"/>
      <c r="K32" s="187"/>
      <c r="L32" s="184">
        <f t="shared" si="37"/>
        <v>0</v>
      </c>
      <c r="M32" s="187">
        <f t="shared" si="38"/>
        <v>0</v>
      </c>
      <c r="N32" s="276"/>
      <c r="O32" s="284"/>
      <c r="P32" s="276"/>
      <c r="Q32" s="277"/>
      <c r="R32" s="255"/>
      <c r="S32" s="318"/>
      <c r="T32" s="284"/>
      <c r="U32" s="276"/>
      <c r="V32" s="277"/>
      <c r="W32" s="255"/>
      <c r="X32" s="184"/>
      <c r="Y32" s="184"/>
      <c r="Z32" s="185"/>
      <c r="AA32" s="181"/>
      <c r="AB32" s="182"/>
      <c r="AC32" s="182"/>
      <c r="AD32" s="183"/>
      <c r="AE32" s="184"/>
      <c r="AF32" s="185"/>
      <c r="AG32" s="185"/>
      <c r="AH32" s="185">
        <f t="shared" si="10"/>
        <v>0</v>
      </c>
      <c r="AI32" s="186" t="str">
        <f t="shared" si="11"/>
        <v/>
      </c>
      <c r="AJ32" s="182"/>
      <c r="AK32" s="182"/>
      <c r="AL32" s="230"/>
      <c r="AM32" s="233"/>
      <c r="AN32" s="191"/>
      <c r="AO32" s="191"/>
    </row>
    <row r="33" spans="1:41" ht="26.25" x14ac:dyDescent="0.25">
      <c r="A33" s="177"/>
      <c r="B33" s="178" t="str">
        <f t="shared" si="39"/>
        <v>субъект РФ 1</v>
      </c>
      <c r="C33" s="178" t="str">
        <f t="shared" si="39"/>
        <v>ДЗО 1</v>
      </c>
      <c r="D33" s="179" t="str">
        <f t="shared" si="39"/>
        <v>филиал 1</v>
      </c>
      <c r="E33" s="191" t="s">
        <v>230</v>
      </c>
      <c r="F33" s="184">
        <v>1.0706546700000001</v>
      </c>
      <c r="G33" s="185">
        <v>1.1256600000000001</v>
      </c>
      <c r="H33" s="184">
        <f>H28-H29</f>
        <v>1.0010492625806364</v>
      </c>
      <c r="I33" s="184">
        <f t="shared" ref="I33:N33" si="48">I28-I29</f>
        <v>0.98745800000000372</v>
      </c>
      <c r="J33" s="184">
        <v>0.82330500000000484</v>
      </c>
      <c r="K33" s="187">
        <v>0.825013</v>
      </c>
      <c r="L33" s="184">
        <f t="shared" si="37"/>
        <v>2.8950089325806414</v>
      </c>
      <c r="M33" s="187">
        <f t="shared" si="38"/>
        <v>2.9381310000000038</v>
      </c>
      <c r="N33" s="276">
        <f t="shared" si="48"/>
        <v>0.72603800000000263</v>
      </c>
      <c r="O33" s="284"/>
      <c r="P33" s="276">
        <f>P28-P29</f>
        <v>0.7018367333333515</v>
      </c>
      <c r="Q33" s="277">
        <f>P33</f>
        <v>0.7018367333333515</v>
      </c>
      <c r="R33" s="317">
        <f t="shared" ref="R33" si="49">Q33-P33</f>
        <v>0</v>
      </c>
      <c r="S33" s="450">
        <f>[2]ГЭС!$D$144/1000</f>
        <v>1.1256600000000001</v>
      </c>
      <c r="T33" s="284"/>
      <c r="U33" s="276">
        <f>U28-U29</f>
        <v>1.1256599999999963</v>
      </c>
      <c r="V33" s="277">
        <f>U33</f>
        <v>1.1256599999999963</v>
      </c>
      <c r="W33" s="317">
        <f t="shared" ref="W33" si="50">V33-U33</f>
        <v>0</v>
      </c>
      <c r="X33" s="184"/>
      <c r="Y33" s="184"/>
      <c r="Z33" s="185"/>
      <c r="AA33" s="181"/>
      <c r="AB33" s="182"/>
      <c r="AC33" s="182"/>
      <c r="AD33" s="183"/>
      <c r="AE33" s="184"/>
      <c r="AF33" s="185"/>
      <c r="AG33" s="185"/>
      <c r="AH33" s="185">
        <f t="shared" si="10"/>
        <v>0</v>
      </c>
      <c r="AI33" s="186" t="str">
        <f t="shared" si="11"/>
        <v/>
      </c>
      <c r="AJ33" s="182"/>
      <c r="AK33" s="182"/>
      <c r="AL33" s="230"/>
      <c r="AM33" s="233"/>
      <c r="AN33" s="191"/>
      <c r="AO33" s="191"/>
    </row>
    <row r="34" spans="1:41" x14ac:dyDescent="0.25">
      <c r="A34" s="168" t="s">
        <v>15</v>
      </c>
      <c r="B34" s="169" t="str">
        <f t="shared" si="39"/>
        <v>субъект РФ 1</v>
      </c>
      <c r="C34" s="169" t="str">
        <f t="shared" si="39"/>
        <v>ДЗО 1</v>
      </c>
      <c r="D34" s="170" t="str">
        <f t="shared" si="39"/>
        <v>филиал 1</v>
      </c>
      <c r="E34" s="171" t="s">
        <v>186</v>
      </c>
      <c r="F34" s="172">
        <v>0</v>
      </c>
      <c r="G34" s="173">
        <v>0</v>
      </c>
      <c r="H34" s="172">
        <v>0</v>
      </c>
      <c r="I34" s="173">
        <v>0</v>
      </c>
      <c r="J34" s="172">
        <v>0</v>
      </c>
      <c r="K34" s="175">
        <v>0</v>
      </c>
      <c r="L34" s="172">
        <f t="shared" si="37"/>
        <v>0</v>
      </c>
      <c r="M34" s="175">
        <f t="shared" si="38"/>
        <v>0</v>
      </c>
      <c r="N34" s="274">
        <v>0</v>
      </c>
      <c r="O34" s="283"/>
      <c r="P34" s="274">
        <f>N34/30*8</f>
        <v>0</v>
      </c>
      <c r="Q34" s="275"/>
      <c r="R34" s="254"/>
      <c r="S34" s="274"/>
      <c r="T34" s="283"/>
      <c r="U34" s="274">
        <f>S34/31*31</f>
        <v>0</v>
      </c>
      <c r="V34" s="275"/>
      <c r="W34" s="254"/>
      <c r="X34" s="172"/>
      <c r="Y34" s="172"/>
      <c r="Z34" s="173"/>
      <c r="AA34" s="138"/>
      <c r="AB34" s="139"/>
      <c r="AC34" s="139"/>
      <c r="AD34" s="140"/>
      <c r="AE34" s="172">
        <f t="shared" ref="AE34:AF34" si="51">SUM(AE35:AE39)</f>
        <v>0</v>
      </c>
      <c r="AF34" s="173">
        <f t="shared" si="51"/>
        <v>0</v>
      </c>
      <c r="AG34" s="173"/>
      <c r="AH34" s="173">
        <f t="shared" si="10"/>
        <v>0</v>
      </c>
      <c r="AI34" s="174" t="str">
        <f t="shared" si="11"/>
        <v/>
      </c>
      <c r="AJ34" s="139"/>
      <c r="AK34" s="139"/>
      <c r="AL34" s="229"/>
      <c r="AM34" s="232"/>
      <c r="AN34" s="171"/>
      <c r="AO34" s="171"/>
    </row>
    <row r="35" spans="1:41" x14ac:dyDescent="0.25">
      <c r="A35" s="177"/>
      <c r="B35" s="178" t="str">
        <f t="shared" si="39"/>
        <v>субъект РФ 1</v>
      </c>
      <c r="C35" s="178" t="str">
        <f t="shared" si="39"/>
        <v>ДЗО 1</v>
      </c>
      <c r="D35" s="179" t="str">
        <f t="shared" si="39"/>
        <v>филиал 1</v>
      </c>
      <c r="E35" s="191" t="s">
        <v>194</v>
      </c>
      <c r="F35" s="184"/>
      <c r="G35" s="185"/>
      <c r="H35" s="184"/>
      <c r="I35" s="185"/>
      <c r="J35" s="184"/>
      <c r="K35" s="187"/>
      <c r="L35" s="184">
        <f t="shared" si="37"/>
        <v>0</v>
      </c>
      <c r="M35" s="187">
        <f t="shared" si="38"/>
        <v>0</v>
      </c>
      <c r="N35" s="276"/>
      <c r="O35" s="284"/>
      <c r="P35" s="276"/>
      <c r="Q35" s="277"/>
      <c r="R35" s="255"/>
      <c r="S35" s="276"/>
      <c r="T35" s="284"/>
      <c r="U35" s="276"/>
      <c r="V35" s="277"/>
      <c r="W35" s="255"/>
      <c r="X35" s="184"/>
      <c r="Y35" s="184"/>
      <c r="Z35" s="185"/>
      <c r="AA35" s="181"/>
      <c r="AB35" s="182"/>
      <c r="AC35" s="182"/>
      <c r="AD35" s="183"/>
      <c r="AE35" s="184"/>
      <c r="AF35" s="185"/>
      <c r="AG35" s="185"/>
      <c r="AH35" s="185">
        <f t="shared" si="10"/>
        <v>0</v>
      </c>
      <c r="AI35" s="186" t="str">
        <f t="shared" si="11"/>
        <v/>
      </c>
      <c r="AJ35" s="182"/>
      <c r="AK35" s="182"/>
      <c r="AL35" s="230"/>
      <c r="AM35" s="233"/>
      <c r="AN35" s="191"/>
      <c r="AO35" s="191"/>
    </row>
    <row r="36" spans="1:41" x14ac:dyDescent="0.25">
      <c r="A36" s="177"/>
      <c r="B36" s="178" t="str">
        <f t="shared" si="39"/>
        <v>субъект РФ 1</v>
      </c>
      <c r="C36" s="178" t="str">
        <f t="shared" si="39"/>
        <v>ДЗО 1</v>
      </c>
      <c r="D36" s="179" t="str">
        <f t="shared" si="39"/>
        <v>филиал 1</v>
      </c>
      <c r="E36" s="191" t="s">
        <v>196</v>
      </c>
      <c r="F36" s="184"/>
      <c r="G36" s="185"/>
      <c r="H36" s="184"/>
      <c r="I36" s="185"/>
      <c r="J36" s="184"/>
      <c r="K36" s="187"/>
      <c r="L36" s="184">
        <f t="shared" si="37"/>
        <v>0</v>
      </c>
      <c r="M36" s="187">
        <f t="shared" si="38"/>
        <v>0</v>
      </c>
      <c r="N36" s="276"/>
      <c r="O36" s="284"/>
      <c r="P36" s="276"/>
      <c r="Q36" s="277"/>
      <c r="R36" s="255"/>
      <c r="S36" s="276"/>
      <c r="T36" s="284"/>
      <c r="U36" s="276"/>
      <c r="V36" s="277"/>
      <c r="W36" s="255"/>
      <c r="X36" s="184"/>
      <c r="Y36" s="184"/>
      <c r="Z36" s="185"/>
      <c r="AA36" s="181"/>
      <c r="AB36" s="182"/>
      <c r="AC36" s="182"/>
      <c r="AD36" s="183"/>
      <c r="AE36" s="184"/>
      <c r="AF36" s="185"/>
      <c r="AG36" s="185"/>
      <c r="AH36" s="185">
        <f t="shared" si="10"/>
        <v>0</v>
      </c>
      <c r="AI36" s="186" t="str">
        <f t="shared" si="11"/>
        <v/>
      </c>
      <c r="AJ36" s="182"/>
      <c r="AK36" s="182"/>
      <c r="AL36" s="230"/>
      <c r="AM36" s="233"/>
      <c r="AN36" s="191"/>
      <c r="AO36" s="191"/>
    </row>
    <row r="37" spans="1:41" x14ac:dyDescent="0.25">
      <c r="A37" s="177"/>
      <c r="B37" s="178" t="str">
        <f t="shared" si="39"/>
        <v>субъект РФ 1</v>
      </c>
      <c r="C37" s="178" t="str">
        <f t="shared" si="39"/>
        <v>ДЗО 1</v>
      </c>
      <c r="D37" s="179" t="str">
        <f t="shared" si="39"/>
        <v>филиал 1</v>
      </c>
      <c r="E37" s="191" t="s">
        <v>198</v>
      </c>
      <c r="F37" s="189"/>
      <c r="G37" s="190"/>
      <c r="H37" s="189"/>
      <c r="I37" s="190"/>
      <c r="J37" s="189"/>
      <c r="K37" s="264"/>
      <c r="L37" s="189">
        <f t="shared" si="37"/>
        <v>0</v>
      </c>
      <c r="M37" s="264">
        <f t="shared" si="38"/>
        <v>0</v>
      </c>
      <c r="N37" s="278"/>
      <c r="O37" s="285"/>
      <c r="P37" s="278"/>
      <c r="Q37" s="279"/>
      <c r="R37" s="256"/>
      <c r="S37" s="278"/>
      <c r="T37" s="285"/>
      <c r="U37" s="278"/>
      <c r="V37" s="279"/>
      <c r="W37" s="256"/>
      <c r="X37" s="189"/>
      <c r="Y37" s="189"/>
      <c r="Z37" s="190"/>
      <c r="AA37" s="181"/>
      <c r="AB37" s="182"/>
      <c r="AC37" s="182"/>
      <c r="AD37" s="183"/>
      <c r="AE37" s="189"/>
      <c r="AF37" s="190"/>
      <c r="AG37" s="190"/>
      <c r="AH37" s="185">
        <f t="shared" si="10"/>
        <v>0</v>
      </c>
      <c r="AI37" s="186" t="str">
        <f t="shared" si="11"/>
        <v/>
      </c>
      <c r="AJ37" s="182"/>
      <c r="AK37" s="182"/>
      <c r="AL37" s="230"/>
      <c r="AM37" s="233"/>
      <c r="AN37" s="191"/>
      <c r="AO37" s="191"/>
    </row>
    <row r="38" spans="1:41" x14ac:dyDescent="0.25">
      <c r="A38" s="177"/>
      <c r="B38" s="178" t="str">
        <f t="shared" si="39"/>
        <v>субъект РФ 1</v>
      </c>
      <c r="C38" s="178" t="str">
        <f t="shared" si="39"/>
        <v>ДЗО 1</v>
      </c>
      <c r="D38" s="179" t="str">
        <f t="shared" si="39"/>
        <v>филиал 1</v>
      </c>
      <c r="E38" s="191" t="s">
        <v>229</v>
      </c>
      <c r="F38" s="184"/>
      <c r="G38" s="185"/>
      <c r="H38" s="184"/>
      <c r="I38" s="185"/>
      <c r="J38" s="184"/>
      <c r="K38" s="187"/>
      <c r="L38" s="184">
        <f t="shared" si="37"/>
        <v>0</v>
      </c>
      <c r="M38" s="187">
        <f t="shared" si="38"/>
        <v>0</v>
      </c>
      <c r="N38" s="276"/>
      <c r="O38" s="284"/>
      <c r="P38" s="276"/>
      <c r="Q38" s="277"/>
      <c r="R38" s="255"/>
      <c r="S38" s="276"/>
      <c r="T38" s="284"/>
      <c r="U38" s="276"/>
      <c r="V38" s="277"/>
      <c r="W38" s="255"/>
      <c r="X38" s="184"/>
      <c r="Y38" s="184"/>
      <c r="Z38" s="185"/>
      <c r="AA38" s="181"/>
      <c r="AB38" s="182"/>
      <c r="AC38" s="182"/>
      <c r="AD38" s="183"/>
      <c r="AE38" s="184"/>
      <c r="AF38" s="185"/>
      <c r="AG38" s="185"/>
      <c r="AH38" s="185">
        <f t="shared" si="10"/>
        <v>0</v>
      </c>
      <c r="AI38" s="186" t="str">
        <f t="shared" si="11"/>
        <v/>
      </c>
      <c r="AJ38" s="182"/>
      <c r="AK38" s="182"/>
      <c r="AL38" s="230"/>
      <c r="AM38" s="233"/>
      <c r="AN38" s="191"/>
      <c r="AO38" s="191"/>
    </row>
    <row r="39" spans="1:41" ht="26.25" x14ac:dyDescent="0.25">
      <c r="A39" s="177"/>
      <c r="B39" s="178" t="str">
        <f t="shared" ref="B39:D54" si="52">B38</f>
        <v>субъект РФ 1</v>
      </c>
      <c r="C39" s="178" t="str">
        <f t="shared" si="52"/>
        <v>ДЗО 1</v>
      </c>
      <c r="D39" s="179" t="str">
        <f t="shared" si="52"/>
        <v>филиал 1</v>
      </c>
      <c r="E39" s="191" t="s">
        <v>230</v>
      </c>
      <c r="F39" s="184"/>
      <c r="G39" s="185"/>
      <c r="H39" s="184"/>
      <c r="I39" s="185"/>
      <c r="J39" s="184"/>
      <c r="K39" s="187"/>
      <c r="L39" s="184">
        <f t="shared" si="37"/>
        <v>0</v>
      </c>
      <c r="M39" s="187">
        <f t="shared" si="38"/>
        <v>0</v>
      </c>
      <c r="N39" s="276"/>
      <c r="O39" s="284"/>
      <c r="P39" s="276"/>
      <c r="Q39" s="277"/>
      <c r="R39" s="255"/>
      <c r="S39" s="276"/>
      <c r="T39" s="284"/>
      <c r="U39" s="276"/>
      <c r="V39" s="277"/>
      <c r="W39" s="255"/>
      <c r="X39" s="184"/>
      <c r="Y39" s="184"/>
      <c r="Z39" s="185"/>
      <c r="AA39" s="181"/>
      <c r="AB39" s="182"/>
      <c r="AC39" s="182"/>
      <c r="AD39" s="183"/>
      <c r="AE39" s="184"/>
      <c r="AF39" s="185"/>
      <c r="AG39" s="185"/>
      <c r="AH39" s="185">
        <f t="shared" si="10"/>
        <v>0</v>
      </c>
      <c r="AI39" s="186" t="str">
        <f t="shared" si="11"/>
        <v/>
      </c>
      <c r="AJ39" s="182"/>
      <c r="AK39" s="182"/>
      <c r="AL39" s="230"/>
      <c r="AM39" s="233"/>
      <c r="AN39" s="191"/>
      <c r="AO39" s="191"/>
    </row>
    <row r="40" spans="1:41" ht="30" x14ac:dyDescent="0.25">
      <c r="A40" s="168" t="s">
        <v>17</v>
      </c>
      <c r="B40" s="169" t="str">
        <f t="shared" si="52"/>
        <v>субъект РФ 1</v>
      </c>
      <c r="C40" s="169" t="str">
        <f t="shared" si="52"/>
        <v>ДЗО 1</v>
      </c>
      <c r="D40" s="170" t="str">
        <f t="shared" si="52"/>
        <v>филиал 1</v>
      </c>
      <c r="E40" s="171" t="s">
        <v>187</v>
      </c>
      <c r="F40" s="172">
        <v>2.2123140000000001</v>
      </c>
      <c r="G40" s="173">
        <v>1.8094349999999999</v>
      </c>
      <c r="H40" s="172">
        <v>1.398552</v>
      </c>
      <c r="I40" s="173">
        <v>1.5857019999999999</v>
      </c>
      <c r="J40" s="172">
        <v>1.3020370000000001</v>
      </c>
      <c r="K40" s="175">
        <v>1.428058</v>
      </c>
      <c r="L40" s="172">
        <f t="shared" si="37"/>
        <v>4.912903</v>
      </c>
      <c r="M40" s="175">
        <f t="shared" si="38"/>
        <v>4.8231950000000001</v>
      </c>
      <c r="N40" s="274">
        <v>1.2245139999999999</v>
      </c>
      <c r="O40" s="283"/>
      <c r="P40" s="274">
        <f>N40/30*29</f>
        <v>1.1836968666666665</v>
      </c>
      <c r="Q40" s="275"/>
      <c r="R40" s="254">
        <f>SUM(R41:R45)</f>
        <v>-1.4610749999999895E-2</v>
      </c>
      <c r="S40" s="451">
        <f>1809.435/1000</f>
        <v>1.8094349999999999</v>
      </c>
      <c r="T40" s="283"/>
      <c r="U40" s="377">
        <f>S40/31*31</f>
        <v>1.8094349999999999</v>
      </c>
      <c r="V40" s="376">
        <f>V44+V45</f>
        <v>1.82431389</v>
      </c>
      <c r="W40" s="254">
        <f>SUM(W41:W45)</f>
        <v>1.4878890000000145E-2</v>
      </c>
      <c r="X40" s="172"/>
      <c r="Y40" s="172"/>
      <c r="Z40" s="173"/>
      <c r="AA40" s="138"/>
      <c r="AB40" s="139"/>
      <c r="AC40" s="139"/>
      <c r="AD40" s="140"/>
      <c r="AE40" s="172">
        <f t="shared" ref="AE40:AF40" si="53">SUM(AE41:AE45)</f>
        <v>0</v>
      </c>
      <c r="AF40" s="173">
        <f t="shared" si="53"/>
        <v>0</v>
      </c>
      <c r="AG40" s="173"/>
      <c r="AH40" s="173">
        <f t="shared" si="10"/>
        <v>0</v>
      </c>
      <c r="AI40" s="174" t="str">
        <f t="shared" si="11"/>
        <v/>
      </c>
      <c r="AJ40" s="139"/>
      <c r="AK40" s="139"/>
      <c r="AL40" s="229"/>
      <c r="AM40" s="232"/>
      <c r="AN40" s="171"/>
      <c r="AO40" s="171"/>
    </row>
    <row r="41" spans="1:41" x14ac:dyDescent="0.25">
      <c r="A41" s="177"/>
      <c r="B41" s="178" t="str">
        <f t="shared" si="52"/>
        <v>субъект РФ 1</v>
      </c>
      <c r="C41" s="178" t="str">
        <f t="shared" si="52"/>
        <v>ДЗО 1</v>
      </c>
      <c r="D41" s="179" t="str">
        <f t="shared" si="52"/>
        <v>филиал 1</v>
      </c>
      <c r="E41" s="191" t="s">
        <v>194</v>
      </c>
      <c r="F41" s="184"/>
      <c r="G41" s="185"/>
      <c r="H41" s="184"/>
      <c r="I41" s="185"/>
      <c r="J41" s="184"/>
      <c r="K41" s="187"/>
      <c r="L41" s="184">
        <f t="shared" si="37"/>
        <v>0</v>
      </c>
      <c r="M41" s="187">
        <f t="shared" si="38"/>
        <v>0</v>
      </c>
      <c r="N41" s="276"/>
      <c r="O41" s="284"/>
      <c r="P41" s="276"/>
      <c r="Q41" s="277"/>
      <c r="R41" s="255"/>
      <c r="S41" s="276"/>
      <c r="T41" s="284"/>
      <c r="U41" s="276"/>
      <c r="V41" s="277"/>
      <c r="W41" s="255"/>
      <c r="X41" s="184"/>
      <c r="Y41" s="184"/>
      <c r="Z41" s="185"/>
      <c r="AA41" s="181"/>
      <c r="AB41" s="182"/>
      <c r="AC41" s="182"/>
      <c r="AD41" s="183"/>
      <c r="AE41" s="184"/>
      <c r="AF41" s="185"/>
      <c r="AG41" s="185"/>
      <c r="AH41" s="185">
        <f t="shared" si="10"/>
        <v>0</v>
      </c>
      <c r="AI41" s="186" t="str">
        <f t="shared" si="11"/>
        <v/>
      </c>
      <c r="AJ41" s="182"/>
      <c r="AK41" s="182"/>
      <c r="AL41" s="230"/>
      <c r="AM41" s="233"/>
      <c r="AN41" s="191"/>
      <c r="AO41" s="191"/>
    </row>
    <row r="42" spans="1:41" x14ac:dyDescent="0.25">
      <c r="A42" s="177"/>
      <c r="B42" s="178" t="str">
        <f t="shared" si="52"/>
        <v>субъект РФ 1</v>
      </c>
      <c r="C42" s="178" t="str">
        <f t="shared" si="52"/>
        <v>ДЗО 1</v>
      </c>
      <c r="D42" s="179" t="str">
        <f t="shared" si="52"/>
        <v>филиал 1</v>
      </c>
      <c r="E42" s="191" t="s">
        <v>196</v>
      </c>
      <c r="F42" s="184"/>
      <c r="G42" s="185"/>
      <c r="H42" s="184"/>
      <c r="I42" s="185"/>
      <c r="J42" s="184"/>
      <c r="K42" s="187"/>
      <c r="L42" s="184">
        <f t="shared" si="37"/>
        <v>0</v>
      </c>
      <c r="M42" s="187">
        <f t="shared" si="38"/>
        <v>0</v>
      </c>
      <c r="N42" s="276"/>
      <c r="O42" s="284"/>
      <c r="P42" s="276"/>
      <c r="Q42" s="277"/>
      <c r="R42" s="255"/>
      <c r="S42" s="276"/>
      <c r="T42" s="284"/>
      <c r="U42" s="276"/>
      <c r="V42" s="277"/>
      <c r="W42" s="255"/>
      <c r="X42" s="184"/>
      <c r="Y42" s="184"/>
      <c r="Z42" s="185"/>
      <c r="AA42" s="181"/>
      <c r="AB42" s="182"/>
      <c r="AC42" s="182"/>
      <c r="AD42" s="183"/>
      <c r="AE42" s="184"/>
      <c r="AF42" s="185"/>
      <c r="AG42" s="185"/>
      <c r="AH42" s="185">
        <f t="shared" si="10"/>
        <v>0</v>
      </c>
      <c r="AI42" s="186" t="str">
        <f t="shared" si="11"/>
        <v/>
      </c>
      <c r="AJ42" s="182"/>
      <c r="AK42" s="182"/>
      <c r="AL42" s="230"/>
      <c r="AM42" s="233"/>
      <c r="AN42" s="191"/>
      <c r="AO42" s="191"/>
    </row>
    <row r="43" spans="1:41" x14ac:dyDescent="0.25">
      <c r="A43" s="177"/>
      <c r="B43" s="178" t="str">
        <f t="shared" si="52"/>
        <v>субъект РФ 1</v>
      </c>
      <c r="C43" s="178" t="str">
        <f t="shared" si="52"/>
        <v>ДЗО 1</v>
      </c>
      <c r="D43" s="179" t="str">
        <f t="shared" si="52"/>
        <v>филиал 1</v>
      </c>
      <c r="E43" s="191" t="s">
        <v>198</v>
      </c>
      <c r="F43" s="189"/>
      <c r="G43" s="190"/>
      <c r="H43" s="189"/>
      <c r="I43" s="190"/>
      <c r="J43" s="189"/>
      <c r="K43" s="264"/>
      <c r="L43" s="189">
        <f t="shared" si="37"/>
        <v>0</v>
      </c>
      <c r="M43" s="264">
        <f t="shared" si="38"/>
        <v>0</v>
      </c>
      <c r="N43" s="278"/>
      <c r="O43" s="285"/>
      <c r="P43" s="278"/>
      <c r="Q43" s="279"/>
      <c r="R43" s="256"/>
      <c r="S43" s="278"/>
      <c r="T43" s="285"/>
      <c r="U43" s="278"/>
      <c r="V43" s="279"/>
      <c r="W43" s="256"/>
      <c r="X43" s="189"/>
      <c r="Y43" s="189"/>
      <c r="Z43" s="190"/>
      <c r="AA43" s="181"/>
      <c r="AB43" s="182"/>
      <c r="AC43" s="182"/>
      <c r="AD43" s="183"/>
      <c r="AE43" s="189"/>
      <c r="AF43" s="190"/>
      <c r="AG43" s="190"/>
      <c r="AH43" s="185">
        <f t="shared" si="10"/>
        <v>0</v>
      </c>
      <c r="AI43" s="186" t="str">
        <f t="shared" si="11"/>
        <v/>
      </c>
      <c r="AJ43" s="182"/>
      <c r="AK43" s="182"/>
      <c r="AL43" s="230"/>
      <c r="AM43" s="233"/>
      <c r="AN43" s="191"/>
      <c r="AO43" s="191"/>
    </row>
    <row r="44" spans="1:41" x14ac:dyDescent="0.25">
      <c r="A44" s="177"/>
      <c r="B44" s="178" t="str">
        <f t="shared" si="52"/>
        <v>субъект РФ 1</v>
      </c>
      <c r="C44" s="178" t="str">
        <f t="shared" si="52"/>
        <v>ДЗО 1</v>
      </c>
      <c r="D44" s="179" t="str">
        <f t="shared" si="52"/>
        <v>филиал 1</v>
      </c>
      <c r="E44" s="191" t="s">
        <v>229</v>
      </c>
      <c r="F44" s="184"/>
      <c r="G44" s="185"/>
      <c r="H44" s="184">
        <v>0.95393669999999953</v>
      </c>
      <c r="I44" s="185">
        <v>1.3326255000000005</v>
      </c>
      <c r="J44" s="184">
        <v>0.97911214999999996</v>
      </c>
      <c r="K44" s="187">
        <v>1.2084618250000001</v>
      </c>
      <c r="L44" s="184">
        <f t="shared" si="37"/>
        <v>1.9330488499999996</v>
      </c>
      <c r="M44" s="187">
        <f t="shared" si="38"/>
        <v>2.5410873250000003</v>
      </c>
      <c r="N44" s="276">
        <f>потребители!$I$99/1000000</f>
        <v>1.563688</v>
      </c>
      <c r="O44" s="284"/>
      <c r="P44" s="276">
        <f>потребители!$J$99/1000000</f>
        <v>1.563688</v>
      </c>
      <c r="Q44" s="277">
        <f>потребители!$K$99/1000000</f>
        <v>1.5490772500000001</v>
      </c>
      <c r="R44" s="317">
        <f t="shared" ref="R44:R45" si="54">Q44-P44</f>
        <v>-1.4610749999999895E-2</v>
      </c>
      <c r="S44" s="276"/>
      <c r="T44" s="284"/>
      <c r="U44" s="276">
        <f>потребители!$J$99/1000000</f>
        <v>1.563688</v>
      </c>
      <c r="V44" s="392">
        <f>потребители!K99/1000000</f>
        <v>1.5490772500000001</v>
      </c>
      <c r="W44" s="317">
        <f t="shared" ref="W44:W45" si="55">V44-U44</f>
        <v>-1.4610749999999895E-2</v>
      </c>
      <c r="X44" s="184"/>
      <c r="Y44" s="184"/>
      <c r="Z44" s="185"/>
      <c r="AA44" s="181"/>
      <c r="AB44" s="182"/>
      <c r="AC44" s="182"/>
      <c r="AD44" s="183"/>
      <c r="AE44" s="184"/>
      <c r="AF44" s="185"/>
      <c r="AG44" s="185"/>
      <c r="AH44" s="185">
        <f t="shared" si="10"/>
        <v>0</v>
      </c>
      <c r="AI44" s="186" t="str">
        <f t="shared" si="11"/>
        <v/>
      </c>
      <c r="AJ44" s="182"/>
      <c r="AK44" s="182"/>
      <c r="AL44" s="230"/>
      <c r="AM44" s="233"/>
      <c r="AN44" s="191"/>
      <c r="AO44" s="191"/>
    </row>
    <row r="45" spans="1:41" ht="26.25" x14ac:dyDescent="0.25">
      <c r="A45" s="177"/>
      <c r="B45" s="178" t="str">
        <f t="shared" si="52"/>
        <v>субъект РФ 1</v>
      </c>
      <c r="C45" s="178" t="str">
        <f t="shared" si="52"/>
        <v>ДЗО 1</v>
      </c>
      <c r="D45" s="179" t="str">
        <f t="shared" si="52"/>
        <v>филиал 1</v>
      </c>
      <c r="E45" s="191" t="s">
        <v>230</v>
      </c>
      <c r="F45" s="184"/>
      <c r="G45" s="185"/>
      <c r="H45" s="184">
        <f>H40-H44</f>
        <v>0.44461530000000049</v>
      </c>
      <c r="I45" s="184">
        <f t="shared" ref="I45:K45" si="56">I40-I44</f>
        <v>0.25307649999999948</v>
      </c>
      <c r="J45" s="184">
        <f t="shared" si="56"/>
        <v>0.32292485000000015</v>
      </c>
      <c r="K45" s="255">
        <f t="shared" si="56"/>
        <v>0.21959617499999995</v>
      </c>
      <c r="L45" s="184">
        <f t="shared" si="37"/>
        <v>0.76754015000000064</v>
      </c>
      <c r="M45" s="255">
        <f t="shared" si="38"/>
        <v>0.47267267499999943</v>
      </c>
      <c r="N45" s="276">
        <f>N40-N44</f>
        <v>-0.33917400000000009</v>
      </c>
      <c r="O45" s="284"/>
      <c r="P45" s="276">
        <f>P40-P41</f>
        <v>1.1836968666666665</v>
      </c>
      <c r="Q45" s="277">
        <f>P45</f>
        <v>1.1836968666666665</v>
      </c>
      <c r="R45" s="317">
        <f t="shared" si="54"/>
        <v>0</v>
      </c>
      <c r="S45" s="276"/>
      <c r="T45" s="284"/>
      <c r="U45" s="276">
        <f>U40-U44</f>
        <v>0.24574699999999994</v>
      </c>
      <c r="V45" s="277">
        <f>U45*1.12</f>
        <v>0.27523663999999998</v>
      </c>
      <c r="W45" s="317">
        <f t="shared" si="55"/>
        <v>2.9489640000000039E-2</v>
      </c>
      <c r="X45" s="184"/>
      <c r="Y45" s="184"/>
      <c r="Z45" s="185"/>
      <c r="AA45" s="181"/>
      <c r="AB45" s="182"/>
      <c r="AC45" s="182"/>
      <c r="AD45" s="183"/>
      <c r="AE45" s="184"/>
      <c r="AF45" s="185"/>
      <c r="AG45" s="185"/>
      <c r="AH45" s="185">
        <f t="shared" si="10"/>
        <v>0</v>
      </c>
      <c r="AI45" s="186" t="str">
        <f t="shared" si="11"/>
        <v/>
      </c>
      <c r="AJ45" s="182"/>
      <c r="AK45" s="182"/>
      <c r="AL45" s="230"/>
      <c r="AM45" s="233"/>
      <c r="AN45" s="191"/>
      <c r="AO45" s="191"/>
    </row>
    <row r="46" spans="1:41" x14ac:dyDescent="0.25">
      <c r="A46" s="168" t="s">
        <v>19</v>
      </c>
      <c r="B46" s="169" t="str">
        <f t="shared" si="52"/>
        <v>субъект РФ 1</v>
      </c>
      <c r="C46" s="169" t="str">
        <f t="shared" si="52"/>
        <v>ДЗО 1</v>
      </c>
      <c r="D46" s="170" t="str">
        <f t="shared" si="52"/>
        <v>филиал 1</v>
      </c>
      <c r="E46" s="171" t="s">
        <v>188</v>
      </c>
      <c r="F46" s="172">
        <v>49.94398307799981</v>
      </c>
      <c r="G46" s="173">
        <v>54.188560670000001</v>
      </c>
      <c r="H46" s="172">
        <v>47.508000000000003</v>
      </c>
      <c r="I46" s="173">
        <v>44.83623862000001</v>
      </c>
      <c r="J46" s="172">
        <v>45.115223999999955</v>
      </c>
      <c r="K46" s="175">
        <v>45.141986219999978</v>
      </c>
      <c r="L46" s="172">
        <f t="shared" si="37"/>
        <v>142.56720707799977</v>
      </c>
      <c r="M46" s="175">
        <f t="shared" si="38"/>
        <v>144.16678550999998</v>
      </c>
      <c r="N46" s="274">
        <v>50.077159799999997</v>
      </c>
      <c r="O46" s="283"/>
      <c r="P46" s="274">
        <f>N46/30*29</f>
        <v>48.407921139999999</v>
      </c>
      <c r="Q46" s="275"/>
      <c r="R46" s="254">
        <f>SUM(R47:R51)</f>
        <v>-8.4144178924599977</v>
      </c>
      <c r="S46" s="453">
        <f>53.398813-0.9546</f>
        <v>52.444212999999998</v>
      </c>
      <c r="T46" s="283"/>
      <c r="U46" s="377">
        <f>S46/31*31</f>
        <v>52.444212999999998</v>
      </c>
      <c r="V46" s="376">
        <f>V50+V51</f>
        <v>61.031238999999999</v>
      </c>
      <c r="W46" s="254">
        <f>SUM(W47:W51)</f>
        <v>8.5870260000000052</v>
      </c>
      <c r="X46" s="172"/>
      <c r="Y46" s="172"/>
      <c r="Z46" s="173"/>
      <c r="AA46" s="138"/>
      <c r="AB46" s="139"/>
      <c r="AC46" s="139"/>
      <c r="AD46" s="140"/>
      <c r="AE46" s="172">
        <f t="shared" ref="AE46:AF46" si="57">SUM(AE47:AE51)</f>
        <v>0</v>
      </c>
      <c r="AF46" s="173">
        <f t="shared" si="57"/>
        <v>0</v>
      </c>
      <c r="AG46" s="173"/>
      <c r="AH46" s="173">
        <f t="shared" si="10"/>
        <v>0</v>
      </c>
      <c r="AI46" s="174" t="str">
        <f t="shared" si="11"/>
        <v/>
      </c>
      <c r="AJ46" s="139"/>
      <c r="AK46" s="139"/>
      <c r="AL46" s="229"/>
      <c r="AM46" s="232"/>
      <c r="AN46" s="171"/>
      <c r="AO46" s="171"/>
    </row>
    <row r="47" spans="1:41" x14ac:dyDescent="0.25">
      <c r="A47" s="177"/>
      <c r="B47" s="178" t="str">
        <f t="shared" si="52"/>
        <v>субъект РФ 1</v>
      </c>
      <c r="C47" s="178" t="str">
        <f t="shared" si="52"/>
        <v>ДЗО 1</v>
      </c>
      <c r="D47" s="179" t="str">
        <f t="shared" si="52"/>
        <v>филиал 1</v>
      </c>
      <c r="E47" s="191" t="s">
        <v>194</v>
      </c>
      <c r="F47" s="189"/>
      <c r="G47" s="190"/>
      <c r="H47" s="189"/>
      <c r="I47" s="190"/>
      <c r="J47" s="189"/>
      <c r="K47" s="264"/>
      <c r="L47" s="189">
        <f t="shared" si="37"/>
        <v>0</v>
      </c>
      <c r="M47" s="264">
        <f t="shared" si="38"/>
        <v>0</v>
      </c>
      <c r="N47" s="278"/>
      <c r="O47" s="285"/>
      <c r="P47" s="278"/>
      <c r="Q47" s="279"/>
      <c r="R47" s="256"/>
      <c r="S47" s="278"/>
      <c r="T47" s="285"/>
      <c r="U47" s="278"/>
      <c r="V47" s="279"/>
      <c r="W47" s="256"/>
      <c r="X47" s="189"/>
      <c r="Y47" s="189"/>
      <c r="Z47" s="190"/>
      <c r="AA47" s="181"/>
      <c r="AB47" s="182"/>
      <c r="AC47" s="182"/>
      <c r="AD47" s="183"/>
      <c r="AE47" s="189"/>
      <c r="AF47" s="190"/>
      <c r="AG47" s="190"/>
      <c r="AH47" s="185">
        <f t="shared" si="10"/>
        <v>0</v>
      </c>
      <c r="AI47" s="186" t="str">
        <f t="shared" si="11"/>
        <v/>
      </c>
      <c r="AJ47" s="182"/>
      <c r="AK47" s="182"/>
      <c r="AL47" s="230"/>
      <c r="AM47" s="233"/>
      <c r="AN47" s="191"/>
      <c r="AO47" s="191"/>
    </row>
    <row r="48" spans="1:41" x14ac:dyDescent="0.25">
      <c r="A48" s="177"/>
      <c r="B48" s="178" t="str">
        <f t="shared" si="52"/>
        <v>субъект РФ 1</v>
      </c>
      <c r="C48" s="178" t="str">
        <f t="shared" si="52"/>
        <v>ДЗО 1</v>
      </c>
      <c r="D48" s="179" t="str">
        <f t="shared" si="52"/>
        <v>филиал 1</v>
      </c>
      <c r="E48" s="191" t="s">
        <v>196</v>
      </c>
      <c r="F48" s="189"/>
      <c r="G48" s="190"/>
      <c r="H48" s="189"/>
      <c r="I48" s="190"/>
      <c r="J48" s="189"/>
      <c r="K48" s="264"/>
      <c r="L48" s="189">
        <f t="shared" si="37"/>
        <v>0</v>
      </c>
      <c r="M48" s="264">
        <f t="shared" si="38"/>
        <v>0</v>
      </c>
      <c r="N48" s="278"/>
      <c r="O48" s="285"/>
      <c r="P48" s="278"/>
      <c r="Q48" s="279"/>
      <c r="R48" s="256"/>
      <c r="S48" s="278"/>
      <c r="T48" s="285"/>
      <c r="U48" s="278"/>
      <c r="V48" s="279"/>
      <c r="W48" s="256"/>
      <c r="X48" s="189"/>
      <c r="Y48" s="189"/>
      <c r="Z48" s="190"/>
      <c r="AA48" s="181"/>
      <c r="AB48" s="182"/>
      <c r="AC48" s="182"/>
      <c r="AD48" s="183"/>
      <c r="AE48" s="189"/>
      <c r="AF48" s="190"/>
      <c r="AG48" s="190"/>
      <c r="AH48" s="185">
        <f t="shared" si="10"/>
        <v>0</v>
      </c>
      <c r="AI48" s="186" t="str">
        <f t="shared" si="11"/>
        <v/>
      </c>
      <c r="AJ48" s="182"/>
      <c r="AK48" s="182"/>
      <c r="AL48" s="230"/>
      <c r="AM48" s="233"/>
      <c r="AN48" s="191"/>
      <c r="AO48" s="191"/>
    </row>
    <row r="49" spans="1:41" x14ac:dyDescent="0.25">
      <c r="A49" s="177"/>
      <c r="B49" s="178" t="str">
        <f t="shared" si="52"/>
        <v>субъект РФ 1</v>
      </c>
      <c r="C49" s="178" t="str">
        <f t="shared" si="52"/>
        <v>ДЗО 1</v>
      </c>
      <c r="D49" s="179" t="str">
        <f t="shared" si="52"/>
        <v>филиал 1</v>
      </c>
      <c r="E49" s="191" t="s">
        <v>198</v>
      </c>
      <c r="F49" s="189"/>
      <c r="G49" s="190"/>
      <c r="H49" s="189"/>
      <c r="I49" s="190"/>
      <c r="J49" s="189"/>
      <c r="K49" s="264"/>
      <c r="L49" s="189">
        <f t="shared" si="37"/>
        <v>0</v>
      </c>
      <c r="M49" s="264">
        <f t="shared" si="38"/>
        <v>0</v>
      </c>
      <c r="N49" s="278"/>
      <c r="O49" s="285"/>
      <c r="P49" s="278"/>
      <c r="Q49" s="279"/>
      <c r="R49" s="256"/>
      <c r="S49" s="278"/>
      <c r="T49" s="285"/>
      <c r="U49" s="278"/>
      <c r="V49" s="279"/>
      <c r="W49" s="256"/>
      <c r="X49" s="189"/>
      <c r="Y49" s="189"/>
      <c r="Z49" s="190"/>
      <c r="AA49" s="181"/>
      <c r="AB49" s="182"/>
      <c r="AC49" s="182"/>
      <c r="AD49" s="183"/>
      <c r="AE49" s="189"/>
      <c r="AF49" s="190"/>
      <c r="AG49" s="190"/>
      <c r="AH49" s="185">
        <f t="shared" si="10"/>
        <v>0</v>
      </c>
      <c r="AI49" s="186" t="str">
        <f t="shared" si="11"/>
        <v/>
      </c>
      <c r="AJ49" s="182"/>
      <c r="AK49" s="182"/>
      <c r="AL49" s="230"/>
      <c r="AM49" s="233"/>
      <c r="AN49" s="191"/>
      <c r="AO49" s="191"/>
    </row>
    <row r="50" spans="1:41" x14ac:dyDescent="0.25">
      <c r="A50" s="177"/>
      <c r="B50" s="178" t="str">
        <f t="shared" si="52"/>
        <v>субъект РФ 1</v>
      </c>
      <c r="C50" s="178" t="str">
        <f t="shared" si="52"/>
        <v>ДЗО 1</v>
      </c>
      <c r="D50" s="179" t="str">
        <f t="shared" si="52"/>
        <v>филиал 1</v>
      </c>
      <c r="E50" s="191" t="s">
        <v>229</v>
      </c>
      <c r="F50" s="184"/>
      <c r="G50" s="185"/>
      <c r="H50" s="184">
        <v>0.65518460000000012</v>
      </c>
      <c r="I50" s="185">
        <v>0.65518460000000012</v>
      </c>
      <c r="J50" s="184">
        <v>0.67228360000000054</v>
      </c>
      <c r="K50" s="187">
        <v>0.67228360000000054</v>
      </c>
      <c r="L50" s="184">
        <f t="shared" si="37"/>
        <v>1.3274682000000007</v>
      </c>
      <c r="M50" s="187">
        <f t="shared" si="38"/>
        <v>1.3274682000000007</v>
      </c>
      <c r="N50" s="276">
        <f>потребители!I100/1000000</f>
        <v>5.1289269999999947</v>
      </c>
      <c r="O50" s="284"/>
      <c r="P50" s="276">
        <f>потребители!J100/1000000</f>
        <v>5.1289269999999947</v>
      </c>
      <c r="Q50" s="277">
        <f>потребители!K100/1000000</f>
        <v>4.8942389999999998</v>
      </c>
      <c r="R50" s="317">
        <f t="shared" ref="R50:R51" si="58">Q50-P50</f>
        <v>-0.2346879999999949</v>
      </c>
      <c r="S50" s="276"/>
      <c r="T50" s="284"/>
      <c r="U50" s="276">
        <f>потребители!J100/1000000</f>
        <v>5.1289269999999947</v>
      </c>
      <c r="V50" s="277">
        <f>потребители!K100/1000000</f>
        <v>4.8942389999999998</v>
      </c>
      <c r="W50" s="317">
        <f t="shared" ref="W50:W51" si="59">V50-U50</f>
        <v>-0.2346879999999949</v>
      </c>
      <c r="X50" s="184"/>
      <c r="Y50" s="184"/>
      <c r="Z50" s="185"/>
      <c r="AA50" s="181"/>
      <c r="AB50" s="182"/>
      <c r="AC50" s="182"/>
      <c r="AD50" s="183"/>
      <c r="AE50" s="184"/>
      <c r="AF50" s="185"/>
      <c r="AG50" s="185"/>
      <c r="AH50" s="185">
        <f t="shared" si="10"/>
        <v>0</v>
      </c>
      <c r="AI50" s="186" t="str">
        <f t="shared" si="11"/>
        <v/>
      </c>
      <c r="AJ50" s="182"/>
      <c r="AK50" s="182"/>
      <c r="AL50" s="230"/>
      <c r="AM50" s="233"/>
      <c r="AN50" s="191"/>
      <c r="AO50" s="191"/>
    </row>
    <row r="51" spans="1:41" ht="26.25" x14ac:dyDescent="0.25">
      <c r="A51" s="177"/>
      <c r="B51" s="178" t="str">
        <f t="shared" si="52"/>
        <v>субъект РФ 1</v>
      </c>
      <c r="C51" s="178" t="str">
        <f t="shared" si="52"/>
        <v>ДЗО 1</v>
      </c>
      <c r="D51" s="179" t="str">
        <f t="shared" si="52"/>
        <v>филиал 1</v>
      </c>
      <c r="E51" s="191" t="s">
        <v>230</v>
      </c>
      <c r="F51" s="184"/>
      <c r="G51" s="185"/>
      <c r="H51" s="184">
        <f>H46-H50</f>
        <v>46.852815400000004</v>
      </c>
      <c r="I51" s="184">
        <f t="shared" ref="I51:K51" si="60">I46-I50</f>
        <v>44.181054020000012</v>
      </c>
      <c r="J51" s="184">
        <f t="shared" si="60"/>
        <v>44.442940399999955</v>
      </c>
      <c r="K51" s="255">
        <f t="shared" si="60"/>
        <v>44.469702619999978</v>
      </c>
      <c r="L51" s="184">
        <f t="shared" si="37"/>
        <v>91.295755799999966</v>
      </c>
      <c r="M51" s="255">
        <f t="shared" si="38"/>
        <v>88.650756639999997</v>
      </c>
      <c r="N51" s="276">
        <f>N46-N50</f>
        <v>44.9482328</v>
      </c>
      <c r="O51" s="284"/>
      <c r="P51" s="276">
        <f>P46-P50</f>
        <v>43.278994140000002</v>
      </c>
      <c r="Q51" s="277">
        <f>P51*(1-0.189)</f>
        <v>35.099264247539999</v>
      </c>
      <c r="R51" s="317">
        <f t="shared" si="58"/>
        <v>-8.1797298924600028</v>
      </c>
      <c r="S51" s="276"/>
      <c r="T51" s="284"/>
      <c r="U51" s="276">
        <f>U46-U50</f>
        <v>47.315286</v>
      </c>
      <c r="V51" s="393">
        <f>1.134+9.882+4.64+0.96+1.131-14.958+9.542+11.969+7.413-18.521+16.265+12.07+14.61</f>
        <v>56.137</v>
      </c>
      <c r="W51" s="317">
        <f t="shared" si="59"/>
        <v>8.8217140000000001</v>
      </c>
      <c r="X51" s="184"/>
      <c r="Y51" s="184"/>
      <c r="Z51" s="185"/>
      <c r="AA51" s="181"/>
      <c r="AB51" s="182"/>
      <c r="AC51" s="182"/>
      <c r="AD51" s="183"/>
      <c r="AE51" s="184"/>
      <c r="AF51" s="185"/>
      <c r="AG51" s="185"/>
      <c r="AH51" s="185">
        <f t="shared" si="10"/>
        <v>0</v>
      </c>
      <c r="AI51" s="186" t="str">
        <f t="shared" si="11"/>
        <v/>
      </c>
      <c r="AJ51" s="182"/>
      <c r="AK51" s="182"/>
      <c r="AL51" s="230"/>
      <c r="AM51" s="233"/>
      <c r="AN51" s="191"/>
      <c r="AO51" s="191"/>
    </row>
    <row r="52" spans="1:41" ht="45" x14ac:dyDescent="0.25">
      <c r="A52" s="168" t="s">
        <v>21</v>
      </c>
      <c r="B52" s="169" t="str">
        <f t="shared" si="52"/>
        <v>субъект РФ 1</v>
      </c>
      <c r="C52" s="169" t="str">
        <f t="shared" si="52"/>
        <v>ДЗО 1</v>
      </c>
      <c r="D52" s="170" t="str">
        <f t="shared" si="52"/>
        <v>филиал 1</v>
      </c>
      <c r="E52" s="171" t="s">
        <v>189</v>
      </c>
      <c r="F52" s="172">
        <v>32.248236744480181</v>
      </c>
      <c r="G52" s="173">
        <v>29.385151</v>
      </c>
      <c r="H52" s="172">
        <v>27.271954961610255</v>
      </c>
      <c r="I52" s="173">
        <v>26.286196949999997</v>
      </c>
      <c r="J52" s="172">
        <v>22.243389000000001</v>
      </c>
      <c r="K52" s="175">
        <f>21.928469</f>
        <v>21.928469</v>
      </c>
      <c r="L52" s="172">
        <f t="shared" si="37"/>
        <v>81.763580706090437</v>
      </c>
      <c r="M52" s="175">
        <f t="shared" si="38"/>
        <v>77.59981694999999</v>
      </c>
      <c r="N52" s="274">
        <v>20.473308199999998</v>
      </c>
      <c r="O52" s="283"/>
      <c r="P52" s="274">
        <f>N52/30*29</f>
        <v>19.790864593333332</v>
      </c>
      <c r="Q52" s="275"/>
      <c r="R52" s="254">
        <f>SUM(R53:R57)</f>
        <v>-1.979086459333331</v>
      </c>
      <c r="S52" s="451">
        <f>29385.151/1000</f>
        <v>29.385151</v>
      </c>
      <c r="T52" s="283"/>
      <c r="U52" s="377">
        <f>S52/31*31</f>
        <v>29.385151</v>
      </c>
      <c r="V52" s="376">
        <f>V57</f>
        <v>28.209744959999998</v>
      </c>
      <c r="W52" s="254">
        <f>SUM(W53:W57)</f>
        <v>-1.1754060400000022</v>
      </c>
      <c r="X52" s="172"/>
      <c r="Y52" s="172"/>
      <c r="Z52" s="173"/>
      <c r="AA52" s="138"/>
      <c r="AB52" s="139"/>
      <c r="AC52" s="139"/>
      <c r="AD52" s="140"/>
      <c r="AE52" s="172">
        <f t="shared" ref="AE52:AF52" si="61">SUM(AE53:AE57)</f>
        <v>0</v>
      </c>
      <c r="AF52" s="173">
        <f t="shared" si="61"/>
        <v>0</v>
      </c>
      <c r="AG52" s="173"/>
      <c r="AH52" s="173">
        <f t="shared" si="10"/>
        <v>0</v>
      </c>
      <c r="AI52" s="174" t="str">
        <f t="shared" si="11"/>
        <v/>
      </c>
      <c r="AJ52" s="139"/>
      <c r="AK52" s="139"/>
      <c r="AL52" s="229"/>
      <c r="AM52" s="232"/>
      <c r="AN52" s="171"/>
      <c r="AO52" s="171"/>
    </row>
    <row r="53" spans="1:41" x14ac:dyDescent="0.25">
      <c r="A53" s="177"/>
      <c r="B53" s="178" t="str">
        <f t="shared" si="52"/>
        <v>субъект РФ 1</v>
      </c>
      <c r="C53" s="178" t="str">
        <f t="shared" si="52"/>
        <v>ДЗО 1</v>
      </c>
      <c r="D53" s="179" t="str">
        <f t="shared" si="52"/>
        <v>филиал 1</v>
      </c>
      <c r="E53" s="191" t="s">
        <v>194</v>
      </c>
      <c r="F53" s="184"/>
      <c r="G53" s="185"/>
      <c r="H53" s="184"/>
      <c r="I53" s="185"/>
      <c r="J53" s="184"/>
      <c r="K53" s="187"/>
      <c r="L53" s="184">
        <f t="shared" si="37"/>
        <v>0</v>
      </c>
      <c r="M53" s="187">
        <f t="shared" si="38"/>
        <v>0</v>
      </c>
      <c r="N53" s="276"/>
      <c r="O53" s="284"/>
      <c r="P53" s="276"/>
      <c r="Q53" s="277"/>
      <c r="R53" s="255"/>
      <c r="S53" s="276"/>
      <c r="T53" s="284"/>
      <c r="U53" s="276"/>
      <c r="V53" s="277"/>
      <c r="W53" s="255"/>
      <c r="X53" s="184"/>
      <c r="Y53" s="184"/>
      <c r="Z53" s="185"/>
      <c r="AA53" s="181"/>
      <c r="AB53" s="182"/>
      <c r="AC53" s="182"/>
      <c r="AD53" s="183"/>
      <c r="AE53" s="184"/>
      <c r="AF53" s="185"/>
      <c r="AG53" s="185"/>
      <c r="AH53" s="185">
        <f t="shared" si="10"/>
        <v>0</v>
      </c>
      <c r="AI53" s="186" t="str">
        <f t="shared" si="11"/>
        <v/>
      </c>
      <c r="AJ53" s="182"/>
      <c r="AK53" s="182"/>
      <c r="AL53" s="230"/>
      <c r="AM53" s="233"/>
      <c r="AN53" s="191"/>
      <c r="AO53" s="191"/>
    </row>
    <row r="54" spans="1:41" x14ac:dyDescent="0.25">
      <c r="A54" s="177"/>
      <c r="B54" s="178" t="str">
        <f t="shared" si="52"/>
        <v>субъект РФ 1</v>
      </c>
      <c r="C54" s="178" t="str">
        <f t="shared" si="52"/>
        <v>ДЗО 1</v>
      </c>
      <c r="D54" s="179" t="str">
        <f t="shared" si="52"/>
        <v>филиал 1</v>
      </c>
      <c r="E54" s="191" t="s">
        <v>196</v>
      </c>
      <c r="F54" s="184"/>
      <c r="G54" s="185"/>
      <c r="H54" s="184"/>
      <c r="I54" s="185"/>
      <c r="J54" s="184"/>
      <c r="K54" s="187"/>
      <c r="L54" s="184">
        <f t="shared" si="37"/>
        <v>0</v>
      </c>
      <c r="M54" s="187">
        <f t="shared" si="38"/>
        <v>0</v>
      </c>
      <c r="N54" s="276"/>
      <c r="O54" s="284"/>
      <c r="P54" s="276"/>
      <c r="Q54" s="277"/>
      <c r="R54" s="255"/>
      <c r="S54" s="276"/>
      <c r="T54" s="284"/>
      <c r="U54" s="276"/>
      <c r="V54" s="277"/>
      <c r="W54" s="255"/>
      <c r="X54" s="184"/>
      <c r="Y54" s="184"/>
      <c r="Z54" s="185"/>
      <c r="AA54" s="181"/>
      <c r="AB54" s="182"/>
      <c r="AC54" s="182"/>
      <c r="AD54" s="183"/>
      <c r="AE54" s="184"/>
      <c r="AF54" s="185"/>
      <c r="AG54" s="185"/>
      <c r="AH54" s="185">
        <f t="shared" si="10"/>
        <v>0</v>
      </c>
      <c r="AI54" s="186" t="str">
        <f t="shared" si="11"/>
        <v/>
      </c>
      <c r="AJ54" s="182"/>
      <c r="AK54" s="182"/>
      <c r="AL54" s="230"/>
      <c r="AM54" s="233"/>
      <c r="AN54" s="191"/>
      <c r="AO54" s="191"/>
    </row>
    <row r="55" spans="1:41" x14ac:dyDescent="0.25">
      <c r="A55" s="177"/>
      <c r="B55" s="178" t="str">
        <f t="shared" ref="B55:D64" si="62">B54</f>
        <v>субъект РФ 1</v>
      </c>
      <c r="C55" s="178" t="str">
        <f t="shared" si="62"/>
        <v>ДЗО 1</v>
      </c>
      <c r="D55" s="179" t="str">
        <f t="shared" si="62"/>
        <v>филиал 1</v>
      </c>
      <c r="E55" s="191" t="s">
        <v>198</v>
      </c>
      <c r="F55" s="189"/>
      <c r="G55" s="190"/>
      <c r="H55" s="189"/>
      <c r="I55" s="190"/>
      <c r="J55" s="189"/>
      <c r="K55" s="264"/>
      <c r="L55" s="189">
        <f t="shared" si="37"/>
        <v>0</v>
      </c>
      <c r="M55" s="264">
        <f t="shared" si="38"/>
        <v>0</v>
      </c>
      <c r="N55" s="278"/>
      <c r="O55" s="285"/>
      <c r="P55" s="278"/>
      <c r="Q55" s="279"/>
      <c r="R55" s="256"/>
      <c r="S55" s="278"/>
      <c r="T55" s="285"/>
      <c r="U55" s="278"/>
      <c r="V55" s="279"/>
      <c r="W55" s="256"/>
      <c r="X55" s="189"/>
      <c r="Y55" s="189"/>
      <c r="Z55" s="190"/>
      <c r="AA55" s="181"/>
      <c r="AB55" s="182"/>
      <c r="AC55" s="182"/>
      <c r="AD55" s="183"/>
      <c r="AE55" s="189"/>
      <c r="AF55" s="190"/>
      <c r="AG55" s="190"/>
      <c r="AH55" s="185">
        <f t="shared" si="10"/>
        <v>0</v>
      </c>
      <c r="AI55" s="186" t="str">
        <f t="shared" si="11"/>
        <v/>
      </c>
      <c r="AJ55" s="182"/>
      <c r="AK55" s="182"/>
      <c r="AL55" s="230"/>
      <c r="AM55" s="233"/>
      <c r="AN55" s="191"/>
      <c r="AO55" s="191"/>
    </row>
    <row r="56" spans="1:41" x14ac:dyDescent="0.25">
      <c r="A56" s="177"/>
      <c r="B56" s="178" t="str">
        <f t="shared" si="62"/>
        <v>субъект РФ 1</v>
      </c>
      <c r="C56" s="178" t="str">
        <f t="shared" si="62"/>
        <v>ДЗО 1</v>
      </c>
      <c r="D56" s="179" t="str">
        <f t="shared" si="62"/>
        <v>филиал 1</v>
      </c>
      <c r="E56" s="191" t="s">
        <v>229</v>
      </c>
      <c r="F56" s="184"/>
      <c r="G56" s="185"/>
      <c r="H56" s="184"/>
      <c r="I56" s="185"/>
      <c r="J56" s="184"/>
      <c r="K56" s="187"/>
      <c r="L56" s="184">
        <f t="shared" si="37"/>
        <v>0</v>
      </c>
      <c r="M56" s="187">
        <f t="shared" si="38"/>
        <v>0</v>
      </c>
      <c r="N56" s="276"/>
      <c r="O56" s="284"/>
      <c r="P56" s="276"/>
      <c r="Q56" s="277"/>
      <c r="R56" s="255"/>
      <c r="S56" s="276"/>
      <c r="T56" s="284"/>
      <c r="U56" s="276"/>
      <c r="V56" s="277"/>
      <c r="W56" s="255"/>
      <c r="X56" s="184"/>
      <c r="Y56" s="184"/>
      <c r="Z56" s="185"/>
      <c r="AA56" s="181"/>
      <c r="AB56" s="182"/>
      <c r="AC56" s="182"/>
      <c r="AD56" s="183"/>
      <c r="AE56" s="184"/>
      <c r="AF56" s="185"/>
      <c r="AG56" s="185"/>
      <c r="AH56" s="185">
        <f t="shared" si="10"/>
        <v>0</v>
      </c>
      <c r="AI56" s="186" t="str">
        <f t="shared" si="11"/>
        <v/>
      </c>
      <c r="AJ56" s="182"/>
      <c r="AK56" s="182"/>
      <c r="AL56" s="230"/>
      <c r="AM56" s="233"/>
      <c r="AN56" s="191"/>
      <c r="AO56" s="191"/>
    </row>
    <row r="57" spans="1:41" ht="26.25" x14ac:dyDescent="0.25">
      <c r="A57" s="177"/>
      <c r="B57" s="178" t="str">
        <f t="shared" si="62"/>
        <v>субъект РФ 1</v>
      </c>
      <c r="C57" s="178" t="str">
        <f t="shared" si="62"/>
        <v>ДЗО 1</v>
      </c>
      <c r="D57" s="179" t="str">
        <f t="shared" si="62"/>
        <v>филиал 1</v>
      </c>
      <c r="E57" s="191" t="s">
        <v>230</v>
      </c>
      <c r="F57" s="184"/>
      <c r="G57" s="185"/>
      <c r="H57" s="184">
        <f>H52</f>
        <v>27.271954961610255</v>
      </c>
      <c r="I57" s="184">
        <f>I52</f>
        <v>26.286196949999997</v>
      </c>
      <c r="J57" s="184">
        <f>J52</f>
        <v>22.243389000000001</v>
      </c>
      <c r="K57" s="184">
        <f>K52</f>
        <v>21.928469</v>
      </c>
      <c r="L57" s="184">
        <f t="shared" si="37"/>
        <v>49.515343961610256</v>
      </c>
      <c r="M57" s="184">
        <f t="shared" si="38"/>
        <v>48.214665949999997</v>
      </c>
      <c r="N57" s="276">
        <f>N52</f>
        <v>20.473308199999998</v>
      </c>
      <c r="O57" s="284"/>
      <c r="P57" s="276">
        <f>P52</f>
        <v>19.790864593333332</v>
      </c>
      <c r="Q57" s="277">
        <f>P57*0.9</f>
        <v>17.811778134000001</v>
      </c>
      <c r="R57" s="317">
        <f t="shared" ref="R57:R64" si="63">Q57-P57</f>
        <v>-1.979086459333331</v>
      </c>
      <c r="S57" s="276"/>
      <c r="T57" s="284"/>
      <c r="U57" s="276">
        <f>U52</f>
        <v>29.385151</v>
      </c>
      <c r="V57" s="375">
        <f>U57*0.96</f>
        <v>28.209744959999998</v>
      </c>
      <c r="W57" s="317">
        <f t="shared" ref="W57:W64" si="64">V57-U57</f>
        <v>-1.1754060400000022</v>
      </c>
      <c r="X57" s="184"/>
      <c r="Y57" s="184"/>
      <c r="Z57" s="185"/>
      <c r="AA57" s="181"/>
      <c r="AB57" s="182"/>
      <c r="AC57" s="182"/>
      <c r="AD57" s="183"/>
      <c r="AE57" s="184"/>
      <c r="AF57" s="185"/>
      <c r="AG57" s="185"/>
      <c r="AH57" s="185">
        <f t="shared" si="10"/>
        <v>0</v>
      </c>
      <c r="AI57" s="186" t="str">
        <f t="shared" si="11"/>
        <v/>
      </c>
      <c r="AJ57" s="182"/>
      <c r="AK57" s="182"/>
      <c r="AL57" s="230"/>
      <c r="AM57" s="233"/>
      <c r="AN57" s="191"/>
      <c r="AO57" s="191"/>
    </row>
    <row r="58" spans="1:41" ht="30" x14ac:dyDescent="0.25">
      <c r="A58" s="168" t="s">
        <v>23</v>
      </c>
      <c r="B58" s="169" t="str">
        <f t="shared" si="62"/>
        <v>субъект РФ 1</v>
      </c>
      <c r="C58" s="169" t="str">
        <f t="shared" si="62"/>
        <v>ДЗО 1</v>
      </c>
      <c r="D58" s="170" t="str">
        <f t="shared" si="62"/>
        <v>филиал 1</v>
      </c>
      <c r="E58" s="171" t="s">
        <v>190</v>
      </c>
      <c r="F58" s="172">
        <v>91.108262175040011</v>
      </c>
      <c r="G58" s="173">
        <v>96.278102599999997</v>
      </c>
      <c r="H58" s="172">
        <v>88.228657836961006</v>
      </c>
      <c r="I58" s="173">
        <v>86.097039260000003</v>
      </c>
      <c r="J58" s="173">
        <v>75.140307000000007</v>
      </c>
      <c r="K58" s="175">
        <v>78.107122000000004</v>
      </c>
      <c r="L58" s="173">
        <f t="shared" si="37"/>
        <v>254.47722701200104</v>
      </c>
      <c r="M58" s="175">
        <f t="shared" si="38"/>
        <v>260.48226385999999</v>
      </c>
      <c r="N58" s="274">
        <f>N74</f>
        <v>73.589717999999991</v>
      </c>
      <c r="O58" s="283"/>
      <c r="P58" s="274">
        <f>N58/30*29</f>
        <v>71.136727399999984</v>
      </c>
      <c r="Q58" s="275">
        <f>P58*1.015</f>
        <v>72.203778310999979</v>
      </c>
      <c r="R58" s="254">
        <f t="shared" si="63"/>
        <v>1.0670509109999955</v>
      </c>
      <c r="S58" s="431">
        <f>S74</f>
        <v>96.278102599999997</v>
      </c>
      <c r="T58" s="283"/>
      <c r="U58" s="377">
        <f t="shared" ref="U58:U63" si="65">S58/31*31</f>
        <v>96.278102599999997</v>
      </c>
      <c r="V58" s="376">
        <f>U58*1.01</f>
        <v>97.240883625999999</v>
      </c>
      <c r="W58" s="254">
        <f t="shared" si="64"/>
        <v>0.96278102600000182</v>
      </c>
      <c r="X58" s="192"/>
      <c r="Y58" s="192"/>
      <c r="Z58" s="193"/>
      <c r="AA58" s="138"/>
      <c r="AB58" s="139"/>
      <c r="AC58" s="139"/>
      <c r="AD58" s="140"/>
      <c r="AE58" s="192"/>
      <c r="AF58" s="193"/>
      <c r="AG58" s="193"/>
      <c r="AH58" s="193">
        <f t="shared" si="10"/>
        <v>0</v>
      </c>
      <c r="AI58" s="194" t="str">
        <f t="shared" si="11"/>
        <v/>
      </c>
      <c r="AJ58" s="139"/>
      <c r="AK58" s="139"/>
      <c r="AL58" s="229"/>
      <c r="AM58" s="232"/>
      <c r="AN58" s="171"/>
      <c r="AO58" s="171"/>
    </row>
    <row r="59" spans="1:41" ht="30" x14ac:dyDescent="0.25">
      <c r="A59" s="168" t="s">
        <v>25</v>
      </c>
      <c r="B59" s="169" t="str">
        <f t="shared" si="62"/>
        <v>субъект РФ 1</v>
      </c>
      <c r="C59" s="169" t="str">
        <f t="shared" si="62"/>
        <v>ДЗО 1</v>
      </c>
      <c r="D59" s="170" t="str">
        <f t="shared" si="62"/>
        <v>филиал 1</v>
      </c>
      <c r="E59" s="171" t="s">
        <v>191</v>
      </c>
      <c r="F59" s="172">
        <f>194.6821554-SUM(F79:F86)</f>
        <v>56.9857394</v>
      </c>
      <c r="G59" s="173">
        <f>198.581945-SUM(G79:G87)</f>
        <v>61.847472078678891</v>
      </c>
      <c r="H59" s="172">
        <f>171.457-SUM(H79:H86)</f>
        <v>50.294459999999987</v>
      </c>
      <c r="I59" s="173">
        <f>179.228012-SUM(I79:I86)</f>
        <v>53.635398330000001</v>
      </c>
      <c r="J59" s="172">
        <f>174.324984-SUM(J79:J86)</f>
        <v>44.913094000000001</v>
      </c>
      <c r="K59" s="175">
        <f>167.23386-SUM(K80:K82,K84:K86)</f>
        <v>49.82276447036331</v>
      </c>
      <c r="L59" s="172">
        <f t="shared" si="37"/>
        <v>152.19329339999999</v>
      </c>
      <c r="M59" s="175">
        <f t="shared" si="38"/>
        <v>165.3056348790422</v>
      </c>
      <c r="N59" s="274">
        <f>N77-SUM(N79:N86)</f>
        <v>40.036118499210431</v>
      </c>
      <c r="O59" s="283"/>
      <c r="P59" s="274">
        <f>SUM(P60:P64)</f>
        <v>38.701581215903417</v>
      </c>
      <c r="Q59" s="275">
        <f t="shared" ref="Q59:R59" si="66">SUM(Q60:Q64)</f>
        <v>36.766502155108242</v>
      </c>
      <c r="R59" s="254">
        <f t="shared" si="66"/>
        <v>-1.9350790607951716</v>
      </c>
      <c r="S59" s="274">
        <f>S77-SUM(S79:S86)</f>
        <v>61.847472078678919</v>
      </c>
      <c r="T59" s="283"/>
      <c r="U59" s="377">
        <f t="shared" si="65"/>
        <v>61.847472078678919</v>
      </c>
      <c r="V59" s="376">
        <f t="shared" ref="V59:W59" si="67">SUM(V60:V64)</f>
        <v>63.966896614414686</v>
      </c>
      <c r="W59" s="254">
        <f t="shared" si="67"/>
        <v>2.1194245357357722</v>
      </c>
      <c r="X59" s="172"/>
      <c r="Y59" s="172"/>
      <c r="Z59" s="173"/>
      <c r="AA59" s="138"/>
      <c r="AB59" s="139"/>
      <c r="AC59" s="139"/>
      <c r="AD59" s="140"/>
      <c r="AE59" s="172">
        <f>SUM(AE60:AE64)</f>
        <v>0</v>
      </c>
      <c r="AF59" s="173">
        <f>SUM(AF60:AF64)</f>
        <v>0</v>
      </c>
      <c r="AG59" s="173"/>
      <c r="AH59" s="173">
        <f t="shared" si="10"/>
        <v>0</v>
      </c>
      <c r="AI59" s="174" t="str">
        <f t="shared" si="11"/>
        <v/>
      </c>
      <c r="AJ59" s="139"/>
      <c r="AK59" s="139"/>
      <c r="AL59" s="229"/>
      <c r="AM59" s="232"/>
      <c r="AN59" s="171"/>
      <c r="AO59" s="171"/>
    </row>
    <row r="60" spans="1:41" x14ac:dyDescent="0.25">
      <c r="A60" s="177"/>
      <c r="B60" s="178" t="str">
        <f t="shared" si="62"/>
        <v>субъект РФ 1</v>
      </c>
      <c r="C60" s="178" t="str">
        <f t="shared" si="62"/>
        <v>ДЗО 1</v>
      </c>
      <c r="D60" s="179" t="str">
        <f t="shared" si="62"/>
        <v>филиал 1</v>
      </c>
      <c r="E60" s="191" t="s">
        <v>258</v>
      </c>
      <c r="F60" s="184"/>
      <c r="G60" s="185"/>
      <c r="H60" s="184">
        <v>11.656858999999999</v>
      </c>
      <c r="I60" s="185">
        <v>11.477312000000001</v>
      </c>
      <c r="J60" s="184">
        <v>9.9767089999999996</v>
      </c>
      <c r="K60" s="187">
        <v>10.238469</v>
      </c>
      <c r="L60" s="184">
        <f t="shared" si="37"/>
        <v>21.633567999999997</v>
      </c>
      <c r="M60" s="187">
        <f t="shared" si="38"/>
        <v>21.715781</v>
      </c>
      <c r="N60" s="276">
        <v>9.975994</v>
      </c>
      <c r="O60" s="284"/>
      <c r="P60" s="276">
        <f>N60/30*29</f>
        <v>9.6434608666666666</v>
      </c>
      <c r="Q60" s="277">
        <f>P60*0.95</f>
        <v>9.1612878233333337</v>
      </c>
      <c r="R60" s="255">
        <f t="shared" si="63"/>
        <v>-0.48217304333333288</v>
      </c>
      <c r="S60" s="449">
        <f>'[2]СВ 01_ГЭС'!$D$86/1000</f>
        <v>13.083245999999999</v>
      </c>
      <c r="T60" s="284"/>
      <c r="U60" s="440">
        <f t="shared" si="65"/>
        <v>13.083245999999999</v>
      </c>
      <c r="V60" s="277">
        <f>U60*0.98</f>
        <v>12.82158108</v>
      </c>
      <c r="W60" s="255">
        <f t="shared" si="64"/>
        <v>-0.26166491999999941</v>
      </c>
      <c r="X60" s="184"/>
      <c r="Y60" s="184"/>
      <c r="Z60" s="185"/>
      <c r="AA60" s="181"/>
      <c r="AB60" s="182"/>
      <c r="AC60" s="182"/>
      <c r="AD60" s="183"/>
      <c r="AE60" s="184"/>
      <c r="AF60" s="185"/>
      <c r="AG60" s="185"/>
      <c r="AH60" s="185">
        <f t="shared" si="10"/>
        <v>0</v>
      </c>
      <c r="AI60" s="186" t="str">
        <f t="shared" si="11"/>
        <v/>
      </c>
      <c r="AJ60" s="182"/>
      <c r="AK60" s="182"/>
      <c r="AL60" s="230"/>
      <c r="AM60" s="233"/>
      <c r="AN60" s="191"/>
      <c r="AO60" s="191"/>
    </row>
    <row r="61" spans="1:41" x14ac:dyDescent="0.25">
      <c r="A61" s="177"/>
      <c r="B61" s="178" t="str">
        <f t="shared" si="62"/>
        <v>субъект РФ 1</v>
      </c>
      <c r="C61" s="178" t="str">
        <f t="shared" si="62"/>
        <v>ДЗО 1</v>
      </c>
      <c r="D61" s="179" t="str">
        <f t="shared" si="62"/>
        <v>филиал 1</v>
      </c>
      <c r="E61" s="191" t="s">
        <v>259</v>
      </c>
      <c r="F61" s="184"/>
      <c r="G61" s="185"/>
      <c r="H61" s="184">
        <v>10.406619309235774</v>
      </c>
      <c r="I61" s="185">
        <v>10.710641333374509</v>
      </c>
      <c r="J61" s="184">
        <v>9.975994</v>
      </c>
      <c r="K61" s="187">
        <v>10.579269999999999</v>
      </c>
      <c r="L61" s="184">
        <f t="shared" si="37"/>
        <v>20.382613309235772</v>
      </c>
      <c r="M61" s="187">
        <f t="shared" si="38"/>
        <v>21.289911333374508</v>
      </c>
      <c r="N61" s="276">
        <v>9.9767089999999996</v>
      </c>
      <c r="O61" s="284"/>
      <c r="P61" s="276">
        <f t="shared" ref="P61:P64" si="68">N61/30*29</f>
        <v>9.6441520333333344</v>
      </c>
      <c r="Q61" s="277">
        <f>P61*0.95</f>
        <v>9.1619444316666669</v>
      </c>
      <c r="R61" s="255">
        <f t="shared" si="63"/>
        <v>-0.48220760166666743</v>
      </c>
      <c r="S61" s="450">
        <f>'[2]СВ 01_ГЭС'!$D$66/1000-S84-S85-S86</f>
        <v>12.063600578678859</v>
      </c>
      <c r="T61" s="284"/>
      <c r="U61" s="440">
        <f t="shared" si="65"/>
        <v>12.063600578678859</v>
      </c>
      <c r="V61" s="277">
        <f>U61*1.2</f>
        <v>14.47632069441463</v>
      </c>
      <c r="W61" s="255">
        <f t="shared" si="64"/>
        <v>2.4127201157357714</v>
      </c>
      <c r="X61" s="184"/>
      <c r="Y61" s="184"/>
      <c r="Z61" s="185"/>
      <c r="AA61" s="181"/>
      <c r="AB61" s="182"/>
      <c r="AC61" s="182"/>
      <c r="AD61" s="183"/>
      <c r="AE61" s="184"/>
      <c r="AF61" s="185"/>
      <c r="AG61" s="185"/>
      <c r="AH61" s="185">
        <f t="shared" si="10"/>
        <v>0</v>
      </c>
      <c r="AI61" s="186" t="str">
        <f t="shared" si="11"/>
        <v/>
      </c>
      <c r="AJ61" s="182"/>
      <c r="AK61" s="182"/>
      <c r="AL61" s="230"/>
      <c r="AM61" s="233"/>
      <c r="AN61" s="191"/>
      <c r="AO61" s="191"/>
    </row>
    <row r="62" spans="1:41" x14ac:dyDescent="0.25">
      <c r="A62" s="177"/>
      <c r="B62" s="178" t="str">
        <f t="shared" si="62"/>
        <v>субъект РФ 1</v>
      </c>
      <c r="C62" s="178" t="str">
        <f t="shared" si="62"/>
        <v>ДЗО 1</v>
      </c>
      <c r="D62" s="179" t="str">
        <f t="shared" si="62"/>
        <v>филиал 1</v>
      </c>
      <c r="E62" s="191" t="s">
        <v>260</v>
      </c>
      <c r="F62" s="184"/>
      <c r="G62" s="185"/>
      <c r="H62" s="184">
        <v>3.0051910000000017</v>
      </c>
      <c r="I62" s="185">
        <v>3.0256319999999999</v>
      </c>
      <c r="J62" s="184">
        <v>2.8558650000000001</v>
      </c>
      <c r="K62" s="187">
        <v>2.8060900000000002</v>
      </c>
      <c r="L62" s="184">
        <f t="shared" si="37"/>
        <v>5.8610560000000014</v>
      </c>
      <c r="M62" s="187">
        <f t="shared" si="38"/>
        <v>5.8317220000000001</v>
      </c>
      <c r="N62" s="276">
        <v>2.8558650000000001</v>
      </c>
      <c r="O62" s="284"/>
      <c r="P62" s="276">
        <f t="shared" si="68"/>
        <v>2.7606695000000001</v>
      </c>
      <c r="Q62" s="277">
        <f>P62*0.95</f>
        <v>2.6226360249999998</v>
      </c>
      <c r="R62" s="255">
        <f t="shared" si="63"/>
        <v>-0.13803347500000029</v>
      </c>
      <c r="S62" s="449">
        <f>'[2]СВ 01_ГЭС'!$D$87/1000</f>
        <v>3.1630659999999988</v>
      </c>
      <c r="T62" s="284"/>
      <c r="U62" s="440">
        <f t="shared" si="65"/>
        <v>3.1630659999999988</v>
      </c>
      <c r="V62" s="277">
        <f>U62*0.99</f>
        <v>3.131435339999999</v>
      </c>
      <c r="W62" s="255">
        <f t="shared" si="64"/>
        <v>-3.1630659999999811E-2</v>
      </c>
      <c r="X62" s="184"/>
      <c r="Y62" s="184"/>
      <c r="Z62" s="185"/>
      <c r="AA62" s="181"/>
      <c r="AB62" s="182"/>
      <c r="AC62" s="182"/>
      <c r="AD62" s="183"/>
      <c r="AE62" s="184"/>
      <c r="AF62" s="185"/>
      <c r="AG62" s="185"/>
      <c r="AH62" s="185">
        <f t="shared" si="10"/>
        <v>0</v>
      </c>
      <c r="AI62" s="186" t="str">
        <f t="shared" si="11"/>
        <v/>
      </c>
      <c r="AJ62" s="182"/>
      <c r="AK62" s="182"/>
      <c r="AL62" s="230"/>
      <c r="AM62" s="233"/>
      <c r="AN62" s="191"/>
      <c r="AO62" s="191"/>
    </row>
    <row r="63" spans="1:41" x14ac:dyDescent="0.25">
      <c r="A63" s="177"/>
      <c r="B63" s="178" t="str">
        <f t="shared" si="62"/>
        <v>субъект РФ 1</v>
      </c>
      <c r="C63" s="178" t="str">
        <f t="shared" si="62"/>
        <v>ДЗО 1</v>
      </c>
      <c r="D63" s="179" t="str">
        <f t="shared" si="62"/>
        <v>филиал 1</v>
      </c>
      <c r="E63" s="191" t="s">
        <v>229</v>
      </c>
      <c r="F63" s="184"/>
      <c r="G63" s="185"/>
      <c r="H63" s="184"/>
      <c r="I63" s="185"/>
      <c r="J63" s="184"/>
      <c r="K63" s="187"/>
      <c r="L63" s="184">
        <f t="shared" si="37"/>
        <v>0</v>
      </c>
      <c r="M63" s="187">
        <f t="shared" si="38"/>
        <v>0</v>
      </c>
      <c r="N63" s="276"/>
      <c r="O63" s="284"/>
      <c r="P63" s="276">
        <f t="shared" si="68"/>
        <v>0</v>
      </c>
      <c r="Q63" s="277"/>
      <c r="R63" s="255"/>
      <c r="S63" s="276"/>
      <c r="T63" s="284"/>
      <c r="U63" s="440">
        <f t="shared" si="65"/>
        <v>0</v>
      </c>
      <c r="V63" s="277">
        <f>U63*1</f>
        <v>0</v>
      </c>
      <c r="W63" s="255"/>
      <c r="X63" s="184"/>
      <c r="Y63" s="184"/>
      <c r="Z63" s="185"/>
      <c r="AA63" s="181"/>
      <c r="AB63" s="182"/>
      <c r="AC63" s="182"/>
      <c r="AD63" s="183"/>
      <c r="AE63" s="184"/>
      <c r="AF63" s="185"/>
      <c r="AG63" s="185"/>
      <c r="AH63" s="185">
        <f t="shared" si="10"/>
        <v>0</v>
      </c>
      <c r="AI63" s="186" t="str">
        <f t="shared" si="11"/>
        <v/>
      </c>
      <c r="AJ63" s="182"/>
      <c r="AK63" s="182"/>
      <c r="AL63" s="230"/>
      <c r="AM63" s="233"/>
      <c r="AN63" s="191"/>
      <c r="AO63" s="191"/>
    </row>
    <row r="64" spans="1:41" ht="27" thickBot="1" x14ac:dyDescent="0.3">
      <c r="A64" s="197"/>
      <c r="B64" s="198" t="str">
        <f t="shared" si="62"/>
        <v>субъект РФ 1</v>
      </c>
      <c r="C64" s="198" t="str">
        <f t="shared" si="62"/>
        <v>ДЗО 1</v>
      </c>
      <c r="D64" s="199" t="str">
        <f t="shared" si="62"/>
        <v>филиал 1</v>
      </c>
      <c r="E64" s="200" t="s">
        <v>230</v>
      </c>
      <c r="F64" s="204"/>
      <c r="G64" s="205"/>
      <c r="H64" s="204">
        <f t="shared" ref="H64:O64" si="69">H59-H60-H61-H62</f>
        <v>25.225790690764214</v>
      </c>
      <c r="I64" s="204">
        <f t="shared" si="69"/>
        <v>28.421812996625491</v>
      </c>
      <c r="J64" s="204">
        <f t="shared" si="69"/>
        <v>22.104526</v>
      </c>
      <c r="K64" s="204">
        <f t="shared" si="69"/>
        <v>26.198935470363306</v>
      </c>
      <c r="L64" s="204">
        <f t="shared" si="37"/>
        <v>47.330316690764214</v>
      </c>
      <c r="M64" s="204">
        <f t="shared" si="38"/>
        <v>54.6207484669888</v>
      </c>
      <c r="N64" s="204">
        <f t="shared" si="69"/>
        <v>17.22755049921043</v>
      </c>
      <c r="O64" s="204">
        <f t="shared" si="69"/>
        <v>0</v>
      </c>
      <c r="P64" s="276">
        <f t="shared" si="68"/>
        <v>16.653298815903415</v>
      </c>
      <c r="Q64" s="280">
        <f>P64*(1-0.05)</f>
        <v>15.820633875108244</v>
      </c>
      <c r="R64" s="257">
        <f t="shared" si="63"/>
        <v>-0.83266494079517095</v>
      </c>
      <c r="S64" s="204">
        <f>S59-S60-S61-S62</f>
        <v>33.537559500000057</v>
      </c>
      <c r="T64" s="204"/>
      <c r="U64" s="405">
        <f>U59-U60-U61-U62</f>
        <v>33.537559500000057</v>
      </c>
      <c r="V64" s="277">
        <f>U64*1</f>
        <v>33.537559500000057</v>
      </c>
      <c r="W64" s="257">
        <f t="shared" si="64"/>
        <v>0</v>
      </c>
      <c r="X64" s="204"/>
      <c r="Y64" s="204"/>
      <c r="Z64" s="205"/>
      <c r="AA64" s="201"/>
      <c r="AB64" s="202"/>
      <c r="AC64" s="202"/>
      <c r="AD64" s="203"/>
      <c r="AE64" s="204"/>
      <c r="AF64" s="205"/>
      <c r="AG64" s="205"/>
      <c r="AH64" s="205">
        <f t="shared" si="10"/>
        <v>0</v>
      </c>
      <c r="AI64" s="206" t="str">
        <f t="shared" si="11"/>
        <v/>
      </c>
      <c r="AJ64" s="202"/>
      <c r="AK64" s="202"/>
      <c r="AL64" s="231"/>
      <c r="AM64" s="234"/>
      <c r="AN64" s="200"/>
      <c r="AO64" s="200"/>
    </row>
    <row r="66" spans="4:23" x14ac:dyDescent="0.25">
      <c r="G66" s="133">
        <v>633567704.8599999</v>
      </c>
      <c r="I66" s="133">
        <v>574533994.21000004</v>
      </c>
      <c r="S66" s="133">
        <v>1000</v>
      </c>
    </row>
    <row r="67" spans="4:23" x14ac:dyDescent="0.25">
      <c r="G67" s="133">
        <f>G66/1000/G10</f>
        <v>1526.7439851571207</v>
      </c>
      <c r="I67" s="133">
        <f>I66/1000/I10</f>
        <v>1537.0879831876041</v>
      </c>
    </row>
    <row r="68" spans="4:23" x14ac:dyDescent="0.25">
      <c r="N68" s="388">
        <v>43556</v>
      </c>
      <c r="O68" s="389"/>
      <c r="P68" s="389"/>
      <c r="Q68" s="389"/>
      <c r="R68" s="389"/>
      <c r="S68" s="388">
        <v>43831</v>
      </c>
      <c r="T68" s="390"/>
    </row>
    <row r="69" spans="4:23" x14ac:dyDescent="0.25">
      <c r="E69" s="133" t="s">
        <v>252</v>
      </c>
      <c r="H69" s="133">
        <v>370.08305940000002</v>
      </c>
      <c r="I69" s="133">
        <v>373.78081179999998</v>
      </c>
      <c r="J69" s="133">
        <v>348.31341700000002</v>
      </c>
      <c r="K69" s="133">
        <v>357.75281122000001</v>
      </c>
      <c r="N69" s="133">
        <f>N74+N75+N76+N77</f>
        <v>330.09725800000001</v>
      </c>
      <c r="S69" s="447">
        <f>414979.663/1000</f>
        <v>414.97966300000002</v>
      </c>
    </row>
    <row r="70" spans="4:23" x14ac:dyDescent="0.25">
      <c r="H70" s="259">
        <f t="shared" ref="H70:O70" si="70">H10-H69</f>
        <v>1.7726529381434375E-4</v>
      </c>
      <c r="I70" s="259">
        <f t="shared" si="70"/>
        <v>3.0000023798493203E-8</v>
      </c>
      <c r="J70" s="259">
        <f t="shared" si="70"/>
        <v>0</v>
      </c>
      <c r="K70" s="259">
        <f t="shared" si="70"/>
        <v>-8.088300000002846E-2</v>
      </c>
      <c r="L70" s="259"/>
      <c r="M70" s="259"/>
      <c r="N70" s="260">
        <f t="shared" si="70"/>
        <v>0</v>
      </c>
      <c r="O70" s="259">
        <f t="shared" si="70"/>
        <v>0</v>
      </c>
      <c r="P70" s="259"/>
      <c r="Q70" s="259"/>
      <c r="R70" s="259"/>
      <c r="S70" s="452">
        <f>S10-S69</f>
        <v>-1.3400000000274304E-5</v>
      </c>
      <c r="T70" s="259"/>
      <c r="U70" s="259"/>
      <c r="V70" s="259"/>
      <c r="W70" s="259"/>
    </row>
    <row r="71" spans="4:23" x14ac:dyDescent="0.25">
      <c r="J71" s="258"/>
      <c r="L71" s="258"/>
    </row>
    <row r="73" spans="4:23" x14ac:dyDescent="0.25">
      <c r="S73" s="356"/>
    </row>
    <row r="74" spans="4:23" x14ac:dyDescent="0.25">
      <c r="E74" s="133" t="s">
        <v>238</v>
      </c>
      <c r="F74" s="133">
        <v>91108.262175040014</v>
      </c>
      <c r="G74" s="133">
        <v>96.278102599999997</v>
      </c>
      <c r="H74" s="133">
        <v>88.228657839999997</v>
      </c>
      <c r="I74" s="133">
        <v>86.097039260000003</v>
      </c>
      <c r="J74" s="133">
        <v>75.140307000000007</v>
      </c>
      <c r="K74" s="133">
        <v>78.107122000000004</v>
      </c>
      <c r="N74" s="133">
        <v>73.589717999999991</v>
      </c>
      <c r="S74" s="457">
        <f>96278.1026/1000</f>
        <v>96.278102599999997</v>
      </c>
    </row>
    <row r="75" spans="4:23" x14ac:dyDescent="0.25">
      <c r="E75" s="133" t="s">
        <v>239</v>
      </c>
      <c r="F75" s="133">
        <v>120651.07718235919</v>
      </c>
      <c r="G75" s="133">
        <v>118.26582216999999</v>
      </c>
      <c r="H75" s="133">
        <v>108.7891788</v>
      </c>
      <c r="I75" s="133">
        <v>106.9136336</v>
      </c>
      <c r="J75" s="133">
        <v>97.831563000000003</v>
      </c>
      <c r="K75" s="133">
        <v>99.970804619999996</v>
      </c>
      <c r="N75" s="133">
        <v>94.972103000000004</v>
      </c>
      <c r="S75" s="380">
        <f>120119.6152/1000-S76</f>
        <v>118.3752812</v>
      </c>
    </row>
    <row r="76" spans="4:23" x14ac:dyDescent="0.25">
      <c r="E76" s="133" t="s">
        <v>240</v>
      </c>
      <c r="F76" s="133">
        <v>1810.8680000000002</v>
      </c>
      <c r="G76" s="133">
        <v>1.853793</v>
      </c>
      <c r="H76" s="133">
        <v>1.607464725</v>
      </c>
      <c r="I76" s="133">
        <v>1.542127</v>
      </c>
      <c r="J76" s="133">
        <v>1.0165630000000001</v>
      </c>
      <c r="N76" s="133">
        <v>0.57242700000000002</v>
      </c>
      <c r="S76" s="457">
        <f>1744.334/1000</f>
        <v>1.7443340000000001</v>
      </c>
    </row>
    <row r="77" spans="4:23" x14ac:dyDescent="0.25">
      <c r="E77" s="133" t="s">
        <v>241</v>
      </c>
      <c r="F77" s="133">
        <v>194682.15539999996</v>
      </c>
      <c r="G77" s="133">
        <v>198.58194500000005</v>
      </c>
      <c r="H77" s="133">
        <v>171.45775800000001</v>
      </c>
      <c r="I77" s="133">
        <v>179.22801200000001</v>
      </c>
      <c r="J77" s="133">
        <v>174.324984</v>
      </c>
      <c r="K77" s="133">
        <v>179.67488499999999</v>
      </c>
      <c r="N77" s="133">
        <v>160.96301000000003</v>
      </c>
      <c r="S77" s="457">
        <f>198581.945/1000</f>
        <v>198.58194500000002</v>
      </c>
    </row>
    <row r="78" spans="4:23" x14ac:dyDescent="0.25">
      <c r="J78" s="133">
        <v>0</v>
      </c>
      <c r="S78" s="356"/>
    </row>
    <row r="79" spans="4:23" x14ac:dyDescent="0.25">
      <c r="D79" s="526" t="s">
        <v>242</v>
      </c>
      <c r="E79" s="133" t="s">
        <v>243</v>
      </c>
      <c r="F79" s="133">
        <v>6.3338970000000003</v>
      </c>
      <c r="G79" s="133">
        <v>6.9413919999999996</v>
      </c>
      <c r="H79" s="133">
        <v>6.1535700000000002</v>
      </c>
      <c r="I79" s="133">
        <v>6.8006450000000003</v>
      </c>
      <c r="J79" s="133">
        <v>5.9780800000000003</v>
      </c>
      <c r="K79" s="133">
        <f>[2]ЦЭС!$F$69/1000</f>
        <v>6.7402769999999999</v>
      </c>
      <c r="N79" s="133">
        <v>5.8000959999999999</v>
      </c>
      <c r="S79" s="457">
        <f>[2]ЦЭС!$D$69/1000</f>
        <v>6.9413919999999996</v>
      </c>
    </row>
    <row r="80" spans="4:23" x14ac:dyDescent="0.25">
      <c r="D80" s="526"/>
      <c r="E80" s="133" t="s">
        <v>244</v>
      </c>
      <c r="F80" s="133">
        <v>7.1555000000000007E-2</v>
      </c>
      <c r="G80" s="133">
        <v>7.6221999999999998E-2</v>
      </c>
      <c r="H80" s="133">
        <v>6.5720000000000001E-2</v>
      </c>
      <c r="I80" s="133">
        <v>6.0977999999999997E-2</v>
      </c>
      <c r="J80" s="133">
        <v>6.2689999999999996E-2</v>
      </c>
      <c r="K80" s="261">
        <f>J80</f>
        <v>6.2689999999999996E-2</v>
      </c>
      <c r="M80" s="261"/>
      <c r="N80" s="133">
        <v>6.4986999999999989E-2</v>
      </c>
      <c r="S80" s="457">
        <f>'[2]Система Новая БЭ'!$C$76/1000</f>
        <v>7.6221999999999998E-2</v>
      </c>
    </row>
    <row r="81" spans="4:19" x14ac:dyDescent="0.25">
      <c r="D81" s="526"/>
      <c r="E81" s="133" t="s">
        <v>245</v>
      </c>
      <c r="F81" s="133">
        <v>0.164101</v>
      </c>
      <c r="G81" s="133">
        <v>0.23483600000000002</v>
      </c>
      <c r="H81" s="133">
        <v>0.15029000000000001</v>
      </c>
      <c r="I81" s="133">
        <v>0.18601400000000001</v>
      </c>
      <c r="J81" s="133">
        <v>0.13972000000000001</v>
      </c>
      <c r="K81" s="133">
        <v>0.170402</v>
      </c>
      <c r="N81" s="133">
        <v>0.13004599999999999</v>
      </c>
      <c r="S81" s="457">
        <f>'[2]Система Новая БЭ'!$C$77/1000</f>
        <v>0.23483600000000002</v>
      </c>
    </row>
    <row r="82" spans="4:19" x14ac:dyDescent="0.25">
      <c r="D82" s="526"/>
      <c r="E82" s="133" t="s">
        <v>246</v>
      </c>
      <c r="F82" s="133">
        <v>3.6852100000000001</v>
      </c>
      <c r="G82" s="133">
        <v>2.4429819999999998</v>
      </c>
      <c r="H82" s="133">
        <v>3.4635500000000001</v>
      </c>
      <c r="I82" s="133">
        <v>2.303369</v>
      </c>
      <c r="J82" s="133">
        <v>2.9776699999999998</v>
      </c>
      <c r="K82" s="133">
        <v>4.1800889999999997</v>
      </c>
      <c r="N82" s="133">
        <v>3.1391770000000001</v>
      </c>
      <c r="S82" s="457">
        <f>'[2]Система Новая БЭ'!$C$78/1000</f>
        <v>2.4429819999999998</v>
      </c>
    </row>
    <row r="83" spans="4:19" x14ac:dyDescent="0.25">
      <c r="D83" s="526"/>
      <c r="E83" s="133" t="s">
        <v>493</v>
      </c>
      <c r="F83" s="133">
        <v>6.4017439999999999</v>
      </c>
      <c r="G83" s="133">
        <v>6.2192659999999993</v>
      </c>
      <c r="H83" s="133">
        <v>6.5628299999999999</v>
      </c>
      <c r="I83" s="133">
        <v>6.1533740000000003</v>
      </c>
      <c r="J83" s="133">
        <v>6.4717099999999999</v>
      </c>
      <c r="K83" s="133">
        <v>5.7392979999999998</v>
      </c>
      <c r="N83" s="133">
        <v>6.1847630000000002</v>
      </c>
      <c r="S83" s="457">
        <f>'[2]Система Новая БЭ'!$C$86/1000</f>
        <v>6.2192659999999993</v>
      </c>
    </row>
    <row r="84" spans="4:19" x14ac:dyDescent="0.25">
      <c r="D84" s="526"/>
      <c r="E84" s="133" t="s">
        <v>248</v>
      </c>
      <c r="F84" s="133">
        <v>31.110971000000003</v>
      </c>
      <c r="G84" s="133">
        <v>31.760420684098502</v>
      </c>
      <c r="H84" s="133">
        <v>26.930820000000001</v>
      </c>
      <c r="I84" s="133">
        <v>28.75764152</v>
      </c>
      <c r="J84" s="133">
        <v>29.13879</v>
      </c>
      <c r="K84" s="133">
        <v>29.386809217496104</v>
      </c>
      <c r="N84" s="133">
        <v>27.2769026527316</v>
      </c>
      <c r="S84" s="457">
        <f>'[2]Система Новая БЭ'!$C$88/1000</f>
        <v>31.760420684098502</v>
      </c>
    </row>
    <row r="85" spans="4:19" x14ac:dyDescent="0.25">
      <c r="D85" s="526"/>
      <c r="E85" s="133" t="s">
        <v>249</v>
      </c>
      <c r="F85" s="133">
        <v>1.2232E-2</v>
      </c>
      <c r="G85" s="133">
        <v>2.4286000000000002E-2</v>
      </c>
      <c r="H85" s="133">
        <v>1.1350000000000001E-2</v>
      </c>
      <c r="I85" s="133">
        <v>2.3792000000000001E-2</v>
      </c>
      <c r="J85" s="133">
        <v>1.899E-2</v>
      </c>
      <c r="K85" s="133">
        <v>3.1942999999999999E-2</v>
      </c>
      <c r="N85" s="133">
        <v>3.2756E-2</v>
      </c>
      <c r="S85" s="457">
        <f>'[2]Система Новая БЭ'!$C$89/1000</f>
        <v>2.4286000000000002E-2</v>
      </c>
    </row>
    <row r="86" spans="4:19" x14ac:dyDescent="0.25">
      <c r="D86" s="526"/>
      <c r="E86" s="133" t="s">
        <v>250</v>
      </c>
      <c r="F86" s="133">
        <v>89.916706000000005</v>
      </c>
      <c r="G86" s="133">
        <v>89.035068237222603</v>
      </c>
      <c r="H86" s="133">
        <v>77.82441</v>
      </c>
      <c r="I86" s="133">
        <v>81.306800150000001</v>
      </c>
      <c r="J86" s="133">
        <v>84.62424</v>
      </c>
      <c r="K86" s="133">
        <v>83.579162312140582</v>
      </c>
      <c r="N86" s="133">
        <v>78.298163848057996</v>
      </c>
      <c r="S86" s="457">
        <f>'[2]Система Новая БЭ'!$C$90/1000</f>
        <v>89.035068237222603</v>
      </c>
    </row>
    <row r="88" spans="4:19" x14ac:dyDescent="0.25">
      <c r="R88" s="133" t="s">
        <v>447</v>
      </c>
      <c r="S88" s="356">
        <f>S77-SUM(S79:S86)</f>
        <v>61.847472078678919</v>
      </c>
    </row>
    <row r="90" spans="4:19" x14ac:dyDescent="0.25">
      <c r="N90" s="133">
        <v>1000</v>
      </c>
      <c r="S90" s="133">
        <v>1000</v>
      </c>
    </row>
    <row r="92" spans="4:19" x14ac:dyDescent="0.25">
      <c r="R92" s="133" t="s">
        <v>472</v>
      </c>
      <c r="S92" s="448"/>
    </row>
    <row r="93" spans="4:19" x14ac:dyDescent="0.25">
      <c r="S93" s="356">
        <f>S92-S84-S85-S86</f>
        <v>-120.81977492132111</v>
      </c>
    </row>
  </sheetData>
  <mergeCells count="48">
    <mergeCell ref="D79:D86"/>
    <mergeCell ref="P7:P8"/>
    <mergeCell ref="K7:K8"/>
    <mergeCell ref="F6:G6"/>
    <mergeCell ref="F7:F8"/>
    <mergeCell ref="G7:G8"/>
    <mergeCell ref="H7:H8"/>
    <mergeCell ref="L6:M6"/>
    <mergeCell ref="L7:L8"/>
    <mergeCell ref="M7:M8"/>
    <mergeCell ref="I7:I8"/>
    <mergeCell ref="J7:J8"/>
    <mergeCell ref="H6:I6"/>
    <mergeCell ref="J6:K6"/>
    <mergeCell ref="N6:O6"/>
    <mergeCell ref="N7:N8"/>
    <mergeCell ref="O7:O8"/>
    <mergeCell ref="AN6:AN8"/>
    <mergeCell ref="P6:Q6"/>
    <mergeCell ref="Q7:Q8"/>
    <mergeCell ref="Y6:Z6"/>
    <mergeCell ref="Y7:Y8"/>
    <mergeCell ref="Z7:Z8"/>
    <mergeCell ref="S6:T6"/>
    <mergeCell ref="U6:V6"/>
    <mergeCell ref="V7:V8"/>
    <mergeCell ref="T7:T8"/>
    <mergeCell ref="U7:U8"/>
    <mergeCell ref="S7:S8"/>
    <mergeCell ref="AO6:AO8"/>
    <mergeCell ref="AA7:AA8"/>
    <mergeCell ref="AB7:AB8"/>
    <mergeCell ref="AC7:AD7"/>
    <mergeCell ref="AE7:AE8"/>
    <mergeCell ref="AF7:AF8"/>
    <mergeCell ref="AG7:AG8"/>
    <mergeCell ref="AA6:AD6"/>
    <mergeCell ref="AH7:AI7"/>
    <mergeCell ref="AJ7:AJ8"/>
    <mergeCell ref="AK7:AK8"/>
    <mergeCell ref="AL7:AM7"/>
    <mergeCell ref="AJ6:AM6"/>
    <mergeCell ref="AE6:AI6"/>
    <mergeCell ref="A6:A8"/>
    <mergeCell ref="B6:B8"/>
    <mergeCell ref="C6:C8"/>
    <mergeCell ref="D6:D8"/>
    <mergeCell ref="E6:E8"/>
  </mergeCells>
  <conditionalFormatting sqref="AD10:AD25 AD27:AD31 AD33:AD37 AD39:AD43 AD45:AD49 AD51:AD55 AD57:AD61 AD63:AD64">
    <cfRule type="cellIs" dxfId="95" priority="127" operator="lessThan">
      <formula>0</formula>
    </cfRule>
    <cfRule type="cellIs" dxfId="94" priority="128" operator="greaterThan">
      <formula>0</formula>
    </cfRule>
  </conditionalFormatting>
  <conditionalFormatting sqref="AI10:AI25 AI27:AI31 AI33:AI37 AI39:AI43 AI45:AI49 AI51:AI55 AI57:AI61 AI63:AI64">
    <cfRule type="cellIs" dxfId="93" priority="125" operator="lessThan">
      <formula>0</formula>
    </cfRule>
    <cfRule type="cellIs" dxfId="92" priority="126" operator="greaterThan">
      <formula>0</formula>
    </cfRule>
  </conditionalFormatting>
  <conditionalFormatting sqref="AM10:AM25 AM27:AM31 AM33:AM37 AM39:AM43 AM45:AM49 AM51:AM55 AM57:AM61 AM63:AM64">
    <cfRule type="cellIs" dxfId="91" priority="123" operator="lessThan">
      <formula>0</formula>
    </cfRule>
    <cfRule type="cellIs" dxfId="90" priority="124" operator="greaterThan">
      <formula>0</formula>
    </cfRule>
  </conditionalFormatting>
  <conditionalFormatting sqref="AC10:AC25 AC27:AC31 AC33:AC37 AC39:AC43 AC45:AC49 AC51:AC55 AC57:AC61 AC63:AC64">
    <cfRule type="cellIs" dxfId="89" priority="121" operator="lessThan">
      <formula>0</formula>
    </cfRule>
    <cfRule type="cellIs" dxfId="88" priority="122" operator="greaterThan">
      <formula>0</formula>
    </cfRule>
  </conditionalFormatting>
  <conditionalFormatting sqref="AH10:AH25 AH27:AH31 AH33:AH37 AH39:AH43 AH45:AH49 AH51:AH55 AH57:AH61 AH63:AH64">
    <cfRule type="cellIs" dxfId="87" priority="119" operator="lessThan">
      <formula>0</formula>
    </cfRule>
    <cfRule type="cellIs" dxfId="86" priority="120" operator="greaterThan">
      <formula>0</formula>
    </cfRule>
  </conditionalFormatting>
  <conditionalFormatting sqref="AL10:AL25 AL27:AL31 AL33:AL37 AL39:AL43 AL45:AL49 AL51:AL55 AL57:AL61 AL63:AL64">
    <cfRule type="cellIs" dxfId="85" priority="117" operator="lessThan">
      <formula>0</formula>
    </cfRule>
    <cfRule type="cellIs" dxfId="84" priority="118" operator="greaterThan">
      <formula>0</formula>
    </cfRule>
  </conditionalFormatting>
  <conditionalFormatting sqref="AD26">
    <cfRule type="cellIs" dxfId="83" priority="115" operator="lessThan">
      <formula>0</formula>
    </cfRule>
    <cfRule type="cellIs" dxfId="82" priority="116" operator="greaterThan">
      <formula>0</formula>
    </cfRule>
  </conditionalFormatting>
  <conditionalFormatting sqref="AI26">
    <cfRule type="cellIs" dxfId="81" priority="113" operator="lessThan">
      <formula>0</formula>
    </cfRule>
    <cfRule type="cellIs" dxfId="80" priority="114" operator="greaterThan">
      <formula>0</formula>
    </cfRule>
  </conditionalFormatting>
  <conditionalFormatting sqref="AM26">
    <cfRule type="cellIs" dxfId="79" priority="111" operator="lessThan">
      <formula>0</formula>
    </cfRule>
    <cfRule type="cellIs" dxfId="78" priority="112" operator="greaterThan">
      <formula>0</formula>
    </cfRule>
  </conditionalFormatting>
  <conditionalFormatting sqref="AC26">
    <cfRule type="cellIs" dxfId="77" priority="109" operator="lessThan">
      <formula>0</formula>
    </cfRule>
    <cfRule type="cellIs" dxfId="76" priority="110" operator="greaterThan">
      <formula>0</formula>
    </cfRule>
  </conditionalFormatting>
  <conditionalFormatting sqref="AH26">
    <cfRule type="cellIs" dxfId="75" priority="107" operator="lessThan">
      <formula>0</formula>
    </cfRule>
    <cfRule type="cellIs" dxfId="74" priority="108" operator="greaterThan">
      <formula>0</formula>
    </cfRule>
  </conditionalFormatting>
  <conditionalFormatting sqref="AL26">
    <cfRule type="cellIs" dxfId="73" priority="105" operator="lessThan">
      <formula>0</formula>
    </cfRule>
    <cfRule type="cellIs" dxfId="72" priority="106" operator="greaterThan">
      <formula>0</formula>
    </cfRule>
  </conditionalFormatting>
  <conditionalFormatting sqref="AD32">
    <cfRule type="cellIs" dxfId="71" priority="103" operator="lessThan">
      <formula>0</formula>
    </cfRule>
    <cfRule type="cellIs" dxfId="70" priority="104" operator="greaterThan">
      <formula>0</formula>
    </cfRule>
  </conditionalFormatting>
  <conditionalFormatting sqref="AI32">
    <cfRule type="cellIs" dxfId="69" priority="101" operator="lessThan">
      <formula>0</formula>
    </cfRule>
    <cfRule type="cellIs" dxfId="68" priority="102" operator="greaterThan">
      <formula>0</formula>
    </cfRule>
  </conditionalFormatting>
  <conditionalFormatting sqref="AM32">
    <cfRule type="cellIs" dxfId="67" priority="99" operator="lessThan">
      <formula>0</formula>
    </cfRule>
    <cfRule type="cellIs" dxfId="66" priority="100" operator="greaterThan">
      <formula>0</formula>
    </cfRule>
  </conditionalFormatting>
  <conditionalFormatting sqref="AC32">
    <cfRule type="cellIs" dxfId="65" priority="97" operator="lessThan">
      <formula>0</formula>
    </cfRule>
    <cfRule type="cellIs" dxfId="64" priority="98" operator="greaterThan">
      <formula>0</formula>
    </cfRule>
  </conditionalFormatting>
  <conditionalFormatting sqref="AH32">
    <cfRule type="cellIs" dxfId="63" priority="95" operator="lessThan">
      <formula>0</formula>
    </cfRule>
    <cfRule type="cellIs" dxfId="62" priority="96" operator="greaterThan">
      <formula>0</formula>
    </cfRule>
  </conditionalFormatting>
  <conditionalFormatting sqref="AL32">
    <cfRule type="cellIs" dxfId="61" priority="93" operator="lessThan">
      <formula>0</formula>
    </cfRule>
    <cfRule type="cellIs" dxfId="60" priority="94" operator="greaterThan">
      <formula>0</formula>
    </cfRule>
  </conditionalFormatting>
  <conditionalFormatting sqref="AD38">
    <cfRule type="cellIs" dxfId="59" priority="91" operator="lessThan">
      <formula>0</formula>
    </cfRule>
    <cfRule type="cellIs" dxfId="58" priority="92" operator="greaterThan">
      <formula>0</formula>
    </cfRule>
  </conditionalFormatting>
  <conditionalFormatting sqref="AI38">
    <cfRule type="cellIs" dxfId="57" priority="89" operator="lessThan">
      <formula>0</formula>
    </cfRule>
    <cfRule type="cellIs" dxfId="56" priority="90" operator="greaterThan">
      <formula>0</formula>
    </cfRule>
  </conditionalFormatting>
  <conditionalFormatting sqref="AM38">
    <cfRule type="cellIs" dxfId="55" priority="87" operator="lessThan">
      <formula>0</formula>
    </cfRule>
    <cfRule type="cellIs" dxfId="54" priority="88" operator="greaterThan">
      <formula>0</formula>
    </cfRule>
  </conditionalFormatting>
  <conditionalFormatting sqref="AC38">
    <cfRule type="cellIs" dxfId="53" priority="85" operator="lessThan">
      <formula>0</formula>
    </cfRule>
    <cfRule type="cellIs" dxfId="52" priority="86" operator="greaterThan">
      <formula>0</formula>
    </cfRule>
  </conditionalFormatting>
  <conditionalFormatting sqref="AH38">
    <cfRule type="cellIs" dxfId="51" priority="83" operator="lessThan">
      <formula>0</formula>
    </cfRule>
    <cfRule type="cellIs" dxfId="50" priority="84" operator="greaterThan">
      <formula>0</formula>
    </cfRule>
  </conditionalFormatting>
  <conditionalFormatting sqref="AL38">
    <cfRule type="cellIs" dxfId="49" priority="81" operator="lessThan">
      <formula>0</formula>
    </cfRule>
    <cfRule type="cellIs" dxfId="48" priority="82" operator="greaterThan">
      <formula>0</formula>
    </cfRule>
  </conditionalFormatting>
  <conditionalFormatting sqref="AD44">
    <cfRule type="cellIs" dxfId="47" priority="79" operator="lessThan">
      <formula>0</formula>
    </cfRule>
    <cfRule type="cellIs" dxfId="46" priority="80" operator="greaterThan">
      <formula>0</formula>
    </cfRule>
  </conditionalFormatting>
  <conditionalFormatting sqref="AI44">
    <cfRule type="cellIs" dxfId="45" priority="77" operator="lessThan">
      <formula>0</formula>
    </cfRule>
    <cfRule type="cellIs" dxfId="44" priority="78" operator="greaterThan">
      <formula>0</formula>
    </cfRule>
  </conditionalFormatting>
  <conditionalFormatting sqref="AM44">
    <cfRule type="cellIs" dxfId="43" priority="75" operator="lessThan">
      <formula>0</formula>
    </cfRule>
    <cfRule type="cellIs" dxfId="42" priority="76" operator="greaterThan">
      <formula>0</formula>
    </cfRule>
  </conditionalFormatting>
  <conditionalFormatting sqref="AC44">
    <cfRule type="cellIs" dxfId="41" priority="73" operator="lessThan">
      <formula>0</formula>
    </cfRule>
    <cfRule type="cellIs" dxfId="40" priority="74" operator="greaterThan">
      <formula>0</formula>
    </cfRule>
  </conditionalFormatting>
  <conditionalFormatting sqref="AH44">
    <cfRule type="cellIs" dxfId="39" priority="71" operator="lessThan">
      <formula>0</formula>
    </cfRule>
    <cfRule type="cellIs" dxfId="38" priority="72" operator="greaterThan">
      <formula>0</formula>
    </cfRule>
  </conditionalFormatting>
  <conditionalFormatting sqref="AL44">
    <cfRule type="cellIs" dxfId="37" priority="69" operator="lessThan">
      <formula>0</formula>
    </cfRule>
    <cfRule type="cellIs" dxfId="36" priority="70" operator="greaterThan">
      <formula>0</formula>
    </cfRule>
  </conditionalFormatting>
  <conditionalFormatting sqref="AD50">
    <cfRule type="cellIs" dxfId="35" priority="67" operator="lessThan">
      <formula>0</formula>
    </cfRule>
    <cfRule type="cellIs" dxfId="34" priority="68" operator="greaterThan">
      <formula>0</formula>
    </cfRule>
  </conditionalFormatting>
  <conditionalFormatting sqref="AI50">
    <cfRule type="cellIs" dxfId="33" priority="65" operator="lessThan">
      <formula>0</formula>
    </cfRule>
    <cfRule type="cellIs" dxfId="32" priority="66" operator="greaterThan">
      <formula>0</formula>
    </cfRule>
  </conditionalFormatting>
  <conditionalFormatting sqref="AM50">
    <cfRule type="cellIs" dxfId="31" priority="63" operator="lessThan">
      <formula>0</formula>
    </cfRule>
    <cfRule type="cellIs" dxfId="30" priority="64" operator="greaterThan">
      <formula>0</formula>
    </cfRule>
  </conditionalFormatting>
  <conditionalFormatting sqref="AC50">
    <cfRule type="cellIs" dxfId="29" priority="61" operator="lessThan">
      <formula>0</formula>
    </cfRule>
    <cfRule type="cellIs" dxfId="28" priority="62" operator="greaterThan">
      <formula>0</formula>
    </cfRule>
  </conditionalFormatting>
  <conditionalFormatting sqref="AH50">
    <cfRule type="cellIs" dxfId="27" priority="59" operator="lessThan">
      <formula>0</formula>
    </cfRule>
    <cfRule type="cellIs" dxfId="26" priority="60" operator="greaterThan">
      <formula>0</formula>
    </cfRule>
  </conditionalFormatting>
  <conditionalFormatting sqref="AL50">
    <cfRule type="cellIs" dxfId="25" priority="57" operator="lessThan">
      <formula>0</formula>
    </cfRule>
    <cfRule type="cellIs" dxfId="24" priority="58" operator="greaterThan">
      <formula>0</formula>
    </cfRule>
  </conditionalFormatting>
  <conditionalFormatting sqref="AD56">
    <cfRule type="cellIs" dxfId="23" priority="55" operator="lessThan">
      <formula>0</formula>
    </cfRule>
    <cfRule type="cellIs" dxfId="22" priority="56" operator="greaterThan">
      <formula>0</formula>
    </cfRule>
  </conditionalFormatting>
  <conditionalFormatting sqref="AI56">
    <cfRule type="cellIs" dxfId="21" priority="53" operator="lessThan">
      <formula>0</formula>
    </cfRule>
    <cfRule type="cellIs" dxfId="20" priority="54" operator="greaterThan">
      <formula>0</formula>
    </cfRule>
  </conditionalFormatting>
  <conditionalFormatting sqref="AM56">
    <cfRule type="cellIs" dxfId="19" priority="51" operator="lessThan">
      <formula>0</formula>
    </cfRule>
    <cfRule type="cellIs" dxfId="18" priority="52" operator="greaterThan">
      <formula>0</formula>
    </cfRule>
  </conditionalFormatting>
  <conditionalFormatting sqref="AC56">
    <cfRule type="cellIs" dxfId="17" priority="49" operator="lessThan">
      <formula>0</formula>
    </cfRule>
    <cfRule type="cellIs" dxfId="16" priority="50" operator="greaterThan">
      <formula>0</formula>
    </cfRule>
  </conditionalFormatting>
  <conditionalFormatting sqref="AH56">
    <cfRule type="cellIs" dxfId="15" priority="47" operator="lessThan">
      <formula>0</formula>
    </cfRule>
    <cfRule type="cellIs" dxfId="14" priority="48" operator="greaterThan">
      <formula>0</formula>
    </cfRule>
  </conditionalFormatting>
  <conditionalFormatting sqref="AL56">
    <cfRule type="cellIs" dxfId="13" priority="45" operator="lessThan">
      <formula>0</formula>
    </cfRule>
    <cfRule type="cellIs" dxfId="12" priority="46" operator="greaterThan">
      <formula>0</formula>
    </cfRule>
  </conditionalFormatting>
  <conditionalFormatting sqref="AD62">
    <cfRule type="cellIs" dxfId="11" priority="43" operator="lessThan">
      <formula>0</formula>
    </cfRule>
    <cfRule type="cellIs" dxfId="10" priority="44" operator="greaterThan">
      <formula>0</formula>
    </cfRule>
  </conditionalFormatting>
  <conditionalFormatting sqref="AI62">
    <cfRule type="cellIs" dxfId="9" priority="41" operator="lessThan">
      <formula>0</formula>
    </cfRule>
    <cfRule type="cellIs" dxfId="8" priority="42" operator="greaterThan">
      <formula>0</formula>
    </cfRule>
  </conditionalFormatting>
  <conditionalFormatting sqref="AM62">
    <cfRule type="cellIs" dxfId="7" priority="39" operator="lessThan">
      <formula>0</formula>
    </cfRule>
    <cfRule type="cellIs" dxfId="6" priority="40" operator="greaterThan">
      <formula>0</formula>
    </cfRule>
  </conditionalFormatting>
  <conditionalFormatting sqref="AC62">
    <cfRule type="cellIs" dxfId="5" priority="37" operator="lessThan">
      <formula>0</formula>
    </cfRule>
    <cfRule type="cellIs" dxfId="4" priority="38" operator="greaterThan">
      <formula>0</formula>
    </cfRule>
  </conditionalFormatting>
  <conditionalFormatting sqref="AH62">
    <cfRule type="cellIs" dxfId="3" priority="35" operator="lessThan">
      <formula>0</formula>
    </cfRule>
    <cfRule type="cellIs" dxfId="2" priority="36" operator="greaterThan">
      <formula>0</formula>
    </cfRule>
  </conditionalFormatting>
  <conditionalFormatting sqref="AL62">
    <cfRule type="cellIs" dxfId="1" priority="33" operator="lessThan">
      <formula>0</formula>
    </cfRule>
    <cfRule type="cellIs" dxfId="0" priority="34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4" filterMode="1"/>
  <dimension ref="A1:AO113"/>
  <sheetViews>
    <sheetView zoomScale="90" zoomScaleNormal="90" workbookViewId="0">
      <pane xSplit="8" ySplit="3" topLeftCell="I4" activePane="bottomRight" state="frozenSplit"/>
      <selection activeCell="P2" sqref="P2"/>
      <selection pane="topRight" activeCell="P2" sqref="P2"/>
      <selection pane="bottomLeft" activeCell="P2" sqref="P2"/>
      <selection pane="bottomRight" activeCell="J13" sqref="J13"/>
    </sheetView>
  </sheetViews>
  <sheetFormatPr defaultRowHeight="15" x14ac:dyDescent="0.25"/>
  <cols>
    <col min="3" max="3" width="36.7109375" hidden="1" customWidth="1"/>
    <col min="4" max="4" width="9.42578125" hidden="1" customWidth="1"/>
    <col min="5" max="5" width="38.85546875" customWidth="1"/>
    <col min="6" max="6" width="10.85546875" hidden="1" customWidth="1"/>
    <col min="7" max="7" width="23.5703125" hidden="1" customWidth="1"/>
    <col min="8" max="8" width="19.5703125" hidden="1" customWidth="1"/>
    <col min="9" max="9" width="14" customWidth="1"/>
    <col min="10" max="10" width="15" customWidth="1"/>
    <col min="11" max="11" width="15.42578125" customWidth="1"/>
    <col min="12" max="12" width="15.5703125" customWidth="1"/>
    <col min="13" max="13" width="11.140625" style="287" customWidth="1"/>
    <col min="14" max="21" width="19.42578125" hidden="1" customWidth="1"/>
    <col min="22" max="22" width="11.7109375" hidden="1" customWidth="1"/>
    <col min="23" max="29" width="0" hidden="1" customWidth="1"/>
    <col min="30" max="30" width="11.42578125" style="383" hidden="1" customWidth="1"/>
    <col min="31" max="31" width="9.28515625" style="350" hidden="1" customWidth="1"/>
    <col min="32" max="32" width="0" hidden="1" customWidth="1"/>
    <col min="33" max="34" width="12.42578125" style="306" hidden="1" customWidth="1"/>
    <col min="35" max="37" width="0" hidden="1" customWidth="1"/>
    <col min="39" max="39" width="10.85546875" style="350" customWidth="1"/>
  </cols>
  <sheetData>
    <row r="1" spans="1:41" ht="15.75" x14ac:dyDescent="0.25">
      <c r="I1" s="286" t="s">
        <v>261</v>
      </c>
      <c r="J1" s="445">
        <v>31</v>
      </c>
      <c r="K1" t="s">
        <v>491</v>
      </c>
      <c r="V1">
        <v>17868958.234999999</v>
      </c>
      <c r="W1">
        <v>18556855.914999999</v>
      </c>
      <c r="AA1">
        <v>1000</v>
      </c>
      <c r="AH1" s="306" t="s">
        <v>452</v>
      </c>
    </row>
    <row r="3" spans="1:41" ht="90" x14ac:dyDescent="0.25">
      <c r="C3" s="288" t="s">
        <v>262</v>
      </c>
      <c r="D3" s="288" t="s">
        <v>263</v>
      </c>
      <c r="E3" s="288" t="s">
        <v>264</v>
      </c>
      <c r="F3" s="288" t="s">
        <v>265</v>
      </c>
      <c r="G3" s="288" t="s">
        <v>266</v>
      </c>
      <c r="H3" s="288" t="s">
        <v>267</v>
      </c>
      <c r="I3" s="446" t="s">
        <v>492</v>
      </c>
      <c r="J3" s="435" t="s">
        <v>497</v>
      </c>
      <c r="K3" s="436" t="s">
        <v>498</v>
      </c>
      <c r="L3" s="289" t="s">
        <v>484</v>
      </c>
      <c r="M3" s="290"/>
      <c r="N3" s="291" t="s">
        <v>268</v>
      </c>
      <c r="O3" s="291" t="s">
        <v>269</v>
      </c>
      <c r="P3" s="291" t="s">
        <v>270</v>
      </c>
      <c r="Q3" s="291" t="s">
        <v>271</v>
      </c>
      <c r="R3" s="291" t="s">
        <v>272</v>
      </c>
      <c r="S3" s="291" t="s">
        <v>273</v>
      </c>
      <c r="T3" s="291" t="s">
        <v>274</v>
      </c>
      <c r="U3" s="292" t="s">
        <v>275</v>
      </c>
      <c r="W3" s="367" t="s">
        <v>444</v>
      </c>
      <c r="AD3" s="383" t="s">
        <v>454</v>
      </c>
      <c r="AG3" s="415" t="s">
        <v>453</v>
      </c>
      <c r="AH3" s="410" t="s">
        <v>455</v>
      </c>
      <c r="AJ3" t="s">
        <v>465</v>
      </c>
    </row>
    <row r="4" spans="1:41" ht="15.75" customHeight="1" x14ac:dyDescent="0.25">
      <c r="A4">
        <v>1</v>
      </c>
      <c r="B4" t="s">
        <v>276</v>
      </c>
      <c r="C4" s="293" t="s">
        <v>201</v>
      </c>
      <c r="D4" s="288"/>
      <c r="E4" s="288" t="s">
        <v>277</v>
      </c>
      <c r="F4" s="288"/>
      <c r="G4" s="288"/>
      <c r="H4" s="288"/>
      <c r="I4" s="465"/>
      <c r="J4" s="462">
        <v>112911024.97999999</v>
      </c>
      <c r="K4" s="463">
        <v>112432284.05000001</v>
      </c>
      <c r="L4" s="310">
        <f t="shared" ref="L4:L9" si="0">K4-J4</f>
        <v>-478740.92999997735</v>
      </c>
      <c r="M4" s="374">
        <f>L4/J4</f>
        <v>-4.2399839172904243E-3</v>
      </c>
      <c r="N4" s="296"/>
      <c r="O4" s="291"/>
      <c r="P4" s="291"/>
      <c r="Q4" s="291"/>
      <c r="R4" s="291"/>
      <c r="S4" s="291"/>
      <c r="T4" s="291"/>
      <c r="U4" s="292"/>
      <c r="W4" s="366">
        <v>-1.2156601963235848E-2</v>
      </c>
      <c r="Y4">
        <v>9621269.2650000006</v>
      </c>
      <c r="AA4">
        <f>J4/7</f>
        <v>16130146.425714284</v>
      </c>
      <c r="AB4">
        <f>K4/7</f>
        <v>16061754.864285717</v>
      </c>
      <c r="AD4" s="383">
        <v>1231992.1499999985</v>
      </c>
      <c r="AE4" s="350">
        <v>9.4456398934987224E-2</v>
      </c>
      <c r="AG4" s="411">
        <v>34890411.350000001</v>
      </c>
      <c r="AH4" s="306">
        <v>55643743.445</v>
      </c>
      <c r="AL4">
        <v>5843283.25</v>
      </c>
      <c r="AM4" s="350">
        <v>6.7718713263819341E-2</v>
      </c>
    </row>
    <row r="5" spans="1:41" ht="15.75" customHeight="1" x14ac:dyDescent="0.25">
      <c r="A5">
        <v>1</v>
      </c>
      <c r="B5" t="s">
        <v>276</v>
      </c>
      <c r="C5" s="293" t="s">
        <v>193</v>
      </c>
      <c r="D5" s="293" t="s">
        <v>278</v>
      </c>
      <c r="E5" s="288" t="s">
        <v>401</v>
      </c>
      <c r="F5" s="288"/>
      <c r="G5" s="288"/>
      <c r="H5" s="288"/>
      <c r="I5" s="465">
        <v>6795051</v>
      </c>
      <c r="J5" s="462">
        <v>6795051</v>
      </c>
      <c r="K5" s="463">
        <v>5735297</v>
      </c>
      <c r="L5" s="295">
        <f>K5-J5</f>
        <v>-1059754</v>
      </c>
      <c r="M5" s="290">
        <f t="shared" ref="M5:M68" si="1">L5/J5</f>
        <v>-0.15595968301047336</v>
      </c>
      <c r="N5" s="296"/>
      <c r="O5" s="291"/>
      <c r="P5" s="291"/>
      <c r="Q5" s="291"/>
      <c r="R5" s="291"/>
      <c r="S5" s="291"/>
      <c r="T5" s="291"/>
      <c r="U5" s="292"/>
      <c r="W5" s="366">
        <v>-7.6500831234539601E-2</v>
      </c>
      <c r="AA5">
        <f>AA4*9</f>
        <v>145171317.83142856</v>
      </c>
      <c r="AB5">
        <f>AB4*9</f>
        <v>144555793.77857146</v>
      </c>
      <c r="AD5" s="383">
        <v>-7449.2160243620165</v>
      </c>
      <c r="AE5" s="350">
        <v>-7.9510353618230094E-3</v>
      </c>
      <c r="AG5" s="411">
        <v>2197369</v>
      </c>
      <c r="AH5" s="306">
        <v>3484944</v>
      </c>
      <c r="AL5">
        <v>-122733.73684210517</v>
      </c>
      <c r="AM5" s="350">
        <v>-2.1129313355599696E-2</v>
      </c>
    </row>
    <row r="6" spans="1:41" ht="15.75" customHeight="1" x14ac:dyDescent="0.25">
      <c r="A6">
        <v>1</v>
      </c>
      <c r="B6" t="s">
        <v>276</v>
      </c>
      <c r="C6" s="293" t="s">
        <v>193</v>
      </c>
      <c r="D6" s="293" t="s">
        <v>278</v>
      </c>
      <c r="E6" s="288" t="s">
        <v>279</v>
      </c>
      <c r="F6" s="288"/>
      <c r="G6" s="288"/>
      <c r="H6" s="288"/>
      <c r="I6" s="465">
        <v>3763650</v>
      </c>
      <c r="J6" s="462">
        <v>3763650</v>
      </c>
      <c r="K6" s="463">
        <v>5256196</v>
      </c>
      <c r="L6" s="295">
        <f t="shared" si="0"/>
        <v>1492546</v>
      </c>
      <c r="M6" s="290">
        <f t="shared" si="1"/>
        <v>0.39656875639339473</v>
      </c>
      <c r="N6" s="296"/>
      <c r="O6" s="291"/>
      <c r="P6" s="291"/>
      <c r="Q6" s="291"/>
      <c r="R6" s="291"/>
      <c r="S6" s="291"/>
      <c r="T6" s="291"/>
      <c r="U6" s="292"/>
      <c r="W6" s="366">
        <v>-0.83881019425108272</v>
      </c>
      <c r="AD6" s="383">
        <v>-1652.4852374258153</v>
      </c>
      <c r="AE6" s="350">
        <v>-7.3660810502915786E-2</v>
      </c>
      <c r="AG6" s="411">
        <v>609125</v>
      </c>
      <c r="AH6" s="306">
        <v>639936</v>
      </c>
      <c r="AL6">
        <v>0</v>
      </c>
      <c r="AM6" s="350">
        <v>0</v>
      </c>
    </row>
    <row r="7" spans="1:41" ht="15.75" customHeight="1" x14ac:dyDescent="0.25">
      <c r="A7">
        <v>1</v>
      </c>
      <c r="B7" t="s">
        <v>280</v>
      </c>
      <c r="C7" s="293" t="s">
        <v>193</v>
      </c>
      <c r="D7" s="293" t="s">
        <v>278</v>
      </c>
      <c r="E7" s="288" t="s">
        <v>281</v>
      </c>
      <c r="F7" s="288">
        <v>110</v>
      </c>
      <c r="G7" s="288" t="s">
        <v>282</v>
      </c>
      <c r="H7" s="288">
        <v>13</v>
      </c>
      <c r="I7" s="459">
        <v>3073635</v>
      </c>
      <c r="J7" s="461">
        <f t="shared" ref="J7:J14" si="2">I7</f>
        <v>3073635</v>
      </c>
      <c r="K7" s="464">
        <v>2732998</v>
      </c>
      <c r="L7" s="295">
        <f t="shared" si="0"/>
        <v>-340637</v>
      </c>
      <c r="M7" s="290">
        <f t="shared" si="1"/>
        <v>-0.11082545585276066</v>
      </c>
      <c r="N7" s="296"/>
      <c r="O7" s="291"/>
      <c r="P7" s="291"/>
      <c r="Q7" s="291"/>
      <c r="R7" s="291"/>
      <c r="S7" s="291"/>
      <c r="T7" s="291"/>
      <c r="U7" s="292"/>
      <c r="W7" s="366">
        <v>-0.22122739710737094</v>
      </c>
      <c r="AD7" s="383">
        <v>-249025.54838709673</v>
      </c>
      <c r="AE7" s="350">
        <v>-0.21246308457648455</v>
      </c>
      <c r="AG7" s="411">
        <v>2022440</v>
      </c>
      <c r="AH7" s="306">
        <v>3202196.6666666665</v>
      </c>
      <c r="AL7">
        <v>-1812547</v>
      </c>
      <c r="AM7" s="350">
        <v>-0.24908634063793583</v>
      </c>
      <c r="AO7">
        <f>I7/31*25</f>
        <v>2478737.9032258065</v>
      </c>
    </row>
    <row r="8" spans="1:41" ht="15.75" customHeight="1" x14ac:dyDescent="0.25">
      <c r="A8">
        <v>1</v>
      </c>
      <c r="B8" t="s">
        <v>280</v>
      </c>
      <c r="C8" s="293" t="s">
        <v>193</v>
      </c>
      <c r="D8" s="293" t="s">
        <v>278</v>
      </c>
      <c r="E8" s="288" t="s">
        <v>283</v>
      </c>
      <c r="F8" s="288">
        <v>110</v>
      </c>
      <c r="G8" s="288" t="s">
        <v>284</v>
      </c>
      <c r="H8" s="288">
        <v>2.72</v>
      </c>
      <c r="I8" s="459">
        <v>178120</v>
      </c>
      <c r="J8" s="461">
        <f t="shared" si="2"/>
        <v>178120</v>
      </c>
      <c r="K8" s="464">
        <v>140555</v>
      </c>
      <c r="L8" s="295">
        <f t="shared" si="0"/>
        <v>-37565</v>
      </c>
      <c r="M8" s="290">
        <f t="shared" si="1"/>
        <v>-0.21089714799011902</v>
      </c>
      <c r="N8" s="296"/>
      <c r="O8" s="291"/>
      <c r="P8" s="291"/>
      <c r="Q8" s="291"/>
      <c r="R8" s="291"/>
      <c r="S8" s="291"/>
      <c r="T8" s="291"/>
      <c r="U8" s="292"/>
      <c r="W8" s="366">
        <v>-0.29375693820373211</v>
      </c>
      <c r="AD8" s="383">
        <v>-8687.4838709677424</v>
      </c>
      <c r="AE8" s="350">
        <v>-0.50070556738214977</v>
      </c>
      <c r="AG8" s="411">
        <v>30529</v>
      </c>
      <c r="AH8" s="306">
        <v>48337.583333333336</v>
      </c>
      <c r="AL8">
        <v>-20400</v>
      </c>
      <c r="AM8" s="350">
        <v>-0.18963866397702026</v>
      </c>
    </row>
    <row r="9" spans="1:41" ht="15.75" customHeight="1" x14ac:dyDescent="0.25">
      <c r="A9">
        <v>1</v>
      </c>
      <c r="B9" t="s">
        <v>280</v>
      </c>
      <c r="C9" s="293" t="s">
        <v>193</v>
      </c>
      <c r="D9" s="293" t="s">
        <v>285</v>
      </c>
      <c r="E9" s="288" t="s">
        <v>286</v>
      </c>
      <c r="F9" s="288">
        <v>110</v>
      </c>
      <c r="G9" s="288" t="s">
        <v>287</v>
      </c>
      <c r="H9" s="288">
        <v>4.25</v>
      </c>
      <c r="I9" s="459">
        <v>1174683</v>
      </c>
      <c r="J9" s="461">
        <f t="shared" si="2"/>
        <v>1174683</v>
      </c>
      <c r="K9" s="464">
        <v>1512227</v>
      </c>
      <c r="L9" s="295">
        <f t="shared" si="0"/>
        <v>337544</v>
      </c>
      <c r="M9" s="290">
        <f t="shared" si="1"/>
        <v>0.28734901245697775</v>
      </c>
      <c r="N9" s="296"/>
      <c r="O9" s="291"/>
      <c r="P9" s="291"/>
      <c r="Q9" s="291"/>
      <c r="R9" s="291"/>
      <c r="S9" s="291"/>
      <c r="T9" s="291"/>
      <c r="U9" s="292"/>
      <c r="W9" s="366">
        <v>0.1288937157526539</v>
      </c>
      <c r="AD9" s="383">
        <v>4393.4193548387266</v>
      </c>
      <c r="AE9" s="350">
        <v>3.186232824074791E-2</v>
      </c>
      <c r="AG9" s="411">
        <v>393605</v>
      </c>
      <c r="AH9" s="306">
        <v>623207.91666666663</v>
      </c>
      <c r="AL9">
        <v>-20969</v>
      </c>
      <c r="AM9" s="350">
        <v>-2.4527928899535971E-2</v>
      </c>
    </row>
    <row r="10" spans="1:41" ht="15.75" customHeight="1" x14ac:dyDescent="0.25">
      <c r="A10">
        <v>1</v>
      </c>
      <c r="B10" t="s">
        <v>280</v>
      </c>
      <c r="C10" s="293" t="s">
        <v>193</v>
      </c>
      <c r="D10" s="293" t="s">
        <v>285</v>
      </c>
      <c r="E10" s="288" t="s">
        <v>288</v>
      </c>
      <c r="F10" s="288">
        <v>110</v>
      </c>
      <c r="G10" s="288" t="s">
        <v>289</v>
      </c>
      <c r="H10" s="288">
        <v>9.6999999999999993</v>
      </c>
      <c r="I10" s="459">
        <v>2876616</v>
      </c>
      <c r="J10" s="461">
        <f t="shared" si="2"/>
        <v>2876616</v>
      </c>
      <c r="K10" s="464">
        <v>3308808.7942570648</v>
      </c>
      <c r="L10" s="295">
        <f t="shared" ref="L10:L28" si="3">K10-J10</f>
        <v>432192.79425706482</v>
      </c>
      <c r="M10" s="290">
        <f t="shared" si="1"/>
        <v>0.15024347853765146</v>
      </c>
      <c r="N10" s="296"/>
      <c r="O10" s="291"/>
      <c r="P10" s="291"/>
      <c r="Q10" s="291"/>
      <c r="R10" s="291"/>
      <c r="S10" s="291"/>
      <c r="T10" s="291"/>
      <c r="U10" s="292"/>
      <c r="W10" s="366">
        <v>-0.18896528729923184</v>
      </c>
      <c r="AD10" s="383">
        <v>-125546.90322580654</v>
      </c>
      <c r="AE10" s="350">
        <v>-0.19044537194415864</v>
      </c>
      <c r="AG10" s="411">
        <v>1078870</v>
      </c>
      <c r="AH10" s="306">
        <v>1708210.8333333333</v>
      </c>
      <c r="AL10">
        <v>-946703.00000000047</v>
      </c>
      <c r="AM10" s="350">
        <v>-0.23162556000873954</v>
      </c>
    </row>
    <row r="11" spans="1:41" ht="15.75" customHeight="1" x14ac:dyDescent="0.25">
      <c r="A11">
        <v>1</v>
      </c>
      <c r="B11" t="s">
        <v>280</v>
      </c>
      <c r="C11" s="293" t="s">
        <v>193</v>
      </c>
      <c r="D11" s="293" t="s">
        <v>285</v>
      </c>
      <c r="E11" s="288" t="s">
        <v>290</v>
      </c>
      <c r="F11" s="288">
        <v>110</v>
      </c>
      <c r="G11" s="288" t="s">
        <v>291</v>
      </c>
      <c r="H11" s="288">
        <v>7.7</v>
      </c>
      <c r="I11" s="459">
        <v>4774513</v>
      </c>
      <c r="J11" s="461">
        <f t="shared" si="2"/>
        <v>4774513</v>
      </c>
      <c r="K11" s="464">
        <v>4564659.0000000102</v>
      </c>
      <c r="L11" s="295">
        <f t="shared" si="3"/>
        <v>-209853.99999998976</v>
      </c>
      <c r="M11" s="290">
        <f t="shared" si="1"/>
        <v>-4.3952964417520647E-2</v>
      </c>
      <c r="N11" s="296"/>
      <c r="O11" s="291"/>
      <c r="P11" s="291"/>
      <c r="Q11" s="291"/>
      <c r="R11" s="291"/>
      <c r="S11" s="291"/>
      <c r="T11" s="291"/>
      <c r="U11" s="292"/>
      <c r="W11" s="366">
        <v>-0.18394009964469091</v>
      </c>
      <c r="AD11" s="383">
        <v>-234452.22580645164</v>
      </c>
      <c r="AE11" s="350">
        <v>-0.36928401362099611</v>
      </c>
      <c r="AG11" s="411">
        <v>897720</v>
      </c>
      <c r="AH11" s="306">
        <v>1421390</v>
      </c>
      <c r="AL11">
        <v>-1380228.0000000377</v>
      </c>
      <c r="AM11" s="350">
        <v>-0.35064309514882536</v>
      </c>
    </row>
    <row r="12" spans="1:41" ht="15.75" customHeight="1" x14ac:dyDescent="0.25">
      <c r="A12">
        <v>1</v>
      </c>
      <c r="B12" t="s">
        <v>280</v>
      </c>
      <c r="C12" s="293" t="s">
        <v>193</v>
      </c>
      <c r="D12" s="293" t="s">
        <v>278</v>
      </c>
      <c r="E12" s="288" t="s">
        <v>292</v>
      </c>
      <c r="F12" s="288">
        <v>110</v>
      </c>
      <c r="G12" s="288" t="s">
        <v>282</v>
      </c>
      <c r="H12" s="288">
        <v>4.048</v>
      </c>
      <c r="I12" s="437">
        <v>129045</v>
      </c>
      <c r="J12" s="461">
        <f t="shared" si="2"/>
        <v>129045</v>
      </c>
      <c r="K12" s="464">
        <v>139954</v>
      </c>
      <c r="L12" s="437">
        <f t="shared" si="3"/>
        <v>10909</v>
      </c>
      <c r="M12" s="438">
        <f t="shared" si="1"/>
        <v>8.453640203029951E-2</v>
      </c>
      <c r="N12" s="296"/>
      <c r="O12" s="291"/>
      <c r="P12" s="291"/>
      <c r="Q12" s="291"/>
      <c r="R12" s="291"/>
      <c r="S12" s="291"/>
      <c r="T12" s="291"/>
      <c r="U12" s="292"/>
      <c r="W12" s="366">
        <v>0.32637869519565799</v>
      </c>
      <c r="AD12" s="383">
        <v>-6205.0322580645152</v>
      </c>
      <c r="AE12" s="350">
        <v>-0.16685113543708688</v>
      </c>
      <c r="AG12" s="411">
        <v>53166</v>
      </c>
      <c r="AH12" s="306">
        <v>84179.5</v>
      </c>
      <c r="AL12">
        <v>-55496</v>
      </c>
      <c r="AM12" s="350">
        <v>-0.24068837499783147</v>
      </c>
    </row>
    <row r="13" spans="1:41" ht="15.75" customHeight="1" x14ac:dyDescent="0.25">
      <c r="A13">
        <v>1</v>
      </c>
      <c r="B13" t="s">
        <v>280</v>
      </c>
      <c r="C13" s="293" t="s">
        <v>193</v>
      </c>
      <c r="D13" s="293" t="s">
        <v>278</v>
      </c>
      <c r="E13" s="288" t="s">
        <v>293</v>
      </c>
      <c r="F13" s="288">
        <v>110</v>
      </c>
      <c r="G13" s="288" t="s">
        <v>294</v>
      </c>
      <c r="H13" s="288">
        <v>3.6360000000000001</v>
      </c>
      <c r="I13" s="459">
        <v>323420</v>
      </c>
      <c r="J13" s="461">
        <f t="shared" si="2"/>
        <v>323420</v>
      </c>
      <c r="K13" s="466">
        <v>305768</v>
      </c>
      <c r="L13" s="295">
        <f t="shared" si="3"/>
        <v>-17652</v>
      </c>
      <c r="M13" s="290">
        <f t="shared" si="1"/>
        <v>-5.4579184960732177E-2</v>
      </c>
      <c r="N13" s="296"/>
      <c r="O13" s="291"/>
      <c r="P13" s="291"/>
      <c r="Q13" s="291"/>
      <c r="R13" s="291"/>
      <c r="S13" s="291"/>
      <c r="T13" s="291"/>
      <c r="U13" s="292"/>
      <c r="W13" s="366">
        <v>-0.21785493154768729</v>
      </c>
      <c r="AD13" s="383">
        <v>-17661.967741935485</v>
      </c>
      <c r="AE13" s="350">
        <v>-0.48674374258244324</v>
      </c>
      <c r="AG13" s="411">
        <v>50669</v>
      </c>
      <c r="AH13" s="306">
        <v>80225.916666666672</v>
      </c>
      <c r="AL13">
        <v>-83599</v>
      </c>
      <c r="AM13" s="350">
        <v>-0.34209029491318743</v>
      </c>
    </row>
    <row r="14" spans="1:41" ht="15.75" customHeight="1" x14ac:dyDescent="0.25">
      <c r="A14">
        <v>1</v>
      </c>
      <c r="B14" t="s">
        <v>280</v>
      </c>
      <c r="C14" s="293" t="s">
        <v>193</v>
      </c>
      <c r="D14" s="293" t="s">
        <v>278</v>
      </c>
      <c r="E14" s="288" t="s">
        <v>295</v>
      </c>
      <c r="F14" s="288">
        <v>110</v>
      </c>
      <c r="G14" s="288" t="s">
        <v>282</v>
      </c>
      <c r="H14" s="288">
        <v>5.5069999999999997</v>
      </c>
      <c r="I14" s="459">
        <v>530851</v>
      </c>
      <c r="J14" s="461">
        <f t="shared" si="2"/>
        <v>530851</v>
      </c>
      <c r="K14" s="466">
        <v>527028.04</v>
      </c>
      <c r="L14" s="295">
        <f t="shared" si="3"/>
        <v>-3822.9599999999627</v>
      </c>
      <c r="M14" s="290">
        <f t="shared" si="1"/>
        <v>-7.2015688017917695E-3</v>
      </c>
      <c r="N14" s="296"/>
      <c r="O14" s="291"/>
      <c r="P14" s="291"/>
      <c r="Q14" s="291"/>
      <c r="R14" s="291"/>
      <c r="S14" s="291"/>
      <c r="T14" s="291"/>
      <c r="U14" s="292"/>
      <c r="W14" s="366">
        <v>0.17356543900032884</v>
      </c>
      <c r="AD14" s="383">
        <v>-50.51612903225805</v>
      </c>
      <c r="AE14" s="350">
        <v>-1.9102220053671622E-2</v>
      </c>
      <c r="AG14" s="411">
        <v>7029</v>
      </c>
      <c r="AH14" s="306">
        <v>11129.25</v>
      </c>
      <c r="AL14">
        <v>-178</v>
      </c>
      <c r="AM14" s="350">
        <v>-1.099444101297097E-2</v>
      </c>
    </row>
    <row r="15" spans="1:41" s="297" customFormat="1" ht="15.75" hidden="1" customHeight="1" x14ac:dyDescent="0.25">
      <c r="B15" s="297" t="s">
        <v>296</v>
      </c>
      <c r="C15" s="298" t="s">
        <v>193</v>
      </c>
      <c r="D15" s="298" t="s">
        <v>297</v>
      </c>
      <c r="E15" s="299" t="s">
        <v>298</v>
      </c>
      <c r="F15" s="299" t="s">
        <v>299</v>
      </c>
      <c r="G15" s="299" t="s">
        <v>300</v>
      </c>
      <c r="H15" s="299">
        <v>2011</v>
      </c>
      <c r="I15" s="300"/>
      <c r="J15" s="422">
        <f t="shared" ref="J15:J68" si="4">I15/31*$J$1</f>
        <v>0</v>
      </c>
      <c r="K15" s="423">
        <f t="shared" ref="K15:K68" si="5">AH15/19*24</f>
        <v>0</v>
      </c>
      <c r="L15" s="301">
        <f t="shared" si="3"/>
        <v>0</v>
      </c>
      <c r="M15" s="302" t="e">
        <f t="shared" si="1"/>
        <v>#DIV/0!</v>
      </c>
      <c r="N15" s="303"/>
      <c r="O15" s="304"/>
      <c r="P15" s="291">
        <f t="shared" ref="P15:P68" si="6">J15/22*29</f>
        <v>0</v>
      </c>
      <c r="Q15" s="291">
        <f t="shared" ref="Q15:Q68" si="7">K15/22*29</f>
        <v>0</v>
      </c>
      <c r="R15" s="304"/>
      <c r="S15" s="304"/>
      <c r="T15" s="304"/>
      <c r="U15" s="305"/>
      <c r="AD15" s="297">
        <v>0</v>
      </c>
      <c r="AE15" s="297" t="e">
        <v>#DIV/0!</v>
      </c>
      <c r="AG15" s="416"/>
      <c r="AL15" s="297">
        <v>0</v>
      </c>
      <c r="AM15" s="428" t="e">
        <v>#DIV/0!</v>
      </c>
      <c r="AN15" s="297">
        <f t="shared" ref="AN15:AN18" si="8">K15/9*16</f>
        <v>0</v>
      </c>
    </row>
    <row r="16" spans="1:41" s="297" customFormat="1" ht="15.75" hidden="1" customHeight="1" x14ac:dyDescent="0.25">
      <c r="B16" s="297" t="s">
        <v>296</v>
      </c>
      <c r="C16" s="298" t="s">
        <v>193</v>
      </c>
      <c r="D16" s="298" t="s">
        <v>297</v>
      </c>
      <c r="E16" s="299" t="s">
        <v>298</v>
      </c>
      <c r="F16" s="299" t="s">
        <v>299</v>
      </c>
      <c r="G16" s="299" t="s">
        <v>301</v>
      </c>
      <c r="H16" s="299">
        <v>2011</v>
      </c>
      <c r="I16" s="300"/>
      <c r="J16" s="422">
        <f t="shared" si="4"/>
        <v>0</v>
      </c>
      <c r="K16" s="423">
        <f t="shared" si="5"/>
        <v>0</v>
      </c>
      <c r="L16" s="301">
        <f t="shared" si="3"/>
        <v>0</v>
      </c>
      <c r="M16" s="302" t="e">
        <f t="shared" si="1"/>
        <v>#DIV/0!</v>
      </c>
      <c r="N16" s="303"/>
      <c r="O16" s="304"/>
      <c r="P16" s="291">
        <f t="shared" si="6"/>
        <v>0</v>
      </c>
      <c r="Q16" s="291">
        <f t="shared" si="7"/>
        <v>0</v>
      </c>
      <c r="R16" s="304"/>
      <c r="S16" s="304"/>
      <c r="T16" s="304"/>
      <c r="U16" s="305"/>
      <c r="AD16" s="297">
        <v>0</v>
      </c>
      <c r="AE16" s="297" t="e">
        <v>#DIV/0!</v>
      </c>
      <c r="AG16" s="416"/>
      <c r="AL16" s="297">
        <v>0</v>
      </c>
      <c r="AM16" s="428" t="e">
        <v>#DIV/0!</v>
      </c>
      <c r="AN16" s="297">
        <f t="shared" si="8"/>
        <v>0</v>
      </c>
    </row>
    <row r="17" spans="1:40" s="297" customFormat="1" ht="15.75" hidden="1" customHeight="1" x14ac:dyDescent="0.25">
      <c r="B17" s="297" t="s">
        <v>296</v>
      </c>
      <c r="C17" s="298" t="s">
        <v>193</v>
      </c>
      <c r="D17" s="298" t="s">
        <v>297</v>
      </c>
      <c r="E17" s="299" t="s">
        <v>298</v>
      </c>
      <c r="F17" s="299" t="s">
        <v>299</v>
      </c>
      <c r="G17" s="299" t="s">
        <v>302</v>
      </c>
      <c r="H17" s="299">
        <v>2011</v>
      </c>
      <c r="I17" s="300"/>
      <c r="J17" s="422">
        <f t="shared" si="4"/>
        <v>0</v>
      </c>
      <c r="K17" s="423">
        <f t="shared" si="5"/>
        <v>0</v>
      </c>
      <c r="L17" s="301">
        <f t="shared" si="3"/>
        <v>0</v>
      </c>
      <c r="M17" s="302" t="e">
        <f t="shared" si="1"/>
        <v>#DIV/0!</v>
      </c>
      <c r="N17" s="303"/>
      <c r="O17" s="304"/>
      <c r="P17" s="291">
        <f t="shared" si="6"/>
        <v>0</v>
      </c>
      <c r="Q17" s="291">
        <f t="shared" si="7"/>
        <v>0</v>
      </c>
      <c r="R17" s="304"/>
      <c r="S17" s="304"/>
      <c r="T17" s="304"/>
      <c r="U17" s="305"/>
      <c r="AD17" s="297">
        <v>0</v>
      </c>
      <c r="AE17" s="297" t="e">
        <v>#DIV/0!</v>
      </c>
      <c r="AG17" s="416"/>
      <c r="AL17" s="297">
        <v>0</v>
      </c>
      <c r="AM17" s="428" t="e">
        <v>#DIV/0!</v>
      </c>
      <c r="AN17" s="297">
        <f t="shared" si="8"/>
        <v>0</v>
      </c>
    </row>
    <row r="18" spans="1:40" s="297" customFormat="1" ht="15.75" hidden="1" customHeight="1" x14ac:dyDescent="0.25">
      <c r="B18" s="297" t="s">
        <v>296</v>
      </c>
      <c r="C18" s="298" t="s">
        <v>193</v>
      </c>
      <c r="D18" s="298" t="s">
        <v>297</v>
      </c>
      <c r="E18" s="299" t="s">
        <v>298</v>
      </c>
      <c r="F18" s="299" t="s">
        <v>299</v>
      </c>
      <c r="G18" s="299" t="s">
        <v>303</v>
      </c>
      <c r="H18" s="299">
        <v>2011</v>
      </c>
      <c r="I18" s="300"/>
      <c r="J18" s="422">
        <f t="shared" si="4"/>
        <v>0</v>
      </c>
      <c r="K18" s="423">
        <f t="shared" si="5"/>
        <v>0</v>
      </c>
      <c r="L18" s="301">
        <f t="shared" si="3"/>
        <v>0</v>
      </c>
      <c r="M18" s="302" t="e">
        <f t="shared" si="1"/>
        <v>#DIV/0!</v>
      </c>
      <c r="N18" s="303"/>
      <c r="O18" s="304"/>
      <c r="P18" s="291">
        <f t="shared" si="6"/>
        <v>0</v>
      </c>
      <c r="Q18" s="291">
        <f t="shared" si="7"/>
        <v>0</v>
      </c>
      <c r="R18" s="304"/>
      <c r="S18" s="304"/>
      <c r="T18" s="304"/>
      <c r="U18" s="305"/>
      <c r="AD18" s="297">
        <v>0</v>
      </c>
      <c r="AE18" s="297" t="e">
        <v>#DIV/0!</v>
      </c>
      <c r="AG18" s="416"/>
      <c r="AL18" s="297">
        <v>0</v>
      </c>
      <c r="AM18" s="428" t="e">
        <v>#DIV/0!</v>
      </c>
      <c r="AN18" s="297">
        <f t="shared" si="8"/>
        <v>0</v>
      </c>
    </row>
    <row r="19" spans="1:40" ht="15.75" customHeight="1" x14ac:dyDescent="0.25">
      <c r="A19">
        <v>1</v>
      </c>
      <c r="B19" t="s">
        <v>296</v>
      </c>
      <c r="C19" s="293" t="s">
        <v>193</v>
      </c>
      <c r="D19" s="293" t="s">
        <v>297</v>
      </c>
      <c r="E19" s="288" t="s">
        <v>304</v>
      </c>
      <c r="F19" s="288"/>
      <c r="G19" s="288"/>
      <c r="H19" s="288"/>
      <c r="I19" s="458">
        <v>317060</v>
      </c>
      <c r="J19" s="460">
        <f>I19/31*$J$1</f>
        <v>317060</v>
      </c>
      <c r="K19" s="467">
        <v>265358</v>
      </c>
      <c r="L19" s="295">
        <f t="shared" si="3"/>
        <v>-51702</v>
      </c>
      <c r="M19" s="290">
        <f t="shared" si="1"/>
        <v>-0.16306692739544565</v>
      </c>
      <c r="N19" s="296"/>
      <c r="O19" s="291"/>
      <c r="P19" s="291"/>
      <c r="Q19" s="291"/>
      <c r="R19" s="291"/>
      <c r="S19" s="291"/>
      <c r="T19" s="291"/>
      <c r="U19" s="292"/>
      <c r="W19" s="366">
        <v>1.1490536210933844E-2</v>
      </c>
      <c r="AA19">
        <v>85658</v>
      </c>
      <c r="AB19">
        <f>AA19/7</f>
        <v>12236.857142857143</v>
      </c>
      <c r="AC19">
        <f>AB19*9</f>
        <v>110131.71428571429</v>
      </c>
      <c r="AD19" s="383">
        <v>10554.548387096773</v>
      </c>
      <c r="AE19" s="350">
        <v>0.15724553229220981</v>
      </c>
      <c r="AG19" s="411">
        <v>186422.39999999999</v>
      </c>
      <c r="AH19" s="306">
        <v>295168.8</v>
      </c>
      <c r="AJ19" s="306">
        <v>31943</v>
      </c>
      <c r="AK19">
        <f>AJ19/2*9</f>
        <v>143743.5</v>
      </c>
      <c r="AL19">
        <v>48322</v>
      </c>
      <c r="AM19" s="350">
        <v>0.11611594774037433</v>
      </c>
    </row>
    <row r="20" spans="1:40" ht="15.75" customHeight="1" x14ac:dyDescent="0.25">
      <c r="A20">
        <v>1</v>
      </c>
      <c r="B20" t="s">
        <v>296</v>
      </c>
      <c r="C20" s="293" t="s">
        <v>188</v>
      </c>
      <c r="D20" s="293" t="s">
        <v>297</v>
      </c>
      <c r="E20" s="288" t="s">
        <v>305</v>
      </c>
      <c r="F20" s="288" t="s">
        <v>306</v>
      </c>
      <c r="G20" s="288" t="s">
        <v>307</v>
      </c>
      <c r="H20" s="288">
        <v>1300</v>
      </c>
      <c r="I20" s="437">
        <v>229658</v>
      </c>
      <c r="J20" s="460">
        <f>I20/31*$J$1</f>
        <v>229658</v>
      </c>
      <c r="K20" s="467">
        <v>161432</v>
      </c>
      <c r="L20" s="295">
        <f t="shared" si="3"/>
        <v>-68226</v>
      </c>
      <c r="M20" s="290">
        <f t="shared" si="1"/>
        <v>-0.29707652248125471</v>
      </c>
      <c r="N20" s="296"/>
      <c r="O20" s="291"/>
      <c r="P20" s="291"/>
      <c r="Q20" s="291"/>
      <c r="R20" s="291"/>
      <c r="S20" s="291"/>
      <c r="T20" s="291"/>
      <c r="U20" s="292"/>
      <c r="W20" s="366">
        <v>-0.76316387701346333</v>
      </c>
      <c r="AA20">
        <v>20106</v>
      </c>
      <c r="AB20">
        <f t="shared" ref="AB20:AB28" si="9">AA20/7</f>
        <v>2872.2857142857142</v>
      </c>
      <c r="AC20">
        <f t="shared" ref="AC20:AC28" si="10">AB20*9</f>
        <v>25850.571428571428</v>
      </c>
      <c r="AD20" s="383">
        <v>-17082.580645161295</v>
      </c>
      <c r="AE20" s="350">
        <v>-0.43686581200811769</v>
      </c>
      <c r="AG20" s="411">
        <v>52848</v>
      </c>
      <c r="AH20" s="306">
        <v>83676</v>
      </c>
      <c r="AJ20" s="306">
        <v>14580</v>
      </c>
      <c r="AK20">
        <f>AJ20/2*9</f>
        <v>65610</v>
      </c>
      <c r="AL20">
        <v>-131903</v>
      </c>
      <c r="AM20" s="350">
        <v>-0.54407348743585937</v>
      </c>
    </row>
    <row r="21" spans="1:40" s="297" customFormat="1" ht="15.75" hidden="1" customHeight="1" x14ac:dyDescent="0.25">
      <c r="B21" s="297" t="s">
        <v>296</v>
      </c>
      <c r="C21" s="298" t="s">
        <v>188</v>
      </c>
      <c r="D21" s="298" t="s">
        <v>297</v>
      </c>
      <c r="E21" s="299" t="s">
        <v>308</v>
      </c>
      <c r="F21" s="299" t="s">
        <v>306</v>
      </c>
      <c r="G21" s="299" t="s">
        <v>309</v>
      </c>
      <c r="H21" s="299">
        <v>2400</v>
      </c>
      <c r="I21" s="300"/>
      <c r="J21" s="295">
        <f t="shared" ref="J21:J22" si="11">I21/31*$J$1</f>
        <v>0</v>
      </c>
      <c r="K21" s="423">
        <f t="shared" si="5"/>
        <v>0</v>
      </c>
      <c r="L21" s="301">
        <f t="shared" si="3"/>
        <v>0</v>
      </c>
      <c r="M21" s="302" t="e">
        <f t="shared" si="1"/>
        <v>#DIV/0!</v>
      </c>
      <c r="N21" s="303"/>
      <c r="O21" s="304"/>
      <c r="P21" s="291">
        <f t="shared" si="6"/>
        <v>0</v>
      </c>
      <c r="Q21" s="291">
        <f t="shared" si="7"/>
        <v>0</v>
      </c>
      <c r="R21" s="304"/>
      <c r="S21" s="304"/>
      <c r="T21" s="304"/>
      <c r="U21" s="305"/>
      <c r="AA21" s="297">
        <v>19309</v>
      </c>
      <c r="AB21" s="297">
        <f t="shared" si="9"/>
        <v>2758.4285714285716</v>
      </c>
      <c r="AC21" s="297">
        <f t="shared" si="10"/>
        <v>24825.857142857145</v>
      </c>
      <c r="AD21" s="297">
        <v>0</v>
      </c>
      <c r="AE21" s="297" t="e">
        <v>#DIV/0!</v>
      </c>
      <c r="AG21" s="416"/>
      <c r="AL21" s="297">
        <v>101423.69684210529</v>
      </c>
      <c r="AM21" s="428" t="e">
        <v>#DIV/0!</v>
      </c>
    </row>
    <row r="22" spans="1:40" s="297" customFormat="1" ht="15.75" hidden="1" customHeight="1" x14ac:dyDescent="0.25">
      <c r="B22" s="297" t="s">
        <v>296</v>
      </c>
      <c r="C22" s="298" t="s">
        <v>188</v>
      </c>
      <c r="D22" s="298" t="s">
        <v>297</v>
      </c>
      <c r="E22" s="299" t="s">
        <v>308</v>
      </c>
      <c r="F22" s="299" t="s">
        <v>306</v>
      </c>
      <c r="G22" s="299" t="s">
        <v>309</v>
      </c>
      <c r="H22" s="299">
        <v>2400</v>
      </c>
      <c r="I22" s="300"/>
      <c r="J22" s="295">
        <f t="shared" si="11"/>
        <v>0</v>
      </c>
      <c r="K22" s="423">
        <f t="shared" si="5"/>
        <v>0</v>
      </c>
      <c r="L22" s="301">
        <f t="shared" si="3"/>
        <v>0</v>
      </c>
      <c r="M22" s="302" t="e">
        <f t="shared" si="1"/>
        <v>#DIV/0!</v>
      </c>
      <c r="N22" s="303"/>
      <c r="O22" s="304"/>
      <c r="P22" s="291">
        <f t="shared" si="6"/>
        <v>0</v>
      </c>
      <c r="Q22" s="291">
        <f t="shared" si="7"/>
        <v>0</v>
      </c>
      <c r="R22" s="304"/>
      <c r="S22" s="304"/>
      <c r="T22" s="304"/>
      <c r="U22" s="305"/>
      <c r="AA22" s="297">
        <v>20610</v>
      </c>
      <c r="AB22" s="297">
        <f t="shared" si="9"/>
        <v>2944.2857142857142</v>
      </c>
      <c r="AC22" s="297">
        <f t="shared" si="10"/>
        <v>26498.571428571428</v>
      </c>
      <c r="AD22" s="297">
        <v>0</v>
      </c>
      <c r="AE22" s="297" t="e">
        <v>#DIV/0!</v>
      </c>
      <c r="AG22" s="416"/>
      <c r="AL22" s="297">
        <v>226786.86315789472</v>
      </c>
      <c r="AM22" s="428" t="e">
        <v>#DIV/0!</v>
      </c>
    </row>
    <row r="23" spans="1:40" ht="26.25" customHeight="1" x14ac:dyDescent="0.25">
      <c r="A23">
        <v>1</v>
      </c>
      <c r="B23" s="297" t="s">
        <v>296</v>
      </c>
      <c r="C23" s="293" t="s">
        <v>188</v>
      </c>
      <c r="D23" s="298" t="s">
        <v>297</v>
      </c>
      <c r="E23" s="348" t="s">
        <v>418</v>
      </c>
      <c r="F23" s="288"/>
      <c r="G23" s="288"/>
      <c r="H23" s="288"/>
      <c r="I23" s="437">
        <v>378626</v>
      </c>
      <c r="J23" s="460">
        <f t="shared" ref="J23:J28" si="12">I23/31*$J$1</f>
        <v>378626</v>
      </c>
      <c r="K23" s="467">
        <v>363485</v>
      </c>
      <c r="L23" s="295">
        <f>K23-J23</f>
        <v>-15141</v>
      </c>
      <c r="M23" s="290">
        <f t="shared" si="1"/>
        <v>-3.998932984000042E-2</v>
      </c>
      <c r="N23" s="296"/>
      <c r="O23" s="291"/>
      <c r="P23" s="291"/>
      <c r="Q23" s="291"/>
      <c r="R23" s="291"/>
      <c r="S23" s="291"/>
      <c r="T23" s="291"/>
      <c r="U23" s="292"/>
      <c r="W23" s="366">
        <v>2.7021885663413878E-2</v>
      </c>
      <c r="AA23">
        <v>19309</v>
      </c>
      <c r="AB23">
        <f t="shared" si="9"/>
        <v>2758.4285714285716</v>
      </c>
      <c r="AC23">
        <f t="shared" si="10"/>
        <v>24825.857142857145</v>
      </c>
      <c r="AD23" s="383">
        <v>2029.7096774193542</v>
      </c>
      <c r="AE23" s="350">
        <v>0.17083242832319714</v>
      </c>
      <c r="AG23" s="411">
        <v>33386.400000000009</v>
      </c>
      <c r="AH23" s="306">
        <v>49212.304516129036</v>
      </c>
      <c r="AJ23" s="306">
        <v>8806</v>
      </c>
      <c r="AK23">
        <f>AJ23/2*9</f>
        <v>39627</v>
      </c>
      <c r="AL23">
        <v>-8148</v>
      </c>
      <c r="AM23" s="350">
        <v>-0.11061033883579496</v>
      </c>
    </row>
    <row r="24" spans="1:40" ht="15.75" customHeight="1" x14ac:dyDescent="0.25">
      <c r="A24">
        <v>1</v>
      </c>
      <c r="B24" t="s">
        <v>296</v>
      </c>
      <c r="C24" s="293" t="s">
        <v>188</v>
      </c>
      <c r="D24" s="293" t="s">
        <v>310</v>
      </c>
      <c r="E24" s="288" t="s">
        <v>311</v>
      </c>
      <c r="F24" s="288" t="s">
        <v>306</v>
      </c>
      <c r="G24" s="288" t="s">
        <v>312</v>
      </c>
      <c r="H24" s="288">
        <v>671.5</v>
      </c>
      <c r="I24" s="437">
        <v>180708</v>
      </c>
      <c r="J24" s="460">
        <f t="shared" si="12"/>
        <v>180708</v>
      </c>
      <c r="K24" s="467">
        <v>138685</v>
      </c>
      <c r="L24" s="295">
        <f t="shared" si="3"/>
        <v>-42023</v>
      </c>
      <c r="M24" s="290">
        <f t="shared" si="1"/>
        <v>-0.23254642849237445</v>
      </c>
      <c r="N24" s="296"/>
      <c r="O24" s="291"/>
      <c r="P24" s="291"/>
      <c r="Q24" s="291"/>
      <c r="R24" s="291"/>
      <c r="S24" s="291"/>
      <c r="T24" s="291"/>
      <c r="U24" s="292"/>
      <c r="W24" s="366">
        <v>-0.58125354950751784</v>
      </c>
      <c r="AA24">
        <v>20610</v>
      </c>
      <c r="AB24">
        <f t="shared" si="9"/>
        <v>2944.2857142857142</v>
      </c>
      <c r="AC24">
        <f t="shared" si="10"/>
        <v>26498.571428571428</v>
      </c>
      <c r="AD24" s="383">
        <v>-7071.3548387096816</v>
      </c>
      <c r="AE24" s="350">
        <v>-0.19626648521366996</v>
      </c>
      <c r="AG24" s="411">
        <v>69499.199999999997</v>
      </c>
      <c r="AH24" s="306">
        <v>110040.4</v>
      </c>
      <c r="AJ24" s="306">
        <v>11811</v>
      </c>
      <c r="AK24">
        <f t="shared" ref="AK24:AK28" si="13">AJ24/2*9</f>
        <v>53149.5</v>
      </c>
      <c r="AL24">
        <v>-40296</v>
      </c>
      <c r="AM24" s="350">
        <v>-0.1803905417625413</v>
      </c>
    </row>
    <row r="25" spans="1:40" ht="15.75" customHeight="1" x14ac:dyDescent="0.25">
      <c r="A25">
        <v>1</v>
      </c>
      <c r="B25" t="s">
        <v>296</v>
      </c>
      <c r="C25" s="293" t="s">
        <v>188</v>
      </c>
      <c r="D25" s="293" t="s">
        <v>310</v>
      </c>
      <c r="E25" s="288" t="s">
        <v>313</v>
      </c>
      <c r="F25" s="288" t="s">
        <v>306</v>
      </c>
      <c r="G25" s="288" t="s">
        <v>314</v>
      </c>
      <c r="H25" s="288">
        <v>2070</v>
      </c>
      <c r="I25" s="437">
        <v>330778</v>
      </c>
      <c r="J25" s="460">
        <f t="shared" si="12"/>
        <v>330778</v>
      </c>
      <c r="K25" s="467">
        <v>313848</v>
      </c>
      <c r="L25" s="295">
        <f t="shared" si="3"/>
        <v>-16930</v>
      </c>
      <c r="M25" s="290">
        <f t="shared" si="1"/>
        <v>-5.1182364002442728E-2</v>
      </c>
      <c r="N25" s="296"/>
      <c r="O25" s="291"/>
      <c r="P25" s="291"/>
      <c r="Q25" s="291"/>
      <c r="R25" s="291"/>
      <c r="S25" s="291"/>
      <c r="T25" s="291"/>
      <c r="U25" s="292"/>
      <c r="W25" s="366">
        <v>-0.3194025454572742</v>
      </c>
      <c r="AA25">
        <v>33021</v>
      </c>
      <c r="AB25">
        <f t="shared" si="9"/>
        <v>4717.2857142857147</v>
      </c>
      <c r="AC25">
        <f t="shared" si="10"/>
        <v>42455.571428571435</v>
      </c>
      <c r="AD25" s="383">
        <v>9264.7419354838712</v>
      </c>
      <c r="AE25" s="350">
        <v>0.25045083539711882</v>
      </c>
      <c r="AG25" s="411">
        <v>111016.79999999999</v>
      </c>
      <c r="AH25" s="306">
        <v>154627.63870967741</v>
      </c>
      <c r="AJ25" s="306">
        <v>20797</v>
      </c>
      <c r="AK25">
        <f t="shared" si="13"/>
        <v>93586.5</v>
      </c>
      <c r="AL25">
        <v>62996</v>
      </c>
      <c r="AM25" s="350">
        <v>0.27466950364505216</v>
      </c>
    </row>
    <row r="26" spans="1:40" ht="15.75" customHeight="1" x14ac:dyDescent="0.25">
      <c r="A26">
        <v>1</v>
      </c>
      <c r="B26" t="s">
        <v>296</v>
      </c>
      <c r="C26" s="293" t="s">
        <v>188</v>
      </c>
      <c r="D26" s="293" t="s">
        <v>310</v>
      </c>
      <c r="E26" s="288" t="s">
        <v>315</v>
      </c>
      <c r="F26" s="288" t="s">
        <v>299</v>
      </c>
      <c r="G26" s="288" t="s">
        <v>316</v>
      </c>
      <c r="H26" s="288">
        <v>2.1739999999999999</v>
      </c>
      <c r="I26" s="437">
        <v>1479091</v>
      </c>
      <c r="J26" s="460">
        <f t="shared" si="12"/>
        <v>1479091</v>
      </c>
      <c r="K26" s="467">
        <v>1457896</v>
      </c>
      <c r="L26" s="295">
        <f t="shared" si="3"/>
        <v>-21195</v>
      </c>
      <c r="M26" s="290">
        <f t="shared" si="1"/>
        <v>-1.4329747121711917E-2</v>
      </c>
      <c r="N26" s="296"/>
      <c r="O26" s="291"/>
      <c r="P26" s="291"/>
      <c r="Q26" s="291"/>
      <c r="R26" s="291"/>
      <c r="S26" s="291"/>
      <c r="T26" s="291"/>
      <c r="U26" s="292"/>
      <c r="W26" s="366">
        <v>-5.5103490447116356E-2</v>
      </c>
      <c r="AA26">
        <v>322764.12</v>
      </c>
      <c r="AB26">
        <f t="shared" si="9"/>
        <v>46109.159999999996</v>
      </c>
      <c r="AC26">
        <f t="shared" si="10"/>
        <v>414982.43999999994</v>
      </c>
      <c r="AD26" s="383">
        <v>-18486.645161290333</v>
      </c>
      <c r="AE26" s="350">
        <v>-7.2741788900228005E-2</v>
      </c>
      <c r="AG26" s="411">
        <v>565569.60000000009</v>
      </c>
      <c r="AH26" s="306">
        <v>895485.20000000007</v>
      </c>
      <c r="AJ26" s="306">
        <v>86779</v>
      </c>
      <c r="AK26">
        <f t="shared" si="13"/>
        <v>390505.5</v>
      </c>
      <c r="AL26">
        <v>-112907.99999998766</v>
      </c>
      <c r="AM26" s="350">
        <v>-7.1657045374917919E-2</v>
      </c>
    </row>
    <row r="27" spans="1:40" ht="15.75" customHeight="1" x14ac:dyDescent="0.25">
      <c r="A27">
        <v>1</v>
      </c>
      <c r="B27" t="s">
        <v>296</v>
      </c>
      <c r="C27" s="293" t="s">
        <v>188</v>
      </c>
      <c r="D27" s="293" t="s">
        <v>310</v>
      </c>
      <c r="E27" s="288" t="s">
        <v>247</v>
      </c>
      <c r="F27" s="288" t="s">
        <v>299</v>
      </c>
      <c r="G27" s="288" t="s">
        <v>317</v>
      </c>
      <c r="H27" s="288">
        <v>3000</v>
      </c>
      <c r="I27" s="437">
        <v>183528</v>
      </c>
      <c r="J27" s="460">
        <f t="shared" si="12"/>
        <v>183528</v>
      </c>
      <c r="K27" s="467">
        <v>184025</v>
      </c>
      <c r="L27" s="295">
        <f t="shared" si="3"/>
        <v>497</v>
      </c>
      <c r="M27" s="290">
        <f t="shared" si="1"/>
        <v>2.7080336515409092E-3</v>
      </c>
      <c r="N27" s="296"/>
      <c r="O27" s="291"/>
      <c r="P27" s="291"/>
      <c r="Q27" s="291"/>
      <c r="R27" s="291"/>
      <c r="S27" s="291"/>
      <c r="T27" s="291"/>
      <c r="U27" s="292"/>
      <c r="W27" s="366">
        <v>-1.2243639730445779E-2</v>
      </c>
      <c r="AA27">
        <v>39960</v>
      </c>
      <c r="AB27">
        <f t="shared" si="9"/>
        <v>5708.5714285714284</v>
      </c>
      <c r="AC27">
        <f t="shared" si="10"/>
        <v>51377.142857142855</v>
      </c>
      <c r="AD27" s="383">
        <v>225.77419354838639</v>
      </c>
      <c r="AE27" s="350">
        <v>7.9657197487025145E-3</v>
      </c>
      <c r="AG27" s="411">
        <v>68565.600000000006</v>
      </c>
      <c r="AH27" s="306">
        <v>108562.2</v>
      </c>
      <c r="AJ27" s="306">
        <v>11357</v>
      </c>
      <c r="AK27">
        <f t="shared" si="13"/>
        <v>51106.5</v>
      </c>
      <c r="AL27">
        <v>-552</v>
      </c>
      <c r="AM27" s="350">
        <v>-3.1412182463807703E-3</v>
      </c>
    </row>
    <row r="28" spans="1:40" ht="33.75" customHeight="1" x14ac:dyDescent="0.25">
      <c r="A28">
        <v>1</v>
      </c>
      <c r="B28" t="s">
        <v>296</v>
      </c>
      <c r="C28" s="293" t="s">
        <v>188</v>
      </c>
      <c r="D28" s="293" t="s">
        <v>310</v>
      </c>
      <c r="E28" s="348" t="s">
        <v>419</v>
      </c>
      <c r="F28" s="288" t="s">
        <v>306</v>
      </c>
      <c r="G28" s="288" t="s">
        <v>318</v>
      </c>
      <c r="H28" s="288">
        <v>612</v>
      </c>
      <c r="I28" s="437">
        <v>413657</v>
      </c>
      <c r="J28" s="460">
        <f t="shared" si="12"/>
        <v>413657</v>
      </c>
      <c r="K28" s="467">
        <v>394261</v>
      </c>
      <c r="L28" s="295">
        <f t="shared" si="3"/>
        <v>-19396</v>
      </c>
      <c r="M28" s="290">
        <f t="shared" si="1"/>
        <v>-4.6889089269612265E-2</v>
      </c>
      <c r="N28" s="296"/>
      <c r="O28" s="291"/>
      <c r="P28" s="291"/>
      <c r="Q28" s="291"/>
      <c r="R28" s="291"/>
      <c r="S28" s="291"/>
      <c r="T28" s="291"/>
      <c r="U28" s="292"/>
      <c r="W28" s="366">
        <v>-0.26095809979095791</v>
      </c>
      <c r="AA28">
        <v>34810</v>
      </c>
      <c r="AB28">
        <f t="shared" si="9"/>
        <v>4972.8571428571431</v>
      </c>
      <c r="AC28">
        <f t="shared" si="10"/>
        <v>44755.71428571429</v>
      </c>
      <c r="AD28" s="383">
        <v>-2514.4838709677424</v>
      </c>
      <c r="AE28" s="350">
        <v>-0.10098132566409515</v>
      </c>
      <c r="AG28" s="411">
        <v>53726.399999999994</v>
      </c>
      <c r="AH28" s="306">
        <v>85066.8</v>
      </c>
      <c r="AJ28" s="306">
        <v>909</v>
      </c>
      <c r="AK28">
        <f t="shared" si="13"/>
        <v>4090.5</v>
      </c>
      <c r="AL28">
        <v>-17888</v>
      </c>
      <c r="AM28" s="350">
        <v>-0.11586767973157666</v>
      </c>
    </row>
    <row r="29" spans="1:40" s="297" customFormat="1" ht="15.75" hidden="1" customHeight="1" x14ac:dyDescent="0.25">
      <c r="B29" s="297" t="s">
        <v>319</v>
      </c>
      <c r="C29" s="298" t="s">
        <v>187</v>
      </c>
      <c r="D29" s="298" t="s">
        <v>297</v>
      </c>
      <c r="E29" s="299" t="s">
        <v>320</v>
      </c>
      <c r="F29" s="299" t="s">
        <v>321</v>
      </c>
      <c r="G29" s="299" t="s">
        <v>322</v>
      </c>
      <c r="H29" s="299">
        <v>1</v>
      </c>
      <c r="I29" s="300"/>
      <c r="J29" s="295">
        <f t="shared" si="4"/>
        <v>0</v>
      </c>
      <c r="K29" s="423">
        <f t="shared" si="5"/>
        <v>0</v>
      </c>
      <c r="L29" s="301">
        <f>K29-J29</f>
        <v>0</v>
      </c>
      <c r="M29" s="302" t="e">
        <f t="shared" si="1"/>
        <v>#DIV/0!</v>
      </c>
      <c r="N29" s="303"/>
      <c r="O29" s="304"/>
      <c r="P29" s="291">
        <f t="shared" si="6"/>
        <v>0</v>
      </c>
      <c r="Q29" s="291">
        <f t="shared" si="7"/>
        <v>0</v>
      </c>
      <c r="R29" s="304"/>
      <c r="S29" s="304"/>
      <c r="T29" s="304"/>
      <c r="U29" s="305"/>
      <c r="AD29" s="297">
        <v>0</v>
      </c>
      <c r="AE29" s="297" t="e">
        <v>#DIV/0!</v>
      </c>
      <c r="AG29" s="416"/>
      <c r="AL29" s="297">
        <v>0</v>
      </c>
      <c r="AM29" s="428" t="e">
        <v>#DIV/0!</v>
      </c>
    </row>
    <row r="30" spans="1:40" s="297" customFormat="1" ht="15.75" hidden="1" customHeight="1" x14ac:dyDescent="0.25">
      <c r="B30" s="297" t="s">
        <v>319</v>
      </c>
      <c r="C30" s="298" t="s">
        <v>187</v>
      </c>
      <c r="D30" s="298" t="s">
        <v>297</v>
      </c>
      <c r="E30" s="299" t="s">
        <v>320</v>
      </c>
      <c r="F30" s="299" t="s">
        <v>321</v>
      </c>
      <c r="G30" s="299" t="s">
        <v>323</v>
      </c>
      <c r="H30" s="299">
        <v>1</v>
      </c>
      <c r="I30" s="300"/>
      <c r="J30" s="295">
        <f t="shared" si="4"/>
        <v>0</v>
      </c>
      <c r="K30" s="423">
        <f t="shared" si="5"/>
        <v>0</v>
      </c>
      <c r="L30" s="301">
        <f>K30-J30</f>
        <v>0</v>
      </c>
      <c r="M30" s="302" t="e">
        <f t="shared" si="1"/>
        <v>#DIV/0!</v>
      </c>
      <c r="N30" s="303"/>
      <c r="O30" s="304"/>
      <c r="P30" s="291">
        <f t="shared" si="6"/>
        <v>0</v>
      </c>
      <c r="Q30" s="291">
        <f t="shared" si="7"/>
        <v>0</v>
      </c>
      <c r="R30" s="304"/>
      <c r="S30" s="304"/>
      <c r="T30" s="304"/>
      <c r="U30" s="305"/>
      <c r="AD30" s="297">
        <v>0</v>
      </c>
      <c r="AE30" s="297" t="e">
        <v>#DIV/0!</v>
      </c>
      <c r="AG30" s="416"/>
      <c r="AL30" s="297">
        <v>0</v>
      </c>
      <c r="AM30" s="428" t="e">
        <v>#DIV/0!</v>
      </c>
    </row>
    <row r="31" spans="1:40" ht="15.75" customHeight="1" x14ac:dyDescent="0.25">
      <c r="A31">
        <v>1</v>
      </c>
      <c r="B31" t="s">
        <v>319</v>
      </c>
      <c r="C31" s="293" t="s">
        <v>187</v>
      </c>
      <c r="D31" s="293"/>
      <c r="E31" s="288" t="s">
        <v>324</v>
      </c>
      <c r="F31" s="288"/>
      <c r="G31" s="288"/>
      <c r="H31" s="288"/>
      <c r="I31" s="437">
        <v>362835</v>
      </c>
      <c r="J31" s="464">
        <f>I31/31*$J$1</f>
        <v>362835</v>
      </c>
      <c r="K31" s="466">
        <v>353162</v>
      </c>
      <c r="L31" s="295">
        <f>K31-J31</f>
        <v>-9673</v>
      </c>
      <c r="M31" s="290">
        <f t="shared" si="1"/>
        <v>-2.66595008750534E-2</v>
      </c>
      <c r="N31" s="296"/>
      <c r="O31" s="291"/>
      <c r="P31" s="291"/>
      <c r="Q31" s="291"/>
      <c r="R31" s="291"/>
      <c r="S31" s="291"/>
      <c r="T31" s="291"/>
      <c r="U31" s="292"/>
      <c r="W31" s="366">
        <v>-0.13567798641475598</v>
      </c>
      <c r="AD31" s="383">
        <v>1281.1290322580644</v>
      </c>
      <c r="AE31" s="350">
        <v>5.4047249666585008E-2</v>
      </c>
      <c r="AG31" s="411">
        <v>61750</v>
      </c>
      <c r="AH31" s="306">
        <v>103983</v>
      </c>
      <c r="AL31">
        <v>25382</v>
      </c>
      <c r="AM31" s="350">
        <v>0.17270896273917422</v>
      </c>
    </row>
    <row r="32" spans="1:40" s="297" customFormat="1" ht="15.75" hidden="1" customHeight="1" x14ac:dyDescent="0.25">
      <c r="B32" s="297" t="s">
        <v>319</v>
      </c>
      <c r="C32" s="293" t="s">
        <v>193</v>
      </c>
      <c r="D32" s="298" t="s">
        <v>297</v>
      </c>
      <c r="E32" s="299" t="s">
        <v>243</v>
      </c>
      <c r="F32" s="299" t="s">
        <v>321</v>
      </c>
      <c r="G32" s="299" t="s">
        <v>325</v>
      </c>
      <c r="H32" s="299">
        <v>17.5</v>
      </c>
      <c r="I32" s="300">
        <v>0</v>
      </c>
      <c r="J32" s="295">
        <f t="shared" si="4"/>
        <v>0</v>
      </c>
      <c r="K32" s="423">
        <f t="shared" si="5"/>
        <v>0</v>
      </c>
      <c r="L32" s="301">
        <f t="shared" ref="L32:L73" si="14">K32-J32</f>
        <v>0</v>
      </c>
      <c r="M32" s="302" t="e">
        <f t="shared" si="1"/>
        <v>#DIV/0!</v>
      </c>
      <c r="N32" s="303"/>
      <c r="O32" s="304"/>
      <c r="P32" s="291">
        <f t="shared" si="6"/>
        <v>0</v>
      </c>
      <c r="Q32" s="291">
        <f t="shared" si="7"/>
        <v>0</v>
      </c>
      <c r="R32" s="304"/>
      <c r="S32" s="304"/>
      <c r="T32" s="304"/>
      <c r="U32" s="305"/>
      <c r="AD32" s="297">
        <v>0</v>
      </c>
      <c r="AE32" s="297" t="e">
        <v>#DIV/0!</v>
      </c>
      <c r="AG32" s="416"/>
      <c r="AL32" s="297">
        <v>0</v>
      </c>
      <c r="AM32" s="428" t="e">
        <v>#DIV/0!</v>
      </c>
    </row>
    <row r="33" spans="1:39" s="297" customFormat="1" ht="15.75" hidden="1" customHeight="1" x14ac:dyDescent="0.25">
      <c r="B33" s="297" t="s">
        <v>319</v>
      </c>
      <c r="C33" s="293" t="s">
        <v>193</v>
      </c>
      <c r="D33" s="298" t="s">
        <v>297</v>
      </c>
      <c r="E33" s="299" t="s">
        <v>243</v>
      </c>
      <c r="F33" s="299" t="s">
        <v>321</v>
      </c>
      <c r="G33" s="299" t="s">
        <v>325</v>
      </c>
      <c r="H33" s="299">
        <v>17.5</v>
      </c>
      <c r="I33" s="300">
        <v>0</v>
      </c>
      <c r="J33" s="295">
        <f t="shared" si="4"/>
        <v>0</v>
      </c>
      <c r="K33" s="423">
        <f t="shared" si="5"/>
        <v>0</v>
      </c>
      <c r="L33" s="301">
        <f t="shared" si="14"/>
        <v>0</v>
      </c>
      <c r="M33" s="302" t="e">
        <f t="shared" si="1"/>
        <v>#DIV/0!</v>
      </c>
      <c r="N33" s="303"/>
      <c r="O33" s="304"/>
      <c r="P33" s="291">
        <f t="shared" si="6"/>
        <v>0</v>
      </c>
      <c r="Q33" s="291">
        <f t="shared" si="7"/>
        <v>0</v>
      </c>
      <c r="R33" s="304"/>
      <c r="S33" s="304"/>
      <c r="T33" s="304"/>
      <c r="U33" s="305"/>
      <c r="AD33" s="297">
        <v>0</v>
      </c>
      <c r="AE33" s="297" t="e">
        <v>#DIV/0!</v>
      </c>
      <c r="AG33" s="416"/>
      <c r="AL33" s="297">
        <v>0</v>
      </c>
      <c r="AM33" s="428" t="e">
        <v>#DIV/0!</v>
      </c>
    </row>
    <row r="34" spans="1:39" s="297" customFormat="1" ht="15.75" hidden="1" customHeight="1" x14ac:dyDescent="0.25">
      <c r="B34" s="297" t="s">
        <v>319</v>
      </c>
      <c r="C34" s="293" t="s">
        <v>193</v>
      </c>
      <c r="D34" s="298" t="s">
        <v>297</v>
      </c>
      <c r="E34" s="299" t="s">
        <v>243</v>
      </c>
      <c r="F34" s="299" t="s">
        <v>321</v>
      </c>
      <c r="G34" s="299" t="s">
        <v>326</v>
      </c>
      <c r="H34" s="299">
        <v>17.5</v>
      </c>
      <c r="I34" s="300">
        <v>0</v>
      </c>
      <c r="J34" s="295">
        <f t="shared" si="4"/>
        <v>0</v>
      </c>
      <c r="K34" s="423">
        <f t="shared" si="5"/>
        <v>0</v>
      </c>
      <c r="L34" s="301">
        <f>K34-J34</f>
        <v>0</v>
      </c>
      <c r="M34" s="302" t="e">
        <f t="shared" si="1"/>
        <v>#DIV/0!</v>
      </c>
      <c r="N34" s="303"/>
      <c r="O34" s="304"/>
      <c r="P34" s="291">
        <f t="shared" si="6"/>
        <v>0</v>
      </c>
      <c r="Q34" s="291">
        <f t="shared" si="7"/>
        <v>0</v>
      </c>
      <c r="R34" s="304"/>
      <c r="S34" s="304"/>
      <c r="T34" s="304"/>
      <c r="U34" s="305"/>
      <c r="AD34" s="297">
        <v>0</v>
      </c>
      <c r="AE34" s="297" t="e">
        <v>#DIV/0!</v>
      </c>
      <c r="AG34" s="416"/>
      <c r="AL34" s="297">
        <v>0</v>
      </c>
      <c r="AM34" s="428" t="e">
        <v>#DIV/0!</v>
      </c>
    </row>
    <row r="35" spans="1:39" s="297" customFormat="1" ht="15.75" hidden="1" customHeight="1" x14ac:dyDescent="0.25">
      <c r="B35" s="297" t="s">
        <v>319</v>
      </c>
      <c r="C35" s="293" t="s">
        <v>193</v>
      </c>
      <c r="D35" s="298" t="s">
        <v>297</v>
      </c>
      <c r="E35" s="299" t="s">
        <v>243</v>
      </c>
      <c r="F35" s="299" t="s">
        <v>321</v>
      </c>
      <c r="G35" s="299" t="s">
        <v>327</v>
      </c>
      <c r="H35" s="299">
        <v>17.5</v>
      </c>
      <c r="I35" s="300">
        <v>0</v>
      </c>
      <c r="J35" s="295">
        <f t="shared" si="4"/>
        <v>0</v>
      </c>
      <c r="K35" s="423">
        <f t="shared" si="5"/>
        <v>0</v>
      </c>
      <c r="L35" s="301">
        <f t="shared" si="14"/>
        <v>0</v>
      </c>
      <c r="M35" s="302" t="e">
        <f t="shared" si="1"/>
        <v>#DIV/0!</v>
      </c>
      <c r="N35" s="303"/>
      <c r="O35" s="304"/>
      <c r="P35" s="291">
        <f t="shared" si="6"/>
        <v>0</v>
      </c>
      <c r="Q35" s="291">
        <f t="shared" si="7"/>
        <v>0</v>
      </c>
      <c r="R35" s="304"/>
      <c r="S35" s="304"/>
      <c r="T35" s="304"/>
      <c r="U35" s="305"/>
      <c r="AD35" s="297">
        <v>0</v>
      </c>
      <c r="AE35" s="297" t="e">
        <v>#DIV/0!</v>
      </c>
      <c r="AG35" s="416"/>
      <c r="AL35" s="297">
        <v>0</v>
      </c>
      <c r="AM35" s="428" t="e">
        <v>#DIV/0!</v>
      </c>
    </row>
    <row r="36" spans="1:39" s="307" customFormat="1" ht="33" customHeight="1" x14ac:dyDescent="0.25">
      <c r="A36" s="307">
        <v>1</v>
      </c>
      <c r="B36" t="s">
        <v>319</v>
      </c>
      <c r="C36" s="308" t="s">
        <v>193</v>
      </c>
      <c r="D36" s="308"/>
      <c r="E36" s="309" t="s">
        <v>402</v>
      </c>
      <c r="F36" s="288"/>
      <c r="G36" s="288"/>
      <c r="H36" s="288"/>
      <c r="I36" s="437">
        <v>7038456</v>
      </c>
      <c r="J36" s="460">
        <f>I36/31*$J$1</f>
        <v>7038456</v>
      </c>
      <c r="K36" s="460">
        <v>6772448</v>
      </c>
      <c r="L36" s="439">
        <f>K36-J36</f>
        <v>-266008</v>
      </c>
      <c r="M36" s="311">
        <f t="shared" ref="M36" si="15">L36/J36</f>
        <v>-3.7793516077958007E-2</v>
      </c>
      <c r="N36" s="312"/>
      <c r="O36" s="313"/>
      <c r="P36" s="291">
        <f t="shared" si="6"/>
        <v>9277964.7272727266</v>
      </c>
      <c r="Q36" s="291">
        <f t="shared" si="7"/>
        <v>8927317.8181818184</v>
      </c>
      <c r="R36" s="313"/>
      <c r="S36" s="313"/>
      <c r="T36" s="313"/>
      <c r="U36" s="314"/>
      <c r="V36" s="358"/>
      <c r="W36" s="366">
        <v>0.18045045536050475</v>
      </c>
      <c r="AD36" s="384">
        <v>-69294.173818201642</v>
      </c>
      <c r="AE36" s="406">
        <v>-0.10130132372270403</v>
      </c>
      <c r="AG36" s="411">
        <v>1775062</v>
      </c>
      <c r="AH36" s="306">
        <v>2952729</v>
      </c>
      <c r="AL36" s="307">
        <v>1357502</v>
      </c>
      <c r="AM36" s="406">
        <v>0.40150807096581848</v>
      </c>
    </row>
    <row r="37" spans="1:39" s="297" customFormat="1" ht="15.75" hidden="1" customHeight="1" x14ac:dyDescent="0.25">
      <c r="B37" s="297" t="s">
        <v>319</v>
      </c>
      <c r="C37" s="293" t="s">
        <v>193</v>
      </c>
      <c r="D37" s="298" t="s">
        <v>285</v>
      </c>
      <c r="E37" s="299" t="s">
        <v>328</v>
      </c>
      <c r="F37" s="299" t="s">
        <v>321</v>
      </c>
      <c r="G37" s="299" t="s">
        <v>329</v>
      </c>
      <c r="H37" s="299">
        <v>1.4</v>
      </c>
      <c r="I37" s="300">
        <v>0</v>
      </c>
      <c r="J37" s="295">
        <f t="shared" si="4"/>
        <v>0</v>
      </c>
      <c r="K37" s="423">
        <f t="shared" si="5"/>
        <v>0</v>
      </c>
      <c r="L37" s="301">
        <f t="shared" si="14"/>
        <v>0</v>
      </c>
      <c r="M37" s="302" t="e">
        <f t="shared" si="1"/>
        <v>#DIV/0!</v>
      </c>
      <c r="N37" s="303"/>
      <c r="O37" s="304"/>
      <c r="P37" s="291">
        <f t="shared" si="6"/>
        <v>0</v>
      </c>
      <c r="Q37" s="291">
        <f t="shared" si="7"/>
        <v>0</v>
      </c>
      <c r="R37" s="304"/>
      <c r="S37" s="304"/>
      <c r="T37" s="304"/>
      <c r="U37" s="305"/>
      <c r="AD37" s="297">
        <v>0</v>
      </c>
      <c r="AE37" s="297" t="e">
        <v>#DIV/0!</v>
      </c>
      <c r="AG37" s="416"/>
      <c r="AL37" s="297">
        <v>0</v>
      </c>
      <c r="AM37" s="428" t="e">
        <v>#DIV/0!</v>
      </c>
    </row>
    <row r="38" spans="1:39" s="297" customFormat="1" ht="15.75" hidden="1" customHeight="1" x14ac:dyDescent="0.25">
      <c r="B38" s="297" t="s">
        <v>319</v>
      </c>
      <c r="C38" s="293" t="s">
        <v>193</v>
      </c>
      <c r="D38" s="298" t="s">
        <v>285</v>
      </c>
      <c r="E38" s="299" t="s">
        <v>328</v>
      </c>
      <c r="F38" s="299" t="s">
        <v>321</v>
      </c>
      <c r="G38" s="299" t="s">
        <v>329</v>
      </c>
      <c r="H38" s="299">
        <v>6.13E-2</v>
      </c>
      <c r="I38" s="300">
        <v>0</v>
      </c>
      <c r="J38" s="295">
        <f t="shared" si="4"/>
        <v>0</v>
      </c>
      <c r="K38" s="423">
        <f t="shared" si="5"/>
        <v>0</v>
      </c>
      <c r="L38" s="301">
        <f t="shared" si="14"/>
        <v>0</v>
      </c>
      <c r="M38" s="302" t="e">
        <f t="shared" si="1"/>
        <v>#DIV/0!</v>
      </c>
      <c r="N38" s="303"/>
      <c r="O38" s="304"/>
      <c r="P38" s="291">
        <f t="shared" si="6"/>
        <v>0</v>
      </c>
      <c r="Q38" s="291">
        <f t="shared" si="7"/>
        <v>0</v>
      </c>
      <c r="R38" s="304"/>
      <c r="S38" s="304"/>
      <c r="T38" s="304"/>
      <c r="U38" s="305"/>
      <c r="AD38" s="297">
        <v>0</v>
      </c>
      <c r="AE38" s="297" t="e">
        <v>#DIV/0!</v>
      </c>
      <c r="AG38" s="416"/>
      <c r="AL38" s="297">
        <v>0</v>
      </c>
      <c r="AM38" s="428" t="e">
        <v>#DIV/0!</v>
      </c>
    </row>
    <row r="39" spans="1:39" ht="15.75" customHeight="1" x14ac:dyDescent="0.25">
      <c r="A39">
        <v>1</v>
      </c>
      <c r="B39" t="s">
        <v>319</v>
      </c>
      <c r="C39" s="293" t="s">
        <v>193</v>
      </c>
      <c r="D39" s="293"/>
      <c r="E39" s="288" t="s">
        <v>330</v>
      </c>
      <c r="F39" s="288"/>
      <c r="G39" s="288"/>
      <c r="H39" s="288"/>
      <c r="I39" s="437">
        <v>5119799</v>
      </c>
      <c r="J39" s="460">
        <f>I39/31*$J$1</f>
        <v>5119799</v>
      </c>
      <c r="K39" s="466">
        <v>2534748</v>
      </c>
      <c r="L39" s="295">
        <f>K39-J39</f>
        <v>-2585051</v>
      </c>
      <c r="M39" s="290">
        <f>L39/J39</f>
        <v>-0.50491259520149134</v>
      </c>
      <c r="N39" s="296"/>
      <c r="O39" s="291"/>
      <c r="P39" s="291"/>
      <c r="Q39" s="291"/>
      <c r="R39" s="291"/>
      <c r="S39" s="291"/>
      <c r="T39" s="291"/>
      <c r="U39" s="292"/>
      <c r="W39" s="366">
        <v>-1.287360505917714E-2</v>
      </c>
      <c r="AD39" s="383">
        <v>30761.774193549994</v>
      </c>
      <c r="AE39" s="350">
        <v>4.0966363089614738E-2</v>
      </c>
      <c r="AG39" s="411">
        <v>2077461</v>
      </c>
      <c r="AH39" s="306">
        <v>3081661</v>
      </c>
      <c r="AL39">
        <v>-233785.99999999069</v>
      </c>
      <c r="AM39" s="350">
        <v>-5.0216083855999474E-2</v>
      </c>
    </row>
    <row r="40" spans="1:39" s="297" customFormat="1" ht="15.75" hidden="1" customHeight="1" x14ac:dyDescent="0.25">
      <c r="B40" s="297" t="s">
        <v>319</v>
      </c>
      <c r="C40" s="293" t="s">
        <v>188</v>
      </c>
      <c r="D40" s="298" t="s">
        <v>297</v>
      </c>
      <c r="E40" s="299" t="s">
        <v>331</v>
      </c>
      <c r="F40" s="299" t="s">
        <v>321</v>
      </c>
      <c r="G40" s="299" t="s">
        <v>332</v>
      </c>
      <c r="H40" s="299">
        <v>0.42499999999999999</v>
      </c>
      <c r="I40" s="300">
        <v>0</v>
      </c>
      <c r="J40" s="295">
        <f t="shared" si="4"/>
        <v>0</v>
      </c>
      <c r="K40" s="423">
        <f t="shared" si="5"/>
        <v>0</v>
      </c>
      <c r="L40" s="301">
        <f t="shared" si="14"/>
        <v>0</v>
      </c>
      <c r="M40" s="302" t="e">
        <f t="shared" si="1"/>
        <v>#DIV/0!</v>
      </c>
      <c r="N40" s="303"/>
      <c r="O40" s="304"/>
      <c r="P40" s="291">
        <f t="shared" si="6"/>
        <v>0</v>
      </c>
      <c r="Q40" s="291">
        <f t="shared" si="7"/>
        <v>0</v>
      </c>
      <c r="R40" s="304"/>
      <c r="S40" s="304"/>
      <c r="T40" s="304"/>
      <c r="U40" s="305"/>
      <c r="AD40" s="297">
        <v>0</v>
      </c>
      <c r="AE40" s="297" t="e">
        <v>#DIV/0!</v>
      </c>
      <c r="AG40" s="416"/>
      <c r="AL40" s="297">
        <v>0</v>
      </c>
      <c r="AM40" s="428" t="e">
        <v>#DIV/0!</v>
      </c>
    </row>
    <row r="41" spans="1:39" s="297" customFormat="1" ht="15.75" hidden="1" customHeight="1" x14ac:dyDescent="0.25">
      <c r="B41" s="297" t="s">
        <v>319</v>
      </c>
      <c r="C41" s="293" t="s">
        <v>188</v>
      </c>
      <c r="D41" s="298" t="s">
        <v>297</v>
      </c>
      <c r="E41" s="299" t="s">
        <v>331</v>
      </c>
      <c r="F41" s="299" t="s">
        <v>321</v>
      </c>
      <c r="G41" s="299" t="s">
        <v>333</v>
      </c>
      <c r="H41" s="299">
        <v>0.42499999999999999</v>
      </c>
      <c r="I41" s="300">
        <v>0</v>
      </c>
      <c r="J41" s="295">
        <f t="shared" si="4"/>
        <v>0</v>
      </c>
      <c r="K41" s="423">
        <f t="shared" si="5"/>
        <v>0</v>
      </c>
      <c r="L41" s="301">
        <f t="shared" si="14"/>
        <v>0</v>
      </c>
      <c r="M41" s="302" t="e">
        <f t="shared" si="1"/>
        <v>#DIV/0!</v>
      </c>
      <c r="N41" s="303"/>
      <c r="O41" s="304"/>
      <c r="P41" s="291">
        <f t="shared" si="6"/>
        <v>0</v>
      </c>
      <c r="Q41" s="291">
        <f t="shared" si="7"/>
        <v>0</v>
      </c>
      <c r="R41" s="304"/>
      <c r="S41" s="304"/>
      <c r="T41" s="304"/>
      <c r="U41" s="305"/>
      <c r="AD41" s="297">
        <v>0</v>
      </c>
      <c r="AE41" s="297" t="e">
        <v>#DIV/0!</v>
      </c>
      <c r="AG41" s="416"/>
      <c r="AL41" s="297">
        <v>0</v>
      </c>
      <c r="AM41" s="428" t="e">
        <v>#DIV/0!</v>
      </c>
    </row>
    <row r="42" spans="1:39" ht="15.75" customHeight="1" x14ac:dyDescent="0.25">
      <c r="A42">
        <v>1</v>
      </c>
      <c r="B42" t="s">
        <v>319</v>
      </c>
      <c r="C42" s="293" t="s">
        <v>188</v>
      </c>
      <c r="D42" s="293"/>
      <c r="E42" s="288" t="s">
        <v>334</v>
      </c>
      <c r="F42" s="288"/>
      <c r="G42" s="288"/>
      <c r="H42" s="288"/>
      <c r="I42" s="437">
        <v>606224</v>
      </c>
      <c r="J42" s="460">
        <f>I42/31*$J$1</f>
        <v>606224</v>
      </c>
      <c r="K42" s="466">
        <v>577460</v>
      </c>
      <c r="L42" s="295">
        <f>K42-J42</f>
        <v>-28764</v>
      </c>
      <c r="M42" s="290">
        <f t="shared" si="1"/>
        <v>-4.7447808070944071E-2</v>
      </c>
      <c r="N42" s="296"/>
      <c r="O42" s="291"/>
      <c r="P42" s="291"/>
      <c r="Q42" s="291"/>
      <c r="R42" s="291"/>
      <c r="S42" s="291"/>
      <c r="T42" s="291"/>
      <c r="U42" s="292"/>
      <c r="W42" s="366">
        <v>-0.59272469154051399</v>
      </c>
      <c r="AD42" s="383">
        <v>-19926.483870967742</v>
      </c>
      <c r="AE42" s="350">
        <v>-0.1688964413195731</v>
      </c>
      <c r="AG42" s="411">
        <v>235623</v>
      </c>
      <c r="AH42" s="306">
        <v>373773</v>
      </c>
      <c r="AL42">
        <v>-121042</v>
      </c>
      <c r="AM42" s="350">
        <v>-0.16547570060111089</v>
      </c>
    </row>
    <row r="43" spans="1:39" s="297" customFormat="1" ht="15.75" hidden="1" customHeight="1" x14ac:dyDescent="0.25">
      <c r="B43" s="297" t="s">
        <v>319</v>
      </c>
      <c r="C43" s="293" t="s">
        <v>188</v>
      </c>
      <c r="D43" s="298" t="s">
        <v>297</v>
      </c>
      <c r="E43" s="299" t="s">
        <v>335</v>
      </c>
      <c r="F43" s="299" t="s">
        <v>321</v>
      </c>
      <c r="G43" s="299" t="s">
        <v>336</v>
      </c>
      <c r="H43" s="299">
        <v>0.56069999999999998</v>
      </c>
      <c r="I43" s="300">
        <v>0</v>
      </c>
      <c r="J43" s="295">
        <f t="shared" si="4"/>
        <v>0</v>
      </c>
      <c r="K43" s="423">
        <f t="shared" si="5"/>
        <v>0</v>
      </c>
      <c r="L43" s="301">
        <f t="shared" si="14"/>
        <v>0</v>
      </c>
      <c r="M43" s="302" t="e">
        <f t="shared" si="1"/>
        <v>#DIV/0!</v>
      </c>
      <c r="N43" s="303"/>
      <c r="O43" s="304"/>
      <c r="P43" s="291">
        <f t="shared" si="6"/>
        <v>0</v>
      </c>
      <c r="Q43" s="291">
        <f t="shared" si="7"/>
        <v>0</v>
      </c>
      <c r="R43" s="304"/>
      <c r="S43" s="304"/>
      <c r="T43" s="304"/>
      <c r="U43" s="305"/>
      <c r="AD43" s="297">
        <v>0</v>
      </c>
      <c r="AE43" s="297" t="e">
        <v>#DIV/0!</v>
      </c>
      <c r="AG43" s="416"/>
      <c r="AL43" s="297">
        <v>0</v>
      </c>
      <c r="AM43" s="428" t="e">
        <v>#DIV/0!</v>
      </c>
    </row>
    <row r="44" spans="1:39" s="297" customFormat="1" ht="15.75" hidden="1" customHeight="1" x14ac:dyDescent="0.25">
      <c r="B44" s="297" t="s">
        <v>319</v>
      </c>
      <c r="C44" s="293" t="s">
        <v>188</v>
      </c>
      <c r="D44" s="298" t="s">
        <v>297</v>
      </c>
      <c r="E44" s="299" t="s">
        <v>335</v>
      </c>
      <c r="F44" s="299" t="s">
        <v>299</v>
      </c>
      <c r="G44" s="299" t="s">
        <v>337</v>
      </c>
      <c r="H44" s="299">
        <v>0.68</v>
      </c>
      <c r="I44" s="300">
        <v>0</v>
      </c>
      <c r="J44" s="295">
        <f t="shared" si="4"/>
        <v>0</v>
      </c>
      <c r="K44" s="423">
        <f t="shared" si="5"/>
        <v>0</v>
      </c>
      <c r="L44" s="301">
        <f t="shared" si="14"/>
        <v>0</v>
      </c>
      <c r="M44" s="302" t="e">
        <f t="shared" si="1"/>
        <v>#DIV/0!</v>
      </c>
      <c r="N44" s="303"/>
      <c r="O44" s="304"/>
      <c r="P44" s="291">
        <f t="shared" si="6"/>
        <v>0</v>
      </c>
      <c r="Q44" s="291">
        <f t="shared" si="7"/>
        <v>0</v>
      </c>
      <c r="R44" s="304"/>
      <c r="S44" s="304"/>
      <c r="T44" s="304"/>
      <c r="U44" s="305"/>
      <c r="AD44" s="297">
        <v>0</v>
      </c>
      <c r="AE44" s="297" t="e">
        <v>#DIV/0!</v>
      </c>
      <c r="AG44" s="416"/>
      <c r="AL44" s="297">
        <v>0</v>
      </c>
      <c r="AM44" s="428" t="e">
        <v>#DIV/0!</v>
      </c>
    </row>
    <row r="45" spans="1:39" ht="15.75" customHeight="1" x14ac:dyDescent="0.25">
      <c r="A45">
        <v>1</v>
      </c>
      <c r="B45" t="s">
        <v>319</v>
      </c>
      <c r="C45" s="293" t="s">
        <v>188</v>
      </c>
      <c r="D45" s="293"/>
      <c r="E45" s="288" t="s">
        <v>338</v>
      </c>
      <c r="F45" s="288"/>
      <c r="G45" s="288"/>
      <c r="H45" s="288"/>
      <c r="I45" s="437">
        <v>316048.999999994</v>
      </c>
      <c r="J45" s="460">
        <f>I45/31*$J$1</f>
        <v>316048.999999994</v>
      </c>
      <c r="K45" s="466">
        <v>265933</v>
      </c>
      <c r="L45" s="295">
        <f>K45-J45</f>
        <v>-50115.999999994005</v>
      </c>
      <c r="M45" s="290">
        <f t="shared" si="1"/>
        <v>-0.15857034826876515</v>
      </c>
      <c r="N45" s="296"/>
      <c r="O45" s="291"/>
      <c r="P45" s="291"/>
      <c r="Q45" s="291"/>
      <c r="R45" s="291"/>
      <c r="S45" s="291"/>
      <c r="T45" s="291"/>
      <c r="U45" s="292"/>
      <c r="V45" s="359"/>
      <c r="W45" s="366">
        <v>2.3763112016020736E-2</v>
      </c>
      <c r="AD45" s="383">
        <v>3500</v>
      </c>
      <c r="AE45" s="350">
        <v>7.0203590412195371E-2</v>
      </c>
      <c r="AG45" s="411">
        <v>127131</v>
      </c>
      <c r="AH45" s="306">
        <v>198714</v>
      </c>
      <c r="AL45">
        <v>11306</v>
      </c>
      <c r="AM45" s="350">
        <v>3.657704116130326E-2</v>
      </c>
    </row>
    <row r="46" spans="1:39" s="297" customFormat="1" ht="15.75" hidden="1" customHeight="1" x14ac:dyDescent="0.25">
      <c r="B46" s="297" t="s">
        <v>319</v>
      </c>
      <c r="C46" s="293" t="s">
        <v>193</v>
      </c>
      <c r="D46" s="298" t="s">
        <v>297</v>
      </c>
      <c r="E46" s="299" t="s">
        <v>339</v>
      </c>
      <c r="F46" s="299" t="s">
        <v>299</v>
      </c>
      <c r="G46" s="299" t="s">
        <v>340</v>
      </c>
      <c r="H46" s="299">
        <v>0.6</v>
      </c>
      <c r="I46" s="300">
        <v>0</v>
      </c>
      <c r="J46" s="295">
        <f t="shared" si="4"/>
        <v>0</v>
      </c>
      <c r="K46" s="423">
        <f t="shared" si="5"/>
        <v>0</v>
      </c>
      <c r="L46" s="301">
        <f t="shared" si="14"/>
        <v>0</v>
      </c>
      <c r="M46" s="302" t="e">
        <f t="shared" si="1"/>
        <v>#DIV/0!</v>
      </c>
      <c r="N46" s="303"/>
      <c r="O46" s="304"/>
      <c r="P46" s="291">
        <f t="shared" si="6"/>
        <v>0</v>
      </c>
      <c r="Q46" s="291">
        <f t="shared" si="7"/>
        <v>0</v>
      </c>
      <c r="R46" s="304"/>
      <c r="S46" s="304"/>
      <c r="T46" s="304"/>
      <c r="U46" s="305"/>
      <c r="AD46" s="297">
        <v>0</v>
      </c>
      <c r="AE46" s="297" t="e">
        <v>#DIV/0!</v>
      </c>
      <c r="AG46" s="416"/>
      <c r="AL46" s="297">
        <v>0</v>
      </c>
      <c r="AM46" s="428" t="e">
        <v>#DIV/0!</v>
      </c>
    </row>
    <row r="47" spans="1:39" s="297" customFormat="1" ht="15.75" hidden="1" customHeight="1" x14ac:dyDescent="0.25">
      <c r="B47" s="297" t="s">
        <v>319</v>
      </c>
      <c r="C47" s="293" t="s">
        <v>193</v>
      </c>
      <c r="D47" s="298" t="s">
        <v>297</v>
      </c>
      <c r="E47" s="299" t="s">
        <v>339</v>
      </c>
      <c r="F47" s="299" t="s">
        <v>299</v>
      </c>
      <c r="G47" s="299" t="s">
        <v>341</v>
      </c>
      <c r="H47" s="299">
        <v>0.6</v>
      </c>
      <c r="I47" s="300">
        <v>0</v>
      </c>
      <c r="J47" s="295">
        <f t="shared" si="4"/>
        <v>0</v>
      </c>
      <c r="K47" s="423">
        <f t="shared" si="5"/>
        <v>0</v>
      </c>
      <c r="L47" s="301">
        <f t="shared" si="14"/>
        <v>0</v>
      </c>
      <c r="M47" s="302" t="e">
        <f t="shared" si="1"/>
        <v>#DIV/0!</v>
      </c>
      <c r="N47" s="303"/>
      <c r="O47" s="304"/>
      <c r="P47" s="291">
        <f t="shared" si="6"/>
        <v>0</v>
      </c>
      <c r="Q47" s="291">
        <f t="shared" si="7"/>
        <v>0</v>
      </c>
      <c r="R47" s="304"/>
      <c r="S47" s="304"/>
      <c r="T47" s="304"/>
      <c r="U47" s="305"/>
      <c r="AD47" s="297">
        <v>0</v>
      </c>
      <c r="AE47" s="297" t="e">
        <v>#DIV/0!</v>
      </c>
      <c r="AG47" s="416"/>
      <c r="AL47" s="297">
        <v>0</v>
      </c>
      <c r="AM47" s="428" t="e">
        <v>#DIV/0!</v>
      </c>
    </row>
    <row r="48" spans="1:39" s="297" customFormat="1" ht="15.75" hidden="1" customHeight="1" x14ac:dyDescent="0.25">
      <c r="B48" s="297" t="s">
        <v>319</v>
      </c>
      <c r="C48" s="293" t="s">
        <v>193</v>
      </c>
      <c r="D48" s="298" t="s">
        <v>297</v>
      </c>
      <c r="E48" s="299" t="s">
        <v>339</v>
      </c>
      <c r="F48" s="299" t="s">
        <v>299</v>
      </c>
      <c r="G48" s="299" t="s">
        <v>342</v>
      </c>
      <c r="H48" s="299">
        <v>0.6</v>
      </c>
      <c r="I48" s="300">
        <v>0</v>
      </c>
      <c r="J48" s="295">
        <f t="shared" si="4"/>
        <v>0</v>
      </c>
      <c r="K48" s="423">
        <f t="shared" si="5"/>
        <v>0</v>
      </c>
      <c r="L48" s="301">
        <f t="shared" si="14"/>
        <v>0</v>
      </c>
      <c r="M48" s="302" t="e">
        <f t="shared" si="1"/>
        <v>#DIV/0!</v>
      </c>
      <c r="N48" s="303"/>
      <c r="O48" s="304"/>
      <c r="P48" s="291">
        <f t="shared" si="6"/>
        <v>0</v>
      </c>
      <c r="Q48" s="291">
        <f t="shared" si="7"/>
        <v>0</v>
      </c>
      <c r="R48" s="304"/>
      <c r="S48" s="304"/>
      <c r="T48" s="304"/>
      <c r="U48" s="305"/>
      <c r="AD48" s="297">
        <v>0</v>
      </c>
      <c r="AE48" s="297" t="e">
        <v>#DIV/0!</v>
      </c>
      <c r="AG48" s="416"/>
      <c r="AL48" s="297">
        <v>0</v>
      </c>
      <c r="AM48" s="428" t="e">
        <v>#DIV/0!</v>
      </c>
    </row>
    <row r="49" spans="1:39" s="297" customFormat="1" ht="15.75" hidden="1" customHeight="1" x14ac:dyDescent="0.25">
      <c r="B49" s="297" t="s">
        <v>319</v>
      </c>
      <c r="C49" s="293" t="s">
        <v>193</v>
      </c>
      <c r="D49" s="298" t="s">
        <v>297</v>
      </c>
      <c r="E49" s="299" t="s">
        <v>339</v>
      </c>
      <c r="F49" s="299" t="s">
        <v>299</v>
      </c>
      <c r="G49" s="299" t="s">
        <v>343</v>
      </c>
      <c r="H49" s="299">
        <v>0.6</v>
      </c>
      <c r="I49" s="300">
        <v>0</v>
      </c>
      <c r="J49" s="295">
        <f t="shared" si="4"/>
        <v>0</v>
      </c>
      <c r="K49" s="423">
        <f t="shared" si="5"/>
        <v>0</v>
      </c>
      <c r="L49" s="301">
        <f t="shared" si="14"/>
        <v>0</v>
      </c>
      <c r="M49" s="302" t="e">
        <f t="shared" si="1"/>
        <v>#DIV/0!</v>
      </c>
      <c r="N49" s="303"/>
      <c r="O49" s="304"/>
      <c r="P49" s="291">
        <f t="shared" si="6"/>
        <v>0</v>
      </c>
      <c r="Q49" s="291">
        <f t="shared" si="7"/>
        <v>0</v>
      </c>
      <c r="R49" s="304"/>
      <c r="S49" s="304"/>
      <c r="T49" s="304"/>
      <c r="U49" s="305"/>
      <c r="AD49" s="297">
        <v>0</v>
      </c>
      <c r="AE49" s="297" t="e">
        <v>#DIV/0!</v>
      </c>
      <c r="AG49" s="416"/>
      <c r="AL49" s="297">
        <v>0</v>
      </c>
      <c r="AM49" s="428" t="e">
        <v>#DIV/0!</v>
      </c>
    </row>
    <row r="50" spans="1:39" s="297" customFormat="1" ht="15.75" hidden="1" customHeight="1" x14ac:dyDescent="0.25">
      <c r="B50" s="297" t="s">
        <v>319</v>
      </c>
      <c r="C50" s="293" t="s">
        <v>193</v>
      </c>
      <c r="D50" s="298" t="s">
        <v>297</v>
      </c>
      <c r="E50" s="299" t="s">
        <v>339</v>
      </c>
      <c r="F50" s="299" t="s">
        <v>299</v>
      </c>
      <c r="G50" s="299" t="s">
        <v>344</v>
      </c>
      <c r="H50" s="299">
        <v>0.6</v>
      </c>
      <c r="I50" s="300">
        <v>0</v>
      </c>
      <c r="J50" s="295">
        <f t="shared" si="4"/>
        <v>0</v>
      </c>
      <c r="K50" s="423">
        <f t="shared" si="5"/>
        <v>0</v>
      </c>
      <c r="L50" s="301">
        <f t="shared" si="14"/>
        <v>0</v>
      </c>
      <c r="M50" s="302" t="e">
        <f t="shared" si="1"/>
        <v>#DIV/0!</v>
      </c>
      <c r="N50" s="303"/>
      <c r="O50" s="304"/>
      <c r="P50" s="291">
        <f t="shared" si="6"/>
        <v>0</v>
      </c>
      <c r="Q50" s="291">
        <f t="shared" si="7"/>
        <v>0</v>
      </c>
      <c r="R50" s="304"/>
      <c r="S50" s="304"/>
      <c r="T50" s="304"/>
      <c r="U50" s="305"/>
      <c r="AD50" s="297">
        <v>0</v>
      </c>
      <c r="AE50" s="297" t="e">
        <v>#DIV/0!</v>
      </c>
      <c r="AG50" s="416"/>
      <c r="AL50" s="297">
        <v>0</v>
      </c>
      <c r="AM50" s="428" t="e">
        <v>#DIV/0!</v>
      </c>
    </row>
    <row r="51" spans="1:39" ht="31.5" customHeight="1" x14ac:dyDescent="0.25">
      <c r="A51">
        <v>1</v>
      </c>
      <c r="B51" t="s">
        <v>319</v>
      </c>
      <c r="C51" s="293" t="s">
        <v>193</v>
      </c>
      <c r="D51" s="293"/>
      <c r="E51" s="288" t="s">
        <v>345</v>
      </c>
      <c r="F51" s="288"/>
      <c r="G51" s="288"/>
      <c r="H51" s="288"/>
      <c r="I51" s="437">
        <v>367018</v>
      </c>
      <c r="J51" s="460">
        <f>I51/31*$J$1</f>
        <v>367018</v>
      </c>
      <c r="K51" s="467">
        <v>358445</v>
      </c>
      <c r="L51" s="295">
        <f t="shared" si="14"/>
        <v>-8573</v>
      </c>
      <c r="M51" s="311">
        <f t="shared" si="1"/>
        <v>-2.335852737467917E-2</v>
      </c>
      <c r="N51" s="294"/>
      <c r="O51" s="291"/>
      <c r="P51" s="291"/>
      <c r="Q51" s="291"/>
      <c r="R51" s="291"/>
      <c r="S51" s="291"/>
      <c r="T51" s="291"/>
      <c r="U51" s="292"/>
      <c r="W51" s="366">
        <v>-0.24752620598178021</v>
      </c>
      <c r="AD51" s="383">
        <v>17223.933911211505</v>
      </c>
      <c r="AE51" s="350">
        <v>0.36444559426622214</v>
      </c>
      <c r="AG51" s="411">
        <v>148459</v>
      </c>
      <c r="AH51" s="306">
        <v>209553</v>
      </c>
      <c r="AL51">
        <v>42610</v>
      </c>
      <c r="AM51" s="350">
        <v>0.15141823557422371</v>
      </c>
    </row>
    <row r="52" spans="1:39" s="297" customFormat="1" ht="15.75" hidden="1" customHeight="1" x14ac:dyDescent="0.25">
      <c r="B52" s="297" t="s">
        <v>319</v>
      </c>
      <c r="C52" s="293" t="s">
        <v>193</v>
      </c>
      <c r="D52" s="298" t="s">
        <v>297</v>
      </c>
      <c r="E52" s="299" t="s">
        <v>346</v>
      </c>
      <c r="F52" s="299" t="s">
        <v>321</v>
      </c>
      <c r="G52" s="299" t="s">
        <v>347</v>
      </c>
      <c r="H52" s="299">
        <v>1.9670000000000001</v>
      </c>
      <c r="I52" s="300">
        <v>0</v>
      </c>
      <c r="J52" s="295">
        <f t="shared" si="4"/>
        <v>0</v>
      </c>
      <c r="K52" s="423">
        <f t="shared" si="5"/>
        <v>0</v>
      </c>
      <c r="L52" s="301">
        <f t="shared" si="14"/>
        <v>0</v>
      </c>
      <c r="M52" s="302" t="e">
        <f t="shared" si="1"/>
        <v>#DIV/0!</v>
      </c>
      <c r="N52" s="303"/>
      <c r="O52" s="304"/>
      <c r="P52" s="291">
        <f t="shared" si="6"/>
        <v>0</v>
      </c>
      <c r="Q52" s="291">
        <f t="shared" si="7"/>
        <v>0</v>
      </c>
      <c r="R52" s="304"/>
      <c r="S52" s="304"/>
      <c r="T52" s="304"/>
      <c r="U52" s="305"/>
      <c r="AD52" s="297">
        <v>0</v>
      </c>
      <c r="AE52" s="297" t="e">
        <v>#DIV/0!</v>
      </c>
      <c r="AG52" s="416"/>
      <c r="AL52" s="297">
        <v>0</v>
      </c>
      <c r="AM52" s="428" t="e">
        <v>#DIV/0!</v>
      </c>
    </row>
    <row r="53" spans="1:39" s="297" customFormat="1" ht="15.75" hidden="1" customHeight="1" x14ac:dyDescent="0.25">
      <c r="B53" s="297" t="s">
        <v>319</v>
      </c>
      <c r="C53" s="293" t="s">
        <v>193</v>
      </c>
      <c r="D53" s="298" t="s">
        <v>297</v>
      </c>
      <c r="E53" s="299" t="s">
        <v>346</v>
      </c>
      <c r="F53" s="299" t="s">
        <v>321</v>
      </c>
      <c r="G53" s="299" t="s">
        <v>348</v>
      </c>
      <c r="H53" s="299">
        <v>1.867</v>
      </c>
      <c r="I53" s="300">
        <v>0</v>
      </c>
      <c r="J53" s="295">
        <f t="shared" si="4"/>
        <v>0</v>
      </c>
      <c r="K53" s="423">
        <f t="shared" si="5"/>
        <v>0</v>
      </c>
      <c r="L53" s="301">
        <f t="shared" si="14"/>
        <v>0</v>
      </c>
      <c r="M53" s="302" t="e">
        <f t="shared" si="1"/>
        <v>#DIV/0!</v>
      </c>
      <c r="N53" s="303"/>
      <c r="O53" s="304"/>
      <c r="P53" s="291">
        <f t="shared" si="6"/>
        <v>0</v>
      </c>
      <c r="Q53" s="291">
        <f t="shared" si="7"/>
        <v>0</v>
      </c>
      <c r="R53" s="304"/>
      <c r="S53" s="304"/>
      <c r="T53" s="304"/>
      <c r="U53" s="305"/>
      <c r="AD53" s="297">
        <v>0</v>
      </c>
      <c r="AE53" s="297" t="e">
        <v>#DIV/0!</v>
      </c>
      <c r="AG53" s="416"/>
      <c r="AL53" s="297">
        <v>0</v>
      </c>
      <c r="AM53" s="428" t="e">
        <v>#DIV/0!</v>
      </c>
    </row>
    <row r="54" spans="1:39" ht="15.75" customHeight="1" x14ac:dyDescent="0.25">
      <c r="A54">
        <v>1</v>
      </c>
      <c r="B54" t="s">
        <v>319</v>
      </c>
      <c r="C54" s="293" t="s">
        <v>193</v>
      </c>
      <c r="D54" s="293"/>
      <c r="E54" s="288" t="s">
        <v>349</v>
      </c>
      <c r="F54" s="288"/>
      <c r="G54" s="288"/>
      <c r="H54" s="288"/>
      <c r="I54" s="437">
        <v>55950</v>
      </c>
      <c r="J54" s="460">
        <f>I54/31*$J$1</f>
        <v>55950</v>
      </c>
      <c r="K54" s="467">
        <v>293388</v>
      </c>
      <c r="L54" s="295">
        <f>K54-J54</f>
        <v>237438</v>
      </c>
      <c r="M54" s="311">
        <f t="shared" si="1"/>
        <v>4.2437533512064345</v>
      </c>
      <c r="N54" s="296"/>
      <c r="O54" s="291"/>
      <c r="P54" s="291"/>
      <c r="Q54" s="291"/>
      <c r="R54" s="291"/>
      <c r="S54" s="291"/>
      <c r="T54" s="291"/>
      <c r="U54" s="292"/>
      <c r="W54" s="366">
        <v>-0.12759220334205049</v>
      </c>
      <c r="AD54" s="383">
        <v>4745.6451612903184</v>
      </c>
      <c r="AE54" s="350">
        <v>8.6521439955773202E-2</v>
      </c>
      <c r="AG54" s="411">
        <v>144051</v>
      </c>
      <c r="AH54" s="306">
        <v>233045.7</v>
      </c>
      <c r="AL54">
        <v>38034</v>
      </c>
      <c r="AM54" s="350">
        <v>0.11184299518328795</v>
      </c>
    </row>
    <row r="55" spans="1:39" s="297" customFormat="1" ht="15.75" hidden="1" customHeight="1" x14ac:dyDescent="0.25">
      <c r="B55" s="297" t="s">
        <v>319</v>
      </c>
      <c r="C55" s="293" t="s">
        <v>193</v>
      </c>
      <c r="D55" s="298" t="s">
        <v>297</v>
      </c>
      <c r="E55" s="299" t="s">
        <v>350</v>
      </c>
      <c r="F55" s="299" t="s">
        <v>321</v>
      </c>
      <c r="G55" s="299" t="s">
        <v>351</v>
      </c>
      <c r="H55" s="299">
        <v>0.3</v>
      </c>
      <c r="I55" s="300">
        <v>0</v>
      </c>
      <c r="J55" s="295">
        <f t="shared" si="4"/>
        <v>0</v>
      </c>
      <c r="K55" s="423">
        <f t="shared" si="5"/>
        <v>0</v>
      </c>
      <c r="L55" s="301">
        <f t="shared" si="14"/>
        <v>0</v>
      </c>
      <c r="M55" s="302" t="e">
        <f t="shared" si="1"/>
        <v>#DIV/0!</v>
      </c>
      <c r="N55" s="303"/>
      <c r="O55" s="304"/>
      <c r="P55" s="291">
        <f t="shared" si="6"/>
        <v>0</v>
      </c>
      <c r="Q55" s="291">
        <f t="shared" si="7"/>
        <v>0</v>
      </c>
      <c r="R55" s="304"/>
      <c r="S55" s="304"/>
      <c r="T55" s="304"/>
      <c r="U55" s="305"/>
      <c r="AD55" s="297">
        <v>0</v>
      </c>
      <c r="AE55" s="297" t="e">
        <v>#DIV/0!</v>
      </c>
      <c r="AG55" s="416"/>
      <c r="AL55" s="297">
        <v>0</v>
      </c>
      <c r="AM55" s="428" t="e">
        <v>#DIV/0!</v>
      </c>
    </row>
    <row r="56" spans="1:39" s="297" customFormat="1" ht="15.75" hidden="1" customHeight="1" x14ac:dyDescent="0.25">
      <c r="B56" s="297" t="s">
        <v>319</v>
      </c>
      <c r="C56" s="293" t="s">
        <v>193</v>
      </c>
      <c r="D56" s="298" t="s">
        <v>297</v>
      </c>
      <c r="E56" s="299" t="s">
        <v>350</v>
      </c>
      <c r="F56" s="299" t="s">
        <v>321</v>
      </c>
      <c r="G56" s="299" t="s">
        <v>352</v>
      </c>
      <c r="H56" s="299">
        <v>0.3</v>
      </c>
      <c r="I56" s="300">
        <v>0</v>
      </c>
      <c r="J56" s="295">
        <f t="shared" si="4"/>
        <v>0</v>
      </c>
      <c r="K56" s="423">
        <f t="shared" si="5"/>
        <v>0</v>
      </c>
      <c r="L56" s="301">
        <f t="shared" si="14"/>
        <v>0</v>
      </c>
      <c r="M56" s="302" t="e">
        <f t="shared" si="1"/>
        <v>#DIV/0!</v>
      </c>
      <c r="N56" s="303"/>
      <c r="O56" s="304"/>
      <c r="P56" s="291">
        <f t="shared" si="6"/>
        <v>0</v>
      </c>
      <c r="Q56" s="291">
        <f t="shared" si="7"/>
        <v>0</v>
      </c>
      <c r="R56" s="304"/>
      <c r="S56" s="304"/>
      <c r="T56" s="304"/>
      <c r="U56" s="305"/>
      <c r="AD56" s="297">
        <v>0</v>
      </c>
      <c r="AE56" s="297" t="e">
        <v>#DIV/0!</v>
      </c>
      <c r="AG56" s="416"/>
      <c r="AL56" s="297">
        <v>0</v>
      </c>
      <c r="AM56" s="428" t="e">
        <v>#DIV/0!</v>
      </c>
    </row>
    <row r="57" spans="1:39" ht="15.75" customHeight="1" x14ac:dyDescent="0.25">
      <c r="A57">
        <v>1</v>
      </c>
      <c r="B57" t="s">
        <v>319</v>
      </c>
      <c r="C57" s="293" t="s">
        <v>193</v>
      </c>
      <c r="D57" s="293"/>
      <c r="E57" s="288" t="s">
        <v>353</v>
      </c>
      <c r="F57" s="288"/>
      <c r="G57" s="288"/>
      <c r="H57" s="288"/>
      <c r="I57" s="437">
        <v>37217</v>
      </c>
      <c r="J57" s="460">
        <f>I57/31*$J$1</f>
        <v>37217</v>
      </c>
      <c r="K57" s="467">
        <v>32998</v>
      </c>
      <c r="L57" s="295">
        <f>K57-J57</f>
        <v>-4219</v>
      </c>
      <c r="M57" s="290">
        <f t="shared" si="1"/>
        <v>-0.11336217320041916</v>
      </c>
      <c r="N57" s="296"/>
      <c r="O57" s="291"/>
      <c r="P57" s="291"/>
      <c r="Q57" s="291"/>
      <c r="R57" s="291"/>
      <c r="S57" s="291"/>
      <c r="T57" s="291"/>
      <c r="U57" s="292"/>
      <c r="W57" s="366">
        <v>-6.1222652359992913E-2</v>
      </c>
      <c r="AD57" s="383">
        <v>-1140.9032258064544</v>
      </c>
      <c r="AE57" s="350">
        <v>-4.5241795703257523E-2</v>
      </c>
      <c r="AG57" s="411">
        <v>56924</v>
      </c>
      <c r="AH57" s="306">
        <v>98650</v>
      </c>
      <c r="AL57">
        <v>-14249</v>
      </c>
      <c r="AM57" s="350">
        <v>-9.113469053603751E-2</v>
      </c>
    </row>
    <row r="58" spans="1:39" s="297" customFormat="1" ht="15.75" hidden="1" customHeight="1" x14ac:dyDescent="0.25">
      <c r="B58" s="297" t="s">
        <v>319</v>
      </c>
      <c r="C58" s="293" t="s">
        <v>193</v>
      </c>
      <c r="D58" s="298" t="s">
        <v>297</v>
      </c>
      <c r="E58" s="299" t="s">
        <v>354</v>
      </c>
      <c r="F58" s="299" t="s">
        <v>321</v>
      </c>
      <c r="G58" s="299" t="s">
        <v>355</v>
      </c>
      <c r="H58" s="299">
        <v>1.69</v>
      </c>
      <c r="I58" s="300">
        <v>0</v>
      </c>
      <c r="J58" s="295">
        <f t="shared" si="4"/>
        <v>0</v>
      </c>
      <c r="K58" s="423">
        <f t="shared" si="5"/>
        <v>0</v>
      </c>
      <c r="L58" s="301">
        <f t="shared" si="14"/>
        <v>0</v>
      </c>
      <c r="M58" s="302" t="e">
        <f t="shared" si="1"/>
        <v>#DIV/0!</v>
      </c>
      <c r="N58" s="303"/>
      <c r="O58" s="304"/>
      <c r="P58" s="291">
        <f t="shared" si="6"/>
        <v>0</v>
      </c>
      <c r="Q58" s="291">
        <f t="shared" si="7"/>
        <v>0</v>
      </c>
      <c r="R58" s="304"/>
      <c r="S58" s="304"/>
      <c r="T58" s="304"/>
      <c r="U58" s="305"/>
      <c r="AD58" s="297">
        <v>0</v>
      </c>
      <c r="AE58" s="297" t="e">
        <v>#DIV/0!</v>
      </c>
      <c r="AG58" s="416"/>
      <c r="AL58" s="297">
        <v>0</v>
      </c>
      <c r="AM58" s="428" t="e">
        <v>#DIV/0!</v>
      </c>
    </row>
    <row r="59" spans="1:39" s="297" customFormat="1" ht="15.75" hidden="1" customHeight="1" x14ac:dyDescent="0.25">
      <c r="B59" s="297" t="s">
        <v>319</v>
      </c>
      <c r="C59" s="293" t="s">
        <v>193</v>
      </c>
      <c r="D59" s="298" t="s">
        <v>297</v>
      </c>
      <c r="E59" s="299" t="s">
        <v>354</v>
      </c>
      <c r="F59" s="299" t="s">
        <v>321</v>
      </c>
      <c r="G59" s="299" t="s">
        <v>356</v>
      </c>
      <c r="H59" s="299">
        <v>1.69</v>
      </c>
      <c r="I59" s="300">
        <v>0</v>
      </c>
      <c r="J59" s="295">
        <f t="shared" si="4"/>
        <v>0</v>
      </c>
      <c r="K59" s="423">
        <f t="shared" si="5"/>
        <v>0</v>
      </c>
      <c r="L59" s="301">
        <f t="shared" si="14"/>
        <v>0</v>
      </c>
      <c r="M59" s="302" t="e">
        <f t="shared" si="1"/>
        <v>#DIV/0!</v>
      </c>
      <c r="N59" s="303"/>
      <c r="O59" s="304"/>
      <c r="P59" s="291">
        <f t="shared" si="6"/>
        <v>0</v>
      </c>
      <c r="Q59" s="291">
        <f t="shared" si="7"/>
        <v>0</v>
      </c>
      <c r="R59" s="304"/>
      <c r="S59" s="304"/>
      <c r="T59" s="304"/>
      <c r="U59" s="305"/>
      <c r="AD59" s="297">
        <v>0</v>
      </c>
      <c r="AE59" s="297" t="e">
        <v>#DIV/0!</v>
      </c>
      <c r="AG59" s="416"/>
      <c r="AL59" s="297">
        <v>0</v>
      </c>
      <c r="AM59" s="428" t="e">
        <v>#DIV/0!</v>
      </c>
    </row>
    <row r="60" spans="1:39" ht="15.75" customHeight="1" x14ac:dyDescent="0.25">
      <c r="A60">
        <v>1</v>
      </c>
      <c r="B60" t="s">
        <v>319</v>
      </c>
      <c r="C60" s="293" t="s">
        <v>193</v>
      </c>
      <c r="D60" s="293"/>
      <c r="E60" s="288" t="s">
        <v>357</v>
      </c>
      <c r="F60" s="288"/>
      <c r="G60" s="288"/>
      <c r="H60" s="288"/>
      <c r="I60" s="437">
        <v>126710</v>
      </c>
      <c r="J60" s="460">
        <f>I60/31*$J$1</f>
        <v>126710</v>
      </c>
      <c r="K60" s="467">
        <v>118062</v>
      </c>
      <c r="L60" s="295">
        <f>K60-J60</f>
        <v>-8648</v>
      </c>
      <c r="M60" s="290">
        <f t="shared" si="1"/>
        <v>-6.8250335411569732E-2</v>
      </c>
      <c r="N60" s="296"/>
      <c r="O60" s="291"/>
      <c r="P60" s="291"/>
      <c r="Q60" s="291"/>
      <c r="R60" s="291"/>
      <c r="S60" s="291"/>
      <c r="T60" s="291"/>
      <c r="U60" s="292"/>
      <c r="W60" s="366">
        <v>-0.45330266307600237</v>
      </c>
      <c r="AD60" s="383">
        <v>-11012.709677419352</v>
      </c>
      <c r="AE60" s="350">
        <v>-0.55025829068783494</v>
      </c>
      <c r="AG60" s="411">
        <v>27659</v>
      </c>
      <c r="AH60" s="306">
        <v>47986</v>
      </c>
      <c r="AL60">
        <v>-39622</v>
      </c>
      <c r="AM60" s="350">
        <v>-0.31931337389692549</v>
      </c>
    </row>
    <row r="61" spans="1:39" s="297" customFormat="1" ht="15.75" hidden="1" customHeight="1" x14ac:dyDescent="0.25">
      <c r="B61" s="297" t="s">
        <v>319</v>
      </c>
      <c r="C61" s="293" t="s">
        <v>188</v>
      </c>
      <c r="D61" s="298" t="s">
        <v>297</v>
      </c>
      <c r="E61" s="299" t="s">
        <v>358</v>
      </c>
      <c r="F61" s="299" t="s">
        <v>299</v>
      </c>
      <c r="G61" s="299" t="s">
        <v>359</v>
      </c>
      <c r="H61" s="299">
        <v>0.25</v>
      </c>
      <c r="I61" s="300">
        <v>0</v>
      </c>
      <c r="J61" s="295">
        <f t="shared" si="4"/>
        <v>0</v>
      </c>
      <c r="K61" s="423">
        <f t="shared" si="5"/>
        <v>0</v>
      </c>
      <c r="L61" s="301">
        <f t="shared" si="14"/>
        <v>0</v>
      </c>
      <c r="M61" s="302" t="e">
        <f t="shared" si="1"/>
        <v>#DIV/0!</v>
      </c>
      <c r="N61" s="303"/>
      <c r="O61" s="304"/>
      <c r="P61" s="291">
        <f t="shared" si="6"/>
        <v>0</v>
      </c>
      <c r="Q61" s="291">
        <f t="shared" si="7"/>
        <v>0</v>
      </c>
      <c r="R61" s="304"/>
      <c r="S61" s="304"/>
      <c r="T61" s="304"/>
      <c r="U61" s="305"/>
      <c r="AD61" s="297">
        <v>0</v>
      </c>
      <c r="AE61" s="297" t="e">
        <v>#DIV/0!</v>
      </c>
      <c r="AG61" s="416"/>
      <c r="AL61" s="297">
        <v>0</v>
      </c>
      <c r="AM61" s="428" t="e">
        <v>#DIV/0!</v>
      </c>
    </row>
    <row r="62" spans="1:39" s="297" customFormat="1" ht="15.75" hidden="1" customHeight="1" x14ac:dyDescent="0.25">
      <c r="B62" s="297" t="s">
        <v>319</v>
      </c>
      <c r="C62" s="293" t="s">
        <v>188</v>
      </c>
      <c r="D62" s="298" t="s">
        <v>297</v>
      </c>
      <c r="E62" s="299" t="s">
        <v>358</v>
      </c>
      <c r="F62" s="299" t="s">
        <v>299</v>
      </c>
      <c r="G62" s="299" t="s">
        <v>360</v>
      </c>
      <c r="H62" s="299">
        <v>0.25</v>
      </c>
      <c r="I62" s="300">
        <v>0</v>
      </c>
      <c r="J62" s="295">
        <f t="shared" si="4"/>
        <v>0</v>
      </c>
      <c r="K62" s="423">
        <f t="shared" si="5"/>
        <v>0</v>
      </c>
      <c r="L62" s="301">
        <f t="shared" si="14"/>
        <v>0</v>
      </c>
      <c r="M62" s="302" t="e">
        <f t="shared" si="1"/>
        <v>#DIV/0!</v>
      </c>
      <c r="N62" s="303"/>
      <c r="O62" s="304"/>
      <c r="P62" s="291">
        <f t="shared" si="6"/>
        <v>0</v>
      </c>
      <c r="Q62" s="291">
        <f t="shared" si="7"/>
        <v>0</v>
      </c>
      <c r="R62" s="304"/>
      <c r="S62" s="304"/>
      <c r="T62" s="304"/>
      <c r="U62" s="305"/>
      <c r="AD62" s="297">
        <v>0</v>
      </c>
      <c r="AE62" s="297" t="e">
        <v>#DIV/0!</v>
      </c>
      <c r="AG62" s="416"/>
      <c r="AL62" s="297">
        <v>0</v>
      </c>
      <c r="AM62" s="428" t="e">
        <v>#DIV/0!</v>
      </c>
    </row>
    <row r="63" spans="1:39" ht="15.75" customHeight="1" x14ac:dyDescent="0.25">
      <c r="A63">
        <v>1</v>
      </c>
      <c r="B63" t="s">
        <v>319</v>
      </c>
      <c r="C63" s="293" t="s">
        <v>188</v>
      </c>
      <c r="D63" s="293"/>
      <c r="E63" s="288" t="s">
        <v>361</v>
      </c>
      <c r="F63" s="288"/>
      <c r="G63" s="288"/>
      <c r="H63" s="288"/>
      <c r="I63" s="437">
        <v>389398</v>
      </c>
      <c r="J63" s="460">
        <f>I63/31*$J$1</f>
        <v>389398</v>
      </c>
      <c r="K63" s="467">
        <v>369871</v>
      </c>
      <c r="L63" s="295">
        <f>K63-J63</f>
        <v>-19527</v>
      </c>
      <c r="M63" s="290">
        <f t="shared" si="1"/>
        <v>-5.0146636603166941E-2</v>
      </c>
      <c r="N63" s="296"/>
      <c r="O63" s="291"/>
      <c r="P63" s="291"/>
      <c r="Q63" s="291"/>
      <c r="R63" s="291"/>
      <c r="S63" s="291"/>
      <c r="T63" s="291"/>
      <c r="U63" s="292"/>
      <c r="W63" s="366">
        <v>-0.33594017012143468</v>
      </c>
      <c r="AD63" s="383">
        <v>16558.032258064515</v>
      </c>
      <c r="AE63" s="350">
        <v>0.34327148460357848</v>
      </c>
      <c r="AG63" s="411">
        <v>154945</v>
      </c>
      <c r="AH63" s="306">
        <v>242892</v>
      </c>
      <c r="AL63">
        <v>110228</v>
      </c>
      <c r="AM63" s="350">
        <v>0.36857785817703964</v>
      </c>
    </row>
    <row r="64" spans="1:39" ht="15.75" customHeight="1" x14ac:dyDescent="0.25">
      <c r="A64">
        <v>1</v>
      </c>
      <c r="B64" t="s">
        <v>319</v>
      </c>
      <c r="C64" s="293" t="s">
        <v>193</v>
      </c>
      <c r="D64" s="293" t="s">
        <v>297</v>
      </c>
      <c r="E64" s="288" t="s">
        <v>362</v>
      </c>
      <c r="F64" s="288" t="s">
        <v>299</v>
      </c>
      <c r="G64" s="288" t="s">
        <v>363</v>
      </c>
      <c r="H64" s="288">
        <v>0.19</v>
      </c>
      <c r="I64" s="437">
        <v>145237</v>
      </c>
      <c r="J64" s="460">
        <f>I64/31*$J$1</f>
        <v>145237</v>
      </c>
      <c r="K64" s="467">
        <v>206441</v>
      </c>
      <c r="L64" s="295">
        <f t="shared" si="14"/>
        <v>61204</v>
      </c>
      <c r="M64" s="311">
        <f t="shared" si="1"/>
        <v>0.42140776799300456</v>
      </c>
      <c r="N64" s="296"/>
      <c r="O64" s="291"/>
      <c r="P64" s="291"/>
      <c r="Q64" s="291"/>
      <c r="R64" s="291"/>
      <c r="S64" s="291"/>
      <c r="T64" s="291"/>
      <c r="U64" s="292"/>
      <c r="W64" s="366">
        <v>2.2501737551682264E-3</v>
      </c>
      <c r="AD64" s="383">
        <v>23086.806451612902</v>
      </c>
      <c r="AE64" s="350">
        <v>1.5315450460089874</v>
      </c>
      <c r="AG64" s="411">
        <v>70975</v>
      </c>
      <c r="AH64" s="306">
        <v>112827.45</v>
      </c>
      <c r="AL64">
        <v>74151.73076923078</v>
      </c>
      <c r="AM64" s="350">
        <v>0.72454838452669268</v>
      </c>
    </row>
    <row r="65" spans="1:39" ht="15.75" customHeight="1" x14ac:dyDescent="0.25">
      <c r="A65">
        <v>1</v>
      </c>
      <c r="B65" t="s">
        <v>319</v>
      </c>
      <c r="C65" s="293" t="s">
        <v>193</v>
      </c>
      <c r="D65" s="293" t="s">
        <v>297</v>
      </c>
      <c r="E65" s="288" t="s">
        <v>364</v>
      </c>
      <c r="F65" s="288" t="s">
        <v>299</v>
      </c>
      <c r="G65" s="288" t="s">
        <v>365</v>
      </c>
      <c r="H65" s="288">
        <v>0.15</v>
      </c>
      <c r="I65" s="437">
        <v>210628</v>
      </c>
      <c r="J65" s="460">
        <f>I65/31*$J$1</f>
        <v>210628</v>
      </c>
      <c r="K65" s="467">
        <v>279646.45000000019</v>
      </c>
      <c r="L65" s="295">
        <f t="shared" si="14"/>
        <v>69018.450000000186</v>
      </c>
      <c r="M65" s="290">
        <f t="shared" si="1"/>
        <v>0.32767936836508055</v>
      </c>
      <c r="N65" s="296"/>
      <c r="O65" s="291"/>
      <c r="P65" s="291"/>
      <c r="Q65" s="291"/>
      <c r="R65" s="291"/>
      <c r="S65" s="291"/>
      <c r="T65" s="291"/>
      <c r="U65" s="292"/>
      <c r="W65" s="366">
        <v>-0.2078066169541864</v>
      </c>
      <c r="AD65" s="383">
        <v>-15714.335483871342</v>
      </c>
      <c r="AE65" s="350">
        <v>-0.35165390765144722</v>
      </c>
      <c r="AG65" s="411">
        <v>71252</v>
      </c>
      <c r="AH65" s="306">
        <v>113850.5</v>
      </c>
      <c r="AL65">
        <v>-82453.650000000373</v>
      </c>
      <c r="AM65" s="350">
        <v>-0.29760321808712359</v>
      </c>
    </row>
    <row r="66" spans="1:39" ht="32.25" customHeight="1" x14ac:dyDescent="0.25">
      <c r="A66">
        <v>1</v>
      </c>
      <c r="B66" t="s">
        <v>319</v>
      </c>
      <c r="C66" s="293" t="s">
        <v>193</v>
      </c>
      <c r="D66" s="293" t="s">
        <v>297</v>
      </c>
      <c r="E66" s="288" t="s">
        <v>417</v>
      </c>
      <c r="F66" s="288" t="s">
        <v>321</v>
      </c>
      <c r="G66" s="288" t="s">
        <v>366</v>
      </c>
      <c r="H66" s="288">
        <v>2</v>
      </c>
      <c r="I66" s="437">
        <v>200167</v>
      </c>
      <c r="J66" s="460">
        <f>I66/31*$J$1</f>
        <v>200167</v>
      </c>
      <c r="K66" s="467">
        <v>244860</v>
      </c>
      <c r="L66" s="295">
        <f t="shared" si="14"/>
        <v>44693</v>
      </c>
      <c r="M66" s="311">
        <f t="shared" si="1"/>
        <v>0.22327856240039567</v>
      </c>
      <c r="N66" s="296"/>
      <c r="O66" s="291"/>
      <c r="P66" s="291"/>
      <c r="Q66" s="291"/>
      <c r="R66" s="291"/>
      <c r="S66" s="291"/>
      <c r="T66" s="291"/>
      <c r="U66" s="292"/>
      <c r="W66" s="366">
        <v>-0.18317940496520646</v>
      </c>
      <c r="AA66">
        <v>1000</v>
      </c>
      <c r="AD66" s="383">
        <v>487.09677419355285</v>
      </c>
      <c r="AE66" s="350">
        <v>1.0670737093531583E-2</v>
      </c>
      <c r="AG66" s="411">
        <v>146953</v>
      </c>
      <c r="AH66" s="306">
        <v>255510</v>
      </c>
      <c r="AL66">
        <v>153989</v>
      </c>
      <c r="AM66" s="350">
        <v>0.54409805771384756</v>
      </c>
    </row>
    <row r="67" spans="1:39" s="297" customFormat="1" ht="15.75" hidden="1" customHeight="1" x14ac:dyDescent="0.25">
      <c r="B67" s="297" t="s">
        <v>319</v>
      </c>
      <c r="C67" s="293" t="s">
        <v>193</v>
      </c>
      <c r="D67" s="298" t="s">
        <v>297</v>
      </c>
      <c r="E67" s="299" t="s">
        <v>367</v>
      </c>
      <c r="F67" s="299" t="s">
        <v>299</v>
      </c>
      <c r="G67" s="299" t="s">
        <v>368</v>
      </c>
      <c r="H67" s="299">
        <v>1.5</v>
      </c>
      <c r="I67" s="300">
        <v>0</v>
      </c>
      <c r="J67" s="295">
        <f t="shared" si="4"/>
        <v>0</v>
      </c>
      <c r="K67" s="423">
        <f t="shared" si="5"/>
        <v>0</v>
      </c>
      <c r="L67" s="301">
        <f t="shared" si="14"/>
        <v>0</v>
      </c>
      <c r="M67" s="302" t="e">
        <f t="shared" si="1"/>
        <v>#DIV/0!</v>
      </c>
      <c r="N67" s="303"/>
      <c r="O67" s="304"/>
      <c r="P67" s="291">
        <f t="shared" si="6"/>
        <v>0</v>
      </c>
      <c r="Q67" s="291">
        <f t="shared" si="7"/>
        <v>0</v>
      </c>
      <c r="R67" s="304"/>
      <c r="S67" s="304"/>
      <c r="T67" s="304"/>
      <c r="U67" s="305"/>
      <c r="AD67" s="297">
        <v>0</v>
      </c>
      <c r="AE67" s="297" t="e">
        <v>#DIV/0!</v>
      </c>
      <c r="AG67" s="416"/>
      <c r="AL67" s="297">
        <v>0</v>
      </c>
      <c r="AM67" s="428" t="e">
        <v>#DIV/0!</v>
      </c>
    </row>
    <row r="68" spans="1:39" s="297" customFormat="1" ht="15.75" hidden="1" customHeight="1" x14ac:dyDescent="0.25">
      <c r="B68" s="297" t="s">
        <v>319</v>
      </c>
      <c r="C68" s="293" t="s">
        <v>193</v>
      </c>
      <c r="D68" s="298" t="s">
        <v>297</v>
      </c>
      <c r="E68" s="299" t="s">
        <v>367</v>
      </c>
      <c r="F68" s="299" t="s">
        <v>299</v>
      </c>
      <c r="G68" s="299" t="s">
        <v>369</v>
      </c>
      <c r="H68" s="299">
        <v>3</v>
      </c>
      <c r="I68" s="300">
        <v>0</v>
      </c>
      <c r="J68" s="295">
        <f t="shared" si="4"/>
        <v>0</v>
      </c>
      <c r="K68" s="423">
        <f t="shared" si="5"/>
        <v>0</v>
      </c>
      <c r="L68" s="301">
        <f t="shared" si="14"/>
        <v>0</v>
      </c>
      <c r="M68" s="302" t="e">
        <f t="shared" si="1"/>
        <v>#DIV/0!</v>
      </c>
      <c r="N68" s="303"/>
      <c r="O68" s="304"/>
      <c r="P68" s="291">
        <f t="shared" si="6"/>
        <v>0</v>
      </c>
      <c r="Q68" s="291">
        <f t="shared" si="7"/>
        <v>0</v>
      </c>
      <c r="R68" s="304"/>
      <c r="S68" s="304"/>
      <c r="T68" s="304"/>
      <c r="U68" s="305"/>
      <c r="AD68" s="297">
        <v>0</v>
      </c>
      <c r="AE68" s="297" t="e">
        <v>#DIV/0!</v>
      </c>
      <c r="AG68" s="416"/>
      <c r="AL68" s="297">
        <v>0</v>
      </c>
      <c r="AM68" s="428" t="e">
        <v>#DIV/0!</v>
      </c>
    </row>
    <row r="69" spans="1:39" ht="15.75" customHeight="1" x14ac:dyDescent="0.25">
      <c r="A69">
        <v>1</v>
      </c>
      <c r="B69" t="s">
        <v>319</v>
      </c>
      <c r="C69" s="293" t="s">
        <v>187</v>
      </c>
      <c r="D69" s="293"/>
      <c r="E69" s="288" t="s">
        <v>370</v>
      </c>
      <c r="F69" s="288"/>
      <c r="G69" s="288"/>
      <c r="H69" s="288"/>
      <c r="I69" s="437">
        <v>1168299</v>
      </c>
      <c r="J69" s="460">
        <f>I69/31*$J$1</f>
        <v>1168299</v>
      </c>
      <c r="K69" s="467">
        <v>1162655.25</v>
      </c>
      <c r="L69" s="295">
        <f>K69-J69</f>
        <v>-5643.75</v>
      </c>
      <c r="M69" s="290">
        <f t="shared" ref="M69:M94" si="16">L69/J69</f>
        <v>-4.8307411030909042E-3</v>
      </c>
      <c r="N69" s="296"/>
      <c r="O69" s="291"/>
      <c r="P69" s="291"/>
      <c r="Q69" s="291"/>
      <c r="R69" s="291"/>
      <c r="S69" s="291"/>
      <c r="T69" s="291"/>
      <c r="U69" s="292"/>
      <c r="W69" s="366">
        <v>-4.3952511805361152E-2</v>
      </c>
      <c r="AD69" s="383">
        <v>2471.1806451627781</v>
      </c>
      <c r="AE69" s="350">
        <v>1.9517679685411821E-2</v>
      </c>
      <c r="AG69" s="411">
        <v>301338.55000000075</v>
      </c>
      <c r="AH69" s="306">
        <v>462302</v>
      </c>
      <c r="AL69">
        <v>-16244.25</v>
      </c>
      <c r="AM69" s="350">
        <v>-2.0693391184934466E-2</v>
      </c>
    </row>
    <row r="70" spans="1:39" s="297" customFormat="1" ht="15.75" hidden="1" customHeight="1" x14ac:dyDescent="0.25">
      <c r="B70" s="297" t="s">
        <v>319</v>
      </c>
      <c r="C70" s="293" t="s">
        <v>193</v>
      </c>
      <c r="D70" s="298" t="s">
        <v>297</v>
      </c>
      <c r="E70" s="299" t="s">
        <v>371</v>
      </c>
      <c r="F70" s="299" t="s">
        <v>299</v>
      </c>
      <c r="G70" s="299" t="s">
        <v>372</v>
      </c>
      <c r="H70" s="299">
        <v>0.28999999999999998</v>
      </c>
      <c r="I70" s="300">
        <v>0</v>
      </c>
      <c r="J70" s="295">
        <f t="shared" ref="J70:J73" si="17">I70/31*$J$1</f>
        <v>0</v>
      </c>
      <c r="K70" s="423">
        <f t="shared" ref="K70:K73" si="18">AH70/19*24</f>
        <v>0</v>
      </c>
      <c r="L70" s="301">
        <f t="shared" si="14"/>
        <v>0</v>
      </c>
      <c r="M70" s="302" t="e">
        <f t="shared" si="16"/>
        <v>#DIV/0!</v>
      </c>
      <c r="N70" s="303"/>
      <c r="O70" s="304"/>
      <c r="P70" s="291">
        <f t="shared" ref="P70:P93" si="19">J70/22*29</f>
        <v>0</v>
      </c>
      <c r="Q70" s="291">
        <f t="shared" ref="Q70:Q93" si="20">K70/22*29</f>
        <v>0</v>
      </c>
      <c r="R70" s="304"/>
      <c r="S70" s="304"/>
      <c r="T70" s="304"/>
      <c r="U70" s="305"/>
      <c r="AD70" s="297">
        <v>0</v>
      </c>
      <c r="AE70" s="297" t="e">
        <v>#DIV/0!</v>
      </c>
      <c r="AG70" s="416"/>
      <c r="AL70" s="297">
        <v>0</v>
      </c>
      <c r="AM70" s="428" t="e">
        <v>#DIV/0!</v>
      </c>
    </row>
    <row r="71" spans="1:39" s="297" customFormat="1" ht="15.75" hidden="1" customHeight="1" x14ac:dyDescent="0.25">
      <c r="B71" s="297" t="s">
        <v>319</v>
      </c>
      <c r="C71" s="293" t="s">
        <v>193</v>
      </c>
      <c r="D71" s="298" t="s">
        <v>297</v>
      </c>
      <c r="E71" s="299" t="s">
        <v>371</v>
      </c>
      <c r="F71" s="299" t="s">
        <v>299</v>
      </c>
      <c r="G71" s="299" t="s">
        <v>373</v>
      </c>
      <c r="H71" s="299">
        <v>1.589</v>
      </c>
      <c r="I71" s="300">
        <v>0</v>
      </c>
      <c r="J71" s="295">
        <f t="shared" si="17"/>
        <v>0</v>
      </c>
      <c r="K71" s="423">
        <f t="shared" si="18"/>
        <v>0</v>
      </c>
      <c r="L71" s="301">
        <f t="shared" si="14"/>
        <v>0</v>
      </c>
      <c r="M71" s="302" t="e">
        <f t="shared" si="16"/>
        <v>#DIV/0!</v>
      </c>
      <c r="N71" s="303"/>
      <c r="O71" s="304"/>
      <c r="P71" s="291">
        <f t="shared" si="19"/>
        <v>0</v>
      </c>
      <c r="Q71" s="291">
        <f t="shared" si="20"/>
        <v>0</v>
      </c>
      <c r="R71" s="304"/>
      <c r="S71" s="304"/>
      <c r="T71" s="304"/>
      <c r="U71" s="305"/>
      <c r="AD71" s="297">
        <v>0</v>
      </c>
      <c r="AE71" s="297" t="e">
        <v>#DIV/0!</v>
      </c>
      <c r="AG71" s="416"/>
      <c r="AL71" s="297">
        <v>0</v>
      </c>
      <c r="AM71" s="428" t="e">
        <v>#DIV/0!</v>
      </c>
    </row>
    <row r="72" spans="1:39" s="297" customFormat="1" ht="15.75" hidden="1" customHeight="1" x14ac:dyDescent="0.25">
      <c r="B72" s="297" t="s">
        <v>319</v>
      </c>
      <c r="C72" s="293" t="s">
        <v>193</v>
      </c>
      <c r="D72" s="298" t="s">
        <v>297</v>
      </c>
      <c r="E72" s="299" t="s">
        <v>371</v>
      </c>
      <c r="F72" s="299" t="s">
        <v>299</v>
      </c>
      <c r="G72" s="299" t="s">
        <v>374</v>
      </c>
      <c r="H72" s="299">
        <v>2.8999999999999998E-3</v>
      </c>
      <c r="I72" s="300">
        <v>0</v>
      </c>
      <c r="J72" s="295">
        <f t="shared" si="17"/>
        <v>0</v>
      </c>
      <c r="K72" s="423">
        <f t="shared" si="18"/>
        <v>0</v>
      </c>
      <c r="L72" s="301">
        <f t="shared" si="14"/>
        <v>0</v>
      </c>
      <c r="M72" s="302" t="e">
        <f t="shared" si="16"/>
        <v>#DIV/0!</v>
      </c>
      <c r="N72" s="303"/>
      <c r="O72" s="304"/>
      <c r="P72" s="291">
        <f t="shared" si="19"/>
        <v>0</v>
      </c>
      <c r="Q72" s="291">
        <f t="shared" si="20"/>
        <v>0</v>
      </c>
      <c r="R72" s="304"/>
      <c r="S72" s="304"/>
      <c r="T72" s="304"/>
      <c r="U72" s="305"/>
      <c r="AD72" s="297">
        <v>0</v>
      </c>
      <c r="AE72" s="297" t="e">
        <v>#DIV/0!</v>
      </c>
      <c r="AG72" s="416"/>
      <c r="AL72" s="297">
        <v>0</v>
      </c>
      <c r="AM72" s="428" t="e">
        <v>#DIV/0!</v>
      </c>
    </row>
    <row r="73" spans="1:39" s="297" customFormat="1" ht="15.75" hidden="1" customHeight="1" x14ac:dyDescent="0.25">
      <c r="B73" s="297" t="s">
        <v>319</v>
      </c>
      <c r="C73" s="293" t="s">
        <v>193</v>
      </c>
      <c r="D73" s="298" t="s">
        <v>297</v>
      </c>
      <c r="E73" s="299" t="s">
        <v>371</v>
      </c>
      <c r="F73" s="299" t="s">
        <v>299</v>
      </c>
      <c r="G73" s="299" t="s">
        <v>375</v>
      </c>
      <c r="H73" s="299">
        <v>0.5</v>
      </c>
      <c r="I73" s="300">
        <v>0</v>
      </c>
      <c r="J73" s="295">
        <f t="shared" si="17"/>
        <v>0</v>
      </c>
      <c r="K73" s="423">
        <f t="shared" si="18"/>
        <v>0</v>
      </c>
      <c r="L73" s="301">
        <f t="shared" si="14"/>
        <v>0</v>
      </c>
      <c r="M73" s="302" t="e">
        <f t="shared" si="16"/>
        <v>#DIV/0!</v>
      </c>
      <c r="N73" s="303"/>
      <c r="O73" s="304"/>
      <c r="P73" s="291">
        <f t="shared" si="19"/>
        <v>0</v>
      </c>
      <c r="Q73" s="291">
        <f t="shared" si="20"/>
        <v>0</v>
      </c>
      <c r="R73" s="304"/>
      <c r="S73" s="304"/>
      <c r="T73" s="304"/>
      <c r="U73" s="305"/>
      <c r="AD73" s="297">
        <v>0</v>
      </c>
      <c r="AE73" s="297" t="e">
        <v>#DIV/0!</v>
      </c>
      <c r="AG73" s="416"/>
      <c r="AL73" s="297">
        <v>0</v>
      </c>
      <c r="AM73" s="428" t="e">
        <v>#DIV/0!</v>
      </c>
    </row>
    <row r="74" spans="1:39" ht="15.75" customHeight="1" x14ac:dyDescent="0.25">
      <c r="A74">
        <v>1</v>
      </c>
      <c r="B74" t="s">
        <v>319</v>
      </c>
      <c r="C74" s="293" t="s">
        <v>193</v>
      </c>
      <c r="D74" s="293"/>
      <c r="E74" s="354" t="s">
        <v>376</v>
      </c>
      <c r="F74" s="288"/>
      <c r="G74" s="288"/>
      <c r="H74" s="288"/>
      <c r="I74" s="437">
        <v>57828</v>
      </c>
      <c r="J74" s="460">
        <f t="shared" ref="J74:J81" si="21">I74/31*$J$1</f>
        <v>57828</v>
      </c>
      <c r="K74" s="467">
        <v>40032</v>
      </c>
      <c r="L74" s="295">
        <f>K74-J74</f>
        <v>-17796</v>
      </c>
      <c r="M74" s="311">
        <f t="shared" si="16"/>
        <v>-0.30774019506121603</v>
      </c>
      <c r="N74" s="296"/>
      <c r="O74" s="291"/>
      <c r="P74" s="291"/>
      <c r="Q74" s="291"/>
      <c r="R74" s="291"/>
      <c r="S74" s="291"/>
      <c r="T74" s="291"/>
      <c r="U74" s="292"/>
      <c r="W74" s="366">
        <v>0.49692231245647772</v>
      </c>
      <c r="AD74" s="383">
        <v>56210.720283076625</v>
      </c>
      <c r="AE74" s="350">
        <v>1.5534606349015123</v>
      </c>
      <c r="AG74" s="411">
        <v>75827</v>
      </c>
      <c r="AH74" s="306">
        <v>140605</v>
      </c>
      <c r="AL74">
        <v>9390</v>
      </c>
      <c r="AM74" s="350">
        <v>4.1855738114129321E-2</v>
      </c>
    </row>
    <row r="75" spans="1:39" ht="15.75" customHeight="1" x14ac:dyDescent="0.25">
      <c r="A75">
        <v>1</v>
      </c>
      <c r="B75" t="s">
        <v>319</v>
      </c>
      <c r="C75" s="293" t="s">
        <v>193</v>
      </c>
      <c r="D75" s="293" t="s">
        <v>297</v>
      </c>
      <c r="E75" s="288" t="s">
        <v>377</v>
      </c>
      <c r="F75" s="288" t="s">
        <v>321</v>
      </c>
      <c r="G75" s="288" t="s">
        <v>378</v>
      </c>
      <c r="H75" s="288">
        <v>2.2000000000000002</v>
      </c>
      <c r="I75" s="437">
        <v>276784</v>
      </c>
      <c r="J75" s="460">
        <f t="shared" si="21"/>
        <v>276784</v>
      </c>
      <c r="K75" s="467">
        <v>464094.19999999955</v>
      </c>
      <c r="L75" s="295">
        <f>K75-J75</f>
        <v>187310.19999999955</v>
      </c>
      <c r="M75" s="311">
        <f t="shared" si="16"/>
        <v>0.67673781721486626</v>
      </c>
      <c r="N75" s="296"/>
      <c r="O75" s="291"/>
      <c r="P75" s="291"/>
      <c r="Q75" s="291"/>
      <c r="R75" s="291"/>
      <c r="S75" s="291"/>
      <c r="T75" s="291"/>
      <c r="U75" s="292"/>
      <c r="W75" s="366">
        <v>3.3315607594119463</v>
      </c>
      <c r="AD75" s="383">
        <v>111795.32258064749</v>
      </c>
      <c r="AE75" s="350">
        <v>22.840181896069282</v>
      </c>
      <c r="AG75" s="411">
        <v>251578.00000000134</v>
      </c>
      <c r="AH75" s="306">
        <v>423814.00000000576</v>
      </c>
      <c r="AL75">
        <v>673897.00000000605</v>
      </c>
      <c r="AM75" s="350">
        <v>22.206379543282896</v>
      </c>
    </row>
    <row r="76" spans="1:39" ht="15.75" customHeight="1" x14ac:dyDescent="0.25">
      <c r="A76">
        <v>1</v>
      </c>
      <c r="B76" t="s">
        <v>379</v>
      </c>
      <c r="C76" s="293" t="s">
        <v>193</v>
      </c>
      <c r="D76" s="293" t="s">
        <v>297</v>
      </c>
      <c r="E76" s="288" t="s">
        <v>380</v>
      </c>
      <c r="F76" s="288" t="s">
        <v>381</v>
      </c>
      <c r="G76" s="288" t="s">
        <v>382</v>
      </c>
      <c r="H76" s="288">
        <v>3930</v>
      </c>
      <c r="I76" s="437">
        <v>237695</v>
      </c>
      <c r="J76" s="460">
        <f t="shared" si="21"/>
        <v>237695</v>
      </c>
      <c r="K76" s="460">
        <v>327512</v>
      </c>
      <c r="L76" s="295">
        <f>K76-J76</f>
        <v>89817</v>
      </c>
      <c r="M76" s="290">
        <f t="shared" si="16"/>
        <v>0.37786659374408382</v>
      </c>
      <c r="N76" s="296"/>
      <c r="O76" s="291"/>
      <c r="P76" s="291"/>
      <c r="Q76" s="291"/>
      <c r="R76" s="291"/>
      <c r="S76" s="291"/>
      <c r="T76" s="291"/>
      <c r="U76" s="292"/>
      <c r="W76" s="366">
        <v>8.018640042563277E-2</v>
      </c>
      <c r="AD76" s="383">
        <v>-6310.580645161288</v>
      </c>
      <c r="AE76" s="350">
        <v>-0.15067315690563476</v>
      </c>
      <c r="AG76" s="411">
        <v>93082</v>
      </c>
      <c r="AH76" s="306">
        <v>143955</v>
      </c>
      <c r="AL76">
        <v>-10098</v>
      </c>
      <c r="AM76" s="350">
        <v>-3.8887519640161433E-2</v>
      </c>
    </row>
    <row r="77" spans="1:39" ht="15.75" customHeight="1" x14ac:dyDescent="0.25">
      <c r="A77">
        <v>1</v>
      </c>
      <c r="B77" t="s">
        <v>379</v>
      </c>
      <c r="C77" s="293" t="s">
        <v>193</v>
      </c>
      <c r="D77" s="293" t="s">
        <v>297</v>
      </c>
      <c r="E77" s="288" t="s">
        <v>383</v>
      </c>
      <c r="F77" s="288" t="s">
        <v>381</v>
      </c>
      <c r="G77" s="288" t="s">
        <v>382</v>
      </c>
      <c r="H77" s="288">
        <v>4054</v>
      </c>
      <c r="I77" s="437">
        <v>1089601</v>
      </c>
      <c r="J77" s="460">
        <f t="shared" si="21"/>
        <v>1089601</v>
      </c>
      <c r="K77" s="460">
        <v>1060839</v>
      </c>
      <c r="L77" s="295">
        <f t="shared" ref="L77:L93" si="22">K77-J77</f>
        <v>-28762</v>
      </c>
      <c r="M77" s="290">
        <f t="shared" si="16"/>
        <v>-2.6396818651965262E-2</v>
      </c>
      <c r="N77" s="296"/>
      <c r="O77" s="291"/>
      <c r="P77" s="291"/>
      <c r="Q77" s="291"/>
      <c r="R77" s="291"/>
      <c r="S77" s="291"/>
      <c r="T77" s="291"/>
      <c r="U77" s="292"/>
      <c r="W77" s="366">
        <v>-1.4488223412325705E-2</v>
      </c>
      <c r="AD77" s="383">
        <v>-44624.387096774211</v>
      </c>
      <c r="AE77" s="350">
        <v>-0.2491543449854608</v>
      </c>
      <c r="AG77" s="411">
        <v>356418</v>
      </c>
      <c r="AH77" s="306">
        <v>526513</v>
      </c>
      <c r="AL77">
        <v>-211245</v>
      </c>
      <c r="AM77" s="350">
        <v>-0.19023523086773633</v>
      </c>
    </row>
    <row r="78" spans="1:39" ht="15.75" customHeight="1" x14ac:dyDescent="0.25">
      <c r="A78">
        <v>1</v>
      </c>
      <c r="B78" t="s">
        <v>379</v>
      </c>
      <c r="C78" s="293" t="s">
        <v>193</v>
      </c>
      <c r="D78" s="293" t="s">
        <v>297</v>
      </c>
      <c r="E78" s="288" t="s">
        <v>384</v>
      </c>
      <c r="F78" s="288" t="s">
        <v>381</v>
      </c>
      <c r="G78" s="288" t="s">
        <v>385</v>
      </c>
      <c r="H78" s="288">
        <v>1490.5</v>
      </c>
      <c r="I78" s="437">
        <v>159601</v>
      </c>
      <c r="J78" s="460">
        <f t="shared" si="21"/>
        <v>159601</v>
      </c>
      <c r="K78" s="460">
        <v>166957</v>
      </c>
      <c r="L78" s="295">
        <f t="shared" si="22"/>
        <v>7356</v>
      </c>
      <c r="M78" s="290">
        <f t="shared" si="16"/>
        <v>4.6089936779844735E-2</v>
      </c>
      <c r="N78" s="296"/>
      <c r="O78" s="291"/>
      <c r="P78" s="291"/>
      <c r="Q78" s="291"/>
      <c r="R78" s="291"/>
      <c r="S78" s="291"/>
      <c r="T78" s="291"/>
      <c r="U78" s="292"/>
      <c r="W78" s="366">
        <v>-0.32722093408413372</v>
      </c>
      <c r="AD78" s="383">
        <v>-1337.0014689774052</v>
      </c>
      <c r="AE78" s="350">
        <v>-0.18957620426428012</v>
      </c>
      <c r="AG78" s="411">
        <v>11435</v>
      </c>
      <c r="AH78" s="306">
        <v>19534</v>
      </c>
      <c r="AL78">
        <v>-11384</v>
      </c>
      <c r="AM78" s="350">
        <v>-0.26034853405296621</v>
      </c>
    </row>
    <row r="79" spans="1:39" ht="15.75" customHeight="1" x14ac:dyDescent="0.25">
      <c r="A79">
        <v>1</v>
      </c>
      <c r="B79" t="s">
        <v>379</v>
      </c>
      <c r="C79" s="293" t="s">
        <v>193</v>
      </c>
      <c r="D79" s="293" t="s">
        <v>297</v>
      </c>
      <c r="E79" s="288" t="s">
        <v>386</v>
      </c>
      <c r="F79" s="288" t="s">
        <v>381</v>
      </c>
      <c r="G79" s="288" t="s">
        <v>385</v>
      </c>
      <c r="H79" s="288">
        <v>850</v>
      </c>
      <c r="I79" s="437">
        <v>38124</v>
      </c>
      <c r="J79" s="460">
        <f t="shared" si="21"/>
        <v>38124</v>
      </c>
      <c r="K79" s="460">
        <v>15374</v>
      </c>
      <c r="L79" s="295">
        <f t="shared" si="22"/>
        <v>-22750</v>
      </c>
      <c r="M79" s="290">
        <f t="shared" si="16"/>
        <v>-0.59673696359248762</v>
      </c>
      <c r="N79" s="296"/>
      <c r="O79" s="291"/>
      <c r="P79" s="291"/>
      <c r="Q79" s="291"/>
      <c r="R79" s="291"/>
      <c r="S79" s="291"/>
      <c r="T79" s="291"/>
      <c r="U79" s="292"/>
      <c r="W79" s="366">
        <v>-0.15492661079331285</v>
      </c>
      <c r="AD79" s="383">
        <v>16.9677419354839</v>
      </c>
      <c r="AE79" s="350">
        <v>2.2502673796791484E-2</v>
      </c>
      <c r="AG79" s="411">
        <v>1634</v>
      </c>
      <c r="AH79" s="306">
        <v>2665</v>
      </c>
      <c r="AL79">
        <v>-303</v>
      </c>
      <c r="AM79" s="350">
        <v>-6.4812834224598936E-2</v>
      </c>
    </row>
    <row r="80" spans="1:39" ht="15.75" customHeight="1" x14ac:dyDescent="0.25">
      <c r="A80">
        <v>1</v>
      </c>
      <c r="B80" t="s">
        <v>379</v>
      </c>
      <c r="C80" s="293" t="s">
        <v>188</v>
      </c>
      <c r="D80" s="293" t="s">
        <v>297</v>
      </c>
      <c r="E80" s="288" t="s">
        <v>387</v>
      </c>
      <c r="F80" s="288" t="s">
        <v>306</v>
      </c>
      <c r="G80" s="288" t="s">
        <v>382</v>
      </c>
      <c r="H80" s="288">
        <v>157.07499999999999</v>
      </c>
      <c r="I80" s="437">
        <v>9320</v>
      </c>
      <c r="J80" s="460">
        <f t="shared" si="21"/>
        <v>9320</v>
      </c>
      <c r="K80" s="460">
        <v>8740</v>
      </c>
      <c r="L80" s="295">
        <f t="shared" si="22"/>
        <v>-580</v>
      </c>
      <c r="M80" s="311">
        <f t="shared" si="16"/>
        <v>-6.2231759656652362E-2</v>
      </c>
      <c r="N80" s="296"/>
      <c r="O80" s="291"/>
      <c r="P80" s="291"/>
      <c r="Q80" s="291"/>
      <c r="R80" s="291"/>
      <c r="S80" s="291"/>
      <c r="T80" s="291"/>
      <c r="U80" s="292"/>
      <c r="W80" s="366">
        <v>-0.26656151419558355</v>
      </c>
      <c r="AD80" s="383">
        <v>-135.51612903225805</v>
      </c>
      <c r="AE80" s="350">
        <v>-9.2533039647577087E-2</v>
      </c>
      <c r="AG80" s="411">
        <v>3190</v>
      </c>
      <c r="AH80" s="306">
        <v>4764</v>
      </c>
      <c r="AL80">
        <v>-1661</v>
      </c>
      <c r="AM80" s="350">
        <v>-0.18292951541850219</v>
      </c>
    </row>
    <row r="81" spans="1:39" ht="15.75" customHeight="1" x14ac:dyDescent="0.25">
      <c r="A81">
        <v>1</v>
      </c>
      <c r="B81" t="s">
        <v>379</v>
      </c>
      <c r="C81" s="293" t="s">
        <v>193</v>
      </c>
      <c r="D81" s="293" t="s">
        <v>297</v>
      </c>
      <c r="E81" s="288" t="s">
        <v>388</v>
      </c>
      <c r="F81" s="288" t="s">
        <v>306</v>
      </c>
      <c r="G81" s="288" t="s">
        <v>389</v>
      </c>
      <c r="H81" s="288">
        <v>75</v>
      </c>
      <c r="I81" s="437">
        <v>3052</v>
      </c>
      <c r="J81" s="460">
        <f t="shared" si="21"/>
        <v>3052</v>
      </c>
      <c r="K81" s="460">
        <v>1842</v>
      </c>
      <c r="L81" s="295">
        <f t="shared" si="22"/>
        <v>-1210</v>
      </c>
      <c r="M81" s="311">
        <f t="shared" si="16"/>
        <v>-0.39646133682830931</v>
      </c>
      <c r="N81" s="296"/>
      <c r="O81" s="291"/>
      <c r="P81" s="291"/>
      <c r="Q81" s="291"/>
      <c r="R81" s="291"/>
      <c r="S81" s="291"/>
      <c r="T81" s="291"/>
      <c r="U81" s="292"/>
      <c r="W81" s="366">
        <v>-0.10298277982779826</v>
      </c>
      <c r="AD81" s="383">
        <v>10.967741935483843</v>
      </c>
      <c r="AE81" s="350">
        <v>3.3847685415629582E-2</v>
      </c>
      <c r="AG81" s="411">
        <v>555</v>
      </c>
      <c r="AH81" s="306">
        <v>1145</v>
      </c>
      <c r="AL81">
        <v>-189.00000000000023</v>
      </c>
      <c r="AM81" s="350">
        <v>-9.407665505226491E-2</v>
      </c>
    </row>
    <row r="82" spans="1:39" s="297" customFormat="1" ht="15.75" hidden="1" customHeight="1" x14ac:dyDescent="0.25">
      <c r="B82" s="297" t="s">
        <v>379</v>
      </c>
      <c r="C82" s="293" t="s">
        <v>390</v>
      </c>
      <c r="D82" s="298" t="s">
        <v>297</v>
      </c>
      <c r="E82" s="299" t="s">
        <v>391</v>
      </c>
      <c r="F82" s="299" t="s">
        <v>306</v>
      </c>
      <c r="G82" s="299" t="s">
        <v>382</v>
      </c>
      <c r="H82" s="299">
        <v>300</v>
      </c>
      <c r="I82" s="300">
        <v>0</v>
      </c>
      <c r="J82" s="295">
        <f t="shared" ref="J82:J93" si="23">I82/31*$J$1</f>
        <v>0</v>
      </c>
      <c r="K82" s="423"/>
      <c r="L82" s="301">
        <f t="shared" si="22"/>
        <v>0</v>
      </c>
      <c r="M82" s="302" t="e">
        <f t="shared" si="16"/>
        <v>#DIV/0!</v>
      </c>
      <c r="N82" s="303"/>
      <c r="O82" s="304"/>
      <c r="P82" s="291">
        <f t="shared" si="19"/>
        <v>0</v>
      </c>
      <c r="Q82" s="291">
        <f t="shared" si="20"/>
        <v>0</v>
      </c>
      <c r="R82" s="304"/>
      <c r="S82" s="304"/>
      <c r="T82" s="304"/>
      <c r="U82" s="305"/>
      <c r="AD82" s="297">
        <v>0</v>
      </c>
      <c r="AE82" s="297" t="e">
        <v>#DIV/0!</v>
      </c>
      <c r="AG82" s="416"/>
      <c r="AL82" s="297">
        <v>0</v>
      </c>
      <c r="AM82" s="428" t="e">
        <v>#DIV/0!</v>
      </c>
    </row>
    <row r="83" spans="1:39" s="297" customFormat="1" ht="15.75" hidden="1" customHeight="1" x14ac:dyDescent="0.25">
      <c r="B83" s="297" t="s">
        <v>379</v>
      </c>
      <c r="C83" s="293" t="s">
        <v>390</v>
      </c>
      <c r="D83" s="298" t="s">
        <v>297</v>
      </c>
      <c r="E83" s="299" t="s">
        <v>391</v>
      </c>
      <c r="F83" s="299" t="s">
        <v>306</v>
      </c>
      <c r="G83" s="299" t="s">
        <v>382</v>
      </c>
      <c r="H83" s="299">
        <v>42</v>
      </c>
      <c r="I83" s="300">
        <v>0</v>
      </c>
      <c r="J83" s="295">
        <f t="shared" si="23"/>
        <v>0</v>
      </c>
      <c r="K83" s="423"/>
      <c r="L83" s="301">
        <f t="shared" si="22"/>
        <v>0</v>
      </c>
      <c r="M83" s="302" t="e">
        <f t="shared" si="16"/>
        <v>#DIV/0!</v>
      </c>
      <c r="N83" s="303"/>
      <c r="O83" s="304"/>
      <c r="P83" s="291">
        <f t="shared" si="19"/>
        <v>0</v>
      </c>
      <c r="Q83" s="291">
        <f t="shared" si="20"/>
        <v>0</v>
      </c>
      <c r="R83" s="304"/>
      <c r="S83" s="304"/>
      <c r="T83" s="304"/>
      <c r="U83" s="305"/>
      <c r="AD83" s="297">
        <v>0</v>
      </c>
      <c r="AE83" s="297" t="e">
        <v>#DIV/0!</v>
      </c>
      <c r="AG83" s="416"/>
      <c r="AL83" s="297">
        <v>0</v>
      </c>
      <c r="AM83" s="428" t="e">
        <v>#DIV/0!</v>
      </c>
    </row>
    <row r="84" spans="1:39" s="297" customFormat="1" ht="15.75" hidden="1" customHeight="1" x14ac:dyDescent="0.25">
      <c r="B84" s="297" t="s">
        <v>379</v>
      </c>
      <c r="C84" s="293" t="s">
        <v>390</v>
      </c>
      <c r="D84" s="298" t="s">
        <v>297</v>
      </c>
      <c r="E84" s="299" t="s">
        <v>391</v>
      </c>
      <c r="F84" s="299" t="s">
        <v>306</v>
      </c>
      <c r="G84" s="299" t="s">
        <v>382</v>
      </c>
      <c r="H84" s="299">
        <v>215</v>
      </c>
      <c r="I84" s="300">
        <v>0</v>
      </c>
      <c r="J84" s="295">
        <f t="shared" si="23"/>
        <v>0</v>
      </c>
      <c r="K84" s="423"/>
      <c r="L84" s="301">
        <f t="shared" si="22"/>
        <v>0</v>
      </c>
      <c r="M84" s="302" t="e">
        <f t="shared" si="16"/>
        <v>#DIV/0!</v>
      </c>
      <c r="N84" s="303"/>
      <c r="O84" s="304"/>
      <c r="P84" s="291">
        <f t="shared" si="19"/>
        <v>0</v>
      </c>
      <c r="Q84" s="291">
        <f t="shared" si="20"/>
        <v>0</v>
      </c>
      <c r="R84" s="304"/>
      <c r="S84" s="304"/>
      <c r="T84" s="304"/>
      <c r="U84" s="305"/>
      <c r="AD84" s="297">
        <v>0</v>
      </c>
      <c r="AE84" s="297" t="e">
        <v>#DIV/0!</v>
      </c>
      <c r="AG84" s="416"/>
      <c r="AL84" s="297">
        <v>0</v>
      </c>
      <c r="AM84" s="428" t="e">
        <v>#DIV/0!</v>
      </c>
    </row>
    <row r="85" spans="1:39" s="297" customFormat="1" ht="15.75" hidden="1" customHeight="1" x14ac:dyDescent="0.25">
      <c r="B85" s="297" t="s">
        <v>379</v>
      </c>
      <c r="C85" s="293" t="s">
        <v>390</v>
      </c>
      <c r="D85" s="298" t="s">
        <v>297</v>
      </c>
      <c r="E85" s="299" t="s">
        <v>391</v>
      </c>
      <c r="F85" s="299" t="s">
        <v>306</v>
      </c>
      <c r="G85" s="299" t="s">
        <v>382</v>
      </c>
      <c r="H85" s="299">
        <v>344</v>
      </c>
      <c r="I85" s="300">
        <v>0</v>
      </c>
      <c r="J85" s="295">
        <f t="shared" si="23"/>
        <v>0</v>
      </c>
      <c r="K85" s="423"/>
      <c r="L85" s="301">
        <f t="shared" si="22"/>
        <v>0</v>
      </c>
      <c r="M85" s="302" t="e">
        <f t="shared" si="16"/>
        <v>#DIV/0!</v>
      </c>
      <c r="N85" s="303"/>
      <c r="O85" s="304"/>
      <c r="P85" s="291">
        <f t="shared" si="19"/>
        <v>0</v>
      </c>
      <c r="Q85" s="291">
        <f t="shared" si="20"/>
        <v>0</v>
      </c>
      <c r="R85" s="304"/>
      <c r="S85" s="304"/>
      <c r="T85" s="304"/>
      <c r="U85" s="305"/>
      <c r="AD85" s="297">
        <v>0</v>
      </c>
      <c r="AE85" s="297" t="e">
        <v>#DIV/0!</v>
      </c>
      <c r="AG85" s="416"/>
      <c r="AL85" s="297">
        <v>0</v>
      </c>
      <c r="AM85" s="428" t="e">
        <v>#DIV/0!</v>
      </c>
    </row>
    <row r="86" spans="1:39" ht="15.75" customHeight="1" x14ac:dyDescent="0.25">
      <c r="A86">
        <v>1</v>
      </c>
      <c r="B86" t="s">
        <v>379</v>
      </c>
      <c r="C86" s="293" t="s">
        <v>188</v>
      </c>
      <c r="D86" s="293"/>
      <c r="E86" s="288" t="s">
        <v>392</v>
      </c>
      <c r="F86" s="288"/>
      <c r="G86" s="288"/>
      <c r="H86" s="288"/>
      <c r="I86" s="437">
        <v>123063</v>
      </c>
      <c r="J86" s="460">
        <f>I86/31*$J$1</f>
        <v>123063</v>
      </c>
      <c r="K86" s="460">
        <v>117946</v>
      </c>
      <c r="L86" s="295">
        <f>K86-J86</f>
        <v>-5117</v>
      </c>
      <c r="M86" s="311">
        <f t="shared" si="16"/>
        <v>-4.1580328774692636E-2</v>
      </c>
      <c r="N86" s="296"/>
      <c r="O86" s="291"/>
      <c r="P86" s="291"/>
      <c r="Q86" s="291"/>
      <c r="R86" s="291"/>
      <c r="S86" s="291"/>
      <c r="T86" s="291"/>
      <c r="U86" s="292"/>
      <c r="W86" s="366">
        <v>-0.21337442065219189</v>
      </c>
      <c r="AD86" s="383">
        <v>55.322580645161281</v>
      </c>
      <c r="AE86" s="350">
        <v>0.22610415293342118</v>
      </c>
      <c r="AG86" s="411">
        <v>683</v>
      </c>
      <c r="AH86" s="306">
        <v>1102</v>
      </c>
      <c r="AL86">
        <v>210</v>
      </c>
      <c r="AM86" s="350">
        <v>0.13843111404087013</v>
      </c>
    </row>
    <row r="87" spans="1:39" s="297" customFormat="1" ht="15.75" hidden="1" customHeight="1" x14ac:dyDescent="0.25">
      <c r="B87" s="297" t="s">
        <v>379</v>
      </c>
      <c r="C87" s="293" t="s">
        <v>393</v>
      </c>
      <c r="D87" s="298" t="s">
        <v>297</v>
      </c>
      <c r="E87" s="299" t="s">
        <v>394</v>
      </c>
      <c r="F87" s="299" t="s">
        <v>306</v>
      </c>
      <c r="G87" s="299" t="s">
        <v>382</v>
      </c>
      <c r="H87" s="299">
        <v>57.5</v>
      </c>
      <c r="I87" s="300">
        <v>0</v>
      </c>
      <c r="J87" s="295">
        <f t="shared" si="23"/>
        <v>0</v>
      </c>
      <c r="K87" s="423"/>
      <c r="L87" s="301">
        <f t="shared" si="22"/>
        <v>0</v>
      </c>
      <c r="M87" s="302" t="e">
        <f t="shared" si="16"/>
        <v>#DIV/0!</v>
      </c>
      <c r="N87" s="303"/>
      <c r="O87" s="304"/>
      <c r="P87" s="291">
        <f t="shared" si="19"/>
        <v>0</v>
      </c>
      <c r="Q87" s="291">
        <f t="shared" si="20"/>
        <v>0</v>
      </c>
      <c r="R87" s="304"/>
      <c r="S87" s="304"/>
      <c r="T87" s="304"/>
      <c r="U87" s="305"/>
      <c r="AD87" s="297">
        <v>0</v>
      </c>
      <c r="AE87" s="297" t="e">
        <v>#DIV/0!</v>
      </c>
      <c r="AG87" s="416"/>
      <c r="AL87" s="297">
        <v>0</v>
      </c>
      <c r="AM87" s="428" t="e">
        <v>#DIV/0!</v>
      </c>
    </row>
    <row r="88" spans="1:39" s="297" customFormat="1" ht="15.75" hidden="1" customHeight="1" x14ac:dyDescent="0.25">
      <c r="B88" s="297" t="s">
        <v>379</v>
      </c>
      <c r="C88" s="293" t="s">
        <v>393</v>
      </c>
      <c r="D88" s="298" t="s">
        <v>297</v>
      </c>
      <c r="E88" s="299" t="s">
        <v>394</v>
      </c>
      <c r="F88" s="299" t="s">
        <v>306</v>
      </c>
      <c r="G88" s="299" t="s">
        <v>382</v>
      </c>
      <c r="H88" s="299">
        <v>201</v>
      </c>
      <c r="I88" s="300">
        <v>0</v>
      </c>
      <c r="J88" s="295">
        <f t="shared" si="23"/>
        <v>0</v>
      </c>
      <c r="K88" s="423"/>
      <c r="L88" s="301">
        <f t="shared" si="22"/>
        <v>0</v>
      </c>
      <c r="M88" s="302" t="e">
        <f t="shared" si="16"/>
        <v>#DIV/0!</v>
      </c>
      <c r="N88" s="303"/>
      <c r="O88" s="304"/>
      <c r="P88" s="291">
        <f t="shared" si="19"/>
        <v>0</v>
      </c>
      <c r="Q88" s="291">
        <f t="shared" si="20"/>
        <v>0</v>
      </c>
      <c r="R88" s="304"/>
      <c r="S88" s="304"/>
      <c r="T88" s="304"/>
      <c r="U88" s="305"/>
      <c r="AD88" s="297">
        <v>0</v>
      </c>
      <c r="AE88" s="297" t="e">
        <v>#DIV/0!</v>
      </c>
      <c r="AG88" s="416"/>
      <c r="AL88" s="297">
        <v>0</v>
      </c>
      <c r="AM88" s="428" t="e">
        <v>#DIV/0!</v>
      </c>
    </row>
    <row r="89" spans="1:39" s="297" customFormat="1" ht="15.75" hidden="1" customHeight="1" x14ac:dyDescent="0.25">
      <c r="B89" s="297" t="s">
        <v>379</v>
      </c>
      <c r="C89" s="293" t="s">
        <v>393</v>
      </c>
      <c r="D89" s="298" t="s">
        <v>297</v>
      </c>
      <c r="E89" s="299" t="s">
        <v>394</v>
      </c>
      <c r="F89" s="299" t="s">
        <v>306</v>
      </c>
      <c r="G89" s="299" t="s">
        <v>382</v>
      </c>
      <c r="H89" s="299">
        <v>262</v>
      </c>
      <c r="I89" s="300">
        <v>0</v>
      </c>
      <c r="J89" s="295">
        <f t="shared" si="23"/>
        <v>0</v>
      </c>
      <c r="K89" s="423"/>
      <c r="L89" s="301">
        <f>K89-J89</f>
        <v>0</v>
      </c>
      <c r="M89" s="302" t="e">
        <f t="shared" si="16"/>
        <v>#DIV/0!</v>
      </c>
      <c r="N89" s="303"/>
      <c r="O89" s="304"/>
      <c r="P89" s="291">
        <f t="shared" si="19"/>
        <v>0</v>
      </c>
      <c r="Q89" s="291">
        <f t="shared" si="20"/>
        <v>0</v>
      </c>
      <c r="R89" s="304"/>
      <c r="S89" s="304"/>
      <c r="T89" s="304"/>
      <c r="U89" s="305"/>
      <c r="AD89" s="297">
        <v>0</v>
      </c>
      <c r="AE89" s="297" t="e">
        <v>#DIV/0!</v>
      </c>
      <c r="AG89" s="416"/>
      <c r="AL89" s="297">
        <v>0</v>
      </c>
      <c r="AM89" s="428" t="e">
        <v>#DIV/0!</v>
      </c>
    </row>
    <row r="90" spans="1:39" ht="15.75" customHeight="1" x14ac:dyDescent="0.25">
      <c r="A90">
        <v>1</v>
      </c>
      <c r="B90" t="s">
        <v>379</v>
      </c>
      <c r="C90" s="293" t="s">
        <v>187</v>
      </c>
      <c r="D90" s="293"/>
      <c r="E90" s="288" t="s">
        <v>395</v>
      </c>
      <c r="F90" s="288"/>
      <c r="G90" s="288"/>
      <c r="H90" s="288"/>
      <c r="I90" s="437">
        <v>32554</v>
      </c>
      <c r="J90" s="460">
        <f>I90/31*$J$1</f>
        <v>32554.000000000004</v>
      </c>
      <c r="K90" s="460">
        <v>33260</v>
      </c>
      <c r="L90" s="295">
        <f>K90-J90</f>
        <v>705.99999999999636</v>
      </c>
      <c r="M90" s="290">
        <f t="shared" si="16"/>
        <v>2.1687043066904107E-2</v>
      </c>
      <c r="N90" s="296"/>
      <c r="O90" s="291"/>
      <c r="P90" s="291"/>
      <c r="Q90" s="291"/>
      <c r="R90" s="291"/>
      <c r="S90" s="291"/>
      <c r="T90" s="291"/>
      <c r="U90" s="292"/>
      <c r="W90" s="366">
        <v>-0.14247701983551039</v>
      </c>
      <c r="AD90" s="383">
        <v>-884.51612903225805</v>
      </c>
      <c r="AE90" s="350">
        <v>-0.31095486504876391</v>
      </c>
      <c r="AG90" s="411">
        <v>5421</v>
      </c>
      <c r="AH90" s="306">
        <v>9272</v>
      </c>
      <c r="AL90">
        <v>-1669</v>
      </c>
      <c r="AM90" s="350">
        <v>-9.722707677968076E-2</v>
      </c>
    </row>
    <row r="91" spans="1:39" ht="15.75" customHeight="1" x14ac:dyDescent="0.25">
      <c r="A91">
        <v>1</v>
      </c>
      <c r="B91" t="s">
        <v>379</v>
      </c>
      <c r="C91" s="293" t="s">
        <v>188</v>
      </c>
      <c r="D91" s="293" t="s">
        <v>297</v>
      </c>
      <c r="E91" s="288" t="s">
        <v>396</v>
      </c>
      <c r="F91" s="288" t="s">
        <v>306</v>
      </c>
      <c r="G91" s="288" t="s">
        <v>382</v>
      </c>
      <c r="H91" s="288">
        <v>214</v>
      </c>
      <c r="I91" s="437">
        <v>84766</v>
      </c>
      <c r="J91" s="460">
        <f>I91/31*$J$1</f>
        <v>84766</v>
      </c>
      <c r="K91" s="460">
        <v>80874</v>
      </c>
      <c r="L91" s="295">
        <f t="shared" si="22"/>
        <v>-3892</v>
      </c>
      <c r="M91" s="311">
        <f t="shared" si="16"/>
        <v>-4.5914635585022297E-2</v>
      </c>
      <c r="N91" s="296"/>
      <c r="O91" s="291"/>
      <c r="P91" s="291"/>
      <c r="Q91" s="291"/>
      <c r="R91" s="291"/>
      <c r="S91" s="291"/>
      <c r="T91" s="291"/>
      <c r="U91" s="292"/>
      <c r="W91" s="366">
        <v>-4.3058472633810081E-2</v>
      </c>
      <c r="AD91" s="383">
        <v>639.0967741935483</v>
      </c>
      <c r="AE91" s="350">
        <v>0.54027815653122435</v>
      </c>
      <c r="AG91" s="411">
        <v>4465</v>
      </c>
      <c r="AH91" s="306">
        <v>5576</v>
      </c>
      <c r="AL91">
        <v>1107</v>
      </c>
      <c r="AM91" s="350">
        <v>0.15094082356149441</v>
      </c>
    </row>
    <row r="92" spans="1:39" s="297" customFormat="1" ht="15.75" hidden="1" customHeight="1" x14ac:dyDescent="0.25">
      <c r="B92" s="297" t="s">
        <v>379</v>
      </c>
      <c r="C92" s="293" t="s">
        <v>397</v>
      </c>
      <c r="D92" s="298" t="s">
        <v>297</v>
      </c>
      <c r="E92" s="299" t="s">
        <v>398</v>
      </c>
      <c r="F92" s="299" t="s">
        <v>381</v>
      </c>
      <c r="G92" s="299" t="s">
        <v>382</v>
      </c>
      <c r="H92" s="299">
        <v>1062.82</v>
      </c>
      <c r="I92" s="396">
        <v>0</v>
      </c>
      <c r="J92" s="295">
        <f t="shared" si="23"/>
        <v>0</v>
      </c>
      <c r="K92" s="423"/>
      <c r="L92" s="301">
        <f t="shared" si="22"/>
        <v>0</v>
      </c>
      <c r="M92" s="302" t="e">
        <f t="shared" si="16"/>
        <v>#DIV/0!</v>
      </c>
      <c r="N92" s="303"/>
      <c r="O92" s="304"/>
      <c r="P92" s="291">
        <f t="shared" si="19"/>
        <v>0</v>
      </c>
      <c r="Q92" s="291">
        <f t="shared" si="20"/>
        <v>0</v>
      </c>
      <c r="R92" s="304"/>
      <c r="S92" s="304"/>
      <c r="T92" s="304"/>
      <c r="U92" s="305"/>
      <c r="AD92" s="297">
        <v>0</v>
      </c>
      <c r="AE92" s="297" t="e">
        <v>#DIV/0!</v>
      </c>
      <c r="AG92" s="416"/>
      <c r="AL92" s="297">
        <v>0</v>
      </c>
      <c r="AM92" s="428" t="e">
        <v>#DIV/0!</v>
      </c>
    </row>
    <row r="93" spans="1:39" s="297" customFormat="1" ht="15.75" hidden="1" customHeight="1" x14ac:dyDescent="0.25">
      <c r="B93" s="297" t="s">
        <v>379</v>
      </c>
      <c r="C93" s="293" t="s">
        <v>397</v>
      </c>
      <c r="D93" s="298" t="s">
        <v>297</v>
      </c>
      <c r="E93" s="299" t="s">
        <v>399</v>
      </c>
      <c r="F93" s="299" t="s">
        <v>381</v>
      </c>
      <c r="G93" s="299" t="s">
        <v>382</v>
      </c>
      <c r="H93" s="299">
        <v>2320.8200000000002</v>
      </c>
      <c r="I93" s="396">
        <v>0</v>
      </c>
      <c r="J93" s="295">
        <f t="shared" si="23"/>
        <v>0</v>
      </c>
      <c r="K93" s="423"/>
      <c r="L93" s="301">
        <f t="shared" si="22"/>
        <v>0</v>
      </c>
      <c r="M93" s="302" t="e">
        <f t="shared" si="16"/>
        <v>#DIV/0!</v>
      </c>
      <c r="N93" s="303"/>
      <c r="O93" s="304"/>
      <c r="P93" s="291">
        <f t="shared" si="19"/>
        <v>0</v>
      </c>
      <c r="Q93" s="291">
        <f t="shared" si="20"/>
        <v>0</v>
      </c>
      <c r="R93" s="304"/>
      <c r="S93" s="304"/>
      <c r="T93" s="304"/>
      <c r="U93" s="305"/>
      <c r="AD93" s="297">
        <v>0</v>
      </c>
      <c r="AE93" s="297" t="e">
        <v>#DIV/0!</v>
      </c>
      <c r="AG93" s="416"/>
      <c r="AL93" s="297">
        <v>0</v>
      </c>
      <c r="AM93" s="428" t="e">
        <v>#DIV/0!</v>
      </c>
    </row>
    <row r="94" spans="1:39" x14ac:dyDescent="0.25">
      <c r="A94">
        <v>1</v>
      </c>
      <c r="B94" s="297" t="s">
        <v>379</v>
      </c>
      <c r="C94" s="293" t="s">
        <v>188</v>
      </c>
      <c r="E94" s="288" t="s">
        <v>400</v>
      </c>
      <c r="F94" s="288"/>
      <c r="G94" s="288"/>
      <c r="H94" s="288"/>
      <c r="I94" s="437">
        <v>404061</v>
      </c>
      <c r="J94" s="460">
        <f>I94/31*$J$1</f>
        <v>404061</v>
      </c>
      <c r="K94" s="460">
        <v>459783</v>
      </c>
      <c r="L94" s="295">
        <f>K94-J94</f>
        <v>55722</v>
      </c>
      <c r="M94" s="290">
        <f t="shared" si="16"/>
        <v>0.13790492029668788</v>
      </c>
      <c r="N94" s="296"/>
      <c r="P94" s="291"/>
      <c r="Q94" s="291"/>
      <c r="W94" s="366">
        <v>4.5850557270681783E-2</v>
      </c>
      <c r="AD94" s="383">
        <v>-1552.2903225806458</v>
      </c>
      <c r="AE94" s="350">
        <v>-0.15098205321285146</v>
      </c>
      <c r="AG94" s="411">
        <v>19793</v>
      </c>
      <c r="AH94" s="306">
        <v>32121</v>
      </c>
      <c r="AL94">
        <v>-11857</v>
      </c>
      <c r="AM94" s="350">
        <v>-0.18889296012489845</v>
      </c>
    </row>
    <row r="95" spans="1:39" hidden="1" x14ac:dyDescent="0.25">
      <c r="I95" s="306">
        <f>SUBTOTAL(9,I4:I94)-I36</f>
        <v>38754669.999999993</v>
      </c>
      <c r="J95" s="306">
        <f>SUBTOTAL(9,J4:J94)-J36</f>
        <v>151665694.97999999</v>
      </c>
      <c r="K95" s="306">
        <f>SUBTOTAL(9,K4:K94)-K36</f>
        <v>149509687.78425705</v>
      </c>
      <c r="L95" s="306">
        <f>SUBTOTAL(9,L4:L94)-L36</f>
        <v>-2156007.1957428963</v>
      </c>
      <c r="M95" s="306">
        <f>SUBTOTAL(9,M4:M94)-M36</f>
        <v>3.4904739423241122</v>
      </c>
      <c r="N95" s="306"/>
      <c r="AD95">
        <v>728779.1724312685</v>
      </c>
      <c r="AE95" t="e">
        <v>#DIV/0!</v>
      </c>
      <c r="AG95" s="307">
        <v>34314604.616129026</v>
      </c>
      <c r="AH95">
        <v>75575154.104892477</v>
      </c>
      <c r="AL95">
        <v>1912764.9039271153</v>
      </c>
      <c r="AM95" s="350" t="e">
        <v>#DIV/0!</v>
      </c>
    </row>
    <row r="96" spans="1:39" hidden="1" x14ac:dyDescent="0.25">
      <c r="I96" s="306">
        <f>I95-SUM(I97:I105)</f>
        <v>0</v>
      </c>
      <c r="J96" s="306">
        <f>J95-SUM(J97:J105)</f>
        <v>0</v>
      </c>
      <c r="K96" s="306">
        <f>K95-SUM(K97:K105)</f>
        <v>0</v>
      </c>
      <c r="L96" s="306"/>
      <c r="M96" s="306"/>
      <c r="N96" s="306"/>
      <c r="AD96"/>
      <c r="AE96"/>
      <c r="AG96" s="307">
        <v>0</v>
      </c>
      <c r="AH96">
        <v>0</v>
      </c>
    </row>
    <row r="97" spans="1:40" s="323" customFormat="1" hidden="1" x14ac:dyDescent="0.25">
      <c r="A97" s="322">
        <v>1</v>
      </c>
      <c r="B97" s="323" t="s">
        <v>403</v>
      </c>
      <c r="C97" s="324" t="s">
        <v>193</v>
      </c>
      <c r="D97" s="324"/>
      <c r="E97" s="325"/>
      <c r="F97" s="321"/>
      <c r="G97" s="295"/>
      <c r="H97" s="320"/>
      <c r="I97" s="332">
        <f>I81++I79+I78+I77+I76+I75+I74+I66+I64+I60+I57+I51+I5+I6+I7+I8+I9+I10+I11+I12+I13+I14+I19+I39+I65+I54-SUM(I101:I105)</f>
        <v>12779069</v>
      </c>
      <c r="J97" s="333">
        <f>J81++J79+J78+J77+J76+J75+J74+J66+J64+J60+J57+J51+J5+J6+J7+J8+J9+J10+J11+J12+J13+J14+J19+J39+J65+J54-SUM(J101:J105)</f>
        <v>12779069</v>
      </c>
      <c r="K97" s="334">
        <f>K81++K79+K78+K77+K76+K75+K74+K66+K64+K60+K57+K51+K5+K6+K7+K8+K9+K10+K11+K12+K13+K14+K19+K39+K65+K54-SUM(K101:K105)</f>
        <v>13847820.444257073</v>
      </c>
      <c r="L97" s="333">
        <f>K97-J97</f>
        <v>1068751.4442570731</v>
      </c>
      <c r="M97" s="335">
        <f t="shared" ref="M97" si="24">L97/J97</f>
        <v>8.3632966083606958E-2</v>
      </c>
      <c r="N97" s="336"/>
      <c r="O97" s="337"/>
      <c r="P97" s="337"/>
      <c r="Q97" s="337"/>
      <c r="R97" s="338"/>
      <c r="W97" s="366">
        <v>-0.10821784584107255</v>
      </c>
      <c r="AD97" s="402">
        <v>-244168.10211339639</v>
      </c>
      <c r="AE97" s="407">
        <v>-0.11556110213292442</v>
      </c>
      <c r="AG97" s="417">
        <v>4147783.4000000022</v>
      </c>
      <c r="AH97" s="412">
        <v>6590374.2000000086</v>
      </c>
      <c r="AL97" s="323">
        <v>-1836544.919230802</v>
      </c>
      <c r="AM97" s="407">
        <v>-0.14001678934684714</v>
      </c>
    </row>
    <row r="98" spans="1:40" s="10" customFormat="1" hidden="1" x14ac:dyDescent="0.25">
      <c r="A98" s="326">
        <v>1</v>
      </c>
      <c r="C98" s="293" t="s">
        <v>201</v>
      </c>
      <c r="E98" s="327"/>
      <c r="F98"/>
      <c r="G98"/>
      <c r="H98"/>
      <c r="I98" s="339">
        <f>I4</f>
        <v>0</v>
      </c>
      <c r="J98" s="295">
        <f>J4</f>
        <v>112911024.97999999</v>
      </c>
      <c r="K98" s="339">
        <f>K4</f>
        <v>112432284.05000001</v>
      </c>
      <c r="L98" s="295">
        <f t="shared" ref="L98:L105" si="25">K98-J98</f>
        <v>-478740.92999997735</v>
      </c>
      <c r="M98" s="290">
        <f t="shared" ref="M98:M105" si="26">L98/J98</f>
        <v>-4.2399839172904243E-3</v>
      </c>
      <c r="N98" s="296"/>
      <c r="P98" s="339">
        <f>Q4</f>
        <v>0</v>
      </c>
      <c r="W98" s="366">
        <v>-1.2156601963235848E-2</v>
      </c>
      <c r="AD98" s="403">
        <v>1231992.1499999985</v>
      </c>
      <c r="AE98" s="408">
        <v>9.4456398934987224E-2</v>
      </c>
      <c r="AG98" s="418">
        <v>21384445.666129034</v>
      </c>
      <c r="AH98" s="413">
        <v>55643743.445</v>
      </c>
      <c r="AL98" s="10">
        <v>5843283.25</v>
      </c>
      <c r="AM98" s="408">
        <v>6.7718713263819341E-2</v>
      </c>
      <c r="AN98" s="10" t="s">
        <v>471</v>
      </c>
    </row>
    <row r="99" spans="1:40" s="10" customFormat="1" hidden="1" x14ac:dyDescent="0.25">
      <c r="A99" s="326">
        <v>1</v>
      </c>
      <c r="B99" s="10" t="s">
        <v>403</v>
      </c>
      <c r="C99" s="293" t="s">
        <v>187</v>
      </c>
      <c r="E99" s="327"/>
      <c r="F99"/>
      <c r="G99"/>
      <c r="H99"/>
      <c r="I99" s="339">
        <f>I90+I69+I31</f>
        <v>1563688</v>
      </c>
      <c r="J99" s="295">
        <f>J90+J69+J31</f>
        <v>1563688</v>
      </c>
      <c r="K99" s="339">
        <f>K90+K69+K31</f>
        <v>1549077.25</v>
      </c>
      <c r="L99" s="295">
        <f t="shared" si="25"/>
        <v>-14610.75</v>
      </c>
      <c r="M99" s="290">
        <f t="shared" si="26"/>
        <v>-9.3437757404290361E-3</v>
      </c>
      <c r="N99" s="296"/>
      <c r="P99" s="339">
        <f>P90+P69+P31</f>
        <v>0</v>
      </c>
      <c r="W99" s="366">
        <v>-6.4395145299576531E-2</v>
      </c>
      <c r="AD99" s="403">
        <v>2867.7935483885813</v>
      </c>
      <c r="AE99" s="408">
        <v>1.8724069263076026E-2</v>
      </c>
      <c r="AG99" s="418">
        <v>368509.55000000075</v>
      </c>
      <c r="AH99" s="413">
        <v>575557</v>
      </c>
      <c r="AL99" s="10">
        <v>7468.75</v>
      </c>
      <c r="AM99" s="408">
        <v>7.8690733695279975E-3</v>
      </c>
      <c r="AN99" s="10" t="s">
        <v>470</v>
      </c>
    </row>
    <row r="100" spans="1:40" s="10" customFormat="1" hidden="1" x14ac:dyDescent="0.25">
      <c r="A100" s="326">
        <v>1</v>
      </c>
      <c r="B100" s="10" t="s">
        <v>403</v>
      </c>
      <c r="C100" s="293" t="s">
        <v>188</v>
      </c>
      <c r="E100" s="327"/>
      <c r="F100"/>
      <c r="G100"/>
      <c r="H100"/>
      <c r="I100" s="339">
        <f>I94+I91+I86+I80+I63+I45+I42+I28+I27+I26+I25+I24+I23+I20</f>
        <v>5128926.9999999944</v>
      </c>
      <c r="J100" s="295">
        <f>J94+J91+J86+J80+J63+J45+J42+J28+J27+J26+J25+J24+J23+J20</f>
        <v>5128926.9999999944</v>
      </c>
      <c r="K100" s="339">
        <f>K94+K91+K86+K80+K63+K45+K42+K28+K27+K26+K25+K24+K23+K20</f>
        <v>4894239</v>
      </c>
      <c r="L100" s="295">
        <f t="shared" si="25"/>
        <v>-234687.99999999441</v>
      </c>
      <c r="M100" s="290">
        <f t="shared" si="26"/>
        <v>-4.5757718914695933E-2</v>
      </c>
      <c r="N100" s="296"/>
      <c r="P100" s="339">
        <f>P94+P91+P86+P80+P63+P45+P42+P28+P27+P26+P25+P24+P23+P20</f>
        <v>0</v>
      </c>
      <c r="W100" s="366">
        <v>-0.23641436138442037</v>
      </c>
      <c r="AD100" s="403">
        <v>-34496.677419354906</v>
      </c>
      <c r="AE100" s="408">
        <v>-5.2217479037143022E-2</v>
      </c>
      <c r="AG100" s="418">
        <v>1500442</v>
      </c>
      <c r="AH100" s="413">
        <v>2345612.5432258067</v>
      </c>
      <c r="AL100" s="10">
        <v>-260407.99999998789</v>
      </c>
      <c r="AM100" s="408">
        <v>-6.3592287303273612E-2</v>
      </c>
      <c r="AN100" s="10" t="s">
        <v>466</v>
      </c>
    </row>
    <row r="101" spans="1:40" s="10" customFormat="1" hidden="1" x14ac:dyDescent="0.25">
      <c r="A101" s="326">
        <v>1</v>
      </c>
      <c r="C101" s="293" t="s">
        <v>253</v>
      </c>
      <c r="E101" s="327"/>
      <c r="F101"/>
      <c r="G101"/>
      <c r="H101"/>
      <c r="I101" s="339">
        <f>I14</f>
        <v>530851</v>
      </c>
      <c r="J101" s="295">
        <f>J14</f>
        <v>530851</v>
      </c>
      <c r="K101" s="339">
        <f>K14</f>
        <v>527028.04</v>
      </c>
      <c r="L101" s="295">
        <f t="shared" si="25"/>
        <v>-3822.9599999999627</v>
      </c>
      <c r="M101" s="290">
        <f t="shared" si="26"/>
        <v>-7.2015688017917695E-3</v>
      </c>
      <c r="N101" s="296"/>
      <c r="P101" s="339">
        <f>P14</f>
        <v>0</v>
      </c>
      <c r="W101" s="366">
        <v>0.17356543900032884</v>
      </c>
      <c r="AD101" s="403">
        <v>-50.51612903225805</v>
      </c>
      <c r="AE101" s="408">
        <v>-1.9102220053671622E-2</v>
      </c>
      <c r="AG101" s="418">
        <v>7029</v>
      </c>
      <c r="AH101" s="413">
        <v>11129.25</v>
      </c>
      <c r="AL101" s="10">
        <v>-178</v>
      </c>
      <c r="AM101" s="408">
        <v>-1.099444101297097E-2</v>
      </c>
      <c r="AN101" s="10" t="s">
        <v>486</v>
      </c>
    </row>
    <row r="102" spans="1:40" s="10" customFormat="1" hidden="1" x14ac:dyDescent="0.25">
      <c r="A102" s="326">
        <v>1</v>
      </c>
      <c r="C102" s="293" t="s">
        <v>254</v>
      </c>
      <c r="E102" s="327"/>
      <c r="F102"/>
      <c r="G102"/>
      <c r="H102"/>
      <c r="I102" s="339">
        <f>I6</f>
        <v>3763650</v>
      </c>
      <c r="J102" s="295">
        <f>J6</f>
        <v>3763650</v>
      </c>
      <c r="K102" s="339">
        <f>K6</f>
        <v>5256196</v>
      </c>
      <c r="L102" s="295">
        <f t="shared" si="25"/>
        <v>1492546</v>
      </c>
      <c r="M102" s="290">
        <f t="shared" si="26"/>
        <v>0.39656875639339473</v>
      </c>
      <c r="N102" s="296"/>
      <c r="P102" s="339">
        <f>P6</f>
        <v>0</v>
      </c>
      <c r="W102" s="366">
        <v>-0.83881019425108272</v>
      </c>
      <c r="AD102" s="403">
        <v>-1652.4852374258153</v>
      </c>
      <c r="AE102" s="408">
        <v>-7.3660810502915786E-2</v>
      </c>
      <c r="AG102" s="418">
        <v>609125</v>
      </c>
      <c r="AH102" s="413">
        <v>639936</v>
      </c>
      <c r="AL102" s="10">
        <v>0</v>
      </c>
      <c r="AM102" s="408">
        <v>0</v>
      </c>
      <c r="AN102" s="10" t="s">
        <v>467</v>
      </c>
    </row>
    <row r="103" spans="1:40" s="10" customFormat="1" hidden="1" x14ac:dyDescent="0.25">
      <c r="A103" s="326">
        <v>1</v>
      </c>
      <c r="C103" s="293" t="s">
        <v>255</v>
      </c>
      <c r="E103" s="327"/>
      <c r="F103"/>
      <c r="G103"/>
      <c r="H103"/>
      <c r="I103" s="339">
        <f>I5</f>
        <v>6795051</v>
      </c>
      <c r="J103" s="295">
        <f>J5</f>
        <v>6795051</v>
      </c>
      <c r="K103" s="339">
        <f>K5</f>
        <v>5735297</v>
      </c>
      <c r="L103" s="295">
        <f t="shared" si="25"/>
        <v>-1059754</v>
      </c>
      <c r="M103" s="290">
        <f t="shared" si="26"/>
        <v>-0.15595968301047336</v>
      </c>
      <c r="N103" s="296"/>
      <c r="P103" s="339">
        <f>P5</f>
        <v>0</v>
      </c>
      <c r="W103" s="366">
        <v>-7.6500831234539601E-2</v>
      </c>
      <c r="AD103" s="403">
        <v>-7449.2160243620165</v>
      </c>
      <c r="AE103" s="408">
        <v>-7.9510353618230094E-3</v>
      </c>
      <c r="AG103" s="418">
        <v>2197369</v>
      </c>
      <c r="AH103" s="413">
        <v>3484944</v>
      </c>
      <c r="AL103" s="10">
        <v>-122733.73684210517</v>
      </c>
      <c r="AM103" s="408">
        <v>-2.1129313355599696E-2</v>
      </c>
      <c r="AN103" s="429" t="s">
        <v>401</v>
      </c>
    </row>
    <row r="104" spans="1:40" s="10" customFormat="1" hidden="1" x14ac:dyDescent="0.25">
      <c r="A104" s="326">
        <v>1</v>
      </c>
      <c r="C104" s="293" t="s">
        <v>256</v>
      </c>
      <c r="E104" s="327"/>
      <c r="F104"/>
      <c r="G104"/>
      <c r="H104"/>
      <c r="I104" s="339">
        <f>I7</f>
        <v>3073635</v>
      </c>
      <c r="J104" s="295">
        <f>J7</f>
        <v>3073635</v>
      </c>
      <c r="K104" s="339">
        <f>K7</f>
        <v>2732998</v>
      </c>
      <c r="L104" s="295">
        <f t="shared" si="25"/>
        <v>-340637</v>
      </c>
      <c r="M104" s="290">
        <f t="shared" si="26"/>
        <v>-0.11082545585276066</v>
      </c>
      <c r="N104" s="296"/>
      <c r="P104" s="339">
        <f>P7</f>
        <v>0</v>
      </c>
      <c r="W104" s="366">
        <v>-0.22122739710737094</v>
      </c>
      <c r="AD104" s="403">
        <v>-249025.54838709673</v>
      </c>
      <c r="AE104" s="408">
        <v>-0.21246308457648455</v>
      </c>
      <c r="AG104" s="418">
        <v>2022440</v>
      </c>
      <c r="AH104" s="413">
        <v>3202196.6666666665</v>
      </c>
      <c r="AL104" s="10">
        <v>-1812547</v>
      </c>
      <c r="AM104" s="408">
        <v>-0.24908634063793583</v>
      </c>
      <c r="AN104" s="429" t="s">
        <v>468</v>
      </c>
    </row>
    <row r="105" spans="1:40" s="329" customFormat="1" ht="15.75" hidden="1" thickBot="1" x14ac:dyDescent="0.3">
      <c r="A105" s="328">
        <v>1</v>
      </c>
      <c r="C105" s="330" t="s">
        <v>257</v>
      </c>
      <c r="E105" s="331"/>
      <c r="F105"/>
      <c r="G105"/>
      <c r="H105"/>
      <c r="I105" s="340">
        <f>I39</f>
        <v>5119799</v>
      </c>
      <c r="J105" s="341">
        <f>J39</f>
        <v>5119799</v>
      </c>
      <c r="K105" s="340">
        <f>K39</f>
        <v>2534748</v>
      </c>
      <c r="L105" s="341">
        <f t="shared" si="25"/>
        <v>-2585051</v>
      </c>
      <c r="M105" s="342">
        <f t="shared" si="26"/>
        <v>-0.50491259520149134</v>
      </c>
      <c r="N105" s="343"/>
      <c r="P105" s="340">
        <f>P39</f>
        <v>0</v>
      </c>
      <c r="W105" s="366">
        <v>-1.287360505917714E-2</v>
      </c>
      <c r="AD105" s="404">
        <v>30761.774193549994</v>
      </c>
      <c r="AE105" s="409">
        <v>4.0966363089614738E-2</v>
      </c>
      <c r="AG105" s="419">
        <v>2077461</v>
      </c>
      <c r="AH105" s="414">
        <v>3081661</v>
      </c>
      <c r="AL105" s="329">
        <v>-233785.99999999069</v>
      </c>
      <c r="AM105" s="409">
        <v>-5.0216083855999474E-2</v>
      </c>
      <c r="AN105" s="329" t="s">
        <v>469</v>
      </c>
    </row>
    <row r="106" spans="1:40" hidden="1" x14ac:dyDescent="0.25">
      <c r="A106">
        <v>1</v>
      </c>
    </row>
    <row r="113" spans="12:12" x14ac:dyDescent="0.25">
      <c r="L113" s="442"/>
    </row>
  </sheetData>
  <autoFilter ref="A3:AE106">
    <filterColumn colId="0">
      <customFilters>
        <customFilter operator="notEqual" val=" "/>
      </customFilters>
    </filterColumn>
    <filterColumn colId="1">
      <filters>
        <filter val="БЭС"/>
        <filter val="ГЭС"/>
        <filter val="Система"/>
        <filter val="ЦЭС"/>
        <filter val="ЮЭС"/>
      </filters>
    </filterColumn>
  </autoFilter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>
          <x14:formula1>
            <xm:f>[3]Лист2!#REF!</xm:f>
          </x14:formula1>
          <xm:sqref>C92:C93 C82:C85 C87:C89</xm:sqref>
        </x14:dataValidation>
        <x14:dataValidation type="list" allowBlank="1" showInputMessage="1" showErrorMessage="1">
          <x14:formula1>
            <xm:f>[1]Лист2!#REF!</xm:f>
          </x14:formula1>
          <xm:sqref>C4:C14 C19 C36 C39 C51 C54 C57 C60 C81 C98 C74:C79 C64:C66</xm:sqref>
        </x14:dataValidation>
        <x14:dataValidation type="list" allowBlank="1" showInputMessage="1" showErrorMessage="1">
          <x14:formula1>
            <xm:f>[4]Лист2!#REF!</xm:f>
          </x14:formula1>
          <xm:sqref>C61:C62 C43:C44 C40:C41 C37:C38 C46:C50 C52:C53 C55:C56 C58:C59 C29:C35 C90 C99 C67:C73</xm:sqref>
        </x14:dataValidation>
        <x14:dataValidation type="list" allowBlank="1" showInputMessage="1" showErrorMessage="1">
          <x14:formula1>
            <xm:f>[5]Лист2!#REF!</xm:f>
          </x14:formula1>
          <xm:sqref>C94 C42 C45 C63 C80 C86 C91 C15:C18 C20:C28 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C1:Z53"/>
  <sheetViews>
    <sheetView workbookViewId="0">
      <selection activeCell="I13" sqref="I13"/>
    </sheetView>
  </sheetViews>
  <sheetFormatPr defaultRowHeight="15" x14ac:dyDescent="0.25"/>
  <cols>
    <col min="3" max="3" width="21.140625" customWidth="1"/>
    <col min="4" max="4" width="27.140625" customWidth="1"/>
    <col min="5" max="6" width="10.5703125" bestFit="1" customWidth="1"/>
    <col min="7" max="7" width="12.5703125" customWidth="1"/>
    <col min="8" max="8" width="10.5703125" bestFit="1" customWidth="1"/>
    <col min="9" max="9" width="11.28515625" customWidth="1"/>
    <col min="10" max="10" width="21.5703125" customWidth="1"/>
    <col min="11" max="11" width="22.7109375" customWidth="1"/>
    <col min="14" max="14" width="9.5703125" bestFit="1" customWidth="1"/>
    <col min="15" max="15" width="11.28515625" customWidth="1"/>
    <col min="16" max="16" width="10.7109375" customWidth="1"/>
    <col min="17" max="17" width="12.28515625" customWidth="1"/>
    <col min="18" max="18" width="15.85546875" customWidth="1"/>
    <col min="19" max="19" width="16.7109375" customWidth="1"/>
    <col min="20" max="20" width="15.28515625" customWidth="1"/>
    <col min="21" max="21" width="13.42578125" customWidth="1"/>
  </cols>
  <sheetData>
    <row r="1" spans="4:26" x14ac:dyDescent="0.25">
      <c r="D1" t="s">
        <v>448</v>
      </c>
      <c r="E1" t="s">
        <v>209</v>
      </c>
      <c r="F1" t="s">
        <v>236</v>
      </c>
      <c r="G1" t="s">
        <v>237</v>
      </c>
      <c r="H1" s="307" t="s">
        <v>451</v>
      </c>
      <c r="I1" s="307" t="s">
        <v>462</v>
      </c>
      <c r="K1">
        <v>1000</v>
      </c>
    </row>
    <row r="2" spans="4:26" x14ac:dyDescent="0.25">
      <c r="D2">
        <v>2019</v>
      </c>
      <c r="E2">
        <v>366.72</v>
      </c>
      <c r="F2" s="379">
        <v>343.03069099999999</v>
      </c>
      <c r="G2">
        <v>303.34798599999999</v>
      </c>
      <c r="H2" s="430">
        <v>307.29523499999999</v>
      </c>
      <c r="I2" s="430">
        <v>307.44128799999999</v>
      </c>
      <c r="J2" s="379">
        <f>SUM(E2:H2)</f>
        <v>1320.393912</v>
      </c>
      <c r="K2" s="379"/>
    </row>
    <row r="3" spans="4:26" x14ac:dyDescent="0.25">
      <c r="D3">
        <v>2020</v>
      </c>
      <c r="E3">
        <v>350.83600000000001</v>
      </c>
      <c r="F3" s="379">
        <v>331.19778830000007</v>
      </c>
      <c r="G3">
        <v>303.73371200000003</v>
      </c>
      <c r="H3" s="381">
        <f>отчет_еженедельный!$G$19</f>
        <v>497.83360815000009</v>
      </c>
      <c r="I3" s="381"/>
      <c r="J3" s="379">
        <f>SUM(E3:H3)</f>
        <v>1483.6011084500003</v>
      </c>
    </row>
    <row r="4" spans="4:26" x14ac:dyDescent="0.25">
      <c r="H4" s="379">
        <f>H3-H2</f>
        <v>190.5383731500001</v>
      </c>
      <c r="I4" s="379"/>
      <c r="J4" s="379">
        <f>J3-J2</f>
        <v>163.20719645000031</v>
      </c>
    </row>
    <row r="5" spans="4:26" x14ac:dyDescent="0.25">
      <c r="E5" t="s">
        <v>488</v>
      </c>
      <c r="F5" t="s">
        <v>488</v>
      </c>
      <c r="H5" s="350">
        <f>H4/H2</f>
        <v>0.62004987858012217</v>
      </c>
      <c r="I5" s="350"/>
      <c r="J5" s="350">
        <f>J4/J2</f>
        <v>0.12360492953408915</v>
      </c>
    </row>
    <row r="6" spans="4:26" ht="30" customHeight="1" x14ac:dyDescent="0.25">
      <c r="D6" s="361"/>
      <c r="E6" s="530" t="s">
        <v>494</v>
      </c>
      <c r="F6" s="530" t="s">
        <v>495</v>
      </c>
      <c r="G6" s="386" t="s">
        <v>420</v>
      </c>
      <c r="H6" s="362"/>
      <c r="M6" s="531">
        <v>43556</v>
      </c>
      <c r="N6" s="531">
        <v>43922</v>
      </c>
      <c r="O6" s="539" t="s">
        <v>445</v>
      </c>
      <c r="P6" s="539" t="s">
        <v>446</v>
      </c>
      <c r="Q6" s="533">
        <v>43617</v>
      </c>
      <c r="R6" s="535">
        <v>43983</v>
      </c>
      <c r="V6" s="227" t="s">
        <v>443</v>
      </c>
      <c r="W6" s="373" t="s">
        <v>479</v>
      </c>
      <c r="X6" s="395" t="s">
        <v>480</v>
      </c>
      <c r="Y6" s="373" t="s">
        <v>420</v>
      </c>
      <c r="Z6" s="373"/>
    </row>
    <row r="7" spans="4:26" ht="30" x14ac:dyDescent="0.25">
      <c r="D7" s="361"/>
      <c r="E7" s="530"/>
      <c r="F7" s="530"/>
      <c r="G7" s="362" t="s">
        <v>421</v>
      </c>
      <c r="H7" s="362" t="s">
        <v>180</v>
      </c>
      <c r="M7" s="532"/>
      <c r="N7" s="532"/>
      <c r="O7" s="529"/>
      <c r="P7" s="529"/>
      <c r="Q7" s="534"/>
      <c r="R7" s="530"/>
      <c r="V7" s="361"/>
      <c r="W7" s="373"/>
      <c r="X7" s="373"/>
      <c r="Y7" s="373" t="s">
        <v>421</v>
      </c>
      <c r="Z7" s="373" t="s">
        <v>180</v>
      </c>
    </row>
    <row r="8" spans="4:26" s="372" customFormat="1" x14ac:dyDescent="0.25">
      <c r="D8" s="369" t="s">
        <v>183</v>
      </c>
      <c r="E8" s="370">
        <f>SUM(E9:E15)</f>
        <v>414.97964960000002</v>
      </c>
      <c r="F8" s="370">
        <f>SUM(F9:F15)</f>
        <v>425.57423530549289</v>
      </c>
      <c r="G8" s="370">
        <f>F8-E8</f>
        <v>10.594585705492875</v>
      </c>
      <c r="H8" s="371">
        <f>G8/E8</f>
        <v>2.5530374117634501E-2</v>
      </c>
      <c r="M8" s="370">
        <v>330.09725800000001</v>
      </c>
      <c r="N8" s="370">
        <v>317.13727725000001</v>
      </c>
      <c r="O8" s="370">
        <v>312.63713599999988</v>
      </c>
      <c r="P8" s="370">
        <v>304.89976799999999</v>
      </c>
      <c r="Q8" s="370">
        <v>285.61165288558794</v>
      </c>
      <c r="R8" s="370">
        <v>286.379479</v>
      </c>
      <c r="V8" s="397" t="s">
        <v>183</v>
      </c>
      <c r="W8" s="398">
        <f>SUM(W9:W15)</f>
        <v>1343.3257494855882</v>
      </c>
      <c r="X8" s="398">
        <f>SUM(X9:X15)</f>
        <v>1333.9907594862875</v>
      </c>
      <c r="Y8" s="398">
        <f>X8-W8</f>
        <v>-9.3349899993006602</v>
      </c>
      <c r="Z8" s="399">
        <f>Y8/W8</f>
        <v>-6.9491633007670644E-3</v>
      </c>
    </row>
    <row r="9" spans="4:26" x14ac:dyDescent="0.25">
      <c r="D9" s="424" t="s">
        <v>193</v>
      </c>
      <c r="E9" s="363">
        <f>отчет_еженедельный!J20</f>
        <v>51.269841</v>
      </c>
      <c r="F9" s="363">
        <f>отчет_еженедельный!K20</f>
        <v>51.76265208425707</v>
      </c>
      <c r="G9" s="363">
        <f t="shared" ref="G9:G15" si="0">F9-E9</f>
        <v>0.49281108425707032</v>
      </c>
      <c r="H9" s="364">
        <f t="shared" ref="H9:H15" si="1">G9/E9</f>
        <v>9.6121047899694161E-3</v>
      </c>
      <c r="M9" s="363">
        <v>44.547342</v>
      </c>
      <c r="N9" s="363">
        <v>41.858938000000002</v>
      </c>
      <c r="O9" s="363">
        <v>41.606000000000009</v>
      </c>
      <c r="P9" s="363">
        <v>37.361943000000046</v>
      </c>
      <c r="Q9" s="363">
        <v>43.339593000000008</v>
      </c>
      <c r="R9" s="363">
        <v>47.975991000000008</v>
      </c>
      <c r="V9" s="361" t="s">
        <v>193</v>
      </c>
      <c r="W9" s="363">
        <f>E9+M9+O9+Q9</f>
        <v>180.762776</v>
      </c>
      <c r="X9" s="363">
        <f>F9+N9+P9+R9</f>
        <v>178.95952408425711</v>
      </c>
      <c r="Y9" s="363">
        <f t="shared" ref="Y9:Y15" si="2">X9-W9</f>
        <v>-1.8032519157428908</v>
      </c>
      <c r="Z9" s="387">
        <f t="shared" ref="Z9:Z15" si="3">Y9/W9</f>
        <v>-9.9757923375932821E-3</v>
      </c>
    </row>
    <row r="10" spans="4:26" x14ac:dyDescent="0.25">
      <c r="D10" s="424" t="s">
        <v>201</v>
      </c>
      <c r="E10" s="363">
        <f>отчет_еженедельный!J49</f>
        <v>121.94543492132111</v>
      </c>
      <c r="F10" s="363">
        <f>отчет_еженедельный!K49</f>
        <v>121.53850513082112</v>
      </c>
      <c r="G10" s="363">
        <f t="shared" si="0"/>
        <v>-0.40692979049998712</v>
      </c>
      <c r="H10" s="443">
        <f t="shared" si="1"/>
        <v>-3.3369825673469221E-3</v>
      </c>
      <c r="M10" s="363">
        <v>106.3338605007896</v>
      </c>
      <c r="N10" s="363">
        <v>107.1748954562394</v>
      </c>
      <c r="O10" s="363">
        <v>102.75489127150331</v>
      </c>
      <c r="P10" s="363">
        <v>103.91648699999999</v>
      </c>
      <c r="Q10" s="363">
        <v>98.150874866325282</v>
      </c>
      <c r="R10" s="363">
        <v>100.6969325853325</v>
      </c>
      <c r="V10" s="361" t="s">
        <v>201</v>
      </c>
      <c r="W10" s="363">
        <f t="shared" ref="W10:X15" si="4">E10+M10+O10+Q10</f>
        <v>429.1850615599393</v>
      </c>
      <c r="X10" s="363">
        <f t="shared" si="4"/>
        <v>433.32682017239296</v>
      </c>
      <c r="Y10" s="363">
        <f t="shared" si="2"/>
        <v>4.141758612453657</v>
      </c>
      <c r="Z10" s="364">
        <f t="shared" si="3"/>
        <v>9.6502860500311833E-3</v>
      </c>
    </row>
    <row r="11" spans="4:26" x14ac:dyDescent="0.25">
      <c r="D11" s="424" t="s">
        <v>187</v>
      </c>
      <c r="E11" s="363">
        <f>отчет_еженедельный!J61</f>
        <v>1.8094349999999999</v>
      </c>
      <c r="F11" s="363">
        <f>отчет_еженедельный!K61</f>
        <v>1.82431389</v>
      </c>
      <c r="G11" s="363">
        <f t="shared" si="0"/>
        <v>1.4878890000000089E-2</v>
      </c>
      <c r="H11" s="444">
        <f t="shared" si="1"/>
        <v>8.2229480473186879E-3</v>
      </c>
      <c r="M11" s="363">
        <v>1.2245139999999999</v>
      </c>
      <c r="N11" s="363">
        <v>1.4794480000000001</v>
      </c>
      <c r="O11" s="363">
        <v>2.4468920000000001</v>
      </c>
      <c r="P11" s="363">
        <v>2.550662</v>
      </c>
      <c r="Q11" s="363">
        <v>1.495142</v>
      </c>
      <c r="R11" s="363">
        <v>1.8618610000000002</v>
      </c>
      <c r="V11" s="361" t="s">
        <v>187</v>
      </c>
      <c r="W11" s="363">
        <f t="shared" si="4"/>
        <v>6.9759829999999994</v>
      </c>
      <c r="X11" s="363">
        <f t="shared" si="4"/>
        <v>7.7162848899999998</v>
      </c>
      <c r="Y11" s="363">
        <f t="shared" si="2"/>
        <v>0.74030189000000046</v>
      </c>
      <c r="Z11" s="364">
        <f t="shared" si="3"/>
        <v>0.10612151577777648</v>
      </c>
    </row>
    <row r="12" spans="4:26" x14ac:dyDescent="0.25">
      <c r="D12" s="424" t="s">
        <v>188</v>
      </c>
      <c r="E12" s="363">
        <f>отчет_еженедельный!J70</f>
        <v>52.444212999999998</v>
      </c>
      <c r="F12" s="363">
        <f>отчет_еженедельный!K70</f>
        <v>61.031238999999999</v>
      </c>
      <c r="G12" s="363">
        <f t="shared" si="0"/>
        <v>8.5870260000000016</v>
      </c>
      <c r="H12" s="443">
        <f t="shared" si="1"/>
        <v>0.16373638784511843</v>
      </c>
      <c r="M12" s="363">
        <v>43.8923968</v>
      </c>
      <c r="N12" s="363">
        <v>35.161825999999998</v>
      </c>
      <c r="O12" s="363">
        <v>38.385853999999895</v>
      </c>
      <c r="P12" s="363">
        <v>37.134171891409586</v>
      </c>
      <c r="Q12" s="363">
        <v>31.142983754408995</v>
      </c>
      <c r="R12" s="363">
        <v>31.902709330100102</v>
      </c>
      <c r="V12" s="361" t="s">
        <v>188</v>
      </c>
      <c r="W12" s="363">
        <f t="shared" si="4"/>
        <v>165.86544755440889</v>
      </c>
      <c r="X12" s="363">
        <f t="shared" si="4"/>
        <v>165.22994622150966</v>
      </c>
      <c r="Y12" s="363">
        <f t="shared" si="2"/>
        <v>-0.63550133289922428</v>
      </c>
      <c r="Z12" s="387">
        <f t="shared" si="3"/>
        <v>-3.831426872017818E-3</v>
      </c>
    </row>
    <row r="13" spans="4:26" x14ac:dyDescent="0.25">
      <c r="D13" s="424" t="s">
        <v>189</v>
      </c>
      <c r="E13" s="363">
        <f>отчет_еженедельный!J90</f>
        <v>29.385151</v>
      </c>
      <c r="F13" s="363">
        <f>отчет_еженедельный!K90</f>
        <v>28.209744959999998</v>
      </c>
      <c r="G13" s="363">
        <f t="shared" si="0"/>
        <v>-1.1754060400000022</v>
      </c>
      <c r="H13" s="364">
        <f t="shared" si="1"/>
        <v>-4.000000000000007E-2</v>
      </c>
      <c r="M13" s="363">
        <v>20.473308199999998</v>
      </c>
      <c r="N13" s="363">
        <v>16.093609650000001</v>
      </c>
      <c r="O13" s="363">
        <v>17.629465</v>
      </c>
      <c r="P13" s="363">
        <v>13.34142555</v>
      </c>
      <c r="Q13" s="363">
        <v>13.139287999999999</v>
      </c>
      <c r="R13" s="363">
        <v>9.6756044999999986</v>
      </c>
      <c r="V13" s="361" t="s">
        <v>189</v>
      </c>
      <c r="W13" s="363">
        <f t="shared" si="4"/>
        <v>80.627212199999988</v>
      </c>
      <c r="X13" s="363">
        <f t="shared" si="4"/>
        <v>67.320384660000002</v>
      </c>
      <c r="Y13" s="363">
        <f t="shared" si="2"/>
        <v>-13.306827539999986</v>
      </c>
      <c r="Z13" s="387">
        <f t="shared" si="3"/>
        <v>-0.1650413945479314</v>
      </c>
    </row>
    <row r="14" spans="4:26" x14ac:dyDescent="0.25">
      <c r="D14" s="424" t="s">
        <v>190</v>
      </c>
      <c r="E14" s="363">
        <f>отчет_еженедельный!J96</f>
        <v>96.278102599999997</v>
      </c>
      <c r="F14" s="363">
        <f>отчет_еженедельный!K96</f>
        <v>97.240883625999999</v>
      </c>
      <c r="G14" s="363">
        <f t="shared" si="0"/>
        <v>0.96278102600000182</v>
      </c>
      <c r="H14" s="444">
        <f t="shared" si="1"/>
        <v>1.0000000000000019E-2</v>
      </c>
      <c r="M14" s="363">
        <v>73.589717999999991</v>
      </c>
      <c r="N14" s="363">
        <v>75.096006599999996</v>
      </c>
      <c r="O14" s="363">
        <v>74.110178000000005</v>
      </c>
      <c r="P14" s="363">
        <v>76.475891199999992</v>
      </c>
      <c r="Q14" s="363">
        <v>68.455151999999998</v>
      </c>
      <c r="R14" s="363">
        <v>65.272357169899934</v>
      </c>
      <c r="V14" s="361" t="s">
        <v>190</v>
      </c>
      <c r="W14" s="363">
        <f t="shared" si="4"/>
        <v>312.43315059999998</v>
      </c>
      <c r="X14" s="363">
        <f t="shared" si="4"/>
        <v>314.08513859589988</v>
      </c>
      <c r="Y14" s="363">
        <f t="shared" si="2"/>
        <v>1.6519879958999013</v>
      </c>
      <c r="Z14" s="364">
        <f t="shared" si="3"/>
        <v>5.2874926771611973E-3</v>
      </c>
    </row>
    <row r="15" spans="4:26" x14ac:dyDescent="0.25">
      <c r="D15" s="424" t="s">
        <v>191</v>
      </c>
      <c r="E15" s="363">
        <f>отчет_еженедельный!J97</f>
        <v>61.847472078678912</v>
      </c>
      <c r="F15" s="363">
        <f>отчет_еженедельный!K97</f>
        <v>63.966896614414686</v>
      </c>
      <c r="G15" s="363">
        <f t="shared" si="0"/>
        <v>2.1194245357357744</v>
      </c>
      <c r="H15" s="444">
        <f t="shared" si="1"/>
        <v>3.4268571770234367E-2</v>
      </c>
      <c r="M15" s="363">
        <v>40.036118499210431</v>
      </c>
      <c r="N15" s="363">
        <v>40.272553543760623</v>
      </c>
      <c r="O15" s="363">
        <v>35.703908728496685</v>
      </c>
      <c r="P15" s="363">
        <v>34.11918728938501</v>
      </c>
      <c r="Q15" s="363">
        <v>29.888619264853705</v>
      </c>
      <c r="R15" s="363">
        <v>28.994023414667481</v>
      </c>
      <c r="V15" s="361" t="s">
        <v>191</v>
      </c>
      <c r="W15" s="363">
        <f t="shared" si="4"/>
        <v>167.47611857123974</v>
      </c>
      <c r="X15" s="363">
        <f t="shared" si="4"/>
        <v>167.35266086222782</v>
      </c>
      <c r="Y15" s="363">
        <f t="shared" si="2"/>
        <v>-0.12345770901191599</v>
      </c>
      <c r="Z15" s="387">
        <f t="shared" si="3"/>
        <v>-7.3716605128629415E-4</v>
      </c>
    </row>
    <row r="17" spans="3:23" x14ac:dyDescent="0.25">
      <c r="E17" t="s">
        <v>463</v>
      </c>
    </row>
    <row r="18" spans="3:23" ht="15" customHeight="1" x14ac:dyDescent="0.25">
      <c r="C18" s="536" t="s">
        <v>422</v>
      </c>
      <c r="D18" s="537" t="s">
        <v>423</v>
      </c>
      <c r="E18" s="530" t="s">
        <v>477</v>
      </c>
      <c r="F18" s="530" t="s">
        <v>478</v>
      </c>
      <c r="G18" s="378" t="s">
        <v>420</v>
      </c>
      <c r="H18" s="227"/>
    </row>
    <row r="19" spans="3:23" ht="60" x14ac:dyDescent="0.25">
      <c r="C19" s="536"/>
      <c r="D19" s="538"/>
      <c r="E19" s="530"/>
      <c r="F19" s="530"/>
      <c r="G19" s="227" t="s">
        <v>421</v>
      </c>
      <c r="H19" s="227" t="s">
        <v>180</v>
      </c>
      <c r="J19" s="361"/>
      <c r="K19" s="361"/>
      <c r="L19" s="368">
        <v>43556</v>
      </c>
      <c r="M19" s="368">
        <v>43922</v>
      </c>
      <c r="N19" s="368">
        <v>43586</v>
      </c>
      <c r="O19" s="368">
        <v>43952</v>
      </c>
      <c r="P19" s="368">
        <v>43617</v>
      </c>
      <c r="Q19" s="368">
        <v>43983</v>
      </c>
      <c r="S19" s="361"/>
      <c r="T19" s="394" t="s">
        <v>481</v>
      </c>
      <c r="U19" s="400" t="s">
        <v>482</v>
      </c>
      <c r="V19" s="378" t="s">
        <v>420</v>
      </c>
      <c r="W19" s="401"/>
    </row>
    <row r="20" spans="3:23" ht="15" customHeight="1" x14ac:dyDescent="0.25">
      <c r="C20" s="529" t="s">
        <v>193</v>
      </c>
      <c r="D20" s="361" t="s">
        <v>424</v>
      </c>
      <c r="E20" s="365">
        <f>отчет_еженедельный!J23</f>
        <v>6.795051</v>
      </c>
      <c r="F20" s="365">
        <f>отчет_еженедельный!K23</f>
        <v>5.7352970000000001</v>
      </c>
      <c r="G20" s="363">
        <f>F20-E20</f>
        <v>-1.0597539999999999</v>
      </c>
      <c r="H20" s="364">
        <f>G20/E20</f>
        <v>-0.15595968301047333</v>
      </c>
      <c r="J20" s="529" t="s">
        <v>193</v>
      </c>
      <c r="K20" s="361" t="s">
        <v>424</v>
      </c>
      <c r="L20" s="365">
        <v>6.1847630000000002</v>
      </c>
      <c r="M20" s="365">
        <v>5.2512104615151207</v>
      </c>
      <c r="N20" s="363">
        <v>5.6659219800000065</v>
      </c>
      <c r="O20" s="363">
        <v>5.34806766167695</v>
      </c>
      <c r="P20" s="363">
        <v>5.4836074999999997</v>
      </c>
      <c r="Q20" s="363">
        <v>5.4221909999999998</v>
      </c>
      <c r="R20" s="385">
        <f t="shared" ref="R20:R32" si="5">(M20+O20)-(L20+N20)</f>
        <v>-1.251406856807936</v>
      </c>
      <c r="S20" s="361" t="s">
        <v>424</v>
      </c>
      <c r="T20" s="365">
        <f>E20+L20+N20+P20</f>
        <v>24.12934348000001</v>
      </c>
      <c r="U20" s="365">
        <f>F20+M20+O20+Q20</f>
        <v>21.756766123192072</v>
      </c>
      <c r="V20" s="365">
        <f>U20-T20</f>
        <v>-2.3725773568079376</v>
      </c>
      <c r="W20" s="364">
        <f>V20/T20</f>
        <v>-9.8327472472447747E-2</v>
      </c>
    </row>
    <row r="21" spans="3:23" ht="15" customHeight="1" x14ac:dyDescent="0.25">
      <c r="C21" s="529"/>
      <c r="D21" s="361" t="s">
        <v>281</v>
      </c>
      <c r="E21" s="365">
        <f>отчет_еженедельный!J24</f>
        <v>3.0736349999999999</v>
      </c>
      <c r="F21" s="365">
        <f>отчет_еженедельный!K24</f>
        <v>2.7329979999999998</v>
      </c>
      <c r="G21" s="363">
        <f t="shared" ref="G21:G32" si="6">F21-E21</f>
        <v>-0.34063700000000008</v>
      </c>
      <c r="H21" s="364">
        <f t="shared" ref="H21:H32" si="7">G21/E21</f>
        <v>-0.11082545585276068</v>
      </c>
      <c r="J21" s="529"/>
      <c r="K21" s="361" t="s">
        <v>281</v>
      </c>
      <c r="L21" s="365">
        <v>5.0729980000000001</v>
      </c>
      <c r="M21" s="365">
        <v>4.9342740000000003</v>
      </c>
      <c r="N21" s="363">
        <v>6.1589530000000003</v>
      </c>
      <c r="O21" s="363">
        <v>5.022081</v>
      </c>
      <c r="P21" s="363">
        <v>6.4222619999999999</v>
      </c>
      <c r="Q21" s="363">
        <v>4.9423110000000001</v>
      </c>
      <c r="R21" s="385">
        <f t="shared" si="5"/>
        <v>-1.2755960000000002</v>
      </c>
      <c r="S21" s="361" t="s">
        <v>281</v>
      </c>
      <c r="T21" s="365">
        <f t="shared" ref="T21:U32" si="8">E21+L21+N21+P21</f>
        <v>20.727848000000002</v>
      </c>
      <c r="U21" s="365">
        <f t="shared" si="8"/>
        <v>17.631664000000001</v>
      </c>
      <c r="V21" s="365">
        <f t="shared" ref="V21:V32" si="9">U21-T21</f>
        <v>-3.0961840000000009</v>
      </c>
      <c r="W21" s="364">
        <f t="shared" ref="W21:W32" si="10">V21/T21</f>
        <v>-0.14937315248548719</v>
      </c>
    </row>
    <row r="22" spans="3:23" ht="15" customHeight="1" x14ac:dyDescent="0.25">
      <c r="C22" s="529"/>
      <c r="D22" s="361" t="s">
        <v>425</v>
      </c>
      <c r="E22" s="365">
        <f>отчет_еженедельный!J29</f>
        <v>2.8766159999999998</v>
      </c>
      <c r="F22" s="365">
        <f>отчет_еженедельный!K29</f>
        <v>3.308808794257065</v>
      </c>
      <c r="G22" s="363">
        <f t="shared" si="6"/>
        <v>0.43219279425706514</v>
      </c>
      <c r="H22" s="364">
        <f t="shared" si="7"/>
        <v>0.15024347853765158</v>
      </c>
      <c r="J22" s="529"/>
      <c r="K22" s="361" t="s">
        <v>425</v>
      </c>
      <c r="L22" s="365">
        <v>4.0858610000000004</v>
      </c>
      <c r="M22" s="365">
        <v>2.5395121026103937</v>
      </c>
      <c r="N22" s="363">
        <v>4.0858610000000004</v>
      </c>
      <c r="O22" s="363">
        <v>3.0661717108804805</v>
      </c>
      <c r="P22" s="363">
        <v>3.6848610000000002</v>
      </c>
      <c r="Q22" s="363">
        <v>2.722836</v>
      </c>
      <c r="R22" s="385">
        <f t="shared" si="5"/>
        <v>-2.5660381865091271</v>
      </c>
      <c r="S22" s="361" t="s">
        <v>425</v>
      </c>
      <c r="T22" s="365">
        <f t="shared" si="8"/>
        <v>14.733199000000001</v>
      </c>
      <c r="U22" s="365">
        <f t="shared" si="8"/>
        <v>11.637328607747939</v>
      </c>
      <c r="V22" s="365">
        <f t="shared" si="9"/>
        <v>-3.0958703922520616</v>
      </c>
      <c r="W22" s="364">
        <f t="shared" si="10"/>
        <v>-0.21012886558119939</v>
      </c>
    </row>
    <row r="23" spans="3:23" x14ac:dyDescent="0.25">
      <c r="C23" s="529"/>
      <c r="D23" s="361" t="s">
        <v>426</v>
      </c>
      <c r="E23" s="365">
        <f>отчет_еженедельный!J30</f>
        <v>4.7745129999999998</v>
      </c>
      <c r="F23" s="365">
        <f>отчет_еженедельный!K30</f>
        <v>4.5646590000000105</v>
      </c>
      <c r="G23" s="363">
        <f t="shared" si="6"/>
        <v>-0.20985399999998933</v>
      </c>
      <c r="H23" s="364">
        <f t="shared" si="7"/>
        <v>-4.3952964417520557E-2</v>
      </c>
      <c r="J23" s="529"/>
      <c r="K23" s="361" t="s">
        <v>426</v>
      </c>
      <c r="L23" s="365">
        <v>4.286003</v>
      </c>
      <c r="M23" s="365">
        <v>3.6265040000000002</v>
      </c>
      <c r="N23" s="363">
        <v>4.0513950000000003</v>
      </c>
      <c r="O23" s="363">
        <v>3.339943978647999</v>
      </c>
      <c r="P23" s="363">
        <v>3.8228529999999998</v>
      </c>
      <c r="Q23" s="363">
        <v>2.3986489999999998</v>
      </c>
      <c r="R23" s="385">
        <f t="shared" si="5"/>
        <v>-1.3709500213520016</v>
      </c>
      <c r="S23" s="361" t="s">
        <v>426</v>
      </c>
      <c r="T23" s="365">
        <f t="shared" si="8"/>
        <v>16.934763999999998</v>
      </c>
      <c r="U23" s="365">
        <f t="shared" si="8"/>
        <v>13.929755978648007</v>
      </c>
      <c r="V23" s="365">
        <f t="shared" si="9"/>
        <v>-3.0050080213519905</v>
      </c>
      <c r="W23" s="364">
        <f t="shared" si="10"/>
        <v>-0.17744611152254564</v>
      </c>
    </row>
    <row r="24" spans="3:23" x14ac:dyDescent="0.25">
      <c r="C24" s="529"/>
      <c r="D24" s="424" t="s">
        <v>350</v>
      </c>
      <c r="E24" s="425">
        <f>отчет_еженедельный!J36</f>
        <v>3.7217E-2</v>
      </c>
      <c r="F24" s="425">
        <f>отчет_еженедельный!K36</f>
        <v>3.2998E-2</v>
      </c>
      <c r="G24" s="426">
        <f t="shared" ref="G24" si="11">F24-E24</f>
        <v>-4.2190000000000005E-3</v>
      </c>
      <c r="H24" s="427">
        <f>G24/E24</f>
        <v>-0.11336217320041918</v>
      </c>
      <c r="J24" s="529"/>
      <c r="K24" s="361" t="s">
        <v>350</v>
      </c>
      <c r="L24" s="365">
        <v>0.18857699999999999</v>
      </c>
      <c r="M24" s="365">
        <v>0.16736200000000001</v>
      </c>
      <c r="N24" s="363">
        <v>0.175396</v>
      </c>
      <c r="O24" s="363">
        <v>0.163601</v>
      </c>
      <c r="P24" s="363">
        <v>0.156861</v>
      </c>
      <c r="Q24" s="363">
        <v>0.14197499999999999</v>
      </c>
      <c r="R24" s="385">
        <f t="shared" si="5"/>
        <v>-3.3009999999999984E-2</v>
      </c>
      <c r="S24" s="361" t="s">
        <v>350</v>
      </c>
      <c r="T24" s="365">
        <f t="shared" si="8"/>
        <v>0.55805099999999996</v>
      </c>
      <c r="U24" s="365">
        <f t="shared" si="8"/>
        <v>0.50593599999999994</v>
      </c>
      <c r="V24" s="365">
        <f t="shared" si="9"/>
        <v>-5.2115000000000022E-2</v>
      </c>
      <c r="W24" s="364">
        <f t="shared" si="10"/>
        <v>-9.3387521928999365E-2</v>
      </c>
    </row>
    <row r="25" spans="3:23" x14ac:dyDescent="0.25">
      <c r="C25" s="529"/>
      <c r="D25" s="424" t="s">
        <v>339</v>
      </c>
      <c r="E25" s="425">
        <f>отчет_еженедельный!J34</f>
        <v>0.36701800000000001</v>
      </c>
      <c r="F25" s="425">
        <f>отчет_еженедельный!K34</f>
        <v>0.35844500000000001</v>
      </c>
      <c r="G25" s="426">
        <f t="shared" si="6"/>
        <v>-8.5729999999999973E-3</v>
      </c>
      <c r="H25" s="427">
        <f t="shared" si="7"/>
        <v>-2.3358527374679163E-2</v>
      </c>
      <c r="J25" s="529"/>
      <c r="K25" s="361" t="s">
        <v>339</v>
      </c>
      <c r="L25" s="365">
        <v>0.25462000000000001</v>
      </c>
      <c r="M25" s="365">
        <v>0.160436</v>
      </c>
      <c r="N25" s="363">
        <v>0.21712600000000001</v>
      </c>
      <c r="O25" s="363">
        <v>0.18107500000000001</v>
      </c>
      <c r="P25" s="363">
        <v>0.208728</v>
      </c>
      <c r="Q25" s="363">
        <v>0.284798</v>
      </c>
      <c r="R25" s="385">
        <f t="shared" si="5"/>
        <v>-0.13023499999999999</v>
      </c>
      <c r="S25" s="361" t="s">
        <v>339</v>
      </c>
      <c r="T25" s="365">
        <f t="shared" si="8"/>
        <v>1.0474920000000001</v>
      </c>
      <c r="U25" s="365">
        <f t="shared" si="8"/>
        <v>0.98475400000000002</v>
      </c>
      <c r="V25" s="365">
        <f t="shared" si="9"/>
        <v>-6.2738000000000071E-2</v>
      </c>
      <c r="W25" s="364">
        <f t="shared" si="10"/>
        <v>-5.9893536179751315E-2</v>
      </c>
    </row>
    <row r="26" spans="3:23" x14ac:dyDescent="0.25">
      <c r="C26" s="529"/>
      <c r="D26" s="424" t="s">
        <v>427</v>
      </c>
      <c r="E26" s="425">
        <f>отчет_еженедельный!J37</f>
        <v>0.12670999999999999</v>
      </c>
      <c r="F26" s="425">
        <f>отчет_еженедельный!K37</f>
        <v>0.118062</v>
      </c>
      <c r="G26" s="426">
        <f t="shared" si="6"/>
        <v>-8.647999999999989E-3</v>
      </c>
      <c r="H26" s="427">
        <f t="shared" si="7"/>
        <v>-6.8250335411569649E-2</v>
      </c>
      <c r="J26" s="529"/>
      <c r="K26" s="361" t="s">
        <v>427</v>
      </c>
      <c r="L26" s="365">
        <v>0.129969</v>
      </c>
      <c r="M26" s="365">
        <v>7.8491000000000005E-2</v>
      </c>
      <c r="N26" s="363">
        <v>0.1114</v>
      </c>
      <c r="O26" s="363">
        <v>6.4599000000000004E-2</v>
      </c>
      <c r="P26" s="363">
        <v>0.125227</v>
      </c>
      <c r="Q26" s="363">
        <v>7.9395999999999994E-2</v>
      </c>
      <c r="R26" s="385">
        <f t="shared" si="5"/>
        <v>-9.8279000000000005E-2</v>
      </c>
      <c r="S26" s="361" t="s">
        <v>427</v>
      </c>
      <c r="T26" s="365">
        <f t="shared" si="8"/>
        <v>0.49330600000000002</v>
      </c>
      <c r="U26" s="365">
        <f t="shared" si="8"/>
        <v>0.34054799999999996</v>
      </c>
      <c r="V26" s="365">
        <f t="shared" si="9"/>
        <v>-0.15275800000000006</v>
      </c>
      <c r="W26" s="364">
        <f t="shared" si="10"/>
        <v>-0.30966175152947673</v>
      </c>
    </row>
    <row r="27" spans="3:23" ht="15" customHeight="1" x14ac:dyDescent="0.25">
      <c r="C27" s="529"/>
      <c r="D27" s="424" t="s">
        <v>384</v>
      </c>
      <c r="E27" s="425">
        <f>отчет_еженедельный!J45</f>
        <v>0.15960099999999999</v>
      </c>
      <c r="F27" s="425">
        <f>отчет_еженедельный!K45</f>
        <v>0.16695699999999999</v>
      </c>
      <c r="G27" s="426">
        <f t="shared" si="6"/>
        <v>7.3560000000000014E-3</v>
      </c>
      <c r="H27" s="427">
        <f t="shared" si="7"/>
        <v>4.6089936779844749E-2</v>
      </c>
      <c r="J27" s="529"/>
      <c r="K27" s="361" t="s">
        <v>384</v>
      </c>
      <c r="L27" s="365">
        <v>0.113928</v>
      </c>
      <c r="M27" s="365">
        <v>6.105E-2</v>
      </c>
      <c r="N27" s="363">
        <v>7.5475E-2</v>
      </c>
      <c r="O27" s="363">
        <v>4.7775999999999999E-2</v>
      </c>
      <c r="P27" s="363">
        <v>3.7990000000000003E-2</v>
      </c>
      <c r="Q27" s="363">
        <v>2.8462999999999999E-2</v>
      </c>
      <c r="R27" s="385">
        <f t="shared" si="5"/>
        <v>-8.0576999999999982E-2</v>
      </c>
      <c r="S27" s="361" t="s">
        <v>384</v>
      </c>
      <c r="T27" s="365">
        <f t="shared" si="8"/>
        <v>0.38699400000000006</v>
      </c>
      <c r="U27" s="365">
        <f t="shared" si="8"/>
        <v>0.30424600000000002</v>
      </c>
      <c r="V27" s="365">
        <f t="shared" si="9"/>
        <v>-8.2748000000000044E-2</v>
      </c>
      <c r="W27" s="364">
        <f t="shared" si="10"/>
        <v>-0.21382243652356375</v>
      </c>
    </row>
    <row r="28" spans="3:23" ht="15" customHeight="1" x14ac:dyDescent="0.25">
      <c r="C28" s="529" t="s">
        <v>428</v>
      </c>
      <c r="D28" s="424" t="s">
        <v>305</v>
      </c>
      <c r="E28" s="425">
        <f>отчет_еженедельный!J74</f>
        <v>5.1289269999999947</v>
      </c>
      <c r="F28" s="425">
        <f>отчет_еженедельный!K74</f>
        <v>4.8942389999999998</v>
      </c>
      <c r="G28" s="426">
        <f t="shared" si="6"/>
        <v>-0.2346879999999949</v>
      </c>
      <c r="H28" s="427">
        <f t="shared" si="7"/>
        <v>-4.5757718914696023E-2</v>
      </c>
      <c r="J28" s="529" t="s">
        <v>428</v>
      </c>
      <c r="K28" s="361" t="s">
        <v>305</v>
      </c>
      <c r="L28" s="365">
        <v>4.4147830799999976</v>
      </c>
      <c r="M28" s="365">
        <v>3.1855419999999999</v>
      </c>
      <c r="N28" s="363">
        <v>4.0177013999999982</v>
      </c>
      <c r="O28" s="363">
        <v>3.0593409999999972</v>
      </c>
      <c r="P28" s="363">
        <v>4.0890894000000007</v>
      </c>
      <c r="Q28" s="363">
        <v>3.47059177</v>
      </c>
      <c r="R28" s="385">
        <f t="shared" si="5"/>
        <v>-2.1876014799999988</v>
      </c>
      <c r="S28" s="361" t="s">
        <v>305</v>
      </c>
      <c r="T28" s="365">
        <f t="shared" si="8"/>
        <v>17.650500879999992</v>
      </c>
      <c r="U28" s="365">
        <f t="shared" si="8"/>
        <v>14.609713769999997</v>
      </c>
      <c r="V28" s="365">
        <f t="shared" si="9"/>
        <v>-3.0407871099999948</v>
      </c>
      <c r="W28" s="364">
        <f t="shared" si="10"/>
        <v>-0.17227766683072146</v>
      </c>
    </row>
    <row r="29" spans="3:23" ht="15" customHeight="1" x14ac:dyDescent="0.25">
      <c r="C29" s="529"/>
      <c r="D29" s="424" t="s">
        <v>311</v>
      </c>
      <c r="E29" s="425">
        <f>отчет_еженедельный!J78</f>
        <v>0.18070800000000001</v>
      </c>
      <c r="F29" s="425">
        <f>отчет_еженедельный!K78</f>
        <v>0.138685</v>
      </c>
      <c r="G29" s="426">
        <f t="shared" si="6"/>
        <v>-4.2023000000000005E-2</v>
      </c>
      <c r="H29" s="427">
        <f t="shared" si="7"/>
        <v>-0.23254642849237445</v>
      </c>
      <c r="J29" s="529"/>
      <c r="K29" s="361" t="s">
        <v>311</v>
      </c>
      <c r="L29" s="365">
        <v>0.16989299999999999</v>
      </c>
      <c r="M29" s="365">
        <v>6.8742999999999999E-2</v>
      </c>
      <c r="N29" s="363">
        <v>0.162162</v>
      </c>
      <c r="O29" s="363">
        <v>6.8982000000000002E-2</v>
      </c>
      <c r="P29" s="363">
        <v>0.18856999999999999</v>
      </c>
      <c r="Q29" s="363">
        <v>0.12717500000000001</v>
      </c>
      <c r="R29" s="385">
        <f t="shared" si="5"/>
        <v>-0.19433</v>
      </c>
      <c r="S29" s="361" t="s">
        <v>311</v>
      </c>
      <c r="T29" s="365">
        <f t="shared" si="8"/>
        <v>0.70133299999999998</v>
      </c>
      <c r="U29" s="365">
        <f t="shared" si="8"/>
        <v>0.40358499999999997</v>
      </c>
      <c r="V29" s="365">
        <f t="shared" si="9"/>
        <v>-0.29774800000000001</v>
      </c>
      <c r="W29" s="364">
        <f t="shared" si="10"/>
        <v>-0.42454582915676292</v>
      </c>
    </row>
    <row r="30" spans="3:23" ht="15" customHeight="1" x14ac:dyDescent="0.25">
      <c r="C30" s="529"/>
      <c r="D30" s="424" t="s">
        <v>313</v>
      </c>
      <c r="E30" s="425">
        <f>отчет_еженедельный!J79</f>
        <v>0.33077800000000002</v>
      </c>
      <c r="F30" s="425">
        <f>отчет_еженедельный!K79</f>
        <v>0.31384800000000002</v>
      </c>
      <c r="G30" s="426">
        <f t="shared" si="6"/>
        <v>-1.6930000000000001E-2</v>
      </c>
      <c r="H30" s="427">
        <f t="shared" si="7"/>
        <v>-5.1182364002442728E-2</v>
      </c>
      <c r="J30" s="529"/>
      <c r="K30" s="361" t="s">
        <v>313</v>
      </c>
      <c r="L30" s="365">
        <v>0.23915440000000235</v>
      </c>
      <c r="M30" s="365">
        <v>8.0935999999999994E-2</v>
      </c>
      <c r="N30" s="363">
        <v>0.177676</v>
      </c>
      <c r="O30" s="363">
        <v>0.12425600000000001</v>
      </c>
      <c r="P30" s="363">
        <v>0.34996100000000002</v>
      </c>
      <c r="Q30" s="363">
        <v>0.27646918999999998</v>
      </c>
      <c r="R30" s="385">
        <f t="shared" si="5"/>
        <v>-0.21163840000000239</v>
      </c>
      <c r="S30" s="361" t="s">
        <v>313</v>
      </c>
      <c r="T30" s="365">
        <f t="shared" si="8"/>
        <v>1.0975694000000022</v>
      </c>
      <c r="U30" s="365">
        <f t="shared" si="8"/>
        <v>0.79550918999999998</v>
      </c>
      <c r="V30" s="365">
        <f t="shared" si="9"/>
        <v>-0.30206021000000227</v>
      </c>
      <c r="W30" s="364">
        <f t="shared" si="10"/>
        <v>-0.27520830117895201</v>
      </c>
    </row>
    <row r="31" spans="3:23" x14ac:dyDescent="0.25">
      <c r="C31" s="529"/>
      <c r="D31" s="424" t="s">
        <v>429</v>
      </c>
      <c r="E31" s="425">
        <f>отчет_еженедельный!J82</f>
        <v>0.60622399999999999</v>
      </c>
      <c r="F31" s="425">
        <f>отчет_еженедельный!K82</f>
        <v>0.57745999999999997</v>
      </c>
      <c r="G31" s="426">
        <f t="shared" si="6"/>
        <v>-2.8764000000000012E-2</v>
      </c>
      <c r="H31" s="427">
        <f t="shared" si="7"/>
        <v>-4.7447808070944092E-2</v>
      </c>
      <c r="J31" s="529"/>
      <c r="K31" s="361" t="s">
        <v>429</v>
      </c>
      <c r="L31" s="365">
        <v>0.56104900000000002</v>
      </c>
      <c r="M31" s="365">
        <v>0.20113500000000001</v>
      </c>
      <c r="N31" s="363">
        <v>0.622394</v>
      </c>
      <c r="O31" s="363">
        <v>0.27232400000000001</v>
      </c>
      <c r="P31" s="363">
        <v>0.67111699999999996</v>
      </c>
      <c r="Q31" s="363">
        <v>0.48147600000000002</v>
      </c>
      <c r="R31" s="385">
        <f t="shared" si="5"/>
        <v>-0.70998399999999995</v>
      </c>
      <c r="S31" s="361" t="s">
        <v>429</v>
      </c>
      <c r="T31" s="365">
        <f t="shared" si="8"/>
        <v>2.4607840000000003</v>
      </c>
      <c r="U31" s="365">
        <f t="shared" si="8"/>
        <v>1.532395</v>
      </c>
      <c r="V31" s="365">
        <f t="shared" si="9"/>
        <v>-0.92838900000000035</v>
      </c>
      <c r="W31" s="364">
        <f t="shared" si="10"/>
        <v>-0.37727366562851522</v>
      </c>
    </row>
    <row r="32" spans="3:23" x14ac:dyDescent="0.25">
      <c r="C32" s="529"/>
      <c r="D32" s="424" t="s">
        <v>358</v>
      </c>
      <c r="E32" s="425">
        <f>отчет_еженедельный!J84</f>
        <v>0.38939800000000002</v>
      </c>
      <c r="F32" s="425">
        <f>отчет_еженедельный!K84</f>
        <v>0.36987100000000001</v>
      </c>
      <c r="G32" s="426">
        <f t="shared" si="6"/>
        <v>-1.9527000000000017E-2</v>
      </c>
      <c r="H32" s="427">
        <f t="shared" si="7"/>
        <v>-5.0146636603166976E-2</v>
      </c>
      <c r="J32" s="529"/>
      <c r="K32" s="361" t="s">
        <v>358</v>
      </c>
      <c r="L32" s="365">
        <v>0.27338279999999998</v>
      </c>
      <c r="M32" s="365">
        <v>0.16847999999999999</v>
      </c>
      <c r="N32" s="363">
        <v>0.28186139999999865</v>
      </c>
      <c r="O32" s="363">
        <v>0.19200900000000001</v>
      </c>
      <c r="P32" s="363">
        <v>0.32567940000000034</v>
      </c>
      <c r="Q32" s="363">
        <v>0.31082500000000002</v>
      </c>
      <c r="R32" s="385">
        <f t="shared" si="5"/>
        <v>-0.19475519999999863</v>
      </c>
      <c r="S32" s="361" t="s">
        <v>358</v>
      </c>
      <c r="T32" s="365">
        <f t="shared" si="8"/>
        <v>1.2703215999999988</v>
      </c>
      <c r="U32" s="365">
        <f t="shared" si="8"/>
        <v>1.041185</v>
      </c>
      <c r="V32" s="365">
        <f t="shared" si="9"/>
        <v>-0.2291365999999988</v>
      </c>
      <c r="W32" s="364">
        <f t="shared" si="10"/>
        <v>-0.1803768431553073</v>
      </c>
    </row>
    <row r="36" spans="3:10" x14ac:dyDescent="0.25">
      <c r="C36" t="s">
        <v>430</v>
      </c>
    </row>
    <row r="37" spans="3:10" x14ac:dyDescent="0.25">
      <c r="D37" t="s">
        <v>183</v>
      </c>
      <c r="F37">
        <v>4050097.3229500009</v>
      </c>
    </row>
    <row r="38" spans="3:10" x14ac:dyDescent="0.25">
      <c r="C38" t="s">
        <v>431</v>
      </c>
      <c r="F38">
        <v>6061403.5185000002</v>
      </c>
    </row>
    <row r="39" spans="3:10" x14ac:dyDescent="0.25">
      <c r="D39" t="s">
        <v>183</v>
      </c>
      <c r="E39" t="s">
        <v>432</v>
      </c>
      <c r="F39">
        <v>4152376.9719628338</v>
      </c>
    </row>
    <row r="40" spans="3:10" x14ac:dyDescent="0.25">
      <c r="C40" t="s">
        <v>434</v>
      </c>
      <c r="E40" t="s">
        <v>433</v>
      </c>
      <c r="F40">
        <v>6390396.113463684</v>
      </c>
    </row>
    <row r="41" spans="3:10" x14ac:dyDescent="0.25">
      <c r="D41" t="s">
        <v>183</v>
      </c>
      <c r="F41">
        <v>4228910.6961021665</v>
      </c>
    </row>
    <row r="42" spans="3:10" x14ac:dyDescent="0.25">
      <c r="C42" t="s">
        <v>435</v>
      </c>
      <c r="F42">
        <v>6391258.3538383348</v>
      </c>
    </row>
    <row r="43" spans="3:10" x14ac:dyDescent="0.25">
      <c r="D43" t="s">
        <v>183</v>
      </c>
      <c r="E43" t="s">
        <v>432</v>
      </c>
      <c r="F43">
        <v>4165512.9537432706</v>
      </c>
    </row>
    <row r="44" spans="3:10" x14ac:dyDescent="0.25">
      <c r="C44" t="s">
        <v>436</v>
      </c>
      <c r="E44" t="s">
        <v>433</v>
      </c>
      <c r="F44">
        <v>6289285.6552747898</v>
      </c>
    </row>
    <row r="45" spans="3:10" x14ac:dyDescent="0.25">
      <c r="D45" t="s">
        <v>183</v>
      </c>
      <c r="E45" t="s">
        <v>432</v>
      </c>
      <c r="F45">
        <v>-63397.74235889595</v>
      </c>
    </row>
    <row r="46" spans="3:10" x14ac:dyDescent="0.25">
      <c r="E46" t="s">
        <v>433</v>
      </c>
      <c r="F46">
        <v>-101972.69856354501</v>
      </c>
    </row>
    <row r="47" spans="3:10" ht="30.75" customHeight="1" x14ac:dyDescent="0.25">
      <c r="C47" s="360" t="s">
        <v>430</v>
      </c>
    </row>
    <row r="48" spans="3:10" x14ac:dyDescent="0.25">
      <c r="C48" s="351" t="s">
        <v>439</v>
      </c>
      <c r="D48" s="360"/>
      <c r="E48" s="529" t="s">
        <v>431</v>
      </c>
      <c r="F48" s="529"/>
      <c r="G48" s="529" t="s">
        <v>437</v>
      </c>
      <c r="H48" s="529"/>
      <c r="I48" s="529" t="s">
        <v>438</v>
      </c>
      <c r="J48" s="529"/>
    </row>
    <row r="49" spans="3:10" ht="30" x14ac:dyDescent="0.25">
      <c r="C49" s="352">
        <v>4050.0973229500009</v>
      </c>
      <c r="D49" s="351" t="s">
        <v>440</v>
      </c>
      <c r="E49" s="351" t="s">
        <v>439</v>
      </c>
      <c r="F49" s="351" t="s">
        <v>440</v>
      </c>
      <c r="G49" s="351" t="s">
        <v>439</v>
      </c>
      <c r="H49" s="351" t="s">
        <v>440</v>
      </c>
      <c r="I49" s="351" t="s">
        <v>439</v>
      </c>
      <c r="J49" s="351" t="s">
        <v>440</v>
      </c>
    </row>
    <row r="50" spans="3:10" x14ac:dyDescent="0.25">
      <c r="D50" s="352">
        <v>6061.4035185000002</v>
      </c>
      <c r="E50" s="352">
        <v>4152.3769719628335</v>
      </c>
      <c r="F50" s="352">
        <v>6390.3961134636838</v>
      </c>
      <c r="G50" s="352">
        <v>4165.5129537432704</v>
      </c>
      <c r="H50" s="352">
        <v>6289.2856552747899</v>
      </c>
      <c r="I50" s="353">
        <f>G50-E50</f>
        <v>13.13598178043685</v>
      </c>
      <c r="J50" s="353">
        <f>H50-F50</f>
        <v>-101.11045818889397</v>
      </c>
    </row>
    <row r="53" spans="3:10" x14ac:dyDescent="0.25">
      <c r="J53">
        <v>1000</v>
      </c>
    </row>
  </sheetData>
  <mergeCells count="19">
    <mergeCell ref="Q6:Q7"/>
    <mergeCell ref="R6:R7"/>
    <mergeCell ref="C18:C19"/>
    <mergeCell ref="J28:J32"/>
    <mergeCell ref="C28:C32"/>
    <mergeCell ref="C20:C27"/>
    <mergeCell ref="F6:F7"/>
    <mergeCell ref="E6:E7"/>
    <mergeCell ref="D18:D19"/>
    <mergeCell ref="O6:O7"/>
    <mergeCell ref="P6:P7"/>
    <mergeCell ref="E48:F48"/>
    <mergeCell ref="E18:E19"/>
    <mergeCell ref="F18:F19"/>
    <mergeCell ref="N6:N7"/>
    <mergeCell ref="M6:M7"/>
    <mergeCell ref="J20:J27"/>
    <mergeCell ref="G48:H48"/>
    <mergeCell ref="I48:J48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11"/>
  <sheetViews>
    <sheetView workbookViewId="0">
      <selection activeCell="E10" sqref="E10"/>
    </sheetView>
  </sheetViews>
  <sheetFormatPr defaultRowHeight="15" x14ac:dyDescent="0.25"/>
  <cols>
    <col min="2" max="3" width="10" bestFit="1" customWidth="1"/>
    <col min="5" max="6" width="10" bestFit="1" customWidth="1"/>
  </cols>
  <sheetData>
    <row r="1" spans="1:9" x14ac:dyDescent="0.25">
      <c r="A1" s="372" t="s">
        <v>448</v>
      </c>
      <c r="B1" s="372"/>
      <c r="C1" s="372"/>
      <c r="D1" s="372"/>
      <c r="E1" s="372" t="s">
        <v>449</v>
      </c>
      <c r="F1" s="372"/>
      <c r="H1" s="372" t="s">
        <v>450</v>
      </c>
    </row>
    <row r="2" spans="1:9" x14ac:dyDescent="0.25">
      <c r="A2" s="372"/>
      <c r="B2" s="372">
        <v>2019</v>
      </c>
      <c r="C2" s="372">
        <v>2020</v>
      </c>
      <c r="D2" s="372"/>
      <c r="E2" s="372">
        <v>2019</v>
      </c>
      <c r="F2" s="372">
        <v>2020</v>
      </c>
      <c r="H2" s="372">
        <v>2019</v>
      </c>
      <c r="I2" s="372">
        <v>2020</v>
      </c>
    </row>
    <row r="3" spans="1:9" x14ac:dyDescent="0.25">
      <c r="A3" s="372" t="s">
        <v>209</v>
      </c>
      <c r="B3" s="383">
        <v>366720.80099999998</v>
      </c>
      <c r="C3" s="383">
        <v>350836.26399999997</v>
      </c>
      <c r="D3" s="383"/>
      <c r="E3" s="383">
        <v>330097.25800000003</v>
      </c>
      <c r="F3" s="383">
        <v>317137.27724999998</v>
      </c>
      <c r="H3" s="383">
        <f>B3-E3</f>
        <v>36623.542999999947</v>
      </c>
      <c r="I3" s="383">
        <f>C3-F3</f>
        <v>33698.986749999982</v>
      </c>
    </row>
    <row r="4" spans="1:9" x14ac:dyDescent="0.25">
      <c r="A4" s="372" t="s">
        <v>236</v>
      </c>
      <c r="B4" s="383">
        <v>343030.69100000005</v>
      </c>
      <c r="C4" s="384">
        <v>331235.103</v>
      </c>
      <c r="D4" s="383"/>
      <c r="E4" s="383">
        <v>312637.45299999998</v>
      </c>
      <c r="F4" s="384">
        <v>304899.76799999998</v>
      </c>
      <c r="H4" s="383">
        <f>B4-E4</f>
        <v>30393.23800000007</v>
      </c>
      <c r="I4" s="384">
        <f>C4-F4</f>
        <v>26335.335000000021</v>
      </c>
    </row>
    <row r="5" spans="1:9" x14ac:dyDescent="0.25">
      <c r="A5" s="372" t="s">
        <v>237</v>
      </c>
      <c r="B5" s="383">
        <v>303347.98599999998</v>
      </c>
      <c r="C5" s="383">
        <v>303733.712</v>
      </c>
      <c r="D5" s="383"/>
      <c r="E5" s="383">
        <v>285611.65288558829</v>
      </c>
      <c r="F5" s="383">
        <v>286378.80124999996</v>
      </c>
      <c r="H5" s="383">
        <f>B5-E5</f>
        <v>17736.333114411682</v>
      </c>
      <c r="I5" s="384">
        <f t="shared" ref="I5:I7" si="0">C5-F5</f>
        <v>17354.910750000039</v>
      </c>
    </row>
    <row r="6" spans="1:9" x14ac:dyDescent="0.25">
      <c r="A6" s="372" t="s">
        <v>451</v>
      </c>
      <c r="B6" s="383">
        <v>307295.23499999999</v>
      </c>
      <c r="C6" s="383">
        <v>308953.71600000001</v>
      </c>
      <c r="D6" s="383"/>
      <c r="E6" s="383">
        <v>288060.17757</v>
      </c>
      <c r="F6" s="383">
        <v>290718.54235</v>
      </c>
      <c r="G6" s="383"/>
      <c r="H6" s="383">
        <f t="shared" ref="H6:H11" si="1">B6-E6</f>
        <v>19235.057429999986</v>
      </c>
      <c r="I6" s="384">
        <f t="shared" si="0"/>
        <v>18235.173650000012</v>
      </c>
    </row>
    <row r="7" spans="1:9" x14ac:dyDescent="0.25">
      <c r="A7" s="372" t="s">
        <v>463</v>
      </c>
      <c r="B7" s="383">
        <v>307441.28799999994</v>
      </c>
      <c r="C7" s="383"/>
      <c r="D7" s="383"/>
      <c r="E7" s="383">
        <v>286381.38672000001</v>
      </c>
      <c r="F7" s="383"/>
      <c r="G7" s="383"/>
      <c r="H7" s="383">
        <f t="shared" si="1"/>
        <v>21059.901279999933</v>
      </c>
      <c r="I7" s="384">
        <f t="shared" si="0"/>
        <v>0</v>
      </c>
    </row>
    <row r="8" spans="1:9" x14ac:dyDescent="0.25">
      <c r="A8" s="372" t="s">
        <v>473</v>
      </c>
      <c r="B8" s="383">
        <v>325109.65399999992</v>
      </c>
      <c r="C8" s="383"/>
      <c r="D8" s="383"/>
      <c r="E8" s="383">
        <v>290697.39670000004</v>
      </c>
      <c r="H8" s="383">
        <f t="shared" si="1"/>
        <v>34412.257299999881</v>
      </c>
    </row>
    <row r="9" spans="1:9" x14ac:dyDescent="0.25">
      <c r="A9" s="372" t="s">
        <v>474</v>
      </c>
      <c r="B9" s="383">
        <v>386568.85200000001</v>
      </c>
      <c r="C9" s="383"/>
      <c r="D9" s="383"/>
      <c r="E9" s="383">
        <v>335404.27674</v>
      </c>
      <c r="H9" s="383">
        <f t="shared" si="1"/>
        <v>51164.575260000012</v>
      </c>
    </row>
    <row r="10" spans="1:9" x14ac:dyDescent="0.25">
      <c r="A10" s="372" t="s">
        <v>475</v>
      </c>
      <c r="B10" s="383">
        <v>428993.62599999999</v>
      </c>
      <c r="C10" s="383"/>
      <c r="D10" s="383"/>
      <c r="E10" s="383">
        <v>364236.77562999999</v>
      </c>
      <c r="H10" s="383">
        <f t="shared" si="1"/>
        <v>64756.85037</v>
      </c>
    </row>
    <row r="11" spans="1:9" x14ac:dyDescent="0.25">
      <c r="A11" s="372" t="s">
        <v>476</v>
      </c>
      <c r="B11" s="383">
        <v>475990.21599999996</v>
      </c>
      <c r="C11" s="383"/>
      <c r="D11" s="383"/>
      <c r="E11" s="383">
        <v>394842.88162999996</v>
      </c>
      <c r="H11" s="383">
        <f t="shared" si="1"/>
        <v>81147.334369999997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F8"/>
  <sheetViews>
    <sheetView workbookViewId="0">
      <selection activeCell="B8" sqref="B8"/>
    </sheetView>
  </sheetViews>
  <sheetFormatPr defaultRowHeight="15" x14ac:dyDescent="0.25"/>
  <cols>
    <col min="1" max="1" width="17" customWidth="1"/>
    <col min="2" max="2" width="15.85546875" customWidth="1"/>
    <col min="3" max="3" width="15.140625" customWidth="1"/>
    <col min="4" max="4" width="12.42578125" customWidth="1"/>
  </cols>
  <sheetData>
    <row r="1" spans="1:6" x14ac:dyDescent="0.25">
      <c r="F1">
        <v>1000000</v>
      </c>
    </row>
    <row r="2" spans="1:6" x14ac:dyDescent="0.25">
      <c r="B2" t="s">
        <v>456</v>
      </c>
      <c r="C2" t="s">
        <v>457</v>
      </c>
      <c r="D2" t="s">
        <v>458</v>
      </c>
      <c r="E2" t="s">
        <v>180</v>
      </c>
    </row>
    <row r="3" spans="1:6" x14ac:dyDescent="0.25">
      <c r="A3" t="s">
        <v>459</v>
      </c>
      <c r="B3" s="383">
        <v>186.17558215</v>
      </c>
      <c r="C3" s="383">
        <v>187.6649079</v>
      </c>
      <c r="D3" s="421">
        <f t="shared" ref="D3" si="0">B3-C3</f>
        <v>-1.4893257500000061</v>
      </c>
      <c r="E3" s="420">
        <f>D3/C3</f>
        <v>-7.9360908049661318E-3</v>
      </c>
    </row>
    <row r="4" spans="1:6" x14ac:dyDescent="0.25">
      <c r="A4" t="s">
        <v>461</v>
      </c>
      <c r="B4">
        <f>B3/19*24</f>
        <v>235.16915639999999</v>
      </c>
      <c r="C4">
        <f>C3/19*24</f>
        <v>237.05040997894739</v>
      </c>
      <c r="D4" s="421">
        <f t="shared" ref="D4" si="1">B4-C4</f>
        <v>-1.8812535789473941</v>
      </c>
      <c r="E4" s="420">
        <f>D4/C4</f>
        <v>-7.9360908049662081E-3</v>
      </c>
    </row>
    <row r="7" spans="1:6" x14ac:dyDescent="0.25">
      <c r="A7" t="s">
        <v>460</v>
      </c>
      <c r="B7">
        <v>256.61836376000002</v>
      </c>
      <c r="C7">
        <v>257.47800495000001</v>
      </c>
      <c r="D7" s="379">
        <f t="shared" ref="D7" si="2">B7-C7</f>
        <v>-0.85964118999999073</v>
      </c>
      <c r="E7" s="350">
        <f>D7/C7</f>
        <v>-3.3386975721165992E-3</v>
      </c>
    </row>
    <row r="8" spans="1:6" x14ac:dyDescent="0.25">
      <c r="A8" t="s">
        <v>464</v>
      </c>
      <c r="B8">
        <v>19.539605000000002</v>
      </c>
      <c r="C8">
        <v>19.522939000000001</v>
      </c>
      <c r="D8" s="379">
        <f t="shared" ref="D8" si="3">B8-C8</f>
        <v>1.6666000000000736E-2</v>
      </c>
      <c r="E8" s="350">
        <f>D8/C8</f>
        <v>8.5366245317883413E-4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пример заполнения (суточный)</vt:lpstr>
      <vt:lpstr>отчет_еженедельный</vt:lpstr>
      <vt:lpstr>пример заполнения (еженедельно)</vt:lpstr>
      <vt:lpstr>пример заполнения (месячный)</vt:lpstr>
      <vt:lpstr>для расчета</vt:lpstr>
      <vt:lpstr>потребители</vt:lpstr>
      <vt:lpstr>нарастающий</vt:lpstr>
      <vt:lpstr>по</vt:lpstr>
      <vt:lpstr>поступление 24.07.20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Пользователь Windows</cp:lastModifiedBy>
  <cp:lastPrinted>2020-04-06T11:03:14Z</cp:lastPrinted>
  <dcterms:created xsi:type="dcterms:W3CDTF">2020-04-04T12:22:48Z</dcterms:created>
  <dcterms:modified xsi:type="dcterms:W3CDTF">2021-02-01T08:29:40Z</dcterms:modified>
</cp:coreProperties>
</file>