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2\ПОТЕРИ\Потери 2021\СЕЛЕКТОР МРСК\"/>
    </mc:Choice>
  </mc:AlternateContent>
  <bookViews>
    <workbookView xWindow="0" yWindow="0" windowWidth="28800" windowHeight="12000" tabRatio="840" firstSheet="5" activeTab="8"/>
  </bookViews>
  <sheets>
    <sheet name="пример заполнения (суточный)" sheetId="3" state="hidden" r:id="rId1"/>
    <sheet name="7" sheetId="4" state="hidden" r:id="rId2"/>
    <sheet name="12" sheetId="8" state="hidden" r:id="rId3"/>
    <sheet name="19" sheetId="9" state="hidden" r:id="rId4"/>
    <sheet name="26" sheetId="10" state="hidden" r:id="rId5"/>
    <sheet name="10" sheetId="11" r:id="rId6"/>
    <sheet name="17" sheetId="17" r:id="rId7"/>
    <sheet name="24" sheetId="18" r:id="rId8"/>
    <sheet name="31" sheetId="19" r:id="rId9"/>
    <sheet name="9" sheetId="12" state="hidden" r:id="rId10"/>
    <sheet name="16" sheetId="13" state="hidden" r:id="rId11"/>
    <sheet name="23" sheetId="14" state="hidden" r:id="rId12"/>
    <sheet name="29" sheetId="15" state="hidden" r:id="rId13"/>
    <sheet name="30" sheetId="16" state="hidden" r:id="rId14"/>
    <sheet name="пример заполнения (еженедельно)" sheetId="5" state="hidden" r:id="rId15"/>
    <sheet name="отчет_месячный" sheetId="6" state="hidden" r:id="rId16"/>
    <sheet name="пример заполнения (месячный)" sheetId="7" state="hidden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5" hidden="1">'10'!$A$9:$E$68</definedName>
    <definedName name="_xlnm._FilterDatabase" localSheetId="2" hidden="1">'12'!$A$9:$E$68</definedName>
    <definedName name="_xlnm._FilterDatabase" localSheetId="10" hidden="1">'16'!$A$9:$E$68</definedName>
    <definedName name="_xlnm._FilterDatabase" localSheetId="6" hidden="1">'17'!$A$9:$E$68</definedName>
    <definedName name="_xlnm._FilterDatabase" localSheetId="3" hidden="1">'19'!$A$9:$E$68</definedName>
    <definedName name="_xlnm._FilterDatabase" localSheetId="11" hidden="1">'23'!$A$9:$E$68</definedName>
    <definedName name="_xlnm._FilterDatabase" localSheetId="7" hidden="1">'24'!$A$9:$E$68</definedName>
    <definedName name="_xlnm._FilterDatabase" localSheetId="4" hidden="1">'26'!$A$9:$E$68</definedName>
    <definedName name="_xlnm._FilterDatabase" localSheetId="12" hidden="1">'29'!$A$9:$E$68</definedName>
    <definedName name="_xlnm._FilterDatabase" localSheetId="13" hidden="1">'30'!$A$9:$E$68</definedName>
    <definedName name="_xlnm._FilterDatabase" localSheetId="8" hidden="1">'31'!$A$9:$E$68</definedName>
    <definedName name="_xlnm._FilterDatabase" localSheetId="1" hidden="1">'7'!$A$9:$E$68</definedName>
    <definedName name="_xlnm._FilterDatabase" localSheetId="9" hidden="1">'9'!$A$9:$E$68</definedName>
    <definedName name="_xlnm._FilterDatabase" localSheetId="15" hidden="1">отчет_месячный!$A$9:$U$55</definedName>
    <definedName name="_xlnm._FilterDatabase" localSheetId="14" hidden="1">'пример заполнения (еженедельно)'!$A$9:$E$55</definedName>
    <definedName name="_xlnm._FilterDatabase" localSheetId="16" hidden="1">'пример заполнения (месячный)'!$A$9:$U$55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9" l="1"/>
  <c r="K61" i="19"/>
  <c r="K28" i="19"/>
  <c r="K46" i="19"/>
  <c r="K64" i="18" l="1"/>
  <c r="K52" i="18"/>
  <c r="J64" i="19" l="1"/>
  <c r="J62" i="19"/>
  <c r="J61" i="19"/>
  <c r="J59" i="19"/>
  <c r="J54" i="19"/>
  <c r="J52" i="19"/>
  <c r="J51" i="19"/>
  <c r="J46" i="19"/>
  <c r="J28" i="19"/>
  <c r="J26" i="19"/>
  <c r="J25" i="19"/>
  <c r="J24" i="19"/>
  <c r="E93" i="19" l="1"/>
  <c r="K89" i="19"/>
  <c r="E86" i="19"/>
  <c r="G80" i="19"/>
  <c r="H79" i="19"/>
  <c r="J78" i="19"/>
  <c r="G78" i="19"/>
  <c r="F78" i="19"/>
  <c r="H78" i="19" s="1"/>
  <c r="H75" i="19"/>
  <c r="H76" i="19" s="1"/>
  <c r="G75" i="19"/>
  <c r="F75" i="19"/>
  <c r="N73" i="19"/>
  <c r="L73" i="19"/>
  <c r="N72" i="19"/>
  <c r="J72" i="19"/>
  <c r="J77" i="19" s="1"/>
  <c r="F72" i="19"/>
  <c r="H72" i="19" s="1"/>
  <c r="H73" i="19" s="1"/>
  <c r="N68" i="19"/>
  <c r="M68" i="19"/>
  <c r="N67" i="19"/>
  <c r="M67" i="19"/>
  <c r="N66" i="19"/>
  <c r="M66" i="19"/>
  <c r="N65" i="19"/>
  <c r="M65" i="19"/>
  <c r="N60" i="19"/>
  <c r="M60" i="19"/>
  <c r="N59" i="19"/>
  <c r="N58" i="19"/>
  <c r="M58" i="19"/>
  <c r="N57" i="19"/>
  <c r="M57" i="19"/>
  <c r="N56" i="19"/>
  <c r="M56" i="19"/>
  <c r="N53" i="19"/>
  <c r="M53" i="19"/>
  <c r="K51" i="19"/>
  <c r="N50" i="19"/>
  <c r="M50" i="19"/>
  <c r="N49" i="19"/>
  <c r="M49" i="19"/>
  <c r="N48" i="19"/>
  <c r="M48" i="19"/>
  <c r="K85" i="19"/>
  <c r="N45" i="19"/>
  <c r="M45" i="19"/>
  <c r="N44" i="19"/>
  <c r="M44" i="19"/>
  <c r="N43" i="19"/>
  <c r="M43" i="19"/>
  <c r="N42" i="19"/>
  <c r="M42" i="19"/>
  <c r="J41" i="19"/>
  <c r="N40" i="19"/>
  <c r="M40" i="19"/>
  <c r="N39" i="19"/>
  <c r="M39" i="19"/>
  <c r="N38" i="19"/>
  <c r="M38" i="19"/>
  <c r="N37" i="19"/>
  <c r="M37" i="19"/>
  <c r="N36" i="19"/>
  <c r="M36" i="19"/>
  <c r="K35" i="19"/>
  <c r="J35" i="19"/>
  <c r="N34" i="19"/>
  <c r="M34" i="19"/>
  <c r="N33" i="19"/>
  <c r="M33" i="19"/>
  <c r="N32" i="19"/>
  <c r="M32" i="19"/>
  <c r="N31" i="19"/>
  <c r="M31" i="19"/>
  <c r="N30" i="19"/>
  <c r="M30" i="19"/>
  <c r="M29" i="19"/>
  <c r="K29" i="19"/>
  <c r="J29" i="19"/>
  <c r="N27" i="19"/>
  <c r="M27" i="19"/>
  <c r="M25" i="19"/>
  <c r="N24" i="19"/>
  <c r="K24" i="19"/>
  <c r="M24" i="19" s="1"/>
  <c r="N23" i="19"/>
  <c r="M23" i="19"/>
  <c r="N22" i="19"/>
  <c r="M22" i="19"/>
  <c r="N21" i="19"/>
  <c r="M21" i="19"/>
  <c r="D21" i="19"/>
  <c r="D22" i="19" s="1"/>
  <c r="D23" i="19" s="1"/>
  <c r="C21" i="19"/>
  <c r="C22" i="19" s="1"/>
  <c r="C23" i="19" s="1"/>
  <c r="C24" i="19" s="1"/>
  <c r="B21" i="19"/>
  <c r="B22" i="19" s="1"/>
  <c r="B23" i="19" s="1"/>
  <c r="D20" i="19"/>
  <c r="C20" i="19"/>
  <c r="B20" i="19"/>
  <c r="I19" i="19"/>
  <c r="H19" i="19"/>
  <c r="C11" i="19"/>
  <c r="O10" i="19"/>
  <c r="G10" i="19"/>
  <c r="F10" i="19"/>
  <c r="P9" i="19"/>
  <c r="K9" i="19"/>
  <c r="L9" i="19" s="1"/>
  <c r="C9" i="19"/>
  <c r="D9" i="19" s="1"/>
  <c r="E9" i="19" s="1"/>
  <c r="F9" i="19" s="1"/>
  <c r="G9" i="19" s="1"/>
  <c r="B9" i="19"/>
  <c r="L4" i="19"/>
  <c r="F4" i="19"/>
  <c r="H4" i="19" s="1"/>
  <c r="Q3" i="19"/>
  <c r="L3" i="19"/>
  <c r="K1" i="19"/>
  <c r="J59" i="18"/>
  <c r="J61" i="18" s="1"/>
  <c r="J55" i="18" s="1"/>
  <c r="K87" i="18" s="1"/>
  <c r="J54" i="18"/>
  <c r="J52" i="18"/>
  <c r="J51" i="18"/>
  <c r="J46" i="18"/>
  <c r="J28" i="18"/>
  <c r="J26" i="18"/>
  <c r="K26" i="18" s="1"/>
  <c r="J25" i="18"/>
  <c r="J24" i="18"/>
  <c r="J62" i="18"/>
  <c r="J64" i="18"/>
  <c r="E86" i="18"/>
  <c r="E93" i="18" s="1"/>
  <c r="G80" i="18"/>
  <c r="J78" i="18"/>
  <c r="G78" i="18"/>
  <c r="F78" i="18"/>
  <c r="H78" i="18" s="1"/>
  <c r="H79" i="18" s="1"/>
  <c r="G75" i="18"/>
  <c r="H75" i="18" s="1"/>
  <c r="H76" i="18" s="1"/>
  <c r="F75" i="18"/>
  <c r="L73" i="18"/>
  <c r="N72" i="18"/>
  <c r="N73" i="18" s="1"/>
  <c r="L72" i="18"/>
  <c r="J72" i="18"/>
  <c r="J77" i="18" s="1"/>
  <c r="F72" i="18"/>
  <c r="H72" i="18" s="1"/>
  <c r="H73" i="18" s="1"/>
  <c r="N68" i="18"/>
  <c r="M68" i="18"/>
  <c r="N67" i="18"/>
  <c r="M67" i="18"/>
  <c r="N66" i="18"/>
  <c r="M66" i="18"/>
  <c r="N65" i="18"/>
  <c r="M65" i="18"/>
  <c r="K89" i="18"/>
  <c r="J63" i="18"/>
  <c r="K62" i="18"/>
  <c r="N62" i="18" s="1"/>
  <c r="K88" i="18"/>
  <c r="N60" i="18"/>
  <c r="M60" i="18"/>
  <c r="M59" i="18"/>
  <c r="N59" i="18"/>
  <c r="N58" i="18"/>
  <c r="M58" i="18"/>
  <c r="N57" i="18"/>
  <c r="M57" i="18"/>
  <c r="N56" i="18"/>
  <c r="M56" i="18"/>
  <c r="N53" i="18"/>
  <c r="M53" i="18"/>
  <c r="N50" i="18"/>
  <c r="M50" i="18"/>
  <c r="N49" i="18"/>
  <c r="M49" i="18"/>
  <c r="N48" i="18"/>
  <c r="M48" i="18"/>
  <c r="N45" i="18"/>
  <c r="M45" i="18"/>
  <c r="N44" i="18"/>
  <c r="M44" i="18"/>
  <c r="N43" i="18"/>
  <c r="M43" i="18"/>
  <c r="N42" i="18"/>
  <c r="M42" i="18"/>
  <c r="N40" i="18"/>
  <c r="M40" i="18"/>
  <c r="N39" i="18"/>
  <c r="M39" i="18"/>
  <c r="N38" i="18"/>
  <c r="M38" i="18"/>
  <c r="N37" i="18"/>
  <c r="M37" i="18"/>
  <c r="N36" i="18"/>
  <c r="M36" i="18"/>
  <c r="K35" i="18"/>
  <c r="J35" i="18"/>
  <c r="N34" i="18"/>
  <c r="M34" i="18"/>
  <c r="N33" i="18"/>
  <c r="M33" i="18"/>
  <c r="N32" i="18"/>
  <c r="M32" i="18"/>
  <c r="N31" i="18"/>
  <c r="M31" i="18"/>
  <c r="N30" i="18"/>
  <c r="M30" i="18"/>
  <c r="K29" i="18"/>
  <c r="J29" i="18"/>
  <c r="N27" i="18"/>
  <c r="M27" i="18"/>
  <c r="D27" i="18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3" i="18" s="1"/>
  <c r="D54" i="18" s="1"/>
  <c r="D55" i="18" s="1"/>
  <c r="D56" i="18" s="1"/>
  <c r="D57" i="18" s="1"/>
  <c r="D58" i="18" s="1"/>
  <c r="D60" i="18" s="1"/>
  <c r="D61" i="18" s="1"/>
  <c r="D62" i="18" s="1"/>
  <c r="D63" i="18" s="1"/>
  <c r="D64" i="18" s="1"/>
  <c r="D65" i="18" s="1"/>
  <c r="D66" i="18" s="1"/>
  <c r="D67" i="18" s="1"/>
  <c r="D68" i="18" s="1"/>
  <c r="N25" i="18"/>
  <c r="N23" i="18"/>
  <c r="M23" i="18"/>
  <c r="N22" i="18"/>
  <c r="M22" i="18"/>
  <c r="C22" i="18"/>
  <c r="C23" i="18" s="1"/>
  <c r="N21" i="18"/>
  <c r="M21" i="18"/>
  <c r="D21" i="18"/>
  <c r="D22" i="18" s="1"/>
  <c r="D23" i="18" s="1"/>
  <c r="D24" i="18" s="1"/>
  <c r="D20" i="18"/>
  <c r="C20" i="18"/>
  <c r="C21" i="18" s="1"/>
  <c r="B20" i="18"/>
  <c r="B21" i="18" s="1"/>
  <c r="B22" i="18" s="1"/>
  <c r="B23" i="18" s="1"/>
  <c r="Q19" i="18"/>
  <c r="H19" i="18"/>
  <c r="C11" i="18"/>
  <c r="O10" i="18"/>
  <c r="G10" i="18"/>
  <c r="F10" i="18"/>
  <c r="P9" i="18"/>
  <c r="L9" i="18"/>
  <c r="K9" i="18"/>
  <c r="B9" i="18"/>
  <c r="C9" i="18" s="1"/>
  <c r="D9" i="18" s="1"/>
  <c r="E9" i="18" s="1"/>
  <c r="F9" i="18" s="1"/>
  <c r="G9" i="18" s="1"/>
  <c r="L4" i="18"/>
  <c r="F4" i="18"/>
  <c r="Q3" i="18"/>
  <c r="L3" i="18"/>
  <c r="K1" i="18"/>
  <c r="H10" i="18" l="1"/>
  <c r="Q19" i="19"/>
  <c r="P10" i="19"/>
  <c r="R19" i="19"/>
  <c r="B24" i="19"/>
  <c r="B27" i="19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3" i="19" s="1"/>
  <c r="B54" i="19" s="1"/>
  <c r="B55" i="19" s="1"/>
  <c r="B56" i="19" s="1"/>
  <c r="B57" i="19" s="1"/>
  <c r="B58" i="19" s="1"/>
  <c r="B60" i="19" s="1"/>
  <c r="B61" i="19" s="1"/>
  <c r="B62" i="19" s="1"/>
  <c r="B63" i="19" s="1"/>
  <c r="B64" i="19" s="1"/>
  <c r="B65" i="19" s="1"/>
  <c r="B66" i="19" s="1"/>
  <c r="B67" i="19" s="1"/>
  <c r="B68" i="19" s="1"/>
  <c r="K26" i="19"/>
  <c r="M51" i="19"/>
  <c r="N51" i="19"/>
  <c r="D27" i="19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3" i="19" s="1"/>
  <c r="D54" i="19" s="1"/>
  <c r="D55" i="19" s="1"/>
  <c r="D56" i="19" s="1"/>
  <c r="D57" i="19" s="1"/>
  <c r="D58" i="19" s="1"/>
  <c r="D60" i="19" s="1"/>
  <c r="D61" i="19" s="1"/>
  <c r="D62" i="19" s="1"/>
  <c r="D63" i="19" s="1"/>
  <c r="D64" i="19" s="1"/>
  <c r="D65" i="19" s="1"/>
  <c r="D66" i="19" s="1"/>
  <c r="D67" i="19" s="1"/>
  <c r="D68" i="19" s="1"/>
  <c r="D24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3" i="19" s="1"/>
  <c r="C54" i="19" s="1"/>
  <c r="C55" i="19" s="1"/>
  <c r="C56" i="19" s="1"/>
  <c r="C57" i="19" s="1"/>
  <c r="C58" i="19" s="1"/>
  <c r="C60" i="19" s="1"/>
  <c r="C61" i="19" s="1"/>
  <c r="C62" i="19" s="1"/>
  <c r="C63" i="19" s="1"/>
  <c r="C64" i="19" s="1"/>
  <c r="C65" i="19" s="1"/>
  <c r="C66" i="19" s="1"/>
  <c r="C67" i="19" s="1"/>
  <c r="C68" i="19" s="1"/>
  <c r="N46" i="19"/>
  <c r="L85" i="19"/>
  <c r="M85" i="19" s="1"/>
  <c r="N85" i="19" s="1"/>
  <c r="M46" i="19"/>
  <c r="K41" i="19"/>
  <c r="N52" i="19"/>
  <c r="M52" i="19"/>
  <c r="K88" i="19"/>
  <c r="I10" i="19"/>
  <c r="C12" i="19"/>
  <c r="K47" i="19"/>
  <c r="L72" i="19"/>
  <c r="I4" i="19"/>
  <c r="J4" i="19" s="1"/>
  <c r="H10" i="19"/>
  <c r="N35" i="19"/>
  <c r="N25" i="19"/>
  <c r="N29" i="19"/>
  <c r="M35" i="19"/>
  <c r="M59" i="19"/>
  <c r="J63" i="19"/>
  <c r="I10" i="18"/>
  <c r="M62" i="18"/>
  <c r="L88" i="18"/>
  <c r="M88" i="18" s="1"/>
  <c r="N88" i="18" s="1"/>
  <c r="B27" i="18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3" i="18" s="1"/>
  <c r="B54" i="18" s="1"/>
  <c r="B55" i="18" s="1"/>
  <c r="B56" i="18" s="1"/>
  <c r="B57" i="18" s="1"/>
  <c r="B58" i="18" s="1"/>
  <c r="B60" i="18" s="1"/>
  <c r="B61" i="18" s="1"/>
  <c r="B62" i="18" s="1"/>
  <c r="B63" i="18" s="1"/>
  <c r="B64" i="18" s="1"/>
  <c r="B65" i="18" s="1"/>
  <c r="B66" i="18" s="1"/>
  <c r="B67" i="18" s="1"/>
  <c r="B68" i="18" s="1"/>
  <c r="B24" i="18"/>
  <c r="C24" i="18"/>
  <c r="C27" i="18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3" i="18" s="1"/>
  <c r="C54" i="18" s="1"/>
  <c r="C55" i="18" s="1"/>
  <c r="C56" i="18" s="1"/>
  <c r="C57" i="18" s="1"/>
  <c r="C58" i="18" s="1"/>
  <c r="C60" i="18" s="1"/>
  <c r="C61" i="18" s="1"/>
  <c r="C62" i="18" s="1"/>
  <c r="C63" i="18" s="1"/>
  <c r="C64" i="18" s="1"/>
  <c r="C65" i="18" s="1"/>
  <c r="C66" i="18" s="1"/>
  <c r="C67" i="18" s="1"/>
  <c r="C68" i="18" s="1"/>
  <c r="N35" i="18"/>
  <c r="M35" i="18"/>
  <c r="N52" i="18"/>
  <c r="M52" i="18"/>
  <c r="C12" i="18"/>
  <c r="N29" i="18"/>
  <c r="M29" i="18"/>
  <c r="H4" i="18"/>
  <c r="I4" i="18" s="1"/>
  <c r="J4" i="18" s="1"/>
  <c r="N26" i="18"/>
  <c r="M26" i="18"/>
  <c r="K28" i="18"/>
  <c r="K46" i="18"/>
  <c r="J41" i="18"/>
  <c r="K85" i="18"/>
  <c r="K54" i="18"/>
  <c r="K61" i="18"/>
  <c r="M25" i="18"/>
  <c r="K51" i="18"/>
  <c r="I19" i="18"/>
  <c r="R19" i="18"/>
  <c r="P10" i="18"/>
  <c r="K24" i="18"/>
  <c r="K61" i="17"/>
  <c r="K64" i="17"/>
  <c r="K54" i="17"/>
  <c r="K62" i="17"/>
  <c r="J20" i="19" l="1"/>
  <c r="J11" i="19" s="1"/>
  <c r="L86" i="19"/>
  <c r="M26" i="19"/>
  <c r="N26" i="19"/>
  <c r="K20" i="19"/>
  <c r="J55" i="19"/>
  <c r="K87" i="19" s="1"/>
  <c r="K12" i="19"/>
  <c r="J12" i="19"/>
  <c r="C13" i="19"/>
  <c r="J47" i="19"/>
  <c r="K86" i="19" s="1"/>
  <c r="M28" i="19"/>
  <c r="N28" i="19"/>
  <c r="L89" i="19"/>
  <c r="M89" i="19" s="1"/>
  <c r="N89" i="19" s="1"/>
  <c r="K63" i="19"/>
  <c r="K74" i="19"/>
  <c r="L74" i="19" s="1"/>
  <c r="N64" i="19"/>
  <c r="M64" i="19"/>
  <c r="K84" i="19"/>
  <c r="M61" i="19"/>
  <c r="K55" i="19"/>
  <c r="N61" i="19"/>
  <c r="N54" i="19"/>
  <c r="M54" i="19"/>
  <c r="N62" i="19"/>
  <c r="M62" i="19"/>
  <c r="L88" i="19"/>
  <c r="M88" i="19" s="1"/>
  <c r="N88" i="19" s="1"/>
  <c r="N41" i="19"/>
  <c r="M41" i="19"/>
  <c r="R10" i="19"/>
  <c r="Q10" i="19"/>
  <c r="J47" i="18"/>
  <c r="K86" i="18" s="1"/>
  <c r="J20" i="18"/>
  <c r="R10" i="18"/>
  <c r="Q10" i="18"/>
  <c r="M64" i="18"/>
  <c r="K63" i="18"/>
  <c r="N64" i="18"/>
  <c r="L89" i="18"/>
  <c r="M89" i="18" s="1"/>
  <c r="N89" i="18" s="1"/>
  <c r="K74" i="18"/>
  <c r="L74" i="18" s="1"/>
  <c r="K84" i="18"/>
  <c r="N51" i="18"/>
  <c r="M51" i="18"/>
  <c r="K47" i="18"/>
  <c r="N61" i="18"/>
  <c r="K55" i="18"/>
  <c r="M61" i="18"/>
  <c r="L85" i="18"/>
  <c r="M85" i="18" s="1"/>
  <c r="N85" i="18" s="1"/>
  <c r="N46" i="18"/>
  <c r="K41" i="18"/>
  <c r="M46" i="18"/>
  <c r="M54" i="18"/>
  <c r="N54" i="18"/>
  <c r="N28" i="18"/>
  <c r="M28" i="18"/>
  <c r="M24" i="18"/>
  <c r="N24" i="18"/>
  <c r="K20" i="18"/>
  <c r="C13" i="18"/>
  <c r="K12" i="18"/>
  <c r="J12" i="18"/>
  <c r="K51" i="17"/>
  <c r="F19" i="17"/>
  <c r="I19" i="17" s="1"/>
  <c r="J64" i="17"/>
  <c r="K89" i="17" s="1"/>
  <c r="J62" i="17"/>
  <c r="M62" i="17" s="1"/>
  <c r="J61" i="17"/>
  <c r="J59" i="17"/>
  <c r="J54" i="17"/>
  <c r="J52" i="17"/>
  <c r="N54" i="17" s="1"/>
  <c r="J51" i="17"/>
  <c r="J46" i="17"/>
  <c r="J28" i="17"/>
  <c r="K28" i="17" s="1"/>
  <c r="N28" i="17" s="1"/>
  <c r="J26" i="17"/>
  <c r="J25" i="17"/>
  <c r="J24" i="17"/>
  <c r="E86" i="17"/>
  <c r="E93" i="17" s="1"/>
  <c r="J78" i="17"/>
  <c r="G78" i="17"/>
  <c r="G80" i="17" s="1"/>
  <c r="F78" i="17"/>
  <c r="H78" i="17" s="1"/>
  <c r="H79" i="17" s="1"/>
  <c r="G75" i="17"/>
  <c r="F75" i="17"/>
  <c r="N73" i="17"/>
  <c r="L73" i="17"/>
  <c r="N72" i="17"/>
  <c r="L72" i="17"/>
  <c r="J72" i="17"/>
  <c r="J77" i="17" s="1"/>
  <c r="H72" i="17"/>
  <c r="H73" i="17" s="1"/>
  <c r="F72" i="17"/>
  <c r="N68" i="17"/>
  <c r="M68" i="17"/>
  <c r="N67" i="17"/>
  <c r="M67" i="17"/>
  <c r="N66" i="17"/>
  <c r="M66" i="17"/>
  <c r="N65" i="17"/>
  <c r="M65" i="17"/>
  <c r="K88" i="17"/>
  <c r="N60" i="17"/>
  <c r="M60" i="17"/>
  <c r="N58" i="17"/>
  <c r="M58" i="17"/>
  <c r="N57" i="17"/>
  <c r="M57" i="17"/>
  <c r="N56" i="17"/>
  <c r="M56" i="17"/>
  <c r="N53" i="17"/>
  <c r="M53" i="17"/>
  <c r="N50" i="17"/>
  <c r="M50" i="17"/>
  <c r="N49" i="17"/>
  <c r="M49" i="17"/>
  <c r="N48" i="17"/>
  <c r="M48" i="17"/>
  <c r="K85" i="17"/>
  <c r="N45" i="17"/>
  <c r="M45" i="17"/>
  <c r="N44" i="17"/>
  <c r="M44" i="17"/>
  <c r="N43" i="17"/>
  <c r="M43" i="17"/>
  <c r="N42" i="17"/>
  <c r="M42" i="17"/>
  <c r="N40" i="17"/>
  <c r="M40" i="17"/>
  <c r="N39" i="17"/>
  <c r="M39" i="17"/>
  <c r="N38" i="17"/>
  <c r="M38" i="17"/>
  <c r="N37" i="17"/>
  <c r="M37" i="17"/>
  <c r="N36" i="17"/>
  <c r="M36" i="17"/>
  <c r="N35" i="17"/>
  <c r="K35" i="17"/>
  <c r="M35" i="17" s="1"/>
  <c r="J35" i="17"/>
  <c r="N34" i="17"/>
  <c r="M34" i="17"/>
  <c r="N33" i="17"/>
  <c r="M33" i="17"/>
  <c r="N32" i="17"/>
  <c r="M32" i="17"/>
  <c r="N31" i="17"/>
  <c r="M31" i="17"/>
  <c r="N30" i="17"/>
  <c r="M30" i="17"/>
  <c r="N29" i="17"/>
  <c r="K29" i="17"/>
  <c r="M29" i="17" s="1"/>
  <c r="J29" i="17"/>
  <c r="N27" i="17"/>
  <c r="M27" i="17"/>
  <c r="K26" i="17"/>
  <c r="N26" i="17" s="1"/>
  <c r="N25" i="17"/>
  <c r="K24" i="17"/>
  <c r="M24" i="17" s="1"/>
  <c r="N23" i="17"/>
  <c r="M23" i="17"/>
  <c r="B23" i="17"/>
  <c r="B24" i="17" s="1"/>
  <c r="N22" i="17"/>
  <c r="M22" i="17"/>
  <c r="N21" i="17"/>
  <c r="M21" i="17"/>
  <c r="D21" i="17"/>
  <c r="D22" i="17" s="1"/>
  <c r="D23" i="17" s="1"/>
  <c r="B21" i="17"/>
  <c r="B22" i="17" s="1"/>
  <c r="D20" i="17"/>
  <c r="C20" i="17"/>
  <c r="C21" i="17" s="1"/>
  <c r="C22" i="17" s="1"/>
  <c r="C23" i="17" s="1"/>
  <c r="B20" i="17"/>
  <c r="P19" i="17"/>
  <c r="H19" i="17"/>
  <c r="C11" i="17"/>
  <c r="O10" i="17"/>
  <c r="G10" i="17"/>
  <c r="F10" i="17"/>
  <c r="P9" i="17"/>
  <c r="L9" i="17"/>
  <c r="K9" i="17"/>
  <c r="D9" i="17"/>
  <c r="E9" i="17" s="1"/>
  <c r="F9" i="17" s="1"/>
  <c r="G9" i="17" s="1"/>
  <c r="C9" i="17"/>
  <c r="B9" i="17"/>
  <c r="L4" i="17"/>
  <c r="F4" i="17"/>
  <c r="H4" i="17" s="1"/>
  <c r="Q3" i="17"/>
  <c r="L3" i="17"/>
  <c r="K1" i="17"/>
  <c r="M86" i="19" l="1"/>
  <c r="N86" i="19" s="1"/>
  <c r="N20" i="19"/>
  <c r="K19" i="19"/>
  <c r="M20" i="19"/>
  <c r="L84" i="19"/>
  <c r="K11" i="19"/>
  <c r="J19" i="19"/>
  <c r="M12" i="19"/>
  <c r="N12" i="19"/>
  <c r="M47" i="19"/>
  <c r="L87" i="19"/>
  <c r="M87" i="19" s="1"/>
  <c r="N87" i="19" s="1"/>
  <c r="N55" i="19"/>
  <c r="M55" i="19"/>
  <c r="C14" i="19"/>
  <c r="J13" i="19"/>
  <c r="K13" i="19"/>
  <c r="K83" i="19"/>
  <c r="M63" i="19"/>
  <c r="N63" i="19"/>
  <c r="N47" i="19"/>
  <c r="K83" i="18"/>
  <c r="J19" i="18"/>
  <c r="J11" i="18"/>
  <c r="L84" i="18"/>
  <c r="N20" i="18"/>
  <c r="M20" i="18"/>
  <c r="K19" i="18"/>
  <c r="K11" i="18"/>
  <c r="N41" i="18"/>
  <c r="M41" i="18"/>
  <c r="L87" i="18"/>
  <c r="M87" i="18" s="1"/>
  <c r="N87" i="18" s="1"/>
  <c r="N55" i="18"/>
  <c r="M55" i="18"/>
  <c r="N12" i="18"/>
  <c r="M12" i="18"/>
  <c r="C14" i="18"/>
  <c r="K13" i="18"/>
  <c r="J13" i="18"/>
  <c r="M47" i="18"/>
  <c r="L86" i="18"/>
  <c r="M86" i="18" s="1"/>
  <c r="N86" i="18" s="1"/>
  <c r="N47" i="18"/>
  <c r="N63" i="18"/>
  <c r="M63" i="18"/>
  <c r="H10" i="17"/>
  <c r="H75" i="17"/>
  <c r="H76" i="17" s="1"/>
  <c r="I4" i="17"/>
  <c r="J4" i="17" s="1"/>
  <c r="J63" i="17"/>
  <c r="M26" i="17"/>
  <c r="M25" i="17"/>
  <c r="D24" i="17"/>
  <c r="D27" i="17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3" i="17" s="1"/>
  <c r="D54" i="17" s="1"/>
  <c r="D55" i="17" s="1"/>
  <c r="D56" i="17" s="1"/>
  <c r="D57" i="17" s="1"/>
  <c r="D58" i="17" s="1"/>
  <c r="D60" i="17" s="1"/>
  <c r="D61" i="17" s="1"/>
  <c r="D62" i="17" s="1"/>
  <c r="D63" i="17" s="1"/>
  <c r="D64" i="17" s="1"/>
  <c r="D65" i="17" s="1"/>
  <c r="D66" i="17" s="1"/>
  <c r="D67" i="17" s="1"/>
  <c r="D68" i="17" s="1"/>
  <c r="C27" i="17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3" i="17" s="1"/>
  <c r="C54" i="17" s="1"/>
  <c r="C55" i="17" s="1"/>
  <c r="C56" i="17" s="1"/>
  <c r="C57" i="17" s="1"/>
  <c r="C58" i="17" s="1"/>
  <c r="C60" i="17" s="1"/>
  <c r="C61" i="17" s="1"/>
  <c r="C62" i="17" s="1"/>
  <c r="C63" i="17" s="1"/>
  <c r="C64" i="17" s="1"/>
  <c r="C65" i="17" s="1"/>
  <c r="C66" i="17" s="1"/>
  <c r="C67" i="17" s="1"/>
  <c r="C68" i="17" s="1"/>
  <c r="C24" i="17"/>
  <c r="C12" i="17"/>
  <c r="Q19" i="17"/>
  <c r="P10" i="17"/>
  <c r="M64" i="17"/>
  <c r="K63" i="17"/>
  <c r="K74" i="17"/>
  <c r="L74" i="17" s="1"/>
  <c r="I10" i="17"/>
  <c r="R19" i="17"/>
  <c r="J20" i="17"/>
  <c r="J11" i="17" s="1"/>
  <c r="B27" i="17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3" i="17" s="1"/>
  <c r="B54" i="17" s="1"/>
  <c r="B55" i="17" s="1"/>
  <c r="B56" i="17" s="1"/>
  <c r="B57" i="17" s="1"/>
  <c r="B58" i="17" s="1"/>
  <c r="B60" i="17" s="1"/>
  <c r="B61" i="17" s="1"/>
  <c r="B62" i="17" s="1"/>
  <c r="B63" i="17" s="1"/>
  <c r="B64" i="17" s="1"/>
  <c r="B65" i="17" s="1"/>
  <c r="B66" i="17" s="1"/>
  <c r="B67" i="17" s="1"/>
  <c r="B68" i="17" s="1"/>
  <c r="M54" i="17"/>
  <c r="N62" i="17"/>
  <c r="N64" i="17"/>
  <c r="L88" i="17"/>
  <c r="M88" i="17" s="1"/>
  <c r="N88" i="17" s="1"/>
  <c r="N24" i="17"/>
  <c r="K20" i="17"/>
  <c r="M28" i="17"/>
  <c r="K46" i="17"/>
  <c r="J41" i="17"/>
  <c r="J47" i="17"/>
  <c r="K86" i="17" s="1"/>
  <c r="L89" i="17"/>
  <c r="M89" i="17" s="1"/>
  <c r="N89" i="17" s="1"/>
  <c r="K64" i="11"/>
  <c r="K62" i="11"/>
  <c r="K61" i="11"/>
  <c r="K59" i="11"/>
  <c r="K54" i="11"/>
  <c r="K52" i="11"/>
  <c r="K51" i="11"/>
  <c r="K46" i="11"/>
  <c r="K28" i="11"/>
  <c r="K26" i="11"/>
  <c r="K25" i="11"/>
  <c r="K24" i="11"/>
  <c r="J59" i="11"/>
  <c r="J52" i="11"/>
  <c r="J51" i="11"/>
  <c r="J26" i="11"/>
  <c r="J25" i="11"/>
  <c r="J24" i="11"/>
  <c r="J61" i="11"/>
  <c r="J54" i="11"/>
  <c r="J46" i="11"/>
  <c r="J62" i="11"/>
  <c r="J64" i="11"/>
  <c r="M13" i="19" l="1"/>
  <c r="N13" i="19"/>
  <c r="N19" i="19"/>
  <c r="M19" i="19"/>
  <c r="K14" i="19"/>
  <c r="J14" i="19"/>
  <c r="C15" i="19"/>
  <c r="M11" i="19"/>
  <c r="N11" i="19"/>
  <c r="M84" i="19"/>
  <c r="N84" i="19" s="1"/>
  <c r="L83" i="19"/>
  <c r="M83" i="19" s="1"/>
  <c r="N83" i="19" s="1"/>
  <c r="M19" i="18"/>
  <c r="N19" i="18"/>
  <c r="M13" i="18"/>
  <c r="N13" i="18"/>
  <c r="K14" i="18"/>
  <c r="C15" i="18"/>
  <c r="J14" i="18"/>
  <c r="N11" i="18"/>
  <c r="M11" i="18"/>
  <c r="L83" i="18"/>
  <c r="M83" i="18" s="1"/>
  <c r="N83" i="18" s="1"/>
  <c r="M84" i="18"/>
  <c r="N84" i="18" s="1"/>
  <c r="N52" i="17"/>
  <c r="M52" i="17"/>
  <c r="N61" i="17"/>
  <c r="M61" i="17"/>
  <c r="L85" i="17"/>
  <c r="M85" i="17" s="1"/>
  <c r="N85" i="17" s="1"/>
  <c r="N46" i="17"/>
  <c r="K41" i="17"/>
  <c r="M46" i="17"/>
  <c r="K84" i="17"/>
  <c r="N59" i="17"/>
  <c r="M59" i="17"/>
  <c r="K55" i="17"/>
  <c r="K12" i="17"/>
  <c r="J12" i="17"/>
  <c r="C13" i="17"/>
  <c r="J55" i="17"/>
  <c r="K87" i="17" s="1"/>
  <c r="N51" i="17"/>
  <c r="K47" i="17"/>
  <c r="M51" i="17"/>
  <c r="L84" i="17"/>
  <c r="N20" i="17"/>
  <c r="M20" i="17"/>
  <c r="N63" i="17"/>
  <c r="M63" i="17"/>
  <c r="R10" i="17"/>
  <c r="Q10" i="17"/>
  <c r="K11" i="17"/>
  <c r="J28" i="11"/>
  <c r="N14" i="19" l="1"/>
  <c r="M14" i="19"/>
  <c r="K15" i="19"/>
  <c r="J15" i="19"/>
  <c r="C16" i="19"/>
  <c r="C16" i="18"/>
  <c r="J15" i="18"/>
  <c r="K15" i="18"/>
  <c r="N14" i="18"/>
  <c r="M14" i="18"/>
  <c r="K19" i="17"/>
  <c r="M11" i="17"/>
  <c r="N11" i="17"/>
  <c r="M84" i="17"/>
  <c r="N84" i="17" s="1"/>
  <c r="M55" i="17"/>
  <c r="L87" i="17"/>
  <c r="M87" i="17" s="1"/>
  <c r="N87" i="17" s="1"/>
  <c r="N55" i="17"/>
  <c r="K83" i="17"/>
  <c r="C14" i="17"/>
  <c r="J13" i="17"/>
  <c r="K13" i="17"/>
  <c r="M47" i="17"/>
  <c r="L86" i="17"/>
  <c r="M86" i="17" s="1"/>
  <c r="N86" i="17" s="1"/>
  <c r="N47" i="17"/>
  <c r="N12" i="17"/>
  <c r="M12" i="17"/>
  <c r="J19" i="17"/>
  <c r="M19" i="17" s="1"/>
  <c r="M41" i="17"/>
  <c r="N41" i="17"/>
  <c r="K70" i="16"/>
  <c r="N24" i="16"/>
  <c r="K29" i="16"/>
  <c r="K35" i="16"/>
  <c r="K41" i="16"/>
  <c r="K47" i="16"/>
  <c r="K55" i="16"/>
  <c r="N53" i="16"/>
  <c r="M48" i="16"/>
  <c r="N38" i="16"/>
  <c r="J25" i="16"/>
  <c r="J24" i="16"/>
  <c r="J26" i="16"/>
  <c r="J28" i="16"/>
  <c r="J46" i="16"/>
  <c r="J51" i="16"/>
  <c r="J54" i="16"/>
  <c r="J52" i="16"/>
  <c r="J61" i="16"/>
  <c r="J59" i="16"/>
  <c r="J64" i="16"/>
  <c r="K89" i="16" s="1"/>
  <c r="J62" i="16"/>
  <c r="J41" i="16"/>
  <c r="M25" i="16"/>
  <c r="L88" i="16"/>
  <c r="E86" i="16"/>
  <c r="E93" i="16" s="1"/>
  <c r="J78" i="16"/>
  <c r="G78" i="16"/>
  <c r="G80" i="16" s="1"/>
  <c r="F78" i="16"/>
  <c r="H78" i="16" s="1"/>
  <c r="H79" i="16" s="1"/>
  <c r="G75" i="16"/>
  <c r="F75" i="16"/>
  <c r="H75" i="16" s="1"/>
  <c r="H76" i="16" s="1"/>
  <c r="N73" i="16"/>
  <c r="L73" i="16"/>
  <c r="N72" i="16"/>
  <c r="L72" i="16"/>
  <c r="J72" i="16"/>
  <c r="J77" i="16" s="1"/>
  <c r="F72" i="16"/>
  <c r="H72" i="16" s="1"/>
  <c r="H73" i="16" s="1"/>
  <c r="N68" i="16"/>
  <c r="M68" i="16"/>
  <c r="N67" i="16"/>
  <c r="M67" i="16"/>
  <c r="N66" i="16"/>
  <c r="M66" i="16"/>
  <c r="N65" i="16"/>
  <c r="M65" i="16"/>
  <c r="N60" i="16"/>
  <c r="M60" i="16"/>
  <c r="N59" i="16"/>
  <c r="M59" i="16"/>
  <c r="N58" i="16"/>
  <c r="M58" i="16"/>
  <c r="N57" i="16"/>
  <c r="M57" i="16"/>
  <c r="N56" i="16"/>
  <c r="M56" i="16"/>
  <c r="M53" i="16"/>
  <c r="N52" i="16"/>
  <c r="M52" i="16"/>
  <c r="N50" i="16"/>
  <c r="M50" i="16"/>
  <c r="N49" i="16"/>
  <c r="M49" i="16"/>
  <c r="N48" i="16"/>
  <c r="K85" i="16"/>
  <c r="M45" i="16"/>
  <c r="N44" i="16"/>
  <c r="M44" i="16"/>
  <c r="N42" i="16"/>
  <c r="M42" i="16"/>
  <c r="N40" i="16"/>
  <c r="M40" i="16"/>
  <c r="N39" i="16"/>
  <c r="M39" i="16"/>
  <c r="M38" i="16"/>
  <c r="N37" i="16"/>
  <c r="M37" i="16"/>
  <c r="N36" i="16"/>
  <c r="M36" i="16"/>
  <c r="M35" i="16"/>
  <c r="J35" i="16"/>
  <c r="N34" i="16"/>
  <c r="M34" i="16"/>
  <c r="N33" i="16"/>
  <c r="M33" i="16"/>
  <c r="N32" i="16"/>
  <c r="M32" i="16"/>
  <c r="N31" i="16"/>
  <c r="M31" i="16"/>
  <c r="N30" i="16"/>
  <c r="M30" i="16"/>
  <c r="M29" i="16"/>
  <c r="J29" i="16"/>
  <c r="N25" i="16"/>
  <c r="N23" i="16"/>
  <c r="M23" i="16"/>
  <c r="N22" i="16"/>
  <c r="M22" i="16"/>
  <c r="N21" i="16"/>
  <c r="M21" i="16"/>
  <c r="C21" i="16"/>
  <c r="C22" i="16" s="1"/>
  <c r="C23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3" i="16" s="1"/>
  <c r="C54" i="16" s="1"/>
  <c r="C55" i="16" s="1"/>
  <c r="C56" i="16" s="1"/>
  <c r="C57" i="16" s="1"/>
  <c r="C58" i="16" s="1"/>
  <c r="C60" i="16" s="1"/>
  <c r="C61" i="16" s="1"/>
  <c r="C62" i="16" s="1"/>
  <c r="C63" i="16" s="1"/>
  <c r="C64" i="16" s="1"/>
  <c r="C65" i="16" s="1"/>
  <c r="C66" i="16" s="1"/>
  <c r="C67" i="16" s="1"/>
  <c r="C68" i="16" s="1"/>
  <c r="B21" i="16"/>
  <c r="B22" i="16" s="1"/>
  <c r="B23" i="16" s="1"/>
  <c r="D20" i="16"/>
  <c r="D21" i="16" s="1"/>
  <c r="D22" i="16" s="1"/>
  <c r="D23" i="16" s="1"/>
  <c r="C20" i="16"/>
  <c r="B20" i="16"/>
  <c r="R19" i="16"/>
  <c r="Q19" i="16"/>
  <c r="I19" i="16"/>
  <c r="H19" i="16"/>
  <c r="C11" i="16"/>
  <c r="P10" i="16"/>
  <c r="O10" i="16"/>
  <c r="G10" i="16"/>
  <c r="F10" i="16"/>
  <c r="P9" i="16"/>
  <c r="K9" i="16"/>
  <c r="L9" i="16" s="1"/>
  <c r="C9" i="16"/>
  <c r="D9" i="16" s="1"/>
  <c r="E9" i="16" s="1"/>
  <c r="F9" i="16" s="1"/>
  <c r="G9" i="16" s="1"/>
  <c r="B9" i="16"/>
  <c r="L4" i="16"/>
  <c r="F4" i="16"/>
  <c r="Q3" i="16"/>
  <c r="L3" i="16"/>
  <c r="K1" i="16"/>
  <c r="M15" i="19" l="1"/>
  <c r="N15" i="19"/>
  <c r="K16" i="19"/>
  <c r="J16" i="19"/>
  <c r="C17" i="19"/>
  <c r="N15" i="18"/>
  <c r="M15" i="18"/>
  <c r="J16" i="18"/>
  <c r="C17" i="18"/>
  <c r="K16" i="18"/>
  <c r="N19" i="17"/>
  <c r="K14" i="17"/>
  <c r="C15" i="17"/>
  <c r="J14" i="17"/>
  <c r="M13" i="17"/>
  <c r="N13" i="17"/>
  <c r="L83" i="17"/>
  <c r="M83" i="17" s="1"/>
  <c r="N83" i="17" s="1"/>
  <c r="H4" i="16"/>
  <c r="I4" i="16" s="1"/>
  <c r="J4" i="16" s="1"/>
  <c r="N51" i="16"/>
  <c r="N29" i="16"/>
  <c r="N35" i="16"/>
  <c r="N27" i="16"/>
  <c r="M27" i="16"/>
  <c r="N45" i="16"/>
  <c r="M61" i="16"/>
  <c r="L87" i="16"/>
  <c r="M87" i="16" s="1"/>
  <c r="N87" i="16" s="1"/>
  <c r="J55" i="16"/>
  <c r="K87" i="16" s="1"/>
  <c r="M46" i="16"/>
  <c r="M28" i="16"/>
  <c r="N28" i="16"/>
  <c r="J20" i="16"/>
  <c r="K84" i="16" s="1"/>
  <c r="M24" i="16"/>
  <c r="D27" i="16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3" i="16" s="1"/>
  <c r="D54" i="16" s="1"/>
  <c r="D55" i="16" s="1"/>
  <c r="D56" i="16" s="1"/>
  <c r="D57" i="16" s="1"/>
  <c r="D58" i="16" s="1"/>
  <c r="D60" i="16" s="1"/>
  <c r="D61" i="16" s="1"/>
  <c r="D62" i="16" s="1"/>
  <c r="D63" i="16" s="1"/>
  <c r="D64" i="16" s="1"/>
  <c r="D65" i="16" s="1"/>
  <c r="D66" i="16" s="1"/>
  <c r="D67" i="16" s="1"/>
  <c r="D68" i="16" s="1"/>
  <c r="D24" i="16"/>
  <c r="R10" i="16"/>
  <c r="N61" i="16"/>
  <c r="I10" i="16"/>
  <c r="C12" i="16"/>
  <c r="B24" i="16"/>
  <c r="B27" i="16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3" i="16" s="1"/>
  <c r="B54" i="16" s="1"/>
  <c r="B55" i="16" s="1"/>
  <c r="B56" i="16" s="1"/>
  <c r="B57" i="16" s="1"/>
  <c r="B58" i="16" s="1"/>
  <c r="B60" i="16" s="1"/>
  <c r="B61" i="16" s="1"/>
  <c r="B62" i="16" s="1"/>
  <c r="B63" i="16" s="1"/>
  <c r="B64" i="16" s="1"/>
  <c r="B65" i="16" s="1"/>
  <c r="B66" i="16" s="1"/>
  <c r="B67" i="16" s="1"/>
  <c r="B68" i="16" s="1"/>
  <c r="M26" i="16"/>
  <c r="K20" i="16"/>
  <c r="K11" i="16" s="1"/>
  <c r="J47" i="16"/>
  <c r="K86" i="16" s="1"/>
  <c r="K88" i="16"/>
  <c r="M88" i="16" s="1"/>
  <c r="N88" i="16" s="1"/>
  <c r="N62" i="16"/>
  <c r="M62" i="16"/>
  <c r="C24" i="16"/>
  <c r="N26" i="16"/>
  <c r="N46" i="16"/>
  <c r="M51" i="16"/>
  <c r="H10" i="16"/>
  <c r="Q10" i="16"/>
  <c r="J63" i="16"/>
  <c r="P19" i="15"/>
  <c r="K54" i="15"/>
  <c r="K51" i="15"/>
  <c r="N16" i="19" l="1"/>
  <c r="M16" i="19"/>
  <c r="C18" i="19"/>
  <c r="J17" i="19"/>
  <c r="K17" i="19"/>
  <c r="N16" i="18"/>
  <c r="M16" i="18"/>
  <c r="J17" i="18"/>
  <c r="C18" i="18"/>
  <c r="K17" i="18"/>
  <c r="C16" i="17"/>
  <c r="J15" i="17"/>
  <c r="K15" i="17"/>
  <c r="N14" i="17"/>
  <c r="M14" i="17"/>
  <c r="N43" i="16"/>
  <c r="M43" i="16"/>
  <c r="J11" i="16"/>
  <c r="M11" i="16" s="1"/>
  <c r="N55" i="16"/>
  <c r="M55" i="16"/>
  <c r="J19" i="16"/>
  <c r="L85" i="16"/>
  <c r="M85" i="16" s="1"/>
  <c r="N85" i="16" s="1"/>
  <c r="M41" i="16"/>
  <c r="L86" i="16"/>
  <c r="M86" i="16" s="1"/>
  <c r="N86" i="16" s="1"/>
  <c r="N47" i="16"/>
  <c r="M47" i="16"/>
  <c r="K83" i="16"/>
  <c r="M64" i="16"/>
  <c r="K63" i="16"/>
  <c r="L89" i="16"/>
  <c r="M89" i="16" s="1"/>
  <c r="N89" i="16" s="1"/>
  <c r="K74" i="16"/>
  <c r="L74" i="16" s="1"/>
  <c r="N64" i="16"/>
  <c r="N54" i="16"/>
  <c r="M54" i="16"/>
  <c r="L84" i="16"/>
  <c r="N20" i="16"/>
  <c r="K19" i="16"/>
  <c r="M20" i="16"/>
  <c r="K12" i="16"/>
  <c r="C13" i="16"/>
  <c r="J12" i="16"/>
  <c r="N41" i="16"/>
  <c r="J64" i="15"/>
  <c r="K89" i="15" s="1"/>
  <c r="J62" i="15"/>
  <c r="J61" i="15"/>
  <c r="J59" i="15"/>
  <c r="J54" i="15"/>
  <c r="J52" i="15"/>
  <c r="J51" i="15"/>
  <c r="J46" i="15"/>
  <c r="K46" i="15" s="1"/>
  <c r="J28" i="15"/>
  <c r="J20" i="15" s="1"/>
  <c r="K84" i="15" s="1"/>
  <c r="J26" i="15"/>
  <c r="J25" i="15"/>
  <c r="J24" i="15"/>
  <c r="E86" i="15"/>
  <c r="E93" i="15" s="1"/>
  <c r="J78" i="15"/>
  <c r="G78" i="15"/>
  <c r="H78" i="15" s="1"/>
  <c r="H79" i="15" s="1"/>
  <c r="F78" i="15"/>
  <c r="G75" i="15"/>
  <c r="F75" i="15"/>
  <c r="H75" i="15" s="1"/>
  <c r="H76" i="15" s="1"/>
  <c r="L73" i="15"/>
  <c r="N72" i="15"/>
  <c r="N73" i="15" s="1"/>
  <c r="J72" i="15"/>
  <c r="L72" i="15" s="1"/>
  <c r="H72" i="15"/>
  <c r="H73" i="15" s="1"/>
  <c r="F72" i="15"/>
  <c r="N68" i="15"/>
  <c r="M68" i="15"/>
  <c r="N67" i="15"/>
  <c r="M67" i="15"/>
  <c r="N66" i="15"/>
  <c r="M66" i="15"/>
  <c r="N65" i="15"/>
  <c r="M65" i="15"/>
  <c r="K64" i="15"/>
  <c r="K61" i="15"/>
  <c r="N60" i="15"/>
  <c r="M60" i="15"/>
  <c r="N58" i="15"/>
  <c r="M58" i="15"/>
  <c r="N57" i="15"/>
  <c r="M57" i="15"/>
  <c r="N56" i="15"/>
  <c r="M56" i="15"/>
  <c r="N53" i="15"/>
  <c r="M53" i="15"/>
  <c r="N52" i="15"/>
  <c r="M52" i="15"/>
  <c r="N50" i="15"/>
  <c r="M50" i="15"/>
  <c r="N49" i="15"/>
  <c r="M49" i="15"/>
  <c r="N48" i="15"/>
  <c r="M48" i="15"/>
  <c r="N45" i="15"/>
  <c r="M45" i="15"/>
  <c r="N44" i="15"/>
  <c r="M44" i="15"/>
  <c r="N43" i="15"/>
  <c r="M43" i="15"/>
  <c r="N42" i="15"/>
  <c r="M42" i="15"/>
  <c r="N40" i="15"/>
  <c r="M40" i="15"/>
  <c r="N39" i="15"/>
  <c r="M39" i="15"/>
  <c r="N38" i="15"/>
  <c r="M38" i="15"/>
  <c r="N37" i="15"/>
  <c r="M37" i="15"/>
  <c r="N36" i="15"/>
  <c r="M36" i="15"/>
  <c r="N35" i="15"/>
  <c r="M35" i="15"/>
  <c r="K35" i="15"/>
  <c r="J35" i="15"/>
  <c r="N34" i="15"/>
  <c r="M34" i="15"/>
  <c r="N33" i="15"/>
  <c r="M33" i="15"/>
  <c r="N32" i="15"/>
  <c r="M32" i="15"/>
  <c r="N31" i="15"/>
  <c r="M31" i="15"/>
  <c r="N30" i="15"/>
  <c r="M30" i="15"/>
  <c r="N29" i="15"/>
  <c r="M29" i="15"/>
  <c r="K29" i="15"/>
  <c r="J29" i="15"/>
  <c r="K28" i="15"/>
  <c r="M28" i="15" s="1"/>
  <c r="N27" i="15"/>
  <c r="M27" i="15"/>
  <c r="K26" i="15"/>
  <c r="N26" i="15" s="1"/>
  <c r="N25" i="15"/>
  <c r="M25" i="15"/>
  <c r="N23" i="15"/>
  <c r="M23" i="15"/>
  <c r="N22" i="15"/>
  <c r="M22" i="15"/>
  <c r="C22" i="15"/>
  <c r="C23" i="15" s="1"/>
  <c r="N21" i="15"/>
  <c r="M21" i="15"/>
  <c r="B21" i="15"/>
  <c r="B22" i="15" s="1"/>
  <c r="B23" i="15" s="1"/>
  <c r="D20" i="15"/>
  <c r="D21" i="15" s="1"/>
  <c r="D22" i="15" s="1"/>
  <c r="D23" i="15" s="1"/>
  <c r="C20" i="15"/>
  <c r="C21" i="15" s="1"/>
  <c r="B20" i="15"/>
  <c r="R19" i="15"/>
  <c r="P10" i="15"/>
  <c r="I19" i="15"/>
  <c r="H19" i="15"/>
  <c r="C11" i="15"/>
  <c r="O10" i="15"/>
  <c r="G10" i="15"/>
  <c r="F10" i="15"/>
  <c r="P9" i="15"/>
  <c r="L9" i="15"/>
  <c r="K9" i="15"/>
  <c r="C9" i="15"/>
  <c r="D9" i="15" s="1"/>
  <c r="E9" i="15" s="1"/>
  <c r="F9" i="15" s="1"/>
  <c r="G9" i="15" s="1"/>
  <c r="B9" i="15"/>
  <c r="L4" i="15"/>
  <c r="F4" i="15"/>
  <c r="Q3" i="15"/>
  <c r="L3" i="15"/>
  <c r="K1" i="15"/>
  <c r="N17" i="19" l="1"/>
  <c r="M17" i="19"/>
  <c r="K18" i="19"/>
  <c r="J18" i="19"/>
  <c r="J10" i="19" s="1"/>
  <c r="M17" i="18"/>
  <c r="N17" i="18"/>
  <c r="K18" i="18"/>
  <c r="J18" i="18"/>
  <c r="J10" i="18" s="1"/>
  <c r="M15" i="17"/>
  <c r="N15" i="17"/>
  <c r="K16" i="17"/>
  <c r="C17" i="17"/>
  <c r="J16" i="17"/>
  <c r="N11" i="16"/>
  <c r="C14" i="16"/>
  <c r="J13" i="16"/>
  <c r="K13" i="16"/>
  <c r="N12" i="16"/>
  <c r="M12" i="16"/>
  <c r="L83" i="16"/>
  <c r="M83" i="16" s="1"/>
  <c r="N83" i="16" s="1"/>
  <c r="M84" i="16"/>
  <c r="N84" i="16" s="1"/>
  <c r="N19" i="16"/>
  <c r="M19" i="16"/>
  <c r="N63" i="16"/>
  <c r="M63" i="16"/>
  <c r="R10" i="15"/>
  <c r="I10" i="15"/>
  <c r="H10" i="15"/>
  <c r="J63" i="15"/>
  <c r="K47" i="15"/>
  <c r="N47" i="15" s="1"/>
  <c r="J47" i="15"/>
  <c r="K86" i="15" s="1"/>
  <c r="J41" i="15"/>
  <c r="K85" i="15"/>
  <c r="N28" i="15"/>
  <c r="M26" i="15"/>
  <c r="B27" i="15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3" i="15" s="1"/>
  <c r="B54" i="15" s="1"/>
  <c r="B55" i="15" s="1"/>
  <c r="B56" i="15" s="1"/>
  <c r="B57" i="15" s="1"/>
  <c r="B58" i="15" s="1"/>
  <c r="B60" i="15" s="1"/>
  <c r="B61" i="15" s="1"/>
  <c r="B62" i="15" s="1"/>
  <c r="B63" i="15" s="1"/>
  <c r="B64" i="15" s="1"/>
  <c r="B65" i="15" s="1"/>
  <c r="B66" i="15" s="1"/>
  <c r="B67" i="15" s="1"/>
  <c r="B68" i="15" s="1"/>
  <c r="B24" i="15"/>
  <c r="C24" i="15"/>
  <c r="C27" i="15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3" i="15" s="1"/>
  <c r="C54" i="15" s="1"/>
  <c r="C55" i="15" s="1"/>
  <c r="C56" i="15" s="1"/>
  <c r="C57" i="15" s="1"/>
  <c r="C58" i="15" s="1"/>
  <c r="C60" i="15" s="1"/>
  <c r="C61" i="15" s="1"/>
  <c r="C62" i="15" s="1"/>
  <c r="C63" i="15" s="1"/>
  <c r="C64" i="15" s="1"/>
  <c r="C65" i="15" s="1"/>
  <c r="C66" i="15" s="1"/>
  <c r="C67" i="15" s="1"/>
  <c r="C68" i="15" s="1"/>
  <c r="N59" i="15"/>
  <c r="M59" i="15"/>
  <c r="J55" i="15"/>
  <c r="K55" i="15"/>
  <c r="N61" i="15"/>
  <c r="H4" i="15"/>
  <c r="I4" i="15" s="1"/>
  <c r="J4" i="15" s="1"/>
  <c r="M61" i="15"/>
  <c r="Q10" i="15"/>
  <c r="M46" i="15"/>
  <c r="K41" i="15"/>
  <c r="L85" i="15"/>
  <c r="M85" i="15" s="1"/>
  <c r="N85" i="15" s="1"/>
  <c r="L89" i="15"/>
  <c r="M89" i="15" s="1"/>
  <c r="N89" i="15" s="1"/>
  <c r="N64" i="15"/>
  <c r="K63" i="15"/>
  <c r="K74" i="15"/>
  <c r="L74" i="15" s="1"/>
  <c r="C12" i="15"/>
  <c r="J11" i="15"/>
  <c r="Q19" i="15"/>
  <c r="D24" i="15"/>
  <c r="D27" i="15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3" i="15" s="1"/>
  <c r="D54" i="15" s="1"/>
  <c r="D55" i="15" s="1"/>
  <c r="D56" i="15" s="1"/>
  <c r="D57" i="15" s="1"/>
  <c r="D58" i="15" s="1"/>
  <c r="D60" i="15" s="1"/>
  <c r="D61" i="15" s="1"/>
  <c r="D62" i="15" s="1"/>
  <c r="D63" i="15" s="1"/>
  <c r="D64" i="15" s="1"/>
  <c r="D65" i="15" s="1"/>
  <c r="D66" i="15" s="1"/>
  <c r="D67" i="15" s="1"/>
  <c r="D68" i="15" s="1"/>
  <c r="K24" i="15"/>
  <c r="N46" i="15"/>
  <c r="N51" i="15"/>
  <c r="M51" i="15"/>
  <c r="N54" i="15"/>
  <c r="M54" i="15"/>
  <c r="K88" i="15"/>
  <c r="M64" i="15"/>
  <c r="G80" i="15"/>
  <c r="J77" i="15"/>
  <c r="K54" i="14"/>
  <c r="R3" i="19" l="1"/>
  <c r="R4" i="19" s="1"/>
  <c r="S3" i="19"/>
  <c r="T3" i="19" s="1"/>
  <c r="N4" i="19"/>
  <c r="O4" i="19" s="1"/>
  <c r="N18" i="19"/>
  <c r="M18" i="19"/>
  <c r="K10" i="19"/>
  <c r="R3" i="18"/>
  <c r="R4" i="18" s="1"/>
  <c r="N4" i="18"/>
  <c r="O4" i="18" s="1"/>
  <c r="S3" i="18"/>
  <c r="T3" i="18" s="1"/>
  <c r="N18" i="18"/>
  <c r="M18" i="18"/>
  <c r="K10" i="18"/>
  <c r="N16" i="17"/>
  <c r="M16" i="17"/>
  <c r="C18" i="17"/>
  <c r="J17" i="17"/>
  <c r="K17" i="17"/>
  <c r="N13" i="16"/>
  <c r="M13" i="16"/>
  <c r="K14" i="16"/>
  <c r="C15" i="16"/>
  <c r="J14" i="16"/>
  <c r="L86" i="15"/>
  <c r="M86" i="15" s="1"/>
  <c r="N86" i="15" s="1"/>
  <c r="M47" i="15"/>
  <c r="L88" i="15"/>
  <c r="M88" i="15" s="1"/>
  <c r="N88" i="15" s="1"/>
  <c r="N62" i="15"/>
  <c r="M62" i="15"/>
  <c r="M63" i="15"/>
  <c r="N63" i="15"/>
  <c r="N41" i="15"/>
  <c r="M41" i="15"/>
  <c r="N24" i="15"/>
  <c r="K20" i="15"/>
  <c r="M24" i="15"/>
  <c r="L87" i="15"/>
  <c r="M55" i="15"/>
  <c r="N55" i="15"/>
  <c r="K12" i="15"/>
  <c r="J12" i="15"/>
  <c r="C13" i="15"/>
  <c r="K87" i="15"/>
  <c r="K83" i="15" s="1"/>
  <c r="J19" i="15"/>
  <c r="K64" i="14"/>
  <c r="K62" i="14"/>
  <c r="K61" i="14"/>
  <c r="K51" i="14"/>
  <c r="K46" i="14"/>
  <c r="K28" i="14"/>
  <c r="K26" i="14"/>
  <c r="K24" i="14"/>
  <c r="J64" i="14"/>
  <c r="J62" i="14"/>
  <c r="J61" i="14"/>
  <c r="J59" i="14"/>
  <c r="J54" i="14"/>
  <c r="J52" i="14"/>
  <c r="J51" i="14"/>
  <c r="J46" i="14"/>
  <c r="J28" i="14"/>
  <c r="J26" i="14"/>
  <c r="J25" i="14"/>
  <c r="J24" i="14"/>
  <c r="K89" i="14"/>
  <c r="K88" i="14"/>
  <c r="E86" i="14"/>
  <c r="E93" i="14" s="1"/>
  <c r="K85" i="14"/>
  <c r="J78" i="14"/>
  <c r="H78" i="14"/>
  <c r="H79" i="14" s="1"/>
  <c r="G78" i="14"/>
  <c r="G80" i="14" s="1"/>
  <c r="F78" i="14"/>
  <c r="G75" i="14"/>
  <c r="F75" i="14"/>
  <c r="N73" i="14"/>
  <c r="L73" i="14"/>
  <c r="H73" i="14"/>
  <c r="N72" i="14"/>
  <c r="J72" i="14"/>
  <c r="L72" i="14" s="1"/>
  <c r="H72" i="14"/>
  <c r="F72" i="14"/>
  <c r="N68" i="14"/>
  <c r="M68" i="14"/>
  <c r="N67" i="14"/>
  <c r="M67" i="14"/>
  <c r="N66" i="14"/>
  <c r="M66" i="14"/>
  <c r="N65" i="14"/>
  <c r="M65" i="14"/>
  <c r="N64" i="14"/>
  <c r="K63" i="14"/>
  <c r="N63" i="14" s="1"/>
  <c r="J63" i="14"/>
  <c r="N61" i="14"/>
  <c r="N60" i="14"/>
  <c r="M60" i="14"/>
  <c r="N58" i="14"/>
  <c r="M58" i="14"/>
  <c r="N57" i="14"/>
  <c r="M57" i="14"/>
  <c r="N56" i="14"/>
  <c r="M56" i="14"/>
  <c r="N53" i="14"/>
  <c r="M53" i="14"/>
  <c r="N52" i="14"/>
  <c r="N50" i="14"/>
  <c r="M50" i="14"/>
  <c r="N49" i="14"/>
  <c r="M49" i="14"/>
  <c r="N48" i="14"/>
  <c r="M48" i="14"/>
  <c r="L85" i="14"/>
  <c r="M85" i="14" s="1"/>
  <c r="N85" i="14" s="1"/>
  <c r="N45" i="14"/>
  <c r="M45" i="14"/>
  <c r="N44" i="14"/>
  <c r="M44" i="14"/>
  <c r="N43" i="14"/>
  <c r="M43" i="14"/>
  <c r="N42" i="14"/>
  <c r="M42" i="14"/>
  <c r="J41" i="14"/>
  <c r="N40" i="14"/>
  <c r="M40" i="14"/>
  <c r="N39" i="14"/>
  <c r="M39" i="14"/>
  <c r="N38" i="14"/>
  <c r="M38" i="14"/>
  <c r="N37" i="14"/>
  <c r="M37" i="14"/>
  <c r="N36" i="14"/>
  <c r="M36" i="14"/>
  <c r="M35" i="14"/>
  <c r="K35" i="14"/>
  <c r="J35" i="14"/>
  <c r="N34" i="14"/>
  <c r="M34" i="14"/>
  <c r="N33" i="14"/>
  <c r="M33" i="14"/>
  <c r="N32" i="14"/>
  <c r="M32" i="14"/>
  <c r="N31" i="14"/>
  <c r="M31" i="14"/>
  <c r="N30" i="14"/>
  <c r="M30" i="14"/>
  <c r="K29" i="14"/>
  <c r="N29" i="14" s="1"/>
  <c r="J29" i="14"/>
  <c r="N27" i="14"/>
  <c r="M27" i="14"/>
  <c r="M24" i="14"/>
  <c r="N23" i="14"/>
  <c r="M23" i="14"/>
  <c r="N22" i="14"/>
  <c r="M22" i="14"/>
  <c r="B22" i="14"/>
  <c r="B23" i="14" s="1"/>
  <c r="N21" i="14"/>
  <c r="M21" i="14"/>
  <c r="C21" i="14"/>
  <c r="C22" i="14" s="1"/>
  <c r="C23" i="14" s="1"/>
  <c r="D20" i="14"/>
  <c r="D21" i="14" s="1"/>
  <c r="D22" i="14" s="1"/>
  <c r="D23" i="14" s="1"/>
  <c r="C20" i="14"/>
  <c r="B20" i="14"/>
  <c r="B21" i="14" s="1"/>
  <c r="P19" i="14"/>
  <c r="R19" i="14" s="1"/>
  <c r="I19" i="14"/>
  <c r="H19" i="14"/>
  <c r="C12" i="14"/>
  <c r="C11" i="14"/>
  <c r="O10" i="14"/>
  <c r="G10" i="14"/>
  <c r="F10" i="14"/>
  <c r="P9" i="14"/>
  <c r="K9" i="14"/>
  <c r="L9" i="14" s="1"/>
  <c r="B9" i="14"/>
  <c r="C9" i="14" s="1"/>
  <c r="D9" i="14" s="1"/>
  <c r="E9" i="14" s="1"/>
  <c r="F9" i="14" s="1"/>
  <c r="G9" i="14" s="1"/>
  <c r="L4" i="14"/>
  <c r="F4" i="14"/>
  <c r="Q3" i="14"/>
  <c r="L3" i="14"/>
  <c r="K1" i="14"/>
  <c r="N10" i="19" l="1"/>
  <c r="S4" i="19"/>
  <c r="T4" i="19" s="1"/>
  <c r="L1" i="19"/>
  <c r="M1" i="19" s="1"/>
  <c r="N1" i="19" s="1"/>
  <c r="N5" i="19"/>
  <c r="O5" i="19" s="1"/>
  <c r="M10" i="19"/>
  <c r="K4" i="19"/>
  <c r="N5" i="18"/>
  <c r="O5" i="18" s="1"/>
  <c r="M10" i="18"/>
  <c r="S4" i="18"/>
  <c r="T4" i="18" s="1"/>
  <c r="L1" i="18"/>
  <c r="M1" i="18" s="1"/>
  <c r="N1" i="18" s="1"/>
  <c r="N10" i="18"/>
  <c r="K4" i="18"/>
  <c r="H75" i="14"/>
  <c r="H76" i="14" s="1"/>
  <c r="K18" i="17"/>
  <c r="J18" i="17"/>
  <c r="J10" i="17" s="1"/>
  <c r="M17" i="17"/>
  <c r="N17" i="17"/>
  <c r="N14" i="16"/>
  <c r="M14" i="16"/>
  <c r="K15" i="16"/>
  <c r="C16" i="16"/>
  <c r="J15" i="16"/>
  <c r="N12" i="15"/>
  <c r="M12" i="15"/>
  <c r="C14" i="15"/>
  <c r="K13" i="15"/>
  <c r="J13" i="15"/>
  <c r="L84" i="15"/>
  <c r="M20" i="15"/>
  <c r="K19" i="15"/>
  <c r="N20" i="15"/>
  <c r="K11" i="15"/>
  <c r="M87" i="15"/>
  <c r="N87" i="15" s="1"/>
  <c r="H10" i="14"/>
  <c r="I10" i="14"/>
  <c r="C24" i="14"/>
  <c r="C27" i="14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3" i="14" s="1"/>
  <c r="C54" i="14" s="1"/>
  <c r="C55" i="14" s="1"/>
  <c r="C56" i="14" s="1"/>
  <c r="C57" i="14" s="1"/>
  <c r="C58" i="14" s="1"/>
  <c r="C60" i="14" s="1"/>
  <c r="C61" i="14" s="1"/>
  <c r="C62" i="14" s="1"/>
  <c r="C63" i="14" s="1"/>
  <c r="C64" i="14" s="1"/>
  <c r="C65" i="14" s="1"/>
  <c r="C66" i="14" s="1"/>
  <c r="C67" i="14" s="1"/>
  <c r="C68" i="14" s="1"/>
  <c r="M62" i="14"/>
  <c r="L88" i="14"/>
  <c r="M88" i="14" s="1"/>
  <c r="N88" i="14" s="1"/>
  <c r="N62" i="14"/>
  <c r="J12" i="14"/>
  <c r="M51" i="14"/>
  <c r="K47" i="14"/>
  <c r="N51" i="14"/>
  <c r="N54" i="14"/>
  <c r="M54" i="14"/>
  <c r="M25" i="14"/>
  <c r="N25" i="14"/>
  <c r="M28" i="14"/>
  <c r="N28" i="14"/>
  <c r="D27" i="14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3" i="14" s="1"/>
  <c r="D54" i="14" s="1"/>
  <c r="D55" i="14" s="1"/>
  <c r="D56" i="14" s="1"/>
  <c r="D57" i="14" s="1"/>
  <c r="D58" i="14" s="1"/>
  <c r="D60" i="14" s="1"/>
  <c r="D61" i="14" s="1"/>
  <c r="D62" i="14" s="1"/>
  <c r="D63" i="14" s="1"/>
  <c r="D64" i="14" s="1"/>
  <c r="D65" i="14" s="1"/>
  <c r="D66" i="14" s="1"/>
  <c r="D67" i="14" s="1"/>
  <c r="D68" i="14" s="1"/>
  <c r="D24" i="14"/>
  <c r="B24" i="14"/>
  <c r="B27" i="14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3" i="14" s="1"/>
  <c r="B54" i="14" s="1"/>
  <c r="B55" i="14" s="1"/>
  <c r="B56" i="14" s="1"/>
  <c r="B57" i="14" s="1"/>
  <c r="B58" i="14" s="1"/>
  <c r="B60" i="14" s="1"/>
  <c r="B61" i="14" s="1"/>
  <c r="B62" i="14" s="1"/>
  <c r="B63" i="14" s="1"/>
  <c r="B64" i="14" s="1"/>
  <c r="B65" i="14" s="1"/>
  <c r="B66" i="14" s="1"/>
  <c r="B67" i="14" s="1"/>
  <c r="B68" i="14" s="1"/>
  <c r="M26" i="14"/>
  <c r="N26" i="14"/>
  <c r="H4" i="14"/>
  <c r="I4" i="14" s="1"/>
  <c r="J4" i="14" s="1"/>
  <c r="Q19" i="14"/>
  <c r="M29" i="14"/>
  <c r="K12" i="14"/>
  <c r="K41" i="14"/>
  <c r="M46" i="14"/>
  <c r="J47" i="14"/>
  <c r="K86" i="14" s="1"/>
  <c r="M52" i="14"/>
  <c r="M61" i="14"/>
  <c r="K74" i="14"/>
  <c r="L74" i="14" s="1"/>
  <c r="L89" i="14"/>
  <c r="M89" i="14" s="1"/>
  <c r="N89" i="14" s="1"/>
  <c r="J20" i="14"/>
  <c r="N35" i="14"/>
  <c r="N46" i="14"/>
  <c r="M64" i="14"/>
  <c r="C13" i="14"/>
  <c r="J55" i="14"/>
  <c r="K87" i="14" s="1"/>
  <c r="P10" i="14"/>
  <c r="K20" i="14"/>
  <c r="N24" i="14"/>
  <c r="M63" i="14"/>
  <c r="J77" i="14"/>
  <c r="K64" i="13"/>
  <c r="K59" i="13"/>
  <c r="K51" i="13"/>
  <c r="K26" i="13"/>
  <c r="K25" i="13"/>
  <c r="K24" i="13"/>
  <c r="R3" i="17" l="1"/>
  <c r="R4" i="17" s="1"/>
  <c r="S3" i="17"/>
  <c r="T3" i="17" s="1"/>
  <c r="N4" i="17"/>
  <c r="O4" i="17" s="1"/>
  <c r="N18" i="17"/>
  <c r="M18" i="17"/>
  <c r="K10" i="17"/>
  <c r="M15" i="16"/>
  <c r="N15" i="16"/>
  <c r="K16" i="16"/>
  <c r="C17" i="16"/>
  <c r="J16" i="16"/>
  <c r="N19" i="15"/>
  <c r="M19" i="15"/>
  <c r="M13" i="15"/>
  <c r="N13" i="15"/>
  <c r="K14" i="15"/>
  <c r="C15" i="15"/>
  <c r="J14" i="15"/>
  <c r="M11" i="15"/>
  <c r="N11" i="15"/>
  <c r="M84" i="15"/>
  <c r="N84" i="15" s="1"/>
  <c r="L83" i="15"/>
  <c r="M83" i="15" s="1"/>
  <c r="N83" i="15" s="1"/>
  <c r="M12" i="14"/>
  <c r="N12" i="14"/>
  <c r="M59" i="14"/>
  <c r="N59" i="14"/>
  <c r="K55" i="14"/>
  <c r="K19" i="14" s="1"/>
  <c r="N41" i="14"/>
  <c r="M41" i="14"/>
  <c r="L84" i="14"/>
  <c r="N20" i="14"/>
  <c r="M20" i="14"/>
  <c r="K11" i="14"/>
  <c r="K13" i="14"/>
  <c r="J13" i="14"/>
  <c r="C14" i="14"/>
  <c r="J19" i="14"/>
  <c r="K84" i="14"/>
  <c r="K83" i="14" s="1"/>
  <c r="J11" i="14"/>
  <c r="R10" i="14"/>
  <c r="Q10" i="14"/>
  <c r="L86" i="14"/>
  <c r="M86" i="14" s="1"/>
  <c r="N86" i="14" s="1"/>
  <c r="N47" i="14"/>
  <c r="M47" i="14"/>
  <c r="K54" i="13"/>
  <c r="K28" i="13"/>
  <c r="N10" i="17" l="1"/>
  <c r="S4" i="17"/>
  <c r="T4" i="17" s="1"/>
  <c r="L1" i="17"/>
  <c r="M1" i="17" s="1"/>
  <c r="N1" i="17" s="1"/>
  <c r="N5" i="17"/>
  <c r="O5" i="17" s="1"/>
  <c r="M10" i="17"/>
  <c r="K4" i="17"/>
  <c r="N16" i="16"/>
  <c r="M16" i="16"/>
  <c r="C18" i="16"/>
  <c r="J17" i="16"/>
  <c r="K17" i="16"/>
  <c r="C16" i="15"/>
  <c r="J15" i="15"/>
  <c r="K15" i="15"/>
  <c r="N14" i="15"/>
  <c r="M14" i="15"/>
  <c r="C15" i="14"/>
  <c r="J14" i="14"/>
  <c r="K14" i="14"/>
  <c r="M19" i="14"/>
  <c r="N19" i="14"/>
  <c r="N13" i="14"/>
  <c r="M13" i="14"/>
  <c r="L87" i="14"/>
  <c r="M87" i="14" s="1"/>
  <c r="N87" i="14" s="1"/>
  <c r="M55" i="14"/>
  <c r="N55" i="14"/>
  <c r="N11" i="14"/>
  <c r="M11" i="14"/>
  <c r="M84" i="14"/>
  <c r="N84" i="14" s="1"/>
  <c r="N64" i="13"/>
  <c r="J64" i="13"/>
  <c r="J62" i="13"/>
  <c r="J61" i="13"/>
  <c r="J59" i="13"/>
  <c r="J54" i="13"/>
  <c r="J52" i="13"/>
  <c r="J51" i="13"/>
  <c r="J46" i="13"/>
  <c r="J28" i="13"/>
  <c r="J26" i="13"/>
  <c r="J25" i="13"/>
  <c r="J24" i="13"/>
  <c r="E86" i="13"/>
  <c r="E93" i="13" s="1"/>
  <c r="H79" i="13"/>
  <c r="J78" i="13"/>
  <c r="G78" i="13"/>
  <c r="G80" i="13" s="1"/>
  <c r="F78" i="13"/>
  <c r="H78" i="13" s="1"/>
  <c r="G75" i="13"/>
  <c r="H75" i="13" s="1"/>
  <c r="H76" i="13" s="1"/>
  <c r="F75" i="13"/>
  <c r="N73" i="13"/>
  <c r="L73" i="13"/>
  <c r="N72" i="13"/>
  <c r="L72" i="13"/>
  <c r="J72" i="13"/>
  <c r="J77" i="13" s="1"/>
  <c r="F72" i="13"/>
  <c r="H72" i="13" s="1"/>
  <c r="H73" i="13" s="1"/>
  <c r="N68" i="13"/>
  <c r="M68" i="13"/>
  <c r="N67" i="13"/>
  <c r="M67" i="13"/>
  <c r="N66" i="13"/>
  <c r="M66" i="13"/>
  <c r="N65" i="13"/>
  <c r="M65" i="13"/>
  <c r="K89" i="13"/>
  <c r="J63" i="13"/>
  <c r="K62" i="13"/>
  <c r="N62" i="13" s="1"/>
  <c r="K88" i="13"/>
  <c r="K61" i="13"/>
  <c r="N60" i="13"/>
  <c r="M60" i="13"/>
  <c r="N59" i="13"/>
  <c r="M59" i="13"/>
  <c r="N58" i="13"/>
  <c r="M58" i="13"/>
  <c r="N57" i="13"/>
  <c r="M57" i="13"/>
  <c r="N56" i="13"/>
  <c r="M56" i="13"/>
  <c r="J55" i="13"/>
  <c r="K87" i="13" s="1"/>
  <c r="M54" i="13"/>
  <c r="N53" i="13"/>
  <c r="M53" i="13"/>
  <c r="M52" i="13"/>
  <c r="N50" i="13"/>
  <c r="M50" i="13"/>
  <c r="N49" i="13"/>
  <c r="M49" i="13"/>
  <c r="N48" i="13"/>
  <c r="M48" i="13"/>
  <c r="N45" i="13"/>
  <c r="M45" i="13"/>
  <c r="N44" i="13"/>
  <c r="M44" i="13"/>
  <c r="N43" i="13"/>
  <c r="M43" i="13"/>
  <c r="N42" i="13"/>
  <c r="M42" i="13"/>
  <c r="N40" i="13"/>
  <c r="M40" i="13"/>
  <c r="N39" i="13"/>
  <c r="M39" i="13"/>
  <c r="N38" i="13"/>
  <c r="M38" i="13"/>
  <c r="N37" i="13"/>
  <c r="M37" i="13"/>
  <c r="N36" i="13"/>
  <c r="M36" i="13"/>
  <c r="K35" i="13"/>
  <c r="M35" i="13" s="1"/>
  <c r="J35" i="13"/>
  <c r="N34" i="13"/>
  <c r="M34" i="13"/>
  <c r="N33" i="13"/>
  <c r="M33" i="13"/>
  <c r="N32" i="13"/>
  <c r="M32" i="13"/>
  <c r="N31" i="13"/>
  <c r="M31" i="13"/>
  <c r="N30" i="13"/>
  <c r="M30" i="13"/>
  <c r="N29" i="13"/>
  <c r="K29" i="13"/>
  <c r="M29" i="13" s="1"/>
  <c r="J29" i="13"/>
  <c r="N28" i="13"/>
  <c r="N27" i="13"/>
  <c r="M27" i="13"/>
  <c r="N25" i="13"/>
  <c r="M25" i="13"/>
  <c r="M24" i="13"/>
  <c r="D24" i="13"/>
  <c r="N23" i="13"/>
  <c r="M23" i="13"/>
  <c r="C23" i="13"/>
  <c r="N22" i="13"/>
  <c r="M22" i="13"/>
  <c r="D22" i="13"/>
  <c r="D23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3" i="13" s="1"/>
  <c r="D54" i="13" s="1"/>
  <c r="D55" i="13" s="1"/>
  <c r="D56" i="13" s="1"/>
  <c r="D57" i="13" s="1"/>
  <c r="D58" i="13" s="1"/>
  <c r="D60" i="13" s="1"/>
  <c r="D61" i="13" s="1"/>
  <c r="D62" i="13" s="1"/>
  <c r="D63" i="13" s="1"/>
  <c r="D64" i="13" s="1"/>
  <c r="D65" i="13" s="1"/>
  <c r="D66" i="13" s="1"/>
  <c r="D67" i="13" s="1"/>
  <c r="D68" i="13" s="1"/>
  <c r="N21" i="13"/>
  <c r="M21" i="13"/>
  <c r="C21" i="13"/>
  <c r="C22" i="13" s="1"/>
  <c r="D20" i="13"/>
  <c r="D21" i="13" s="1"/>
  <c r="C20" i="13"/>
  <c r="B20" i="13"/>
  <c r="B21" i="13" s="1"/>
  <c r="B22" i="13" s="1"/>
  <c r="B23" i="13" s="1"/>
  <c r="Q19" i="13"/>
  <c r="P19" i="13"/>
  <c r="R19" i="13" s="1"/>
  <c r="I19" i="13"/>
  <c r="H19" i="13"/>
  <c r="C12" i="13"/>
  <c r="C11" i="13"/>
  <c r="R10" i="13"/>
  <c r="P10" i="13"/>
  <c r="Q10" i="13" s="1"/>
  <c r="O10" i="13"/>
  <c r="G10" i="13"/>
  <c r="F10" i="13"/>
  <c r="P9" i="13"/>
  <c r="K9" i="13"/>
  <c r="L9" i="13" s="1"/>
  <c r="B9" i="13"/>
  <c r="C9" i="13" s="1"/>
  <c r="D9" i="13" s="1"/>
  <c r="E9" i="13" s="1"/>
  <c r="F9" i="13" s="1"/>
  <c r="G9" i="13" s="1"/>
  <c r="L4" i="13"/>
  <c r="F4" i="13"/>
  <c r="H4" i="13" s="1"/>
  <c r="I4" i="13" s="1"/>
  <c r="J4" i="13" s="1"/>
  <c r="Q3" i="13"/>
  <c r="L3" i="13"/>
  <c r="K1" i="13"/>
  <c r="N17" i="16" l="1"/>
  <c r="M17" i="16"/>
  <c r="K18" i="16"/>
  <c r="J18" i="16"/>
  <c r="J10" i="16" s="1"/>
  <c r="C17" i="15"/>
  <c r="K16" i="15"/>
  <c r="J16" i="15"/>
  <c r="N15" i="15"/>
  <c r="M15" i="15"/>
  <c r="L83" i="14"/>
  <c r="M83" i="14" s="1"/>
  <c r="N83" i="14" s="1"/>
  <c r="N14" i="14"/>
  <c r="M14" i="14"/>
  <c r="C16" i="14"/>
  <c r="K15" i="14"/>
  <c r="J15" i="14"/>
  <c r="H10" i="13"/>
  <c r="B24" i="13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3" i="13" s="1"/>
  <c r="B54" i="13" s="1"/>
  <c r="B55" i="13" s="1"/>
  <c r="B56" i="13" s="1"/>
  <c r="B57" i="13" s="1"/>
  <c r="B58" i="13" s="1"/>
  <c r="B60" i="13" s="1"/>
  <c r="B61" i="13" s="1"/>
  <c r="B62" i="13" s="1"/>
  <c r="B63" i="13" s="1"/>
  <c r="B64" i="13" s="1"/>
  <c r="B65" i="13" s="1"/>
  <c r="B66" i="13" s="1"/>
  <c r="B67" i="13" s="1"/>
  <c r="B68" i="13" s="1"/>
  <c r="C24" i="13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3" i="13" s="1"/>
  <c r="C54" i="13" s="1"/>
  <c r="C55" i="13" s="1"/>
  <c r="C56" i="13" s="1"/>
  <c r="C57" i="13" s="1"/>
  <c r="C58" i="13" s="1"/>
  <c r="C60" i="13" s="1"/>
  <c r="C61" i="13" s="1"/>
  <c r="C62" i="13" s="1"/>
  <c r="C63" i="13" s="1"/>
  <c r="C64" i="13" s="1"/>
  <c r="C65" i="13" s="1"/>
  <c r="C66" i="13" s="1"/>
  <c r="C67" i="13" s="1"/>
  <c r="C68" i="13" s="1"/>
  <c r="N61" i="13"/>
  <c r="K55" i="13"/>
  <c r="I10" i="13"/>
  <c r="K20" i="13"/>
  <c r="N24" i="13"/>
  <c r="J20" i="13"/>
  <c r="M28" i="13"/>
  <c r="K46" i="13"/>
  <c r="J41" i="13"/>
  <c r="K85" i="13"/>
  <c r="J47" i="13"/>
  <c r="K86" i="13" s="1"/>
  <c r="C13" i="13"/>
  <c r="J12" i="13"/>
  <c r="K12" i="13"/>
  <c r="N35" i="13"/>
  <c r="N52" i="13"/>
  <c r="N54" i="13"/>
  <c r="M61" i="13"/>
  <c r="M62" i="13"/>
  <c r="L88" i="13"/>
  <c r="M88" i="13" s="1"/>
  <c r="N88" i="13" s="1"/>
  <c r="M64" i="13"/>
  <c r="K63" i="13"/>
  <c r="K74" i="13"/>
  <c r="L74" i="13" s="1"/>
  <c r="L89" i="13"/>
  <c r="M89" i="13" s="1"/>
  <c r="N89" i="13" s="1"/>
  <c r="K54" i="12"/>
  <c r="K51" i="12"/>
  <c r="R3" i="16" l="1"/>
  <c r="R4" i="16" s="1"/>
  <c r="N4" i="16"/>
  <c r="O4" i="16" s="1"/>
  <c r="S3" i="16"/>
  <c r="T3" i="16" s="1"/>
  <c r="N18" i="16"/>
  <c r="M18" i="16"/>
  <c r="K10" i="16"/>
  <c r="N16" i="15"/>
  <c r="M16" i="15"/>
  <c r="C18" i="15"/>
  <c r="K17" i="15"/>
  <c r="J17" i="15"/>
  <c r="J16" i="14"/>
  <c r="C17" i="14"/>
  <c r="K16" i="14"/>
  <c r="N15" i="14"/>
  <c r="M15" i="14"/>
  <c r="K13" i="13"/>
  <c r="J13" i="13"/>
  <c r="C14" i="13"/>
  <c r="K84" i="13"/>
  <c r="K83" i="13" s="1"/>
  <c r="J19" i="13"/>
  <c r="J11" i="13"/>
  <c r="N55" i="13"/>
  <c r="L87" i="13"/>
  <c r="M87" i="13" s="1"/>
  <c r="N87" i="13" s="1"/>
  <c r="M55" i="13"/>
  <c r="M12" i="13"/>
  <c r="N12" i="13"/>
  <c r="N51" i="13"/>
  <c r="K47" i="13"/>
  <c r="M51" i="13"/>
  <c r="L84" i="13"/>
  <c r="M20" i="13"/>
  <c r="K11" i="13"/>
  <c r="N20" i="13"/>
  <c r="L85" i="13"/>
  <c r="M85" i="13" s="1"/>
  <c r="N85" i="13" s="1"/>
  <c r="N46" i="13"/>
  <c r="K41" i="13"/>
  <c r="K19" i="13" s="1"/>
  <c r="M46" i="13"/>
  <c r="N63" i="13"/>
  <c r="M63" i="13"/>
  <c r="N26" i="13"/>
  <c r="M26" i="13"/>
  <c r="J64" i="12"/>
  <c r="K64" i="12" s="1"/>
  <c r="J62" i="12"/>
  <c r="K88" i="12" s="1"/>
  <c r="J61" i="12"/>
  <c r="J59" i="12"/>
  <c r="J54" i="12"/>
  <c r="J52" i="12"/>
  <c r="J51" i="12"/>
  <c r="J46" i="12"/>
  <c r="J28" i="12"/>
  <c r="J26" i="12"/>
  <c r="J25" i="12"/>
  <c r="J24" i="12"/>
  <c r="E86" i="12"/>
  <c r="E93" i="12" s="1"/>
  <c r="J78" i="12"/>
  <c r="G78" i="12"/>
  <c r="G80" i="12" s="1"/>
  <c r="F78" i="12"/>
  <c r="H78" i="12" s="1"/>
  <c r="H79" i="12" s="1"/>
  <c r="G75" i="12"/>
  <c r="F75" i="12"/>
  <c r="N73" i="12"/>
  <c r="L73" i="12"/>
  <c r="N72" i="12"/>
  <c r="L72" i="12"/>
  <c r="J72" i="12"/>
  <c r="J77" i="12" s="1"/>
  <c r="H72" i="12"/>
  <c r="H73" i="12" s="1"/>
  <c r="F72" i="12"/>
  <c r="N68" i="12"/>
  <c r="M68" i="12"/>
  <c r="N67" i="12"/>
  <c r="M67" i="12"/>
  <c r="N66" i="12"/>
  <c r="M66" i="12"/>
  <c r="N65" i="12"/>
  <c r="M65" i="12"/>
  <c r="K62" i="12"/>
  <c r="N62" i="12" s="1"/>
  <c r="K61" i="12"/>
  <c r="N61" i="12" s="1"/>
  <c r="N60" i="12"/>
  <c r="M60" i="12"/>
  <c r="N58" i="12"/>
  <c r="M58" i="12"/>
  <c r="N57" i="12"/>
  <c r="M57" i="12"/>
  <c r="N56" i="12"/>
  <c r="M56" i="12"/>
  <c r="N53" i="12"/>
  <c r="M53" i="12"/>
  <c r="N52" i="12"/>
  <c r="N50" i="12"/>
  <c r="M50" i="12"/>
  <c r="N49" i="12"/>
  <c r="M49" i="12"/>
  <c r="N48" i="12"/>
  <c r="M48" i="12"/>
  <c r="K85" i="12"/>
  <c r="N45" i="12"/>
  <c r="M45" i="12"/>
  <c r="N44" i="12"/>
  <c r="M44" i="12"/>
  <c r="N43" i="12"/>
  <c r="M43" i="12"/>
  <c r="N42" i="12"/>
  <c r="M42" i="12"/>
  <c r="J41" i="12"/>
  <c r="N40" i="12"/>
  <c r="M40" i="12"/>
  <c r="N39" i="12"/>
  <c r="M39" i="12"/>
  <c r="N38" i="12"/>
  <c r="M38" i="12"/>
  <c r="N37" i="12"/>
  <c r="M37" i="12"/>
  <c r="N36" i="12"/>
  <c r="M36" i="12"/>
  <c r="N35" i="12"/>
  <c r="K35" i="12"/>
  <c r="J35" i="12"/>
  <c r="N34" i="12"/>
  <c r="M34" i="12"/>
  <c r="N33" i="12"/>
  <c r="M33" i="12"/>
  <c r="N32" i="12"/>
  <c r="M32" i="12"/>
  <c r="N31" i="12"/>
  <c r="M31" i="12"/>
  <c r="N30" i="12"/>
  <c r="M30" i="12"/>
  <c r="K29" i="12"/>
  <c r="J29" i="12"/>
  <c r="N28" i="12"/>
  <c r="M28" i="12"/>
  <c r="K28" i="12"/>
  <c r="N27" i="12"/>
  <c r="M27" i="12"/>
  <c r="K26" i="12"/>
  <c r="M26" i="12" s="1"/>
  <c r="N25" i="12"/>
  <c r="N23" i="12"/>
  <c r="M23" i="12"/>
  <c r="N22" i="12"/>
  <c r="M22" i="12"/>
  <c r="N21" i="12"/>
  <c r="M21" i="12"/>
  <c r="D21" i="12"/>
  <c r="D22" i="12" s="1"/>
  <c r="D23" i="12" s="1"/>
  <c r="B21" i="12"/>
  <c r="B22" i="12" s="1"/>
  <c r="B23" i="12" s="1"/>
  <c r="D20" i="12"/>
  <c r="C20" i="12"/>
  <c r="B20" i="12"/>
  <c r="P19" i="12"/>
  <c r="Q19" i="12" s="1"/>
  <c r="I19" i="12"/>
  <c r="H19" i="12"/>
  <c r="C12" i="12"/>
  <c r="C11" i="12"/>
  <c r="P10" i="12"/>
  <c r="R10" i="12" s="1"/>
  <c r="O10" i="12"/>
  <c r="G10" i="12"/>
  <c r="F10" i="12"/>
  <c r="P9" i="12"/>
  <c r="K9" i="12"/>
  <c r="L9" i="12" s="1"/>
  <c r="E9" i="12"/>
  <c r="F9" i="12" s="1"/>
  <c r="G9" i="12" s="1"/>
  <c r="B9" i="12"/>
  <c r="C9" i="12" s="1"/>
  <c r="D9" i="12" s="1"/>
  <c r="L4" i="12"/>
  <c r="F4" i="12"/>
  <c r="Q3" i="12"/>
  <c r="L3" i="12"/>
  <c r="K1" i="12"/>
  <c r="N10" i="16" l="1"/>
  <c r="S4" i="16"/>
  <c r="T4" i="16" s="1"/>
  <c r="N5" i="16"/>
  <c r="O5" i="16" s="1"/>
  <c r="M10" i="16"/>
  <c r="L1" i="16"/>
  <c r="M1" i="16" s="1"/>
  <c r="N1" i="16" s="1"/>
  <c r="K4" i="16"/>
  <c r="M17" i="15"/>
  <c r="N17" i="15"/>
  <c r="K18" i="15"/>
  <c r="J18" i="15"/>
  <c r="J10" i="15" s="1"/>
  <c r="M16" i="14"/>
  <c r="N16" i="14"/>
  <c r="K17" i="14"/>
  <c r="C18" i="14"/>
  <c r="J17" i="14"/>
  <c r="N11" i="13"/>
  <c r="M11" i="13"/>
  <c r="M19" i="13"/>
  <c r="N19" i="13"/>
  <c r="M84" i="13"/>
  <c r="N84" i="13" s="1"/>
  <c r="C15" i="13"/>
  <c r="J14" i="13"/>
  <c r="K14" i="13"/>
  <c r="M41" i="13"/>
  <c r="N41" i="13"/>
  <c r="M47" i="13"/>
  <c r="L86" i="13"/>
  <c r="M86" i="13" s="1"/>
  <c r="N86" i="13" s="1"/>
  <c r="N47" i="13"/>
  <c r="N13" i="13"/>
  <c r="M13" i="13"/>
  <c r="H75" i="12"/>
  <c r="H76" i="12" s="1"/>
  <c r="H10" i="12"/>
  <c r="I10" i="12"/>
  <c r="J63" i="12"/>
  <c r="K89" i="12"/>
  <c r="L88" i="12"/>
  <c r="M61" i="12"/>
  <c r="M52" i="12"/>
  <c r="N26" i="12"/>
  <c r="M25" i="12"/>
  <c r="H4" i="12"/>
  <c r="I4" i="12" s="1"/>
  <c r="J4" i="12" s="1"/>
  <c r="B24" i="12"/>
  <c r="B27" i="12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3" i="12" s="1"/>
  <c r="B54" i="12" s="1"/>
  <c r="B55" i="12" s="1"/>
  <c r="B56" i="12" s="1"/>
  <c r="B57" i="12" s="1"/>
  <c r="B58" i="12" s="1"/>
  <c r="B60" i="12" s="1"/>
  <c r="B61" i="12" s="1"/>
  <c r="B62" i="12" s="1"/>
  <c r="B63" i="12" s="1"/>
  <c r="B64" i="12" s="1"/>
  <c r="B65" i="12" s="1"/>
  <c r="B66" i="12" s="1"/>
  <c r="B67" i="12" s="1"/>
  <c r="B68" i="12" s="1"/>
  <c r="K24" i="12"/>
  <c r="J20" i="12"/>
  <c r="J11" i="12" s="1"/>
  <c r="J47" i="12"/>
  <c r="K86" i="12" s="1"/>
  <c r="C13" i="12"/>
  <c r="C21" i="12"/>
  <c r="C22" i="12" s="1"/>
  <c r="C23" i="12" s="1"/>
  <c r="D24" i="12"/>
  <c r="D27" i="12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3" i="12" s="1"/>
  <c r="D54" i="12" s="1"/>
  <c r="D55" i="12" s="1"/>
  <c r="D56" i="12" s="1"/>
  <c r="D57" i="12" s="1"/>
  <c r="D58" i="12" s="1"/>
  <c r="D60" i="12" s="1"/>
  <c r="D61" i="12" s="1"/>
  <c r="D62" i="12" s="1"/>
  <c r="D63" i="12" s="1"/>
  <c r="D64" i="12" s="1"/>
  <c r="D65" i="12" s="1"/>
  <c r="D66" i="12" s="1"/>
  <c r="D67" i="12" s="1"/>
  <c r="D68" i="12" s="1"/>
  <c r="J55" i="12"/>
  <c r="K87" i="12" s="1"/>
  <c r="N54" i="12"/>
  <c r="M54" i="12"/>
  <c r="M88" i="12"/>
  <c r="N88" i="12" s="1"/>
  <c r="M64" i="12"/>
  <c r="K63" i="12"/>
  <c r="M29" i="12"/>
  <c r="N64" i="12"/>
  <c r="Q10" i="12"/>
  <c r="R19" i="12"/>
  <c r="N29" i="12"/>
  <c r="M62" i="12"/>
  <c r="L89" i="12"/>
  <c r="M89" i="12" s="1"/>
  <c r="N89" i="12" s="1"/>
  <c r="M35" i="12"/>
  <c r="K46" i="12"/>
  <c r="K74" i="12"/>
  <c r="L74" i="12" s="1"/>
  <c r="P19" i="11"/>
  <c r="R3" i="15" l="1"/>
  <c r="R4" i="15" s="1"/>
  <c r="S3" i="15"/>
  <c r="T3" i="15" s="1"/>
  <c r="N4" i="15"/>
  <c r="O4" i="15" s="1"/>
  <c r="N18" i="15"/>
  <c r="M18" i="15"/>
  <c r="K10" i="15"/>
  <c r="N17" i="14"/>
  <c r="M17" i="14"/>
  <c r="J18" i="14"/>
  <c r="J10" i="14" s="1"/>
  <c r="K18" i="14"/>
  <c r="K10" i="14" s="1"/>
  <c r="M14" i="13"/>
  <c r="N14" i="13"/>
  <c r="L83" i="13"/>
  <c r="M83" i="13" s="1"/>
  <c r="N83" i="13" s="1"/>
  <c r="K15" i="13"/>
  <c r="C16" i="13"/>
  <c r="J15" i="13"/>
  <c r="M63" i="12"/>
  <c r="N63" i="12"/>
  <c r="C14" i="12"/>
  <c r="K20" i="12"/>
  <c r="N24" i="12"/>
  <c r="M24" i="12"/>
  <c r="N59" i="12"/>
  <c r="M59" i="12"/>
  <c r="K55" i="12"/>
  <c r="N51" i="12"/>
  <c r="M51" i="12"/>
  <c r="K47" i="12"/>
  <c r="L85" i="12"/>
  <c r="M85" i="12" s="1"/>
  <c r="N85" i="12" s="1"/>
  <c r="N46" i="12"/>
  <c r="K41" i="12"/>
  <c r="M46" i="12"/>
  <c r="C27" i="12"/>
  <c r="C28" i="12" s="1"/>
  <c r="C29" i="12" s="1"/>
  <c r="C24" i="12"/>
  <c r="K84" i="12"/>
  <c r="K83" i="12" s="1"/>
  <c r="J19" i="12"/>
  <c r="N5" i="15" l="1"/>
  <c r="O5" i="15" s="1"/>
  <c r="M10" i="15"/>
  <c r="L1" i="15"/>
  <c r="M1" i="15" s="1"/>
  <c r="N1" i="15" s="1"/>
  <c r="S4" i="15"/>
  <c r="T4" i="15" s="1"/>
  <c r="N10" i="15"/>
  <c r="K4" i="15"/>
  <c r="N10" i="14"/>
  <c r="S4" i="14"/>
  <c r="T4" i="14" s="1"/>
  <c r="M10" i="14"/>
  <c r="L1" i="14"/>
  <c r="M1" i="14" s="1"/>
  <c r="N1" i="14" s="1"/>
  <c r="N5" i="14"/>
  <c r="O5" i="14" s="1"/>
  <c r="K4" i="14"/>
  <c r="N4" i="14"/>
  <c r="O4" i="14" s="1"/>
  <c r="S3" i="14"/>
  <c r="T3" i="14" s="1"/>
  <c r="R3" i="14"/>
  <c r="R4" i="14" s="1"/>
  <c r="N18" i="14"/>
  <c r="M18" i="14"/>
  <c r="C17" i="13"/>
  <c r="J16" i="13"/>
  <c r="K16" i="13"/>
  <c r="N15" i="13"/>
  <c r="M15" i="13"/>
  <c r="N47" i="12"/>
  <c r="M47" i="12"/>
  <c r="L86" i="12"/>
  <c r="M86" i="12" s="1"/>
  <c r="N86" i="12" s="1"/>
  <c r="M41" i="12"/>
  <c r="N41" i="12"/>
  <c r="L84" i="12"/>
  <c r="N20" i="12"/>
  <c r="K19" i="12"/>
  <c r="M20" i="12"/>
  <c r="K11" i="12"/>
  <c r="C15" i="12"/>
  <c r="C30" i="12"/>
  <c r="C31" i="12" s="1"/>
  <c r="C32" i="12" s="1"/>
  <c r="C33" i="12" s="1"/>
  <c r="C34" i="12" s="1"/>
  <c r="C35" i="12" s="1"/>
  <c r="J12" i="12"/>
  <c r="K12" i="12"/>
  <c r="M55" i="12"/>
  <c r="N55" i="12"/>
  <c r="L87" i="12"/>
  <c r="M87" i="12" s="1"/>
  <c r="N87" i="12" s="1"/>
  <c r="M16" i="13" l="1"/>
  <c r="N16" i="13"/>
  <c r="K17" i="13"/>
  <c r="J17" i="13"/>
  <c r="C18" i="13"/>
  <c r="M12" i="12"/>
  <c r="N12" i="12"/>
  <c r="M19" i="12"/>
  <c r="N19" i="12"/>
  <c r="C16" i="12"/>
  <c r="C36" i="12"/>
  <c r="C37" i="12" s="1"/>
  <c r="C38" i="12" s="1"/>
  <c r="C39" i="12" s="1"/>
  <c r="C40" i="12" s="1"/>
  <c r="C41" i="12" s="1"/>
  <c r="J13" i="12"/>
  <c r="K13" i="12"/>
  <c r="N11" i="12"/>
  <c r="M11" i="12"/>
  <c r="L83" i="12"/>
  <c r="M83" i="12" s="1"/>
  <c r="N83" i="12" s="1"/>
  <c r="M84" i="12"/>
  <c r="N84" i="12" s="1"/>
  <c r="J18" i="13" l="1"/>
  <c r="J10" i="13" s="1"/>
  <c r="K18" i="13"/>
  <c r="N17" i="13"/>
  <c r="M17" i="13"/>
  <c r="N13" i="12"/>
  <c r="M13" i="12"/>
  <c r="C17" i="12"/>
  <c r="C42" i="12"/>
  <c r="C43" i="12" s="1"/>
  <c r="C44" i="12" s="1"/>
  <c r="C45" i="12" s="1"/>
  <c r="C46" i="12" s="1"/>
  <c r="C47" i="12" s="1"/>
  <c r="K14" i="12"/>
  <c r="J14" i="12"/>
  <c r="N4" i="13" l="1"/>
  <c r="O4" i="13" s="1"/>
  <c r="R3" i="13"/>
  <c r="R4" i="13" s="1"/>
  <c r="S3" i="13"/>
  <c r="T3" i="13" s="1"/>
  <c r="M18" i="13"/>
  <c r="N18" i="13"/>
  <c r="K10" i="13"/>
  <c r="C48" i="12"/>
  <c r="C49" i="12" s="1"/>
  <c r="C50" i="12" s="1"/>
  <c r="C53" i="12" s="1"/>
  <c r="C54" i="12" s="1"/>
  <c r="C55" i="12" s="1"/>
  <c r="K15" i="12"/>
  <c r="J15" i="12"/>
  <c r="N14" i="12"/>
  <c r="M14" i="12"/>
  <c r="C18" i="12"/>
  <c r="J13" i="11"/>
  <c r="J17" i="11"/>
  <c r="J20" i="11"/>
  <c r="J29" i="11"/>
  <c r="J12" i="11" s="1"/>
  <c r="J35" i="11"/>
  <c r="J41" i="11"/>
  <c r="J14" i="11" s="1"/>
  <c r="J47" i="11"/>
  <c r="J15" i="11" s="1"/>
  <c r="J55" i="11"/>
  <c r="J16" i="11" s="1"/>
  <c r="M10" i="13" l="1"/>
  <c r="L1" i="13"/>
  <c r="M1" i="13" s="1"/>
  <c r="N1" i="13" s="1"/>
  <c r="S4" i="13"/>
  <c r="T4" i="13" s="1"/>
  <c r="N10" i="13"/>
  <c r="N5" i="13"/>
  <c r="O5" i="13" s="1"/>
  <c r="K4" i="13"/>
  <c r="N15" i="12"/>
  <c r="M15" i="12"/>
  <c r="C56" i="12"/>
  <c r="C57" i="12" s="1"/>
  <c r="C58" i="12" s="1"/>
  <c r="C60" i="12" s="1"/>
  <c r="C61" i="12" s="1"/>
  <c r="C62" i="12" s="1"/>
  <c r="K16" i="12"/>
  <c r="J16" i="12"/>
  <c r="J11" i="11"/>
  <c r="M16" i="12" l="1"/>
  <c r="N16" i="12"/>
  <c r="C63" i="12"/>
  <c r="K17" i="12"/>
  <c r="J17" i="12"/>
  <c r="E93" i="11"/>
  <c r="K89" i="11"/>
  <c r="K88" i="11"/>
  <c r="E86" i="11"/>
  <c r="K85" i="11"/>
  <c r="J78" i="11"/>
  <c r="G78" i="11"/>
  <c r="G80" i="11" s="1"/>
  <c r="F78" i="11"/>
  <c r="G75" i="11"/>
  <c r="F75" i="11"/>
  <c r="N73" i="11"/>
  <c r="L73" i="11"/>
  <c r="H73" i="11"/>
  <c r="N72" i="11"/>
  <c r="J72" i="11"/>
  <c r="L72" i="11" s="1"/>
  <c r="H72" i="11"/>
  <c r="F72" i="11"/>
  <c r="N68" i="11"/>
  <c r="M68" i="11"/>
  <c r="N67" i="11"/>
  <c r="M67" i="11"/>
  <c r="N66" i="11"/>
  <c r="M66" i="11"/>
  <c r="N65" i="11"/>
  <c r="M65" i="11"/>
  <c r="N64" i="11"/>
  <c r="M64" i="11"/>
  <c r="K63" i="11"/>
  <c r="J63" i="11"/>
  <c r="N60" i="11"/>
  <c r="M60" i="11"/>
  <c r="N58" i="11"/>
  <c r="M58" i="11"/>
  <c r="N57" i="11"/>
  <c r="M57" i="11"/>
  <c r="N56" i="11"/>
  <c r="M56" i="11"/>
  <c r="N54" i="11"/>
  <c r="N53" i="11"/>
  <c r="M53" i="11"/>
  <c r="N51" i="11"/>
  <c r="N50" i="11"/>
  <c r="M50" i="11"/>
  <c r="N49" i="11"/>
  <c r="M49" i="11"/>
  <c r="N48" i="11"/>
  <c r="M48" i="11"/>
  <c r="N45" i="11"/>
  <c r="M45" i="11"/>
  <c r="N44" i="11"/>
  <c r="M44" i="11"/>
  <c r="N43" i="11"/>
  <c r="M43" i="11"/>
  <c r="N42" i="11"/>
  <c r="M42" i="11"/>
  <c r="N40" i="11"/>
  <c r="M40" i="11"/>
  <c r="N39" i="11"/>
  <c r="M39" i="11"/>
  <c r="N38" i="11"/>
  <c r="M38" i="11"/>
  <c r="N37" i="11"/>
  <c r="M37" i="11"/>
  <c r="N36" i="11"/>
  <c r="M36" i="11"/>
  <c r="K35" i="11"/>
  <c r="N34" i="11"/>
  <c r="M34" i="11"/>
  <c r="N33" i="11"/>
  <c r="M33" i="11"/>
  <c r="N32" i="11"/>
  <c r="M32" i="11"/>
  <c r="N31" i="11"/>
  <c r="M31" i="11"/>
  <c r="N30" i="11"/>
  <c r="M30" i="11"/>
  <c r="K29" i="11"/>
  <c r="N27" i="11"/>
  <c r="M27" i="11"/>
  <c r="N23" i="11"/>
  <c r="M23" i="11"/>
  <c r="D23" i="11"/>
  <c r="N22" i="11"/>
  <c r="M22" i="11"/>
  <c r="D22" i="11"/>
  <c r="N21" i="11"/>
  <c r="M21" i="11"/>
  <c r="D21" i="11"/>
  <c r="B21" i="11"/>
  <c r="B22" i="11" s="1"/>
  <c r="B23" i="11" s="1"/>
  <c r="D20" i="11"/>
  <c r="C20" i="11"/>
  <c r="B20" i="11"/>
  <c r="I19" i="11"/>
  <c r="H19" i="11"/>
  <c r="C11" i="11"/>
  <c r="O10" i="11"/>
  <c r="G10" i="11"/>
  <c r="F10" i="11"/>
  <c r="P9" i="11"/>
  <c r="K9" i="11"/>
  <c r="L9" i="11" s="1"/>
  <c r="C9" i="11"/>
  <c r="D9" i="11" s="1"/>
  <c r="E9" i="11" s="1"/>
  <c r="F9" i="11" s="1"/>
  <c r="G9" i="11" s="1"/>
  <c r="B9" i="11"/>
  <c r="L4" i="11"/>
  <c r="F4" i="11"/>
  <c r="Q3" i="11"/>
  <c r="L3" i="11"/>
  <c r="K1" i="11"/>
  <c r="H75" i="11" l="1"/>
  <c r="H76" i="11" s="1"/>
  <c r="N17" i="12"/>
  <c r="M17" i="12"/>
  <c r="C64" i="12"/>
  <c r="C65" i="12" s="1"/>
  <c r="C66" i="12" s="1"/>
  <c r="C67" i="12" s="1"/>
  <c r="C68" i="12" s="1"/>
  <c r="J18" i="12"/>
  <c r="J10" i="12" s="1"/>
  <c r="K18" i="12"/>
  <c r="K10" i="12" s="1"/>
  <c r="J77" i="11"/>
  <c r="H78" i="11"/>
  <c r="H79" i="11" s="1"/>
  <c r="H10" i="11"/>
  <c r="H4" i="11"/>
  <c r="I4" i="11" s="1"/>
  <c r="J4" i="11" s="1"/>
  <c r="I10" i="11"/>
  <c r="J18" i="11"/>
  <c r="J10" i="11" s="1"/>
  <c r="J19" i="11"/>
  <c r="M61" i="11"/>
  <c r="N61" i="11"/>
  <c r="K47" i="11"/>
  <c r="L86" i="11" s="1"/>
  <c r="K20" i="11"/>
  <c r="C21" i="11"/>
  <c r="C22" i="11" s="1"/>
  <c r="C23" i="11" s="1"/>
  <c r="N29" i="11"/>
  <c r="M29" i="11"/>
  <c r="M62" i="11"/>
  <c r="L88" i="11"/>
  <c r="M88" i="11" s="1"/>
  <c r="N88" i="11" s="1"/>
  <c r="N62" i="11"/>
  <c r="D24" i="11"/>
  <c r="D27" i="1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3" i="11" s="1"/>
  <c r="D54" i="11" s="1"/>
  <c r="D55" i="11" s="1"/>
  <c r="D56" i="11" s="1"/>
  <c r="D57" i="11" s="1"/>
  <c r="D58" i="11" s="1"/>
  <c r="D60" i="11" s="1"/>
  <c r="D61" i="11" s="1"/>
  <c r="D62" i="11" s="1"/>
  <c r="D63" i="11" s="1"/>
  <c r="D64" i="11" s="1"/>
  <c r="D65" i="11" s="1"/>
  <c r="D66" i="11" s="1"/>
  <c r="D67" i="11" s="1"/>
  <c r="D68" i="11" s="1"/>
  <c r="N35" i="11"/>
  <c r="M35" i="1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3" i="11" s="1"/>
  <c r="B54" i="11" s="1"/>
  <c r="B55" i="11" s="1"/>
  <c r="B56" i="11" s="1"/>
  <c r="B57" i="11" s="1"/>
  <c r="B58" i="11" s="1"/>
  <c r="B60" i="11" s="1"/>
  <c r="B61" i="11" s="1"/>
  <c r="B62" i="11" s="1"/>
  <c r="B63" i="11" s="1"/>
  <c r="B64" i="11" s="1"/>
  <c r="B65" i="11" s="1"/>
  <c r="B66" i="11" s="1"/>
  <c r="B67" i="11" s="1"/>
  <c r="B68" i="11" s="1"/>
  <c r="B24" i="11"/>
  <c r="N28" i="11"/>
  <c r="M28" i="11"/>
  <c r="P10" i="11"/>
  <c r="Q19" i="11"/>
  <c r="N24" i="11"/>
  <c r="K87" i="11"/>
  <c r="R19" i="11"/>
  <c r="M24" i="11"/>
  <c r="M51" i="11"/>
  <c r="N25" i="11"/>
  <c r="M25" i="11"/>
  <c r="N52" i="11"/>
  <c r="M52" i="11"/>
  <c r="M54" i="11"/>
  <c r="N63" i="11"/>
  <c r="M63" i="11"/>
  <c r="C12" i="11"/>
  <c r="K86" i="11"/>
  <c r="K74" i="11"/>
  <c r="L74" i="11" s="1"/>
  <c r="L89" i="11"/>
  <c r="M89" i="11" s="1"/>
  <c r="N89" i="11" s="1"/>
  <c r="P19" i="10"/>
  <c r="K54" i="10"/>
  <c r="K62" i="10"/>
  <c r="N4" i="12" l="1"/>
  <c r="O4" i="12" s="1"/>
  <c r="S3" i="12"/>
  <c r="T3" i="12" s="1"/>
  <c r="R3" i="12"/>
  <c r="R4" i="12" s="1"/>
  <c r="N10" i="12"/>
  <c r="S4" i="12"/>
  <c r="T4" i="12" s="1"/>
  <c r="M10" i="12"/>
  <c r="L1" i="12"/>
  <c r="M1" i="12" s="1"/>
  <c r="N1" i="12" s="1"/>
  <c r="N5" i="12"/>
  <c r="O5" i="12" s="1"/>
  <c r="K4" i="12"/>
  <c r="N18" i="12"/>
  <c r="M18" i="12"/>
  <c r="M46" i="11"/>
  <c r="L85" i="11"/>
  <c r="M85" i="11" s="1"/>
  <c r="N85" i="11" s="1"/>
  <c r="N46" i="11"/>
  <c r="K41" i="11"/>
  <c r="N20" i="11"/>
  <c r="L84" i="11"/>
  <c r="M20" i="11"/>
  <c r="K84" i="11"/>
  <c r="K83" i="11" s="1"/>
  <c r="N47" i="11"/>
  <c r="N59" i="11"/>
  <c r="M59" i="11"/>
  <c r="K55" i="11"/>
  <c r="K19" i="11" s="1"/>
  <c r="K11" i="11"/>
  <c r="K12" i="11"/>
  <c r="C13" i="11"/>
  <c r="M86" i="11"/>
  <c r="N86" i="11" s="1"/>
  <c r="C27" i="1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3" i="11" s="1"/>
  <c r="C54" i="11" s="1"/>
  <c r="C55" i="11" s="1"/>
  <c r="C56" i="11" s="1"/>
  <c r="C57" i="11" s="1"/>
  <c r="C58" i="11" s="1"/>
  <c r="C60" i="11" s="1"/>
  <c r="C61" i="11" s="1"/>
  <c r="C62" i="11" s="1"/>
  <c r="C63" i="11" s="1"/>
  <c r="C64" i="11" s="1"/>
  <c r="C65" i="11" s="1"/>
  <c r="C66" i="11" s="1"/>
  <c r="C67" i="11" s="1"/>
  <c r="C68" i="11" s="1"/>
  <c r="C24" i="11"/>
  <c r="M47" i="11"/>
  <c r="R10" i="11"/>
  <c r="Q10" i="11"/>
  <c r="N26" i="11"/>
  <c r="M26" i="11"/>
  <c r="J64" i="10"/>
  <c r="J62" i="10"/>
  <c r="J61" i="10"/>
  <c r="J59" i="10"/>
  <c r="J54" i="10"/>
  <c r="J47" i="10" s="1"/>
  <c r="K86" i="10" s="1"/>
  <c r="J52" i="10"/>
  <c r="J51" i="10"/>
  <c r="J46" i="10"/>
  <c r="K46" i="10" s="1"/>
  <c r="J28" i="10"/>
  <c r="J26" i="10"/>
  <c r="J25" i="10"/>
  <c r="J20" i="10" s="1"/>
  <c r="E86" i="10"/>
  <c r="E93" i="10" s="1"/>
  <c r="J78" i="10"/>
  <c r="G78" i="10"/>
  <c r="G80" i="10" s="1"/>
  <c r="F78" i="10"/>
  <c r="G75" i="10"/>
  <c r="F75" i="10"/>
  <c r="L73" i="10"/>
  <c r="N72" i="10"/>
  <c r="N73" i="10" s="1"/>
  <c r="J72" i="10"/>
  <c r="J77" i="10" s="1"/>
  <c r="F72" i="10"/>
  <c r="H72" i="10" s="1"/>
  <c r="H73" i="10" s="1"/>
  <c r="N68" i="10"/>
  <c r="M68" i="10"/>
  <c r="N67" i="10"/>
  <c r="M67" i="10"/>
  <c r="N66" i="10"/>
  <c r="M66" i="10"/>
  <c r="N65" i="10"/>
  <c r="M65" i="10"/>
  <c r="K88" i="10"/>
  <c r="K61" i="10"/>
  <c r="N60" i="10"/>
  <c r="M60" i="10"/>
  <c r="K59" i="10"/>
  <c r="N58" i="10"/>
  <c r="M58" i="10"/>
  <c r="N57" i="10"/>
  <c r="M57" i="10"/>
  <c r="N56" i="10"/>
  <c r="M56" i="10"/>
  <c r="J55" i="10"/>
  <c r="K87" i="10" s="1"/>
  <c r="N53" i="10"/>
  <c r="M53" i="10"/>
  <c r="K52" i="10"/>
  <c r="M52" i="10" s="1"/>
  <c r="K51" i="10"/>
  <c r="N51" i="10" s="1"/>
  <c r="N50" i="10"/>
  <c r="M50" i="10"/>
  <c r="N49" i="10"/>
  <c r="M49" i="10"/>
  <c r="N48" i="10"/>
  <c r="M48" i="10"/>
  <c r="N45" i="10"/>
  <c r="M45" i="10"/>
  <c r="N44" i="10"/>
  <c r="M44" i="10"/>
  <c r="N43" i="10"/>
  <c r="M43" i="10"/>
  <c r="N42" i="10"/>
  <c r="M42" i="10"/>
  <c r="J41" i="10"/>
  <c r="N40" i="10"/>
  <c r="M40" i="10"/>
  <c r="N39" i="10"/>
  <c r="M39" i="10"/>
  <c r="N38" i="10"/>
  <c r="M38" i="10"/>
  <c r="N37" i="10"/>
  <c r="M37" i="10"/>
  <c r="N36" i="10"/>
  <c r="M36" i="10"/>
  <c r="K35" i="10"/>
  <c r="N35" i="10" s="1"/>
  <c r="J35" i="10"/>
  <c r="M35" i="10" s="1"/>
  <c r="N34" i="10"/>
  <c r="M34" i="10"/>
  <c r="N33" i="10"/>
  <c r="M33" i="10"/>
  <c r="N32" i="10"/>
  <c r="M32" i="10"/>
  <c r="N31" i="10"/>
  <c r="M31" i="10"/>
  <c r="N30" i="10"/>
  <c r="M30" i="10"/>
  <c r="K29" i="10"/>
  <c r="M29" i="10" s="1"/>
  <c r="J29" i="10"/>
  <c r="K28" i="10"/>
  <c r="M28" i="10" s="1"/>
  <c r="N27" i="10"/>
  <c r="M27" i="10"/>
  <c r="K26" i="10"/>
  <c r="M26" i="10" s="1"/>
  <c r="K25" i="10"/>
  <c r="M25" i="10" s="1"/>
  <c r="J24" i="10"/>
  <c r="K24" i="10" s="1"/>
  <c r="M24" i="10" s="1"/>
  <c r="N23" i="10"/>
  <c r="M23" i="10"/>
  <c r="N22" i="10"/>
  <c r="M22" i="10"/>
  <c r="N21" i="10"/>
  <c r="M21" i="10"/>
  <c r="C21" i="10"/>
  <c r="C22" i="10" s="1"/>
  <c r="C23" i="10" s="1"/>
  <c r="D20" i="10"/>
  <c r="D21" i="10" s="1"/>
  <c r="D22" i="10" s="1"/>
  <c r="D23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3" i="10" s="1"/>
  <c r="D54" i="10" s="1"/>
  <c r="D55" i="10" s="1"/>
  <c r="D56" i="10" s="1"/>
  <c r="D57" i="10" s="1"/>
  <c r="D58" i="10" s="1"/>
  <c r="D60" i="10" s="1"/>
  <c r="D61" i="10" s="1"/>
  <c r="D62" i="10" s="1"/>
  <c r="D63" i="10" s="1"/>
  <c r="D64" i="10" s="1"/>
  <c r="D65" i="10" s="1"/>
  <c r="D66" i="10" s="1"/>
  <c r="D67" i="10" s="1"/>
  <c r="D68" i="10" s="1"/>
  <c r="C20" i="10"/>
  <c r="B20" i="10"/>
  <c r="B21" i="10" s="1"/>
  <c r="B22" i="10" s="1"/>
  <c r="B23" i="10" s="1"/>
  <c r="Q19" i="10"/>
  <c r="I19" i="10"/>
  <c r="H19" i="10"/>
  <c r="C12" i="10"/>
  <c r="C11" i="10"/>
  <c r="P10" i="10"/>
  <c r="O10" i="10"/>
  <c r="G10" i="10"/>
  <c r="F10" i="10"/>
  <c r="P9" i="10"/>
  <c r="K9" i="10"/>
  <c r="L9" i="10" s="1"/>
  <c r="C9" i="10"/>
  <c r="D9" i="10" s="1"/>
  <c r="E9" i="10" s="1"/>
  <c r="F9" i="10" s="1"/>
  <c r="G9" i="10" s="1"/>
  <c r="B9" i="10"/>
  <c r="L4" i="10"/>
  <c r="F4" i="10"/>
  <c r="H4" i="10" s="1"/>
  <c r="Q3" i="10"/>
  <c r="L3" i="10"/>
  <c r="K1" i="10"/>
  <c r="H75" i="10" l="1"/>
  <c r="H76" i="10" s="1"/>
  <c r="N11" i="11"/>
  <c r="M11" i="11"/>
  <c r="N19" i="11"/>
  <c r="M19" i="11"/>
  <c r="N41" i="11"/>
  <c r="M41" i="11"/>
  <c r="C14" i="11"/>
  <c r="K13" i="11"/>
  <c r="L87" i="11"/>
  <c r="M87" i="11" s="1"/>
  <c r="N87" i="11" s="1"/>
  <c r="N55" i="11"/>
  <c r="M55" i="11"/>
  <c r="M84" i="11"/>
  <c r="N84" i="11" s="1"/>
  <c r="M12" i="11"/>
  <c r="K85" i="10"/>
  <c r="N28" i="10"/>
  <c r="K84" i="10"/>
  <c r="J11" i="10"/>
  <c r="K20" i="10"/>
  <c r="M20" i="10" s="1"/>
  <c r="B24" i="10"/>
  <c r="B27" i="10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3" i="10" s="1"/>
  <c r="B54" i="10" s="1"/>
  <c r="B55" i="10" s="1"/>
  <c r="B56" i="10" s="1"/>
  <c r="B57" i="10" s="1"/>
  <c r="B58" i="10" s="1"/>
  <c r="B60" i="10" s="1"/>
  <c r="B61" i="10" s="1"/>
  <c r="B62" i="10" s="1"/>
  <c r="B63" i="10" s="1"/>
  <c r="B64" i="10" s="1"/>
  <c r="B65" i="10" s="1"/>
  <c r="B66" i="10" s="1"/>
  <c r="B67" i="10" s="1"/>
  <c r="B68" i="10" s="1"/>
  <c r="I4" i="10"/>
  <c r="J4" i="10" s="1"/>
  <c r="C13" i="10"/>
  <c r="N24" i="10"/>
  <c r="N26" i="10"/>
  <c r="L85" i="10"/>
  <c r="N46" i="10"/>
  <c r="M46" i="10"/>
  <c r="K41" i="10"/>
  <c r="N52" i="10"/>
  <c r="N59" i="10"/>
  <c r="M59" i="10"/>
  <c r="K55" i="10"/>
  <c r="K89" i="10"/>
  <c r="K64" i="10"/>
  <c r="J63" i="10"/>
  <c r="H78" i="10"/>
  <c r="H79" i="10" s="1"/>
  <c r="R10" i="10"/>
  <c r="Q10" i="10"/>
  <c r="C27" i="10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3" i="10" s="1"/>
  <c r="C54" i="10" s="1"/>
  <c r="C55" i="10" s="1"/>
  <c r="C56" i="10" s="1"/>
  <c r="C57" i="10" s="1"/>
  <c r="C58" i="10" s="1"/>
  <c r="C60" i="10" s="1"/>
  <c r="C61" i="10" s="1"/>
  <c r="C62" i="10" s="1"/>
  <c r="C63" i="10" s="1"/>
  <c r="C64" i="10" s="1"/>
  <c r="C65" i="10" s="1"/>
  <c r="C66" i="10" s="1"/>
  <c r="C67" i="10" s="1"/>
  <c r="C68" i="10" s="1"/>
  <c r="C24" i="10"/>
  <c r="D24" i="10"/>
  <c r="N25" i="10"/>
  <c r="J19" i="10"/>
  <c r="N61" i="10"/>
  <c r="M61" i="10"/>
  <c r="I10" i="10"/>
  <c r="H10" i="10"/>
  <c r="M51" i="10"/>
  <c r="K47" i="10"/>
  <c r="R19" i="10"/>
  <c r="N29" i="10"/>
  <c r="L72" i="10"/>
  <c r="K26" i="9"/>
  <c r="K25" i="9"/>
  <c r="K24" i="9"/>
  <c r="P19" i="9"/>
  <c r="K54" i="9"/>
  <c r="K51" i="9"/>
  <c r="K62" i="9"/>
  <c r="K52" i="9"/>
  <c r="K14" i="11" l="1"/>
  <c r="C15" i="11"/>
  <c r="N12" i="11"/>
  <c r="L83" i="11"/>
  <c r="M83" i="11" s="1"/>
  <c r="N83" i="11" s="1"/>
  <c r="M13" i="11"/>
  <c r="N13" i="11"/>
  <c r="M54" i="10"/>
  <c r="N54" i="10"/>
  <c r="M85" i="10"/>
  <c r="N85" i="10" s="1"/>
  <c r="L84" i="10"/>
  <c r="K11" i="10"/>
  <c r="M11" i="10" s="1"/>
  <c r="N20" i="10"/>
  <c r="K83" i="10"/>
  <c r="M55" i="10"/>
  <c r="L87" i="10"/>
  <c r="M87" i="10" s="1"/>
  <c r="N87" i="10" s="1"/>
  <c r="N55" i="10"/>
  <c r="M41" i="10"/>
  <c r="N41" i="10"/>
  <c r="C14" i="10"/>
  <c r="J13" i="10"/>
  <c r="K13" i="10"/>
  <c r="N62" i="10"/>
  <c r="L88" i="10"/>
  <c r="M88" i="10" s="1"/>
  <c r="N88" i="10" s="1"/>
  <c r="M62" i="10"/>
  <c r="J12" i="10"/>
  <c r="K12" i="10"/>
  <c r="M84" i="10"/>
  <c r="N84" i="10" s="1"/>
  <c r="N47" i="10"/>
  <c r="L86" i="10"/>
  <c r="M86" i="10" s="1"/>
  <c r="N86" i="10" s="1"/>
  <c r="M47" i="10"/>
  <c r="M64" i="10"/>
  <c r="K63" i="10"/>
  <c r="L89" i="10"/>
  <c r="M89" i="10" s="1"/>
  <c r="N89" i="10" s="1"/>
  <c r="N64" i="10"/>
  <c r="K74" i="10"/>
  <c r="L74" i="10" s="1"/>
  <c r="J64" i="9"/>
  <c r="K64" i="9" s="1"/>
  <c r="K74" i="9" s="1"/>
  <c r="L74" i="9" s="1"/>
  <c r="J62" i="9"/>
  <c r="J61" i="9"/>
  <c r="J59" i="9"/>
  <c r="J54" i="9"/>
  <c r="J52" i="9"/>
  <c r="N52" i="9" s="1"/>
  <c r="J51" i="9"/>
  <c r="J46" i="9"/>
  <c r="K85" i="9" s="1"/>
  <c r="J28" i="9"/>
  <c r="J26" i="9"/>
  <c r="J25" i="9"/>
  <c r="J24" i="9"/>
  <c r="L88" i="9"/>
  <c r="E86" i="9"/>
  <c r="E93" i="9" s="1"/>
  <c r="J78" i="9"/>
  <c r="G78" i="9"/>
  <c r="G80" i="9" s="1"/>
  <c r="F78" i="9"/>
  <c r="G75" i="9"/>
  <c r="F75" i="9"/>
  <c r="L73" i="9"/>
  <c r="N72" i="9"/>
  <c r="N73" i="9" s="1"/>
  <c r="J72" i="9"/>
  <c r="J77" i="9" s="1"/>
  <c r="F72" i="9"/>
  <c r="H72" i="9" s="1"/>
  <c r="H73" i="9" s="1"/>
  <c r="N68" i="9"/>
  <c r="M68" i="9"/>
  <c r="N67" i="9"/>
  <c r="M67" i="9"/>
  <c r="N66" i="9"/>
  <c r="M66" i="9"/>
  <c r="N65" i="9"/>
  <c r="M65" i="9"/>
  <c r="J63" i="9"/>
  <c r="M62" i="9"/>
  <c r="N62" i="9"/>
  <c r="K88" i="9"/>
  <c r="K61" i="9"/>
  <c r="N60" i="9"/>
  <c r="M60" i="9"/>
  <c r="K59" i="9"/>
  <c r="N58" i="9"/>
  <c r="M58" i="9"/>
  <c r="N57" i="9"/>
  <c r="M57" i="9"/>
  <c r="N56" i="9"/>
  <c r="M56" i="9"/>
  <c r="N54" i="9"/>
  <c r="M54" i="9"/>
  <c r="N53" i="9"/>
  <c r="M53" i="9"/>
  <c r="N51" i="9"/>
  <c r="M51" i="9"/>
  <c r="N50" i="9"/>
  <c r="M50" i="9"/>
  <c r="N49" i="9"/>
  <c r="M49" i="9"/>
  <c r="N48" i="9"/>
  <c r="M48" i="9"/>
  <c r="K47" i="9"/>
  <c r="L86" i="9" s="1"/>
  <c r="N45" i="9"/>
  <c r="M45" i="9"/>
  <c r="N44" i="9"/>
  <c r="M44" i="9"/>
  <c r="N43" i="9"/>
  <c r="M43" i="9"/>
  <c r="N42" i="9"/>
  <c r="M42" i="9"/>
  <c r="N40" i="9"/>
  <c r="M40" i="9"/>
  <c r="N39" i="9"/>
  <c r="M39" i="9"/>
  <c r="N38" i="9"/>
  <c r="M38" i="9"/>
  <c r="N37" i="9"/>
  <c r="M37" i="9"/>
  <c r="N36" i="9"/>
  <c r="M36" i="9"/>
  <c r="N35" i="9"/>
  <c r="M35" i="9"/>
  <c r="K35" i="9"/>
  <c r="J35" i="9"/>
  <c r="N34" i="9"/>
  <c r="M34" i="9"/>
  <c r="N33" i="9"/>
  <c r="M33" i="9"/>
  <c r="N32" i="9"/>
  <c r="M32" i="9"/>
  <c r="N31" i="9"/>
  <c r="M31" i="9"/>
  <c r="N30" i="9"/>
  <c r="M30" i="9"/>
  <c r="K29" i="9"/>
  <c r="J29" i="9"/>
  <c r="N29" i="9" s="1"/>
  <c r="K28" i="9"/>
  <c r="N28" i="9" s="1"/>
  <c r="N27" i="9"/>
  <c r="M27" i="9"/>
  <c r="N26" i="9"/>
  <c r="N25" i="9"/>
  <c r="N23" i="9"/>
  <c r="M23" i="9"/>
  <c r="N22" i="9"/>
  <c r="M22" i="9"/>
  <c r="C22" i="9"/>
  <c r="C23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3" i="9" s="1"/>
  <c r="C54" i="9" s="1"/>
  <c r="C55" i="9" s="1"/>
  <c r="C56" i="9" s="1"/>
  <c r="C57" i="9" s="1"/>
  <c r="C58" i="9" s="1"/>
  <c r="C60" i="9" s="1"/>
  <c r="C61" i="9" s="1"/>
  <c r="C62" i="9" s="1"/>
  <c r="C63" i="9" s="1"/>
  <c r="C64" i="9" s="1"/>
  <c r="C65" i="9" s="1"/>
  <c r="C66" i="9" s="1"/>
  <c r="C67" i="9" s="1"/>
  <c r="C68" i="9" s="1"/>
  <c r="N21" i="9"/>
  <c r="M21" i="9"/>
  <c r="B21" i="9"/>
  <c r="B22" i="9" s="1"/>
  <c r="B23" i="9" s="1"/>
  <c r="J20" i="9"/>
  <c r="K84" i="9" s="1"/>
  <c r="D20" i="9"/>
  <c r="D21" i="9" s="1"/>
  <c r="D22" i="9" s="1"/>
  <c r="D23" i="9" s="1"/>
  <c r="C20" i="9"/>
  <c r="C21" i="9" s="1"/>
  <c r="B20" i="9"/>
  <c r="R19" i="9"/>
  <c r="Q19" i="9"/>
  <c r="P10" i="9"/>
  <c r="Q10" i="9" s="1"/>
  <c r="I19" i="9"/>
  <c r="H19" i="9"/>
  <c r="C11" i="9"/>
  <c r="O10" i="9"/>
  <c r="G10" i="9"/>
  <c r="H10" i="9" s="1"/>
  <c r="F10" i="9"/>
  <c r="P9" i="9"/>
  <c r="L9" i="9"/>
  <c r="K9" i="9"/>
  <c r="B9" i="9"/>
  <c r="C9" i="9" s="1"/>
  <c r="D9" i="9" s="1"/>
  <c r="E9" i="9" s="1"/>
  <c r="F9" i="9" s="1"/>
  <c r="G9" i="9" s="1"/>
  <c r="L4" i="9"/>
  <c r="F4" i="9"/>
  <c r="Q3" i="9"/>
  <c r="L3" i="9"/>
  <c r="K1" i="9"/>
  <c r="L72" i="9" l="1"/>
  <c r="H75" i="9"/>
  <c r="H76" i="9" s="1"/>
  <c r="H78" i="9"/>
  <c r="H79" i="9" s="1"/>
  <c r="C16" i="11"/>
  <c r="K15" i="11"/>
  <c r="N14" i="11"/>
  <c r="M14" i="11"/>
  <c r="L83" i="10"/>
  <c r="M83" i="10" s="1"/>
  <c r="N83" i="10" s="1"/>
  <c r="N11" i="10"/>
  <c r="M63" i="10"/>
  <c r="N63" i="10"/>
  <c r="K19" i="10"/>
  <c r="N13" i="10"/>
  <c r="M13" i="10"/>
  <c r="M12" i="10"/>
  <c r="N12" i="10"/>
  <c r="C15" i="10"/>
  <c r="J14" i="10"/>
  <c r="K14" i="10"/>
  <c r="R10" i="9"/>
  <c r="I10" i="9"/>
  <c r="K89" i="9"/>
  <c r="M88" i="9"/>
  <c r="N88" i="9" s="1"/>
  <c r="M52" i="9"/>
  <c r="M28" i="9"/>
  <c r="K20" i="9"/>
  <c r="L84" i="9" s="1"/>
  <c r="M84" i="9" s="1"/>
  <c r="N84" i="9" s="1"/>
  <c r="B27" i="9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3" i="9" s="1"/>
  <c r="B54" i="9" s="1"/>
  <c r="B55" i="9" s="1"/>
  <c r="B56" i="9" s="1"/>
  <c r="B57" i="9" s="1"/>
  <c r="B58" i="9" s="1"/>
  <c r="B60" i="9" s="1"/>
  <c r="B61" i="9" s="1"/>
  <c r="B62" i="9" s="1"/>
  <c r="B63" i="9" s="1"/>
  <c r="B64" i="9" s="1"/>
  <c r="B65" i="9" s="1"/>
  <c r="B66" i="9" s="1"/>
  <c r="B67" i="9" s="1"/>
  <c r="B68" i="9" s="1"/>
  <c r="B24" i="9"/>
  <c r="D24" i="9"/>
  <c r="D27" i="9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3" i="9" s="1"/>
  <c r="D54" i="9" s="1"/>
  <c r="D55" i="9" s="1"/>
  <c r="D56" i="9" s="1"/>
  <c r="D57" i="9" s="1"/>
  <c r="D58" i="9" s="1"/>
  <c r="D60" i="9" s="1"/>
  <c r="D61" i="9" s="1"/>
  <c r="D62" i="9" s="1"/>
  <c r="D63" i="9" s="1"/>
  <c r="D64" i="9" s="1"/>
  <c r="D65" i="9" s="1"/>
  <c r="D66" i="9" s="1"/>
  <c r="D67" i="9" s="1"/>
  <c r="D68" i="9" s="1"/>
  <c r="N61" i="9"/>
  <c r="M61" i="9"/>
  <c r="N59" i="9"/>
  <c r="M59" i="9"/>
  <c r="K55" i="9"/>
  <c r="H4" i="9"/>
  <c r="I4" i="9" s="1"/>
  <c r="J4" i="9" s="1"/>
  <c r="C24" i="9"/>
  <c r="M24" i="9"/>
  <c r="M25" i="9"/>
  <c r="M26" i="9"/>
  <c r="K46" i="9"/>
  <c r="J47" i="9"/>
  <c r="K86" i="9" s="1"/>
  <c r="M86" i="9" s="1"/>
  <c r="N86" i="9" s="1"/>
  <c r="C12" i="9"/>
  <c r="J11" i="9"/>
  <c r="N24" i="9"/>
  <c r="M29" i="9"/>
  <c r="J41" i="9"/>
  <c r="M64" i="9"/>
  <c r="K63" i="9"/>
  <c r="L89" i="9"/>
  <c r="M89" i="9" s="1"/>
  <c r="N89" i="9" s="1"/>
  <c r="J55" i="9"/>
  <c r="K87" i="9" s="1"/>
  <c r="N64" i="9"/>
  <c r="K54" i="8"/>
  <c r="J54" i="8"/>
  <c r="J51" i="8"/>
  <c r="K16" i="11" l="1"/>
  <c r="C17" i="11"/>
  <c r="M15" i="11"/>
  <c r="N15" i="11"/>
  <c r="M19" i="10"/>
  <c r="N19" i="10"/>
  <c r="N14" i="10"/>
  <c r="M14" i="10"/>
  <c r="K15" i="10"/>
  <c r="C16" i="10"/>
  <c r="J15" i="10"/>
  <c r="M47" i="9"/>
  <c r="M20" i="9"/>
  <c r="K11" i="9"/>
  <c r="N11" i="9" s="1"/>
  <c r="N20" i="9"/>
  <c r="N47" i="9"/>
  <c r="L85" i="9"/>
  <c r="M46" i="9"/>
  <c r="K41" i="9"/>
  <c r="N46" i="9"/>
  <c r="J19" i="9"/>
  <c r="K83" i="9"/>
  <c r="N63" i="9"/>
  <c r="M63" i="9"/>
  <c r="C13" i="9"/>
  <c r="J12" i="9"/>
  <c r="K12" i="9"/>
  <c r="M55" i="9"/>
  <c r="L87" i="9"/>
  <c r="M87" i="9" s="1"/>
  <c r="N87" i="9" s="1"/>
  <c r="N55" i="9"/>
  <c r="J64" i="8"/>
  <c r="J62" i="8"/>
  <c r="J61" i="8"/>
  <c r="J59" i="8"/>
  <c r="J52" i="8"/>
  <c r="J46" i="8"/>
  <c r="J28" i="8"/>
  <c r="J26" i="8"/>
  <c r="J25" i="8"/>
  <c r="J24" i="8"/>
  <c r="K89" i="8"/>
  <c r="E86" i="8"/>
  <c r="E93" i="8" s="1"/>
  <c r="K85" i="8"/>
  <c r="J78" i="8"/>
  <c r="G78" i="8"/>
  <c r="G80" i="8" s="1"/>
  <c r="F78" i="8"/>
  <c r="H78" i="8" s="1"/>
  <c r="H79" i="8" s="1"/>
  <c r="J77" i="8"/>
  <c r="G75" i="8"/>
  <c r="F75" i="8"/>
  <c r="N73" i="8"/>
  <c r="L73" i="8"/>
  <c r="N72" i="8"/>
  <c r="J72" i="8"/>
  <c r="L72" i="8" s="1"/>
  <c r="H72" i="8"/>
  <c r="H73" i="8" s="1"/>
  <c r="F72" i="8"/>
  <c r="N68" i="8"/>
  <c r="M68" i="8"/>
  <c r="N67" i="8"/>
  <c r="M67" i="8"/>
  <c r="N66" i="8"/>
  <c r="M66" i="8"/>
  <c r="N65" i="8"/>
  <c r="M65" i="8"/>
  <c r="K64" i="8"/>
  <c r="J63" i="8"/>
  <c r="K62" i="8"/>
  <c r="K61" i="8"/>
  <c r="N60" i="8"/>
  <c r="M60" i="8"/>
  <c r="N58" i="8"/>
  <c r="M58" i="8"/>
  <c r="N57" i="8"/>
  <c r="M57" i="8"/>
  <c r="N56" i="8"/>
  <c r="M56" i="8"/>
  <c r="N53" i="8"/>
  <c r="M53" i="8"/>
  <c r="K51" i="8"/>
  <c r="N50" i="8"/>
  <c r="M50" i="8"/>
  <c r="N49" i="8"/>
  <c r="M49" i="8"/>
  <c r="N48" i="8"/>
  <c r="M48" i="8"/>
  <c r="K46" i="8"/>
  <c r="N45" i="8"/>
  <c r="M45" i="8"/>
  <c r="N44" i="8"/>
  <c r="M44" i="8"/>
  <c r="N43" i="8"/>
  <c r="M43" i="8"/>
  <c r="N42" i="8"/>
  <c r="M42" i="8"/>
  <c r="J41" i="8"/>
  <c r="N40" i="8"/>
  <c r="M40" i="8"/>
  <c r="N39" i="8"/>
  <c r="M39" i="8"/>
  <c r="N38" i="8"/>
  <c r="M38" i="8"/>
  <c r="N37" i="8"/>
  <c r="M37" i="8"/>
  <c r="N36" i="8"/>
  <c r="M36" i="8"/>
  <c r="K35" i="8"/>
  <c r="J35" i="8"/>
  <c r="N34" i="8"/>
  <c r="M34" i="8"/>
  <c r="N33" i="8"/>
  <c r="M33" i="8"/>
  <c r="N32" i="8"/>
  <c r="M32" i="8"/>
  <c r="N31" i="8"/>
  <c r="M31" i="8"/>
  <c r="N30" i="8"/>
  <c r="M30" i="8"/>
  <c r="M29" i="8"/>
  <c r="K29" i="8"/>
  <c r="J29" i="8"/>
  <c r="K28" i="8"/>
  <c r="N27" i="8"/>
  <c r="M27" i="8"/>
  <c r="K25" i="8"/>
  <c r="K24" i="8"/>
  <c r="N23" i="8"/>
  <c r="M23" i="8"/>
  <c r="C23" i="8"/>
  <c r="C24" i="8" s="1"/>
  <c r="N22" i="8"/>
  <c r="M22" i="8"/>
  <c r="G22" i="8"/>
  <c r="G23" i="8" s="1"/>
  <c r="N21" i="8"/>
  <c r="M21" i="8"/>
  <c r="G21" i="8"/>
  <c r="D21" i="8"/>
  <c r="D22" i="8" s="1"/>
  <c r="D23" i="8" s="1"/>
  <c r="C21" i="8"/>
  <c r="C22" i="8" s="1"/>
  <c r="B21" i="8"/>
  <c r="B22" i="8" s="1"/>
  <c r="B23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3" i="8" s="1"/>
  <c r="B54" i="8" s="1"/>
  <c r="B55" i="8" s="1"/>
  <c r="B56" i="8" s="1"/>
  <c r="B57" i="8" s="1"/>
  <c r="B58" i="8" s="1"/>
  <c r="B60" i="8" s="1"/>
  <c r="B61" i="8" s="1"/>
  <c r="B62" i="8" s="1"/>
  <c r="B63" i="8" s="1"/>
  <c r="B64" i="8" s="1"/>
  <c r="B65" i="8" s="1"/>
  <c r="B66" i="8" s="1"/>
  <c r="B67" i="8" s="1"/>
  <c r="B68" i="8" s="1"/>
  <c r="D20" i="8"/>
  <c r="C20" i="8"/>
  <c r="B20" i="8"/>
  <c r="P19" i="8"/>
  <c r="I19" i="8"/>
  <c r="H19" i="8"/>
  <c r="C11" i="8"/>
  <c r="O10" i="8"/>
  <c r="G10" i="8"/>
  <c r="F10" i="8"/>
  <c r="P9" i="8"/>
  <c r="K9" i="8"/>
  <c r="L9" i="8" s="1"/>
  <c r="C9" i="8"/>
  <c r="D9" i="8" s="1"/>
  <c r="E9" i="8" s="1"/>
  <c r="F9" i="8" s="1"/>
  <c r="G9" i="8" s="1"/>
  <c r="B9" i="8"/>
  <c r="L4" i="8"/>
  <c r="F4" i="8"/>
  <c r="H4" i="8" s="1"/>
  <c r="Q3" i="8"/>
  <c r="L3" i="8"/>
  <c r="K1" i="8"/>
  <c r="H75" i="8" l="1"/>
  <c r="H76" i="8" s="1"/>
  <c r="K17" i="11"/>
  <c r="C18" i="11"/>
  <c r="N16" i="11"/>
  <c r="M16" i="11"/>
  <c r="K16" i="10"/>
  <c r="C17" i="10"/>
  <c r="J16" i="10"/>
  <c r="M15" i="10"/>
  <c r="N15" i="10"/>
  <c r="M11" i="9"/>
  <c r="N12" i="9"/>
  <c r="M12" i="9"/>
  <c r="C14" i="9"/>
  <c r="K13" i="9"/>
  <c r="J13" i="9"/>
  <c r="M85" i="9"/>
  <c r="N85" i="9" s="1"/>
  <c r="L83" i="9"/>
  <c r="M83" i="9" s="1"/>
  <c r="N83" i="9" s="1"/>
  <c r="M41" i="9"/>
  <c r="N41" i="9"/>
  <c r="K19" i="9"/>
  <c r="M25" i="8"/>
  <c r="N25" i="8"/>
  <c r="N54" i="8"/>
  <c r="M54" i="8"/>
  <c r="M62" i="8"/>
  <c r="L88" i="8"/>
  <c r="M88" i="8" s="1"/>
  <c r="N88" i="8" s="1"/>
  <c r="N62" i="8"/>
  <c r="Q19" i="8"/>
  <c r="P10" i="8"/>
  <c r="R19" i="8"/>
  <c r="B24" i="8"/>
  <c r="K26" i="8"/>
  <c r="J20" i="8"/>
  <c r="M24" i="8"/>
  <c r="C27" i="8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3" i="8" s="1"/>
  <c r="C54" i="8" s="1"/>
  <c r="C55" i="8" s="1"/>
  <c r="C56" i="8" s="1"/>
  <c r="C57" i="8" s="1"/>
  <c r="C58" i="8" s="1"/>
  <c r="C60" i="8" s="1"/>
  <c r="C61" i="8" s="1"/>
  <c r="C62" i="8" s="1"/>
  <c r="C63" i="8" s="1"/>
  <c r="C64" i="8" s="1"/>
  <c r="C65" i="8" s="1"/>
  <c r="C66" i="8" s="1"/>
  <c r="C67" i="8" s="1"/>
  <c r="C68" i="8" s="1"/>
  <c r="M28" i="8"/>
  <c r="N28" i="8"/>
  <c r="M51" i="8"/>
  <c r="K47" i="8"/>
  <c r="N51" i="8"/>
  <c r="D27" i="8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3" i="8" s="1"/>
  <c r="D54" i="8" s="1"/>
  <c r="D55" i="8" s="1"/>
  <c r="D56" i="8" s="1"/>
  <c r="D57" i="8" s="1"/>
  <c r="D58" i="8" s="1"/>
  <c r="D60" i="8" s="1"/>
  <c r="D61" i="8" s="1"/>
  <c r="D62" i="8" s="1"/>
  <c r="D63" i="8" s="1"/>
  <c r="D64" i="8" s="1"/>
  <c r="D65" i="8" s="1"/>
  <c r="D66" i="8" s="1"/>
  <c r="D67" i="8" s="1"/>
  <c r="D68" i="8" s="1"/>
  <c r="D24" i="8"/>
  <c r="N24" i="8"/>
  <c r="L85" i="8"/>
  <c r="M85" i="8" s="1"/>
  <c r="N85" i="8" s="1"/>
  <c r="N46" i="8"/>
  <c r="M46" i="8"/>
  <c r="K41" i="8"/>
  <c r="N52" i="8"/>
  <c r="M52" i="8"/>
  <c r="J47" i="8"/>
  <c r="K86" i="8" s="1"/>
  <c r="N61" i="8"/>
  <c r="M61" i="8"/>
  <c r="I10" i="8"/>
  <c r="C12" i="8"/>
  <c r="K74" i="8"/>
  <c r="L74" i="8" s="1"/>
  <c r="L89" i="8"/>
  <c r="M89" i="8" s="1"/>
  <c r="N89" i="8" s="1"/>
  <c r="K88" i="8"/>
  <c r="I4" i="8"/>
  <c r="J4" i="8" s="1"/>
  <c r="H10" i="8"/>
  <c r="N35" i="8"/>
  <c r="M64" i="8"/>
  <c r="N29" i="8"/>
  <c r="M35" i="8"/>
  <c r="K59" i="8"/>
  <c r="J55" i="8"/>
  <c r="K87" i="8" s="1"/>
  <c r="K63" i="8"/>
  <c r="N64" i="8"/>
  <c r="P19" i="4"/>
  <c r="G22" i="4"/>
  <c r="G23" i="4" s="1"/>
  <c r="K18" i="11" l="1"/>
  <c r="K10" i="11" s="1"/>
  <c r="M17" i="11"/>
  <c r="N17" i="11"/>
  <c r="C18" i="10"/>
  <c r="J17" i="10"/>
  <c r="K17" i="10"/>
  <c r="M16" i="10"/>
  <c r="N16" i="10"/>
  <c r="N19" i="9"/>
  <c r="M19" i="9"/>
  <c r="M13" i="9"/>
  <c r="N13" i="9"/>
  <c r="K14" i="9"/>
  <c r="C15" i="9"/>
  <c r="J14" i="9"/>
  <c r="N63" i="8"/>
  <c r="M63" i="8"/>
  <c r="N41" i="8"/>
  <c r="M41" i="8"/>
  <c r="J19" i="8"/>
  <c r="K84" i="8"/>
  <c r="K83" i="8" s="1"/>
  <c r="R10" i="8"/>
  <c r="Q10" i="8"/>
  <c r="K55" i="8"/>
  <c r="N59" i="8"/>
  <c r="M59" i="8"/>
  <c r="K12" i="8"/>
  <c r="J12" i="8"/>
  <c r="C13" i="8"/>
  <c r="L86" i="8"/>
  <c r="M86" i="8" s="1"/>
  <c r="N86" i="8" s="1"/>
  <c r="N47" i="8"/>
  <c r="M47" i="8"/>
  <c r="M26" i="8"/>
  <c r="N26" i="8"/>
  <c r="J11" i="8"/>
  <c r="K20" i="8"/>
  <c r="G21" i="4"/>
  <c r="K54" i="4"/>
  <c r="K51" i="4"/>
  <c r="K61" i="4"/>
  <c r="K59" i="4"/>
  <c r="K62" i="4"/>
  <c r="K64" i="4"/>
  <c r="K26" i="4"/>
  <c r="K25" i="4"/>
  <c r="K24" i="4"/>
  <c r="N5" i="11" l="1"/>
  <c r="O5" i="11" s="1"/>
  <c r="N10" i="11"/>
  <c r="L1" i="11"/>
  <c r="M1" i="11" s="1"/>
  <c r="N1" i="11" s="1"/>
  <c r="M10" i="11"/>
  <c r="S4" i="11"/>
  <c r="T4" i="11" s="1"/>
  <c r="K4" i="11"/>
  <c r="M18" i="11"/>
  <c r="N18" i="11"/>
  <c r="N4" i="11"/>
  <c r="O4" i="11" s="1"/>
  <c r="R3" i="11"/>
  <c r="R4" i="11" s="1"/>
  <c r="S3" i="11"/>
  <c r="T3" i="11" s="1"/>
  <c r="N17" i="10"/>
  <c r="M17" i="10"/>
  <c r="J18" i="10"/>
  <c r="J10" i="10" s="1"/>
  <c r="K18" i="10"/>
  <c r="C16" i="9"/>
  <c r="J15" i="9"/>
  <c r="K15" i="9"/>
  <c r="N14" i="9"/>
  <c r="M14" i="9"/>
  <c r="N20" i="8"/>
  <c r="K19" i="8"/>
  <c r="M20" i="8"/>
  <c r="L84" i="8"/>
  <c r="K11" i="8"/>
  <c r="L87" i="8"/>
  <c r="M87" i="8" s="1"/>
  <c r="N87" i="8" s="1"/>
  <c r="N55" i="8"/>
  <c r="M55" i="8"/>
  <c r="M12" i="8"/>
  <c r="N12" i="8"/>
  <c r="C14" i="8"/>
  <c r="J13" i="8"/>
  <c r="K13" i="8"/>
  <c r="J28" i="4"/>
  <c r="J26" i="4"/>
  <c r="J25" i="4"/>
  <c r="J24" i="4"/>
  <c r="J46" i="4"/>
  <c r="J51" i="4"/>
  <c r="J52" i="4"/>
  <c r="J54" i="4"/>
  <c r="J59" i="4"/>
  <c r="J61" i="4"/>
  <c r="J62" i="4"/>
  <c r="J64" i="4"/>
  <c r="N18" i="10" l="1"/>
  <c r="M18" i="10"/>
  <c r="K10" i="10"/>
  <c r="R3" i="10"/>
  <c r="R4" i="10" s="1"/>
  <c r="N4" i="10"/>
  <c r="O4" i="10" s="1"/>
  <c r="S3" i="10"/>
  <c r="T3" i="10" s="1"/>
  <c r="N15" i="9"/>
  <c r="M15" i="9"/>
  <c r="J16" i="9"/>
  <c r="C17" i="9"/>
  <c r="K16" i="9"/>
  <c r="M13" i="8"/>
  <c r="N13" i="8"/>
  <c r="N19" i="8"/>
  <c r="M19" i="8"/>
  <c r="M11" i="8"/>
  <c r="N11" i="8"/>
  <c r="K14" i="8"/>
  <c r="J14" i="8"/>
  <c r="C15" i="8"/>
  <c r="M84" i="8"/>
  <c r="N84" i="8" s="1"/>
  <c r="L83" i="8"/>
  <c r="M83" i="8" s="1"/>
  <c r="N83" i="8" s="1"/>
  <c r="K46" i="4"/>
  <c r="N10" i="10" l="1"/>
  <c r="S4" i="10"/>
  <c r="T4" i="10" s="1"/>
  <c r="M10" i="10"/>
  <c r="N5" i="10"/>
  <c r="O5" i="10" s="1"/>
  <c r="L1" i="10"/>
  <c r="M1" i="10" s="1"/>
  <c r="N1" i="10" s="1"/>
  <c r="K4" i="10"/>
  <c r="N16" i="9"/>
  <c r="M16" i="9"/>
  <c r="J17" i="9"/>
  <c r="C18" i="9"/>
  <c r="K17" i="9"/>
  <c r="N14" i="8"/>
  <c r="M14" i="8"/>
  <c r="K15" i="8"/>
  <c r="J15" i="8"/>
  <c r="C16" i="8"/>
  <c r="E86" i="4"/>
  <c r="E93" i="4" s="1"/>
  <c r="K28" i="4"/>
  <c r="K18" i="9" l="1"/>
  <c r="J18" i="9"/>
  <c r="J10" i="9" s="1"/>
  <c r="S3" i="9" s="1"/>
  <c r="M17" i="9"/>
  <c r="N17" i="9"/>
  <c r="M15" i="8"/>
  <c r="N15" i="8"/>
  <c r="K16" i="8"/>
  <c r="J16" i="8"/>
  <c r="C17" i="8"/>
  <c r="K1" i="4"/>
  <c r="T3" i="9" l="1"/>
  <c r="R3" i="9"/>
  <c r="R4" i="9" s="1"/>
  <c r="N4" i="9"/>
  <c r="O4" i="9" s="1"/>
  <c r="M18" i="9"/>
  <c r="N18" i="9"/>
  <c r="K10" i="9"/>
  <c r="C18" i="8"/>
  <c r="J17" i="8"/>
  <c r="K17" i="8"/>
  <c r="N16" i="8"/>
  <c r="M16" i="8"/>
  <c r="L4" i="4"/>
  <c r="L3" i="4"/>
  <c r="N5" i="9" l="1"/>
  <c r="O5" i="9" s="1"/>
  <c r="M10" i="9"/>
  <c r="S4" i="9"/>
  <c r="T4" i="9" s="1"/>
  <c r="L1" i="9"/>
  <c r="M1" i="9" s="1"/>
  <c r="N1" i="9" s="1"/>
  <c r="N10" i="9"/>
  <c r="K4" i="9"/>
  <c r="K18" i="8"/>
  <c r="J18" i="8"/>
  <c r="J10" i="8" s="1"/>
  <c r="R3" i="8" s="1"/>
  <c r="N17" i="8"/>
  <c r="M17" i="8"/>
  <c r="N72" i="4"/>
  <c r="N73" i="4" s="1"/>
  <c r="R4" i="8" l="1"/>
  <c r="S3" i="8"/>
  <c r="T3" i="8" s="1"/>
  <c r="N4" i="8"/>
  <c r="O4" i="8" s="1"/>
  <c r="N18" i="8"/>
  <c r="M18" i="8"/>
  <c r="K10" i="8"/>
  <c r="F4" i="4"/>
  <c r="N10" i="8" l="1"/>
  <c r="S4" i="8"/>
  <c r="T4" i="8" s="1"/>
  <c r="L1" i="8"/>
  <c r="M1" i="8" s="1"/>
  <c r="N1" i="8" s="1"/>
  <c r="N5" i="8"/>
  <c r="O5" i="8" s="1"/>
  <c r="M10" i="8"/>
  <c r="K4" i="8"/>
  <c r="H4" i="4"/>
  <c r="I4" i="4" s="1"/>
  <c r="J4" i="4" s="1"/>
  <c r="Q3" i="4" l="1"/>
  <c r="M51" i="4" l="1"/>
  <c r="L89" i="4" l="1"/>
  <c r="K89" i="4"/>
  <c r="L88" i="4"/>
  <c r="K88" i="4"/>
  <c r="K85" i="4"/>
  <c r="M89" i="4" l="1"/>
  <c r="N89" i="4" s="1"/>
  <c r="M88" i="4"/>
  <c r="N88" i="4" s="1"/>
  <c r="F78" i="4" l="1"/>
  <c r="G78" i="4"/>
  <c r="H78" i="4" l="1"/>
  <c r="L73" i="4"/>
  <c r="J78" i="4"/>
  <c r="G80" i="4"/>
  <c r="K74" i="4" l="1"/>
  <c r="L74" i="4" s="1"/>
  <c r="H79" i="4"/>
  <c r="G75" i="4"/>
  <c r="F75" i="4"/>
  <c r="H75" i="4" l="1"/>
  <c r="H76" i="4" s="1"/>
  <c r="F72" i="4"/>
  <c r="H72" i="4" s="1"/>
  <c r="H73" i="4" s="1"/>
  <c r="J72" i="4" l="1"/>
  <c r="J77" i="4" l="1"/>
  <c r="L72" i="4"/>
  <c r="L85" i="4"/>
  <c r="M85" i="4" l="1"/>
  <c r="N85" i="4" s="1"/>
  <c r="F10" i="4"/>
  <c r="N59" i="4" l="1"/>
  <c r="M59" i="4"/>
  <c r="N52" i="4"/>
  <c r="M52" i="4"/>
  <c r="N51" i="4"/>
  <c r="N26" i="4" l="1"/>
  <c r="M26" i="4"/>
  <c r="N25" i="4"/>
  <c r="M25" i="4"/>
  <c r="N24" i="4"/>
  <c r="M24" i="4"/>
  <c r="N66" i="4" l="1"/>
  <c r="M66" i="4"/>
  <c r="N60" i="4"/>
  <c r="M60" i="4"/>
  <c r="N53" i="4"/>
  <c r="M53" i="4"/>
  <c r="N45" i="4"/>
  <c r="M45" i="4"/>
  <c r="N39" i="4"/>
  <c r="M39" i="4"/>
  <c r="N33" i="4"/>
  <c r="M33" i="4"/>
  <c r="N27" i="4" l="1"/>
  <c r="M27" i="4"/>
  <c r="G9" i="3" l="1"/>
  <c r="H95" i="3"/>
  <c r="G95" i="3"/>
  <c r="H93" i="3"/>
  <c r="G93" i="3"/>
  <c r="H92" i="3"/>
  <c r="G92" i="3"/>
  <c r="H91" i="3"/>
  <c r="G91" i="3"/>
  <c r="G90" i="3"/>
  <c r="H90" i="3" s="1"/>
  <c r="H89" i="3"/>
  <c r="G89" i="3"/>
  <c r="H88" i="3"/>
  <c r="G88" i="3"/>
  <c r="G86" i="3" s="1"/>
  <c r="H86" i="3" s="1"/>
  <c r="H87" i="3"/>
  <c r="G87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F86" i="3"/>
  <c r="E86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F85" i="3"/>
  <c r="E85" i="3"/>
  <c r="H84" i="3"/>
  <c r="G84" i="3"/>
  <c r="G83" i="3"/>
  <c r="H83" i="3" s="1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G82" i="3"/>
  <c r="H82" i="3" s="1"/>
  <c r="F82" i="3"/>
  <c r="E82" i="3"/>
  <c r="G81" i="3"/>
  <c r="H81" i="3" s="1"/>
  <c r="G80" i="3"/>
  <c r="H80" i="3" s="1"/>
  <c r="G79" i="3"/>
  <c r="H79" i="3" s="1"/>
  <c r="H78" i="3"/>
  <c r="G78" i="3"/>
  <c r="G77" i="3"/>
  <c r="H77" i="3" s="1"/>
  <c r="G76" i="3"/>
  <c r="H76" i="3" s="1"/>
  <c r="G75" i="3"/>
  <c r="H75" i="3" s="1"/>
  <c r="H74" i="3"/>
  <c r="G74" i="3"/>
  <c r="AI73" i="3"/>
  <c r="AH73" i="3"/>
  <c r="AA73" i="3"/>
  <c r="S73" i="3"/>
  <c r="K73" i="3"/>
  <c r="J73" i="3"/>
  <c r="AL72" i="3"/>
  <c r="AL73" i="3" s="1"/>
  <c r="AK72" i="3"/>
  <c r="AK73" i="3" s="1"/>
  <c r="AJ72" i="3"/>
  <c r="AJ73" i="3" s="1"/>
  <c r="AI72" i="3"/>
  <c r="AH72" i="3"/>
  <c r="AD72" i="3"/>
  <c r="AD73" i="3" s="1"/>
  <c r="AC72" i="3"/>
  <c r="AC73" i="3" s="1"/>
  <c r="AB72" i="3"/>
  <c r="AB73" i="3" s="1"/>
  <c r="AA72" i="3"/>
  <c r="Z72" i="3"/>
  <c r="Z73" i="3" s="1"/>
  <c r="V72" i="3"/>
  <c r="V73" i="3" s="1"/>
  <c r="U72" i="3"/>
  <c r="U73" i="3" s="1"/>
  <c r="T72" i="3"/>
  <c r="T73" i="3" s="1"/>
  <c r="S72" i="3"/>
  <c r="R72" i="3"/>
  <c r="R73" i="3" s="1"/>
  <c r="N72" i="3"/>
  <c r="N73" i="3" s="1"/>
  <c r="M72" i="3"/>
  <c r="M73" i="3" s="1"/>
  <c r="L72" i="3"/>
  <c r="L73" i="3" s="1"/>
  <c r="K72" i="3"/>
  <c r="J72" i="3"/>
  <c r="F72" i="3"/>
  <c r="F73" i="3" s="1"/>
  <c r="E72" i="3"/>
  <c r="E73" i="3" s="1"/>
  <c r="AM71" i="3"/>
  <c r="AM72" i="3" s="1"/>
  <c r="AM73" i="3" s="1"/>
  <c r="AL71" i="3"/>
  <c r="AK71" i="3"/>
  <c r="AJ71" i="3"/>
  <c r="AI71" i="3"/>
  <c r="AH71" i="3"/>
  <c r="AG71" i="3"/>
  <c r="AG72" i="3" s="1"/>
  <c r="AG73" i="3" s="1"/>
  <c r="AF71" i="3"/>
  <c r="AF72" i="3" s="1"/>
  <c r="AF73" i="3" s="1"/>
  <c r="AE71" i="3"/>
  <c r="AE72" i="3" s="1"/>
  <c r="AE73" i="3" s="1"/>
  <c r="AD71" i="3"/>
  <c r="AC71" i="3"/>
  <c r="AB71" i="3"/>
  <c r="AA71" i="3"/>
  <c r="Z71" i="3"/>
  <c r="Y71" i="3"/>
  <c r="Y72" i="3" s="1"/>
  <c r="Y73" i="3" s="1"/>
  <c r="X71" i="3"/>
  <c r="X72" i="3" s="1"/>
  <c r="X73" i="3" s="1"/>
  <c r="W71" i="3"/>
  <c r="W72" i="3" s="1"/>
  <c r="W73" i="3" s="1"/>
  <c r="V71" i="3"/>
  <c r="U71" i="3"/>
  <c r="T71" i="3"/>
  <c r="S71" i="3"/>
  <c r="R71" i="3"/>
  <c r="Q71" i="3"/>
  <c r="Q72" i="3" s="1"/>
  <c r="Q73" i="3" s="1"/>
  <c r="P71" i="3"/>
  <c r="P72" i="3" s="1"/>
  <c r="P73" i="3" s="1"/>
  <c r="O71" i="3"/>
  <c r="O72" i="3" s="1"/>
  <c r="O73" i="3" s="1"/>
  <c r="N71" i="3"/>
  <c r="M71" i="3"/>
  <c r="L71" i="3"/>
  <c r="K71" i="3"/>
  <c r="J71" i="3"/>
  <c r="I71" i="3"/>
  <c r="I72" i="3" s="1"/>
  <c r="I73" i="3" s="1"/>
  <c r="F71" i="3"/>
  <c r="E71" i="3"/>
  <c r="H70" i="3"/>
  <c r="G70" i="3"/>
  <c r="G69" i="3"/>
  <c r="H69" i="3" s="1"/>
  <c r="H68" i="3"/>
  <c r="G68" i="3"/>
  <c r="G66" i="3" s="1"/>
  <c r="H66" i="3" s="1"/>
  <c r="H67" i="3"/>
  <c r="G67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F66" i="3"/>
  <c r="E66" i="3"/>
  <c r="G65" i="3"/>
  <c r="H65" i="3" s="1"/>
  <c r="H64" i="3"/>
  <c r="G64" i="3"/>
  <c r="G63" i="3"/>
  <c r="H63" i="3" s="1"/>
  <c r="H62" i="3"/>
  <c r="G62" i="3"/>
  <c r="AM61" i="3"/>
  <c r="AL61" i="3"/>
  <c r="AK61" i="3"/>
  <c r="AJ61" i="3"/>
  <c r="AI61" i="3"/>
  <c r="AE61" i="3"/>
  <c r="AD61" i="3"/>
  <c r="AC61" i="3"/>
  <c r="AB61" i="3"/>
  <c r="AA61" i="3"/>
  <c r="W61" i="3"/>
  <c r="V61" i="3"/>
  <c r="U61" i="3"/>
  <c r="T61" i="3"/>
  <c r="S61" i="3"/>
  <c r="O61" i="3"/>
  <c r="N61" i="3"/>
  <c r="M61" i="3"/>
  <c r="L61" i="3"/>
  <c r="K61" i="3"/>
  <c r="F61" i="3"/>
  <c r="E61" i="3"/>
  <c r="AM60" i="3"/>
  <c r="AL60" i="3"/>
  <c r="AK60" i="3"/>
  <c r="AJ60" i="3"/>
  <c r="AI60" i="3"/>
  <c r="AH60" i="3"/>
  <c r="AH61" i="3" s="1"/>
  <c r="AG60" i="3"/>
  <c r="AG61" i="3" s="1"/>
  <c r="AF60" i="3"/>
  <c r="AF61" i="3" s="1"/>
  <c r="AE60" i="3"/>
  <c r="AD60" i="3"/>
  <c r="AC60" i="3"/>
  <c r="AB60" i="3"/>
  <c r="AA60" i="3"/>
  <c r="Z60" i="3"/>
  <c r="Z61" i="3" s="1"/>
  <c r="Y60" i="3"/>
  <c r="Y61" i="3" s="1"/>
  <c r="X60" i="3"/>
  <c r="X61" i="3" s="1"/>
  <c r="W60" i="3"/>
  <c r="V60" i="3"/>
  <c r="U60" i="3"/>
  <c r="T60" i="3"/>
  <c r="S60" i="3"/>
  <c r="R60" i="3"/>
  <c r="R61" i="3" s="1"/>
  <c r="Q60" i="3"/>
  <c r="Q61" i="3" s="1"/>
  <c r="P60" i="3"/>
  <c r="P61" i="3" s="1"/>
  <c r="O60" i="3"/>
  <c r="N60" i="3"/>
  <c r="M60" i="3"/>
  <c r="L60" i="3"/>
  <c r="K60" i="3"/>
  <c r="J60" i="3"/>
  <c r="J61" i="3" s="1"/>
  <c r="I60" i="3"/>
  <c r="I61" i="3" s="1"/>
  <c r="F60" i="3"/>
  <c r="E60" i="3"/>
  <c r="H59" i="3"/>
  <c r="G59" i="3"/>
  <c r="G58" i="3"/>
  <c r="H58" i="3" s="1"/>
  <c r="H57" i="3"/>
  <c r="G57" i="3"/>
  <c r="G56" i="3"/>
  <c r="H56" i="3" s="1"/>
  <c r="H55" i="3"/>
  <c r="G55" i="3"/>
  <c r="G54" i="3"/>
  <c r="H54" i="3" s="1"/>
  <c r="H53" i="3"/>
  <c r="G53" i="3"/>
  <c r="G52" i="3"/>
  <c r="H52" i="3" s="1"/>
  <c r="H51" i="3"/>
  <c r="G51" i="3"/>
  <c r="G50" i="3"/>
  <c r="G48" i="3" s="1"/>
  <c r="AM49" i="3"/>
  <c r="AL49" i="3"/>
  <c r="AK49" i="3"/>
  <c r="AG49" i="3"/>
  <c r="AF49" i="3"/>
  <c r="AE49" i="3"/>
  <c r="AD49" i="3"/>
  <c r="AC49" i="3"/>
  <c r="Y49" i="3"/>
  <c r="X49" i="3"/>
  <c r="W49" i="3"/>
  <c r="V49" i="3"/>
  <c r="U49" i="3"/>
  <c r="Q49" i="3"/>
  <c r="P49" i="3"/>
  <c r="O49" i="3"/>
  <c r="N49" i="3"/>
  <c r="M49" i="3"/>
  <c r="I49" i="3"/>
  <c r="F49" i="3"/>
  <c r="E49" i="3"/>
  <c r="AM48" i="3"/>
  <c r="AL48" i="3"/>
  <c r="AK48" i="3"/>
  <c r="AJ48" i="3"/>
  <c r="AJ49" i="3" s="1"/>
  <c r="AI48" i="3"/>
  <c r="AI49" i="3" s="1"/>
  <c r="AH48" i="3"/>
  <c r="AH49" i="3" s="1"/>
  <c r="AG48" i="3"/>
  <c r="AF48" i="3"/>
  <c r="AE48" i="3"/>
  <c r="AD48" i="3"/>
  <c r="AC48" i="3"/>
  <c r="AB48" i="3"/>
  <c r="AB49" i="3" s="1"/>
  <c r="AA48" i="3"/>
  <c r="AA49" i="3" s="1"/>
  <c r="Z48" i="3"/>
  <c r="Z49" i="3" s="1"/>
  <c r="Y48" i="3"/>
  <c r="X48" i="3"/>
  <c r="W48" i="3"/>
  <c r="V48" i="3"/>
  <c r="U48" i="3"/>
  <c r="T48" i="3"/>
  <c r="T49" i="3" s="1"/>
  <c r="S48" i="3"/>
  <c r="S49" i="3" s="1"/>
  <c r="R48" i="3"/>
  <c r="R49" i="3" s="1"/>
  <c r="Q48" i="3"/>
  <c r="P48" i="3"/>
  <c r="O48" i="3"/>
  <c r="N48" i="3"/>
  <c r="M48" i="3"/>
  <c r="L48" i="3"/>
  <c r="L49" i="3" s="1"/>
  <c r="K48" i="3"/>
  <c r="K49" i="3" s="1"/>
  <c r="J48" i="3"/>
  <c r="J49" i="3" s="1"/>
  <c r="I48" i="3"/>
  <c r="F48" i="3"/>
  <c r="E48" i="3"/>
  <c r="G47" i="3"/>
  <c r="H47" i="3" s="1"/>
  <c r="H46" i="3"/>
  <c r="G46" i="3"/>
  <c r="G45" i="3"/>
  <c r="H45" i="3" s="1"/>
  <c r="H44" i="3"/>
  <c r="G44" i="3"/>
  <c r="G43" i="3"/>
  <c r="H43" i="3" s="1"/>
  <c r="H42" i="3"/>
  <c r="G42" i="3"/>
  <c r="G41" i="3"/>
  <c r="H41" i="3" s="1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F40" i="3"/>
  <c r="E40" i="3"/>
  <c r="G39" i="3"/>
  <c r="H39" i="3" s="1"/>
  <c r="H38" i="3"/>
  <c r="G38" i="3"/>
  <c r="H37" i="3"/>
  <c r="G37" i="3"/>
  <c r="G36" i="3"/>
  <c r="H36" i="3" s="1"/>
  <c r="G35" i="3"/>
  <c r="H35" i="3" s="1"/>
  <c r="H34" i="3"/>
  <c r="G34" i="3"/>
  <c r="H33" i="3"/>
  <c r="G33" i="3"/>
  <c r="G32" i="3" s="1"/>
  <c r="H32" i="3" s="1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F32" i="3"/>
  <c r="E32" i="3"/>
  <c r="H31" i="3"/>
  <c r="G31" i="3"/>
  <c r="G30" i="3"/>
  <c r="H30" i="3" s="1"/>
  <c r="H29" i="3"/>
  <c r="G29" i="3"/>
  <c r="G28" i="3"/>
  <c r="H28" i="3" s="1"/>
  <c r="H27" i="3"/>
  <c r="G27" i="3"/>
  <c r="G26" i="3"/>
  <c r="H26" i="3" s="1"/>
  <c r="H25" i="3"/>
  <c r="G25" i="3"/>
  <c r="G24" i="3"/>
  <c r="H24" i="3" s="1"/>
  <c r="H23" i="3"/>
  <c r="G23" i="3"/>
  <c r="G22" i="3"/>
  <c r="H22" i="3" s="1"/>
  <c r="AJ21" i="3"/>
  <c r="AI21" i="3"/>
  <c r="AH21" i="3"/>
  <c r="AG21" i="3"/>
  <c r="AB21" i="3"/>
  <c r="AA21" i="3"/>
  <c r="Z21" i="3"/>
  <c r="Y21" i="3"/>
  <c r="T21" i="3"/>
  <c r="S21" i="3"/>
  <c r="R21" i="3"/>
  <c r="Q21" i="3"/>
  <c r="L21" i="3"/>
  <c r="K21" i="3"/>
  <c r="J21" i="3"/>
  <c r="I21" i="3"/>
  <c r="AM20" i="3"/>
  <c r="AL20" i="3"/>
  <c r="AK20" i="3"/>
  <c r="AJ20" i="3"/>
  <c r="AI20" i="3"/>
  <c r="AH20" i="3"/>
  <c r="AG20" i="3"/>
  <c r="AF20" i="3"/>
  <c r="AF21" i="3" s="1"/>
  <c r="AE20" i="3"/>
  <c r="AD20" i="3"/>
  <c r="AC20" i="3"/>
  <c r="AC21" i="3" s="1"/>
  <c r="AB20" i="3"/>
  <c r="AA20" i="3"/>
  <c r="Z20" i="3"/>
  <c r="Y20" i="3"/>
  <c r="X20" i="3"/>
  <c r="X21" i="3" s="1"/>
  <c r="W20" i="3"/>
  <c r="V20" i="3"/>
  <c r="U20" i="3"/>
  <c r="U21" i="3" s="1"/>
  <c r="T20" i="3"/>
  <c r="S20" i="3"/>
  <c r="R20" i="3"/>
  <c r="Q20" i="3"/>
  <c r="P20" i="3"/>
  <c r="P21" i="3" s="1"/>
  <c r="O20" i="3"/>
  <c r="N20" i="3"/>
  <c r="M20" i="3"/>
  <c r="M21" i="3" s="1"/>
  <c r="L20" i="3"/>
  <c r="K20" i="3"/>
  <c r="J20" i="3"/>
  <c r="I20" i="3"/>
  <c r="F20" i="3"/>
  <c r="E20" i="3"/>
  <c r="H48" i="3" l="1"/>
  <c r="G49" i="3"/>
  <c r="H49" i="3" s="1"/>
  <c r="G60" i="3"/>
  <c r="G71" i="3"/>
  <c r="G85" i="3"/>
  <c r="H85" i="3" s="1"/>
  <c r="G20" i="3"/>
  <c r="E21" i="3"/>
  <c r="AK21" i="3"/>
  <c r="H50" i="3"/>
  <c r="F21" i="3"/>
  <c r="N21" i="3"/>
  <c r="V21" i="3"/>
  <c r="AD21" i="3"/>
  <c r="AL21" i="3"/>
  <c r="O21" i="3"/>
  <c r="W21" i="3"/>
  <c r="AE21" i="3"/>
  <c r="AM21" i="3"/>
  <c r="G40" i="3"/>
  <c r="H40" i="3" s="1"/>
  <c r="G21" i="3" l="1"/>
  <c r="H21" i="3" s="1"/>
  <c r="H20" i="3"/>
  <c r="G72" i="3"/>
  <c r="H71" i="3"/>
  <c r="G61" i="3"/>
  <c r="H61" i="3" s="1"/>
  <c r="H60" i="3"/>
  <c r="G73" i="3" l="1"/>
  <c r="H73" i="3" s="1"/>
  <c r="H72" i="3"/>
  <c r="U55" i="7" l="1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O9" i="7"/>
  <c r="P9" i="7" s="1"/>
  <c r="Q9" i="7" s="1"/>
  <c r="K9" i="7"/>
  <c r="B9" i="7"/>
  <c r="C9" i="7" s="1"/>
  <c r="D9" i="7" s="1"/>
  <c r="E9" i="7" s="1"/>
  <c r="F9" i="7" s="1"/>
  <c r="G9" i="7" s="1"/>
  <c r="U55" i="6"/>
  <c r="T55" i="6"/>
  <c r="S55" i="6"/>
  <c r="R55" i="6"/>
  <c r="U54" i="6"/>
  <c r="T54" i="6"/>
  <c r="S54" i="6"/>
  <c r="R54" i="6"/>
  <c r="U53" i="6"/>
  <c r="T53" i="6"/>
  <c r="S53" i="6"/>
  <c r="R53" i="6"/>
  <c r="U52" i="6"/>
  <c r="T52" i="6"/>
  <c r="S52" i="6"/>
  <c r="R52" i="6"/>
  <c r="U50" i="6"/>
  <c r="T50" i="6"/>
  <c r="S50" i="6"/>
  <c r="R50" i="6"/>
  <c r="U49" i="6"/>
  <c r="T49" i="6"/>
  <c r="S49" i="6"/>
  <c r="R49" i="6"/>
  <c r="U48" i="6"/>
  <c r="T48" i="6"/>
  <c r="S48" i="6"/>
  <c r="R48" i="6"/>
  <c r="U47" i="6"/>
  <c r="T47" i="6"/>
  <c r="S47" i="6"/>
  <c r="R47" i="6"/>
  <c r="U46" i="6"/>
  <c r="T46" i="6"/>
  <c r="S46" i="6"/>
  <c r="R46" i="6"/>
  <c r="U44" i="6"/>
  <c r="T44" i="6"/>
  <c r="S44" i="6"/>
  <c r="R44" i="6"/>
  <c r="U43" i="6"/>
  <c r="T43" i="6"/>
  <c r="S43" i="6"/>
  <c r="R43" i="6"/>
  <c r="U42" i="6"/>
  <c r="T42" i="6"/>
  <c r="S42" i="6"/>
  <c r="R42" i="6"/>
  <c r="U41" i="6"/>
  <c r="T41" i="6"/>
  <c r="S41" i="6"/>
  <c r="R41" i="6"/>
  <c r="U39" i="6"/>
  <c r="T39" i="6"/>
  <c r="S39" i="6"/>
  <c r="R39" i="6"/>
  <c r="U38" i="6"/>
  <c r="T38" i="6"/>
  <c r="S38" i="6"/>
  <c r="R38" i="6"/>
  <c r="U37" i="6"/>
  <c r="T37" i="6"/>
  <c r="S37" i="6"/>
  <c r="R37" i="6"/>
  <c r="U36" i="6"/>
  <c r="T36" i="6"/>
  <c r="S36" i="6"/>
  <c r="R36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P9" i="5"/>
  <c r="K9" i="5"/>
  <c r="L9" i="5" s="1"/>
  <c r="B9" i="5"/>
  <c r="C9" i="5" s="1"/>
  <c r="D9" i="5" s="1"/>
  <c r="E9" i="5" s="1"/>
  <c r="F9" i="5" s="1"/>
  <c r="G9" i="5" s="1"/>
  <c r="G10" i="6"/>
  <c r="F10" i="6"/>
  <c r="G10" i="7"/>
  <c r="F10" i="7"/>
  <c r="C9" i="6"/>
  <c r="D9" i="6" s="1"/>
  <c r="E9" i="6" s="1"/>
  <c r="F9" i="6" s="1"/>
  <c r="G9" i="6" s="1"/>
  <c r="K9" i="6" s="1"/>
  <c r="O9" i="6" s="1"/>
  <c r="P9" i="6" s="1"/>
  <c r="Q9" i="6" s="1"/>
  <c r="B9" i="6"/>
  <c r="R19" i="5"/>
  <c r="Q19" i="5"/>
  <c r="P10" i="5"/>
  <c r="R10" i="5" s="1"/>
  <c r="O10" i="5"/>
  <c r="P10" i="4"/>
  <c r="O10" i="4"/>
  <c r="G10" i="4"/>
  <c r="Q10" i="4" l="1"/>
  <c r="Q10" i="5"/>
  <c r="AK8" i="3"/>
  <c r="AK94" i="3" s="1"/>
  <c r="B9" i="4"/>
  <c r="C9" i="4" s="1"/>
  <c r="D9" i="4" s="1"/>
  <c r="E9" i="4" s="1"/>
  <c r="F9" i="4" s="1"/>
  <c r="G9" i="4" s="1"/>
  <c r="K9" i="4" s="1"/>
  <c r="L9" i="4" s="1"/>
  <c r="P9" i="4" s="1"/>
  <c r="B7" i="3"/>
  <c r="C7" i="3" s="1"/>
  <c r="D7" i="3" s="1"/>
  <c r="E7" i="3" s="1"/>
  <c r="F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L7" i="3" s="1"/>
  <c r="AM7" i="3" s="1"/>
  <c r="AK7" i="3" l="1"/>
  <c r="G6" i="3"/>
  <c r="M55" i="7" l="1"/>
  <c r="L55" i="7"/>
  <c r="M54" i="7"/>
  <c r="L54" i="7"/>
  <c r="M53" i="7"/>
  <c r="L53" i="7"/>
  <c r="M52" i="7"/>
  <c r="L52" i="7"/>
  <c r="Q51" i="7"/>
  <c r="P51" i="7"/>
  <c r="O51" i="7"/>
  <c r="N51" i="7"/>
  <c r="K51" i="7"/>
  <c r="M51" i="7" s="1"/>
  <c r="J51" i="7"/>
  <c r="M50" i="7"/>
  <c r="L50" i="7"/>
  <c r="M49" i="7"/>
  <c r="L49" i="7"/>
  <c r="M48" i="7"/>
  <c r="L48" i="7"/>
  <c r="M47" i="7"/>
  <c r="L47" i="7"/>
  <c r="M46" i="7"/>
  <c r="L46" i="7"/>
  <c r="Q45" i="7"/>
  <c r="P45" i="7"/>
  <c r="O45" i="7"/>
  <c r="N45" i="7"/>
  <c r="M45" i="7"/>
  <c r="K45" i="7"/>
  <c r="J45" i="7"/>
  <c r="M44" i="7"/>
  <c r="L44" i="7"/>
  <c r="M43" i="7"/>
  <c r="L43" i="7"/>
  <c r="M42" i="7"/>
  <c r="L42" i="7"/>
  <c r="M41" i="7"/>
  <c r="L41" i="7"/>
  <c r="Q40" i="7"/>
  <c r="P40" i="7"/>
  <c r="O40" i="7"/>
  <c r="N40" i="7"/>
  <c r="K40" i="7"/>
  <c r="L40" i="7" s="1"/>
  <c r="J40" i="7"/>
  <c r="M39" i="7"/>
  <c r="L39" i="7"/>
  <c r="M38" i="7"/>
  <c r="L38" i="7"/>
  <c r="M37" i="7"/>
  <c r="L37" i="7"/>
  <c r="M36" i="7"/>
  <c r="L36" i="7"/>
  <c r="Q35" i="7"/>
  <c r="P35" i="7"/>
  <c r="O35" i="7"/>
  <c r="N35" i="7"/>
  <c r="L35" i="7"/>
  <c r="K35" i="7"/>
  <c r="J35" i="7"/>
  <c r="M34" i="7"/>
  <c r="L34" i="7"/>
  <c r="M33" i="7"/>
  <c r="L33" i="7"/>
  <c r="M32" i="7"/>
  <c r="L32" i="7"/>
  <c r="M31" i="7"/>
  <c r="L31" i="7"/>
  <c r="Q30" i="7"/>
  <c r="P30" i="7"/>
  <c r="O30" i="7"/>
  <c r="N30" i="7"/>
  <c r="K30" i="7"/>
  <c r="J30" i="7"/>
  <c r="M29" i="7"/>
  <c r="L29" i="7"/>
  <c r="M28" i="7"/>
  <c r="L28" i="7"/>
  <c r="M27" i="7"/>
  <c r="L27" i="7"/>
  <c r="M26" i="7"/>
  <c r="L26" i="7"/>
  <c r="Q25" i="7"/>
  <c r="P25" i="7"/>
  <c r="O25" i="7"/>
  <c r="N25" i="7"/>
  <c r="K25" i="7"/>
  <c r="L25" i="7" s="1"/>
  <c r="J25" i="7"/>
  <c r="M24" i="7"/>
  <c r="L24" i="7"/>
  <c r="M23" i="7"/>
  <c r="L23" i="7"/>
  <c r="M22" i="7"/>
  <c r="L22" i="7"/>
  <c r="M21" i="7"/>
  <c r="L21" i="7"/>
  <c r="Q20" i="7"/>
  <c r="P20" i="7"/>
  <c r="P19" i="7" s="1"/>
  <c r="O20" i="7"/>
  <c r="N20" i="7"/>
  <c r="K20" i="7"/>
  <c r="K19" i="7" s="1"/>
  <c r="J20" i="7"/>
  <c r="L20" i="7" s="1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C20" i="7"/>
  <c r="C21" i="7" s="1"/>
  <c r="C22" i="7" s="1"/>
  <c r="C23" i="7" s="1"/>
  <c r="C24" i="7" s="1"/>
  <c r="C25" i="7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H19" i="7"/>
  <c r="I19" i="7"/>
  <c r="C11" i="7"/>
  <c r="J11" i="7" s="1"/>
  <c r="H10" i="7"/>
  <c r="I10" i="7"/>
  <c r="M55" i="6"/>
  <c r="L55" i="6"/>
  <c r="M54" i="6"/>
  <c r="L54" i="6"/>
  <c r="M53" i="6"/>
  <c r="L53" i="6"/>
  <c r="M52" i="6"/>
  <c r="L52" i="6"/>
  <c r="Q51" i="6"/>
  <c r="P51" i="6"/>
  <c r="O51" i="6"/>
  <c r="N51" i="6"/>
  <c r="K51" i="6"/>
  <c r="J51" i="6"/>
  <c r="M50" i="6"/>
  <c r="L50" i="6"/>
  <c r="M49" i="6"/>
  <c r="L49" i="6"/>
  <c r="M48" i="6"/>
  <c r="L48" i="6"/>
  <c r="M47" i="6"/>
  <c r="L47" i="6"/>
  <c r="M46" i="6"/>
  <c r="L46" i="6"/>
  <c r="Q45" i="6"/>
  <c r="P45" i="6"/>
  <c r="O45" i="6"/>
  <c r="N45" i="6"/>
  <c r="K45" i="6"/>
  <c r="L45" i="6" s="1"/>
  <c r="J45" i="6"/>
  <c r="M44" i="6"/>
  <c r="L44" i="6"/>
  <c r="M43" i="6"/>
  <c r="L43" i="6"/>
  <c r="M42" i="6"/>
  <c r="L42" i="6"/>
  <c r="M41" i="6"/>
  <c r="L41" i="6"/>
  <c r="Q40" i="6"/>
  <c r="P40" i="6"/>
  <c r="O40" i="6"/>
  <c r="N40" i="6"/>
  <c r="K40" i="6"/>
  <c r="J40" i="6"/>
  <c r="M39" i="6"/>
  <c r="L39" i="6"/>
  <c r="M38" i="6"/>
  <c r="L38" i="6"/>
  <c r="M37" i="6"/>
  <c r="L37" i="6"/>
  <c r="M36" i="6"/>
  <c r="L36" i="6"/>
  <c r="Q35" i="6"/>
  <c r="P35" i="6"/>
  <c r="O35" i="6"/>
  <c r="N35" i="6"/>
  <c r="K35" i="6"/>
  <c r="J35" i="6"/>
  <c r="M35" i="6" s="1"/>
  <c r="M34" i="6"/>
  <c r="L34" i="6"/>
  <c r="M33" i="6"/>
  <c r="L33" i="6"/>
  <c r="M32" i="6"/>
  <c r="L32" i="6"/>
  <c r="M31" i="6"/>
  <c r="L31" i="6"/>
  <c r="Q30" i="6"/>
  <c r="P30" i="6"/>
  <c r="O30" i="6"/>
  <c r="N30" i="6"/>
  <c r="K30" i="6"/>
  <c r="J30" i="6"/>
  <c r="M30" i="6" s="1"/>
  <c r="M29" i="6"/>
  <c r="L29" i="6"/>
  <c r="M28" i="6"/>
  <c r="L28" i="6"/>
  <c r="M27" i="6"/>
  <c r="L27" i="6"/>
  <c r="M26" i="6"/>
  <c r="L26" i="6"/>
  <c r="Q25" i="6"/>
  <c r="P25" i="6"/>
  <c r="O25" i="6"/>
  <c r="N25" i="6"/>
  <c r="K25" i="6"/>
  <c r="J25" i="6"/>
  <c r="M24" i="6"/>
  <c r="L24" i="6"/>
  <c r="M23" i="6"/>
  <c r="L23" i="6"/>
  <c r="M22" i="6"/>
  <c r="L22" i="6"/>
  <c r="M21" i="6"/>
  <c r="L21" i="6"/>
  <c r="Q20" i="6"/>
  <c r="P20" i="6"/>
  <c r="O20" i="6"/>
  <c r="N20" i="6"/>
  <c r="M20" i="6"/>
  <c r="L20" i="6"/>
  <c r="K20" i="6"/>
  <c r="J20" i="6"/>
  <c r="D20" i="6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C20" i="6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I19" i="6"/>
  <c r="C11" i="6"/>
  <c r="C12" i="6" s="1"/>
  <c r="I10" i="6"/>
  <c r="N55" i="5"/>
  <c r="M55" i="5"/>
  <c r="N54" i="5"/>
  <c r="M54" i="5"/>
  <c r="N53" i="5"/>
  <c r="M53" i="5"/>
  <c r="N52" i="5"/>
  <c r="M52" i="5"/>
  <c r="M51" i="5"/>
  <c r="K51" i="5"/>
  <c r="N51" i="5" s="1"/>
  <c r="J51" i="5"/>
  <c r="N50" i="5"/>
  <c r="M50" i="5"/>
  <c r="N49" i="5"/>
  <c r="M49" i="5"/>
  <c r="N48" i="5"/>
  <c r="M48" i="5"/>
  <c r="N47" i="5"/>
  <c r="M47" i="5"/>
  <c r="N46" i="5"/>
  <c r="M46" i="5"/>
  <c r="K45" i="5"/>
  <c r="J45" i="5"/>
  <c r="M45" i="5" s="1"/>
  <c r="N44" i="5"/>
  <c r="M44" i="5"/>
  <c r="N43" i="5"/>
  <c r="M43" i="5"/>
  <c r="N42" i="5"/>
  <c r="M42" i="5"/>
  <c r="N41" i="5"/>
  <c r="M41" i="5"/>
  <c r="K40" i="5"/>
  <c r="N40" i="5" s="1"/>
  <c r="J40" i="5"/>
  <c r="N39" i="5"/>
  <c r="M39" i="5"/>
  <c r="N38" i="5"/>
  <c r="M38" i="5"/>
  <c r="N37" i="5"/>
  <c r="M37" i="5"/>
  <c r="N36" i="5"/>
  <c r="M36" i="5"/>
  <c r="K35" i="5"/>
  <c r="J35" i="5"/>
  <c r="N34" i="5"/>
  <c r="M34" i="5"/>
  <c r="N33" i="5"/>
  <c r="M33" i="5"/>
  <c r="N32" i="5"/>
  <c r="M32" i="5"/>
  <c r="N31" i="5"/>
  <c r="M31" i="5"/>
  <c r="N30" i="5"/>
  <c r="K30" i="5"/>
  <c r="J30" i="5"/>
  <c r="N29" i="5"/>
  <c r="M29" i="5"/>
  <c r="N28" i="5"/>
  <c r="M28" i="5"/>
  <c r="N27" i="5"/>
  <c r="M27" i="5"/>
  <c r="N26" i="5"/>
  <c r="M26" i="5"/>
  <c r="M25" i="5"/>
  <c r="K25" i="5"/>
  <c r="N25" i="5" s="1"/>
  <c r="J25" i="5"/>
  <c r="N24" i="5"/>
  <c r="M24" i="5"/>
  <c r="N23" i="5"/>
  <c r="M23" i="5"/>
  <c r="N22" i="5"/>
  <c r="M22" i="5"/>
  <c r="N21" i="5"/>
  <c r="M21" i="5"/>
  <c r="N20" i="5"/>
  <c r="K20" i="5"/>
  <c r="J20" i="5"/>
  <c r="M20" i="5" s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I19" i="5"/>
  <c r="H19" i="5"/>
  <c r="C11" i="5"/>
  <c r="C12" i="5" s="1"/>
  <c r="G10" i="5"/>
  <c r="F10" i="5"/>
  <c r="N68" i="4"/>
  <c r="M68" i="4"/>
  <c r="N67" i="4"/>
  <c r="M67" i="4"/>
  <c r="N65" i="4"/>
  <c r="M65" i="4"/>
  <c r="N64" i="4"/>
  <c r="M64" i="4"/>
  <c r="K63" i="4"/>
  <c r="J63" i="4"/>
  <c r="N62" i="4"/>
  <c r="M62" i="4"/>
  <c r="N61" i="4"/>
  <c r="M61" i="4"/>
  <c r="N58" i="4"/>
  <c r="M58" i="4"/>
  <c r="N57" i="4"/>
  <c r="M57" i="4"/>
  <c r="N56" i="4"/>
  <c r="M56" i="4"/>
  <c r="K55" i="4"/>
  <c r="L87" i="4" s="1"/>
  <c r="J55" i="4"/>
  <c r="K87" i="4" s="1"/>
  <c r="N54" i="4"/>
  <c r="M54" i="4"/>
  <c r="N50" i="4"/>
  <c r="M50" i="4"/>
  <c r="N49" i="4"/>
  <c r="M49" i="4"/>
  <c r="N48" i="4"/>
  <c r="M48" i="4"/>
  <c r="K47" i="4"/>
  <c r="L86" i="4" s="1"/>
  <c r="J47" i="4"/>
  <c r="K86" i="4" s="1"/>
  <c r="N46" i="4"/>
  <c r="M46" i="4"/>
  <c r="N44" i="4"/>
  <c r="M44" i="4"/>
  <c r="N43" i="4"/>
  <c r="M43" i="4"/>
  <c r="N42" i="4"/>
  <c r="M42" i="4"/>
  <c r="K41" i="4"/>
  <c r="J41" i="4"/>
  <c r="N40" i="4"/>
  <c r="M40" i="4"/>
  <c r="N38" i="4"/>
  <c r="M38" i="4"/>
  <c r="N37" i="4"/>
  <c r="M37" i="4"/>
  <c r="N36" i="4"/>
  <c r="M36" i="4"/>
  <c r="K35" i="4"/>
  <c r="J35" i="4"/>
  <c r="N34" i="4"/>
  <c r="M34" i="4"/>
  <c r="N32" i="4"/>
  <c r="M32" i="4"/>
  <c r="N31" i="4"/>
  <c r="M31" i="4"/>
  <c r="N30" i="4"/>
  <c r="M30" i="4"/>
  <c r="K29" i="4"/>
  <c r="J29" i="4"/>
  <c r="N28" i="4"/>
  <c r="M28" i="4"/>
  <c r="N23" i="4"/>
  <c r="M23" i="4"/>
  <c r="N22" i="4"/>
  <c r="M22" i="4"/>
  <c r="N21" i="4"/>
  <c r="M21" i="4"/>
  <c r="K20" i="4"/>
  <c r="L84" i="4" s="1"/>
  <c r="J20" i="4"/>
  <c r="K84" i="4" s="1"/>
  <c r="D20" i="4"/>
  <c r="D21" i="4" s="1"/>
  <c r="D22" i="4" s="1"/>
  <c r="D23" i="4" s="1"/>
  <c r="C20" i="4"/>
  <c r="C21" i="4" s="1"/>
  <c r="C22" i="4" s="1"/>
  <c r="C23" i="4" s="1"/>
  <c r="B20" i="4"/>
  <c r="B21" i="4" s="1"/>
  <c r="B22" i="4" s="1"/>
  <c r="B23" i="4" s="1"/>
  <c r="I19" i="4"/>
  <c r="C11" i="4"/>
  <c r="I10" i="4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H9" i="3"/>
  <c r="AM8" i="3"/>
  <c r="AM94" i="3" s="1"/>
  <c r="AL8" i="3"/>
  <c r="AL94" i="3" s="1"/>
  <c r="AJ8" i="3"/>
  <c r="AJ94" i="3" s="1"/>
  <c r="AI8" i="3"/>
  <c r="AI94" i="3" s="1"/>
  <c r="AH8" i="3"/>
  <c r="AH94" i="3" s="1"/>
  <c r="AG8" i="3"/>
  <c r="AG94" i="3" s="1"/>
  <c r="AF8" i="3"/>
  <c r="AF94" i="3" s="1"/>
  <c r="AE8" i="3"/>
  <c r="AE94" i="3" s="1"/>
  <c r="AD8" i="3"/>
  <c r="AD94" i="3" s="1"/>
  <c r="AC8" i="3"/>
  <c r="AC94" i="3" s="1"/>
  <c r="AB8" i="3"/>
  <c r="AB94" i="3" s="1"/>
  <c r="AA8" i="3"/>
  <c r="AA94" i="3" s="1"/>
  <c r="Z8" i="3"/>
  <c r="Z94" i="3" s="1"/>
  <c r="Y8" i="3"/>
  <c r="Y94" i="3" s="1"/>
  <c r="X8" i="3"/>
  <c r="X94" i="3" s="1"/>
  <c r="W8" i="3"/>
  <c r="W94" i="3" s="1"/>
  <c r="V8" i="3"/>
  <c r="V94" i="3" s="1"/>
  <c r="U8" i="3"/>
  <c r="U94" i="3" s="1"/>
  <c r="T8" i="3"/>
  <c r="T94" i="3" s="1"/>
  <c r="S8" i="3"/>
  <c r="S94" i="3" s="1"/>
  <c r="R8" i="3"/>
  <c r="R94" i="3" s="1"/>
  <c r="Q8" i="3"/>
  <c r="Q94" i="3" s="1"/>
  <c r="P8" i="3"/>
  <c r="P94" i="3" s="1"/>
  <c r="O8" i="3"/>
  <c r="O94" i="3" s="1"/>
  <c r="N8" i="3"/>
  <c r="N94" i="3" s="1"/>
  <c r="M8" i="3"/>
  <c r="M94" i="3" s="1"/>
  <c r="L8" i="3"/>
  <c r="L94" i="3" s="1"/>
  <c r="K8" i="3"/>
  <c r="K94" i="3" s="1"/>
  <c r="J8" i="3"/>
  <c r="J94" i="3" s="1"/>
  <c r="I8" i="3"/>
  <c r="I94" i="3" s="1"/>
  <c r="F8" i="3"/>
  <c r="F94" i="3" s="1"/>
  <c r="E8" i="3"/>
  <c r="E94" i="3" s="1"/>
  <c r="F1" i="3"/>
  <c r="A2" i="3" s="1"/>
  <c r="E1" i="3"/>
  <c r="M86" i="4" l="1"/>
  <c r="N86" i="4" s="1"/>
  <c r="M87" i="4"/>
  <c r="N87" i="4" s="1"/>
  <c r="L83" i="4"/>
  <c r="K83" i="4"/>
  <c r="M84" i="4"/>
  <c r="N84" i="4" s="1"/>
  <c r="J19" i="4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3" i="4" s="1"/>
  <c r="C54" i="4" s="1"/>
  <c r="C55" i="4" s="1"/>
  <c r="C56" i="4" s="1"/>
  <c r="C57" i="4" s="1"/>
  <c r="C58" i="4" s="1"/>
  <c r="C60" i="4" s="1"/>
  <c r="C61" i="4" s="1"/>
  <c r="C62" i="4" s="1"/>
  <c r="C63" i="4" s="1"/>
  <c r="C64" i="4" s="1"/>
  <c r="C65" i="4" s="1"/>
  <c r="C66" i="4" s="1"/>
  <c r="C67" i="4" s="1"/>
  <c r="C68" i="4" s="1"/>
  <c r="C24" i="4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3" i="4" s="1"/>
  <c r="D54" i="4" s="1"/>
  <c r="D55" i="4" s="1"/>
  <c r="D56" i="4" s="1"/>
  <c r="D57" i="4" s="1"/>
  <c r="D58" i="4" s="1"/>
  <c r="D60" i="4" s="1"/>
  <c r="D61" i="4" s="1"/>
  <c r="D62" i="4" s="1"/>
  <c r="D63" i="4" s="1"/>
  <c r="D64" i="4" s="1"/>
  <c r="D65" i="4" s="1"/>
  <c r="D66" i="4" s="1"/>
  <c r="D67" i="4" s="1"/>
  <c r="D68" i="4" s="1"/>
  <c r="D24" i="4"/>
  <c r="B27" i="4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3" i="4" s="1"/>
  <c r="B54" i="4" s="1"/>
  <c r="B55" i="4" s="1"/>
  <c r="B56" i="4" s="1"/>
  <c r="B57" i="4" s="1"/>
  <c r="B58" i="4" s="1"/>
  <c r="B60" i="4" s="1"/>
  <c r="B61" i="4" s="1"/>
  <c r="B62" i="4" s="1"/>
  <c r="B63" i="4" s="1"/>
  <c r="B64" i="4" s="1"/>
  <c r="B65" i="4" s="1"/>
  <c r="B66" i="4" s="1"/>
  <c r="B67" i="4" s="1"/>
  <c r="B68" i="4" s="1"/>
  <c r="B24" i="4"/>
  <c r="N29" i="4"/>
  <c r="N55" i="4"/>
  <c r="N63" i="4"/>
  <c r="U25" i="6"/>
  <c r="T25" i="6"/>
  <c r="T30" i="6"/>
  <c r="U30" i="6"/>
  <c r="U35" i="6"/>
  <c r="T35" i="6"/>
  <c r="S30" i="7"/>
  <c r="R30" i="7"/>
  <c r="U40" i="7"/>
  <c r="T40" i="7"/>
  <c r="M55" i="4"/>
  <c r="I10" i="5"/>
  <c r="T20" i="6"/>
  <c r="U20" i="6"/>
  <c r="M45" i="6"/>
  <c r="M51" i="6"/>
  <c r="N19" i="7"/>
  <c r="U35" i="7"/>
  <c r="T35" i="7"/>
  <c r="N35" i="4"/>
  <c r="J19" i="5"/>
  <c r="N45" i="5"/>
  <c r="M40" i="6"/>
  <c r="M20" i="7"/>
  <c r="S25" i="7"/>
  <c r="R25" i="7"/>
  <c r="U30" i="7"/>
  <c r="T30" i="7"/>
  <c r="L45" i="7"/>
  <c r="K11" i="5"/>
  <c r="J19" i="6"/>
  <c r="L30" i="6"/>
  <c r="L35" i="6"/>
  <c r="S45" i="6"/>
  <c r="R45" i="6"/>
  <c r="S51" i="6"/>
  <c r="R51" i="6"/>
  <c r="O11" i="6"/>
  <c r="K19" i="6"/>
  <c r="S40" i="6"/>
  <c r="R40" i="6"/>
  <c r="S20" i="7"/>
  <c r="R20" i="7"/>
  <c r="U25" i="7"/>
  <c r="T25" i="7"/>
  <c r="M35" i="7"/>
  <c r="M40" i="7"/>
  <c r="P11" i="6"/>
  <c r="U45" i="6"/>
  <c r="T45" i="6"/>
  <c r="U51" i="6"/>
  <c r="T51" i="6"/>
  <c r="S45" i="7"/>
  <c r="R45" i="7"/>
  <c r="S51" i="7"/>
  <c r="R51" i="7"/>
  <c r="M41" i="4"/>
  <c r="N20" i="4"/>
  <c r="N47" i="4"/>
  <c r="M63" i="4"/>
  <c r="N35" i="5"/>
  <c r="S25" i="6"/>
  <c r="R25" i="6"/>
  <c r="S30" i="6"/>
  <c r="R30" i="6"/>
  <c r="S35" i="6"/>
  <c r="R35" i="6"/>
  <c r="Q19" i="6"/>
  <c r="T40" i="6"/>
  <c r="U40" i="6"/>
  <c r="Q19" i="7"/>
  <c r="U20" i="7"/>
  <c r="T20" i="7"/>
  <c r="M30" i="7"/>
  <c r="S40" i="7"/>
  <c r="R40" i="7"/>
  <c r="K11" i="4"/>
  <c r="S20" i="6"/>
  <c r="R20" i="6"/>
  <c r="S35" i="7"/>
  <c r="R35" i="7"/>
  <c r="U45" i="7"/>
  <c r="T45" i="7"/>
  <c r="U51" i="7"/>
  <c r="T51" i="7"/>
  <c r="M30" i="5"/>
  <c r="J19" i="7"/>
  <c r="L19" i="7" s="1"/>
  <c r="N11" i="7"/>
  <c r="O11" i="7"/>
  <c r="C12" i="7"/>
  <c r="Q12" i="7" s="1"/>
  <c r="K11" i="7"/>
  <c r="M11" i="7" s="1"/>
  <c r="C26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J12" i="7"/>
  <c r="P11" i="7"/>
  <c r="K12" i="7"/>
  <c r="Q11" i="7"/>
  <c r="L51" i="7"/>
  <c r="O19" i="7"/>
  <c r="M25" i="7"/>
  <c r="N12" i="7"/>
  <c r="C13" i="7"/>
  <c r="O12" i="7"/>
  <c r="L30" i="7"/>
  <c r="P12" i="7"/>
  <c r="L19" i="6"/>
  <c r="M19" i="6"/>
  <c r="Q12" i="6"/>
  <c r="P12" i="6"/>
  <c r="O12" i="6"/>
  <c r="C13" i="6"/>
  <c r="N12" i="6"/>
  <c r="K12" i="6"/>
  <c r="J12" i="6"/>
  <c r="Q11" i="6"/>
  <c r="N19" i="6"/>
  <c r="L25" i="6"/>
  <c r="L51" i="6"/>
  <c r="J11" i="6"/>
  <c r="O19" i="6"/>
  <c r="M25" i="6"/>
  <c r="L40" i="6"/>
  <c r="H10" i="6"/>
  <c r="K11" i="6"/>
  <c r="H19" i="6"/>
  <c r="P19" i="6"/>
  <c r="N11" i="6"/>
  <c r="J12" i="5"/>
  <c r="K12" i="5"/>
  <c r="C13" i="5"/>
  <c r="K19" i="5"/>
  <c r="M40" i="5"/>
  <c r="M35" i="5"/>
  <c r="H10" i="5"/>
  <c r="J11" i="5"/>
  <c r="R19" i="4"/>
  <c r="Q19" i="4"/>
  <c r="M35" i="4"/>
  <c r="N41" i="4"/>
  <c r="K19" i="4"/>
  <c r="M47" i="4"/>
  <c r="H10" i="4"/>
  <c r="M29" i="4"/>
  <c r="J11" i="4"/>
  <c r="C12" i="4"/>
  <c r="M20" i="4"/>
  <c r="H19" i="4"/>
  <c r="G1" i="3"/>
  <c r="F6" i="3" s="1"/>
  <c r="G8" i="3"/>
  <c r="G94" i="3" s="1"/>
  <c r="H94" i="3" s="1"/>
  <c r="M83" i="4" l="1"/>
  <c r="N83" i="4" s="1"/>
  <c r="S12" i="6"/>
  <c r="R12" i="6"/>
  <c r="L11" i="7"/>
  <c r="U19" i="7"/>
  <c r="T19" i="7"/>
  <c r="S11" i="6"/>
  <c r="R11" i="6"/>
  <c r="S12" i="7"/>
  <c r="R12" i="7"/>
  <c r="T12" i="6"/>
  <c r="U12" i="6"/>
  <c r="U11" i="6"/>
  <c r="T11" i="6"/>
  <c r="U19" i="6"/>
  <c r="T19" i="6"/>
  <c r="S19" i="7"/>
  <c r="R19" i="7"/>
  <c r="U12" i="7"/>
  <c r="T12" i="7"/>
  <c r="S19" i="6"/>
  <c r="R19" i="6"/>
  <c r="U11" i="7"/>
  <c r="T11" i="7"/>
  <c r="S11" i="7"/>
  <c r="R11" i="7"/>
  <c r="N11" i="5"/>
  <c r="M19" i="7"/>
  <c r="M12" i="7"/>
  <c r="L12" i="7"/>
  <c r="K13" i="7"/>
  <c r="J13" i="7"/>
  <c r="Q13" i="7"/>
  <c r="P13" i="7"/>
  <c r="O13" i="7"/>
  <c r="C14" i="7"/>
  <c r="N13" i="7"/>
  <c r="M11" i="6"/>
  <c r="L11" i="6"/>
  <c r="M12" i="6"/>
  <c r="L12" i="6"/>
  <c r="N13" i="6"/>
  <c r="K13" i="6"/>
  <c r="J13" i="6"/>
  <c r="Q13" i="6"/>
  <c r="P13" i="6"/>
  <c r="C14" i="6"/>
  <c r="O13" i="6"/>
  <c r="K13" i="5"/>
  <c r="C14" i="5"/>
  <c r="J13" i="5"/>
  <c r="N19" i="5"/>
  <c r="M19" i="5"/>
  <c r="N12" i="5"/>
  <c r="M12" i="5"/>
  <c r="M11" i="5"/>
  <c r="M19" i="4"/>
  <c r="N19" i="4"/>
  <c r="K12" i="4"/>
  <c r="C13" i="4"/>
  <c r="J12" i="4"/>
  <c r="N11" i="4"/>
  <c r="M11" i="4"/>
  <c r="H8" i="3"/>
  <c r="U13" i="7" l="1"/>
  <c r="T13" i="7"/>
  <c r="S13" i="6"/>
  <c r="R13" i="6"/>
  <c r="U13" i="6"/>
  <c r="T13" i="6"/>
  <c r="S13" i="7"/>
  <c r="R13" i="7"/>
  <c r="L13" i="7"/>
  <c r="M13" i="7"/>
  <c r="O14" i="7"/>
  <c r="C15" i="7"/>
  <c r="N14" i="7"/>
  <c r="K14" i="7"/>
  <c r="J14" i="7"/>
  <c r="P14" i="7"/>
  <c r="Q14" i="7"/>
  <c r="O14" i="6"/>
  <c r="C15" i="6"/>
  <c r="N14" i="6"/>
  <c r="Q14" i="6"/>
  <c r="P14" i="6"/>
  <c r="K14" i="6"/>
  <c r="J14" i="6"/>
  <c r="L13" i="6"/>
  <c r="M13" i="6"/>
  <c r="N13" i="5"/>
  <c r="M13" i="5"/>
  <c r="K14" i="5"/>
  <c r="C15" i="5"/>
  <c r="J14" i="5"/>
  <c r="C14" i="4"/>
  <c r="J13" i="4"/>
  <c r="K13" i="4"/>
  <c r="N12" i="4"/>
  <c r="M12" i="4"/>
  <c r="T14" i="6" l="1"/>
  <c r="U14" i="6"/>
  <c r="S14" i="7"/>
  <c r="R14" i="7"/>
  <c r="S14" i="6"/>
  <c r="R14" i="6"/>
  <c r="U14" i="7"/>
  <c r="T14" i="7"/>
  <c r="M14" i="7"/>
  <c r="L14" i="7"/>
  <c r="J15" i="7"/>
  <c r="Q15" i="7"/>
  <c r="P15" i="7"/>
  <c r="O15" i="7"/>
  <c r="K15" i="7"/>
  <c r="C16" i="7"/>
  <c r="N15" i="7"/>
  <c r="J15" i="6"/>
  <c r="Q15" i="6"/>
  <c r="P15" i="6"/>
  <c r="O15" i="6"/>
  <c r="C16" i="6"/>
  <c r="N15" i="6"/>
  <c r="K15" i="6"/>
  <c r="M14" i="6"/>
  <c r="L14" i="6"/>
  <c r="N14" i="5"/>
  <c r="M14" i="5"/>
  <c r="K15" i="5"/>
  <c r="C16" i="5"/>
  <c r="J15" i="5"/>
  <c r="C15" i="4"/>
  <c r="J14" i="4"/>
  <c r="K14" i="4"/>
  <c r="M13" i="4"/>
  <c r="N13" i="4"/>
  <c r="S15" i="7" l="1"/>
  <c r="R15" i="7"/>
  <c r="S15" i="6"/>
  <c r="R15" i="6"/>
  <c r="U15" i="7"/>
  <c r="T15" i="7"/>
  <c r="U15" i="6"/>
  <c r="T15" i="6"/>
  <c r="K16" i="7"/>
  <c r="J16" i="7"/>
  <c r="Q16" i="7"/>
  <c r="C17" i="7"/>
  <c r="P16" i="7"/>
  <c r="O16" i="7"/>
  <c r="N16" i="7"/>
  <c r="M15" i="7"/>
  <c r="L15" i="7"/>
  <c r="L15" i="6"/>
  <c r="M15" i="6"/>
  <c r="O16" i="6"/>
  <c r="K16" i="6"/>
  <c r="J16" i="6"/>
  <c r="C17" i="6"/>
  <c r="Q16" i="6"/>
  <c r="N16" i="6"/>
  <c r="P16" i="6"/>
  <c r="K16" i="5"/>
  <c r="C17" i="5"/>
  <c r="J16" i="5"/>
  <c r="N15" i="5"/>
  <c r="M15" i="5"/>
  <c r="J15" i="4"/>
  <c r="K15" i="4"/>
  <c r="C16" i="4"/>
  <c r="N14" i="4"/>
  <c r="M14" i="4"/>
  <c r="T16" i="6" l="1"/>
  <c r="U16" i="6"/>
  <c r="S16" i="7"/>
  <c r="R16" i="7"/>
  <c r="S16" i="6"/>
  <c r="R16" i="6"/>
  <c r="U16" i="7"/>
  <c r="T16" i="7"/>
  <c r="P17" i="7"/>
  <c r="O17" i="7"/>
  <c r="C18" i="7"/>
  <c r="N17" i="7"/>
  <c r="K17" i="7"/>
  <c r="Q17" i="7"/>
  <c r="J17" i="7"/>
  <c r="M16" i="7"/>
  <c r="L16" i="7"/>
  <c r="P17" i="6"/>
  <c r="O17" i="6"/>
  <c r="C18" i="6"/>
  <c r="N17" i="6"/>
  <c r="Q17" i="6"/>
  <c r="K17" i="6"/>
  <c r="J17" i="6"/>
  <c r="M16" i="6"/>
  <c r="L16" i="6"/>
  <c r="K17" i="5"/>
  <c r="C18" i="5"/>
  <c r="J17" i="5"/>
  <c r="N16" i="5"/>
  <c r="M16" i="5"/>
  <c r="J16" i="4"/>
  <c r="K16" i="4"/>
  <c r="C17" i="4"/>
  <c r="N15" i="4"/>
  <c r="M15" i="4"/>
  <c r="U17" i="6" l="1"/>
  <c r="T17" i="6"/>
  <c r="U17" i="7"/>
  <c r="T17" i="7"/>
  <c r="S17" i="6"/>
  <c r="R17" i="6"/>
  <c r="S17" i="7"/>
  <c r="R17" i="7"/>
  <c r="M17" i="7"/>
  <c r="L17" i="7"/>
  <c r="K18" i="7"/>
  <c r="J18" i="7"/>
  <c r="J10" i="7" s="1"/>
  <c r="Q18" i="7"/>
  <c r="P18" i="7"/>
  <c r="O18" i="7"/>
  <c r="N18" i="7"/>
  <c r="N10" i="7" s="1"/>
  <c r="M17" i="6"/>
  <c r="L17" i="6"/>
  <c r="K18" i="6"/>
  <c r="J18" i="6"/>
  <c r="J10" i="6" s="1"/>
  <c r="Q18" i="6"/>
  <c r="P18" i="6"/>
  <c r="O18" i="6"/>
  <c r="N18" i="6"/>
  <c r="N10" i="6" s="1"/>
  <c r="K18" i="5"/>
  <c r="J18" i="5"/>
  <c r="J10" i="5" s="1"/>
  <c r="M17" i="5"/>
  <c r="N17" i="5"/>
  <c r="C18" i="4"/>
  <c r="K17" i="4"/>
  <c r="J17" i="4"/>
  <c r="N16" i="4"/>
  <c r="M16" i="4"/>
  <c r="O10" i="6" l="1"/>
  <c r="S18" i="6"/>
  <c r="R18" i="6"/>
  <c r="O10" i="7"/>
  <c r="S18" i="7"/>
  <c r="R18" i="7"/>
  <c r="U18" i="7"/>
  <c r="T18" i="7"/>
  <c r="T18" i="6"/>
  <c r="U18" i="6"/>
  <c r="Q10" i="7"/>
  <c r="M18" i="7"/>
  <c r="L18" i="7"/>
  <c r="K10" i="7"/>
  <c r="P10" i="7"/>
  <c r="L18" i="6"/>
  <c r="M18" i="6"/>
  <c r="K10" i="6"/>
  <c r="P10" i="6"/>
  <c r="Q10" i="6"/>
  <c r="N18" i="5"/>
  <c r="M18" i="5"/>
  <c r="K10" i="5"/>
  <c r="N17" i="4"/>
  <c r="M17" i="4"/>
  <c r="K18" i="4"/>
  <c r="J18" i="4"/>
  <c r="J10" i="4" s="1"/>
  <c r="S3" i="4" s="1"/>
  <c r="T3" i="4" s="1"/>
  <c r="R3" i="4" l="1"/>
  <c r="R4" i="4" s="1"/>
  <c r="N4" i="4"/>
  <c r="O4" i="4" s="1"/>
  <c r="U10" i="7"/>
  <c r="T10" i="7"/>
  <c r="S10" i="6"/>
  <c r="R10" i="6"/>
  <c r="T10" i="6"/>
  <c r="U10" i="6"/>
  <c r="S10" i="7"/>
  <c r="R10" i="7"/>
  <c r="L10" i="7"/>
  <c r="M10" i="7"/>
  <c r="L10" i="6"/>
  <c r="M10" i="6"/>
  <c r="M10" i="5"/>
  <c r="N10" i="5"/>
  <c r="N18" i="4"/>
  <c r="M18" i="4"/>
  <c r="K10" i="4"/>
  <c r="N5" i="4" l="1"/>
  <c r="O5" i="4" s="1"/>
  <c r="S4" i="4"/>
  <c r="T4" i="4" s="1"/>
  <c r="K4" i="4"/>
  <c r="L1" i="4"/>
  <c r="M1" i="4" s="1"/>
  <c r="N1" i="4" s="1"/>
  <c r="R10" i="4"/>
  <c r="N10" i="4"/>
  <c r="M10" i="4"/>
</calcChain>
</file>

<file path=xl/comments1.xml><?xml version="1.0" encoding="utf-8"?>
<comments xmlns="http://schemas.openxmlformats.org/spreadsheetml/2006/main">
  <authors>
    <author>Александр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Обязательно для заполнения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04"/>
          </rPr>
          <t>ячейки с светло-синей заливкой заполняются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Александр</author>
  </authors>
  <commentList>
    <comment ref="O7" authorId="0" shapeId="0">
      <text>
        <r>
          <rPr>
            <b/>
            <sz val="9"/>
            <color indexed="81"/>
            <rFont val="Tahoma"/>
            <family val="2"/>
            <charset val="204"/>
          </rPr>
          <t>указывается фактическая выручка за прошлый месяц.
Т.е. данный показатель в объеме за месяц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прогнозная выручка, заполняется еженедельно.
Указывается прогноз  на месяц.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в сеть на текущую дату еженедельного отчета должно соотвествовать отпуску в сеть на текущую дату ежесуточного отчета с начала месяца (нарастающим итогом)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Поименно указываются только потребители, присоединеным к сетям ДЗО, максимальная мощность энергопринимающих устройств которых выше 5 МВт.</t>
        </r>
      </text>
    </comment>
    <comment ref="J21" authorId="0" shapeId="0">
      <text>
        <r>
          <rPr>
            <b/>
            <sz val="9"/>
            <color rgb="FF000000"/>
            <rFont val="Tahoma"/>
            <family val="2"/>
            <charset val="204"/>
          </rPr>
          <t>значение отпуска из сети по потребителю (группе потребителей) заполняется с начала месяца  на дату предоставления отчета (нарастающим итогом). Определяется по приборам учета, либо расчетным способом.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значение отпуска из сети по потребителю (группе потребителей) заполняется с начала месяца на дату предоставления отчета  (нарастающим итогом). 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  <charset val="204"/>
          </rPr>
          <t>Информация в столбце "Источник информации" заполняется только по потребителям, указанным поименно.
ПУ ТСО - показания снимаются по коммерческому учету ТСО;
ПУ потребителя - показания снимаются по приборам учета данного потребителя;
В случае если, показания ПУ прибора учета потребителя получена позднее отчетной даты - информация подлежит корректировке в следующий отчетный период (неделя)
Тех. учет -  показания снимаются на основании технического учету ТСО.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204"/>
          </rPr>
          <t>заполняется информация только по потребителям с максимальной мощностью меньше 5 МВт, присоединенным к сетям ДЗО, по которым существует возможность дистанционного съема показаний приборов учета.</t>
        </r>
      </text>
    </comment>
    <comment ref="F30" authorId="0" shapeId="0">
      <text>
        <r>
          <rPr>
            <b/>
            <sz val="9"/>
            <color rgb="FF000000"/>
            <rFont val="Tahoma"/>
            <family val="2"/>
            <charset val="204"/>
          </rPr>
          <t>В серые ячейки данные не заполняются</t>
        </r>
      </text>
    </comment>
    <comment ref="J31" authorId="0" shape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</commentList>
</comments>
</file>

<file path=xl/comments3.xml><?xml version="1.0" encoding="utf-8"?>
<comments xmlns="http://schemas.openxmlformats.org/spreadsheetml/2006/main">
  <authors>
    <author>user</author>
    <author>Александр</author>
  </authors>
  <commentList>
    <comment ref="N6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  <charset val="204"/>
          </rPr>
          <t>значение отпуска в сеть должно соотвествовать  (с допустимой долей погрешности) "ежедневному" отчету, а так же отчетному отпуску в сеть за иесяц</t>
        </r>
      </text>
    </comment>
    <comment ref="J10" authorId="0" shapeId="0">
      <text>
        <r>
          <rPr>
            <sz val="9"/>
            <color indexed="81"/>
            <rFont val="Tahoma"/>
            <family val="2"/>
            <charset val="204"/>
          </rPr>
          <t xml:space="preserve"> соотвествует (с допустимой долей погрешности) занчениям "ежедневного" и ""еженедельного" мониторинга, а так же данным управленческого и бухгалтерского учета</t>
        </r>
      </text>
    </comment>
    <comment ref="N10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Сооотвествует отчетным данным управленческого отчет и бухгалтерским данным (с долей погрешности урегулированных разногласий с 17 до 27 числа) 
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  <charset val="204"/>
          </rPr>
          <t>в серые ячейки данные не заполняются!!!</t>
        </r>
      </text>
    </comment>
    <comment ref="E21" authorId="1" shapeId="0">
      <text>
        <r>
          <rPr>
            <b/>
            <sz val="9"/>
            <color indexed="81"/>
            <rFont val="Tahoma"/>
            <family val="2"/>
            <charset val="204"/>
          </rPr>
          <t>Поименно указываются только потребители, присоединенные к сетям ДЗО, максимальная мощность энергопринимающих устройств которых выше 5 МВт.</t>
        </r>
      </text>
    </comment>
    <comment ref="J21" authorId="1" shapeId="0">
      <text>
        <r>
          <rPr>
            <b/>
            <sz val="9"/>
            <color rgb="FF000000"/>
            <rFont val="Tahoma"/>
            <family val="2"/>
            <charset val="204"/>
          </rPr>
          <t>В ячейки без заливки данные заполняются в ручную!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  <charset val="204"/>
          </rPr>
          <t>заполняется информация ссумарно по всем потребителям, присоединенным к сетям ДЗО, с максимальной мощностью меньше 5 МВт.</t>
        </r>
      </text>
    </comment>
  </commentList>
</comments>
</file>

<file path=xl/sharedStrings.xml><?xml version="1.0" encoding="utf-8"?>
<sst xmlns="http://schemas.openxmlformats.org/spreadsheetml/2006/main" count="2823" uniqueCount="258">
  <si>
    <t>№ п/п</t>
  </si>
  <si>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</si>
  <si>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</si>
  <si>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</si>
  <si>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дата заполнения</t>
  </si>
  <si>
    <t>отпуск в сеть за апрель</t>
  </si>
  <si>
    <t>суточный отпуск в сеть, млн кВтч</t>
  </si>
  <si>
    <t>Отклонение</t>
  </si>
  <si>
    <t>факт</t>
  </si>
  <si>
    <t>ПАО "МРСК Центра"</t>
  </si>
  <si>
    <t>1.1.</t>
  </si>
  <si>
    <t>Белгородская область</t>
  </si>
  <si>
    <t>Белгородэнерго</t>
  </si>
  <si>
    <t>1.2.</t>
  </si>
  <si>
    <t>Брянскэнерго</t>
  </si>
  <si>
    <t>1.3.</t>
  </si>
  <si>
    <t>Воронежэнерго</t>
  </si>
  <si>
    <t>1.4.</t>
  </si>
  <si>
    <t>Костромаэнерго</t>
  </si>
  <si>
    <t>1.5.</t>
  </si>
  <si>
    <t>Курскэнерго</t>
  </si>
  <si>
    <t>1.6.</t>
  </si>
  <si>
    <t>Липецкэнерго</t>
  </si>
  <si>
    <t>1.7.</t>
  </si>
  <si>
    <t>Орелэнерго</t>
  </si>
  <si>
    <t>1.8.</t>
  </si>
  <si>
    <t>Смоленскэнерго</t>
  </si>
  <si>
    <t>1.9.</t>
  </si>
  <si>
    <t>Тамбовэнерго</t>
  </si>
  <si>
    <t>1.10.</t>
  </si>
  <si>
    <t>Тверьэнерго</t>
  </si>
  <si>
    <t>1.11.</t>
  </si>
  <si>
    <t>Ярэнерго</t>
  </si>
  <si>
    <t>ПАО "МРСК Центра и Приволжья" (ГК)</t>
  </si>
  <si>
    <t>2.1.</t>
  </si>
  <si>
    <t>ПАО "МРСК Центра и Приволжья"</t>
  </si>
  <si>
    <t>2.1.1.</t>
  </si>
  <si>
    <t>Владимирэнерго</t>
  </si>
  <si>
    <t>2.1.2.</t>
  </si>
  <si>
    <t>Ивэнерго</t>
  </si>
  <si>
    <t>2.1.3.</t>
  </si>
  <si>
    <t>Калугаэнерго</t>
  </si>
  <si>
    <t>2.1.4.</t>
  </si>
  <si>
    <t>Кировэнерго</t>
  </si>
  <si>
    <t>2.1.5.</t>
  </si>
  <si>
    <t>Мариэнерго</t>
  </si>
  <si>
    <t>2.1.6.</t>
  </si>
  <si>
    <t>Нижновэнерго</t>
  </si>
  <si>
    <t>2.1.7.</t>
  </si>
  <si>
    <t>Рязаньэнерго</t>
  </si>
  <si>
    <t>2.1.8.</t>
  </si>
  <si>
    <t>Тулэнерго</t>
  </si>
  <si>
    <t>2.1.9.</t>
  </si>
  <si>
    <t>Удмуртэнерго</t>
  </si>
  <si>
    <t>2.2.</t>
  </si>
  <si>
    <t>АО "Свет"</t>
  </si>
  <si>
    <t>ПАО "МРСК Волги"</t>
  </si>
  <si>
    <t>3.1.</t>
  </si>
  <si>
    <t>Мордовэнерго</t>
  </si>
  <si>
    <t>3.2.</t>
  </si>
  <si>
    <t>Оренбургэнерго</t>
  </si>
  <si>
    <t>3.3.</t>
  </si>
  <si>
    <t>Пензаэнерго</t>
  </si>
  <si>
    <t>3.4.</t>
  </si>
  <si>
    <t>Самарские РС</t>
  </si>
  <si>
    <t>3.5.</t>
  </si>
  <si>
    <t>Саратовские РС</t>
  </si>
  <si>
    <t>3.6.</t>
  </si>
  <si>
    <t>Ульяновские РС</t>
  </si>
  <si>
    <t>3.7.</t>
  </si>
  <si>
    <t>Чувашэнерго</t>
  </si>
  <si>
    <t>ПАО "МРСК Северо-Запада"</t>
  </si>
  <si>
    <t>4.1.</t>
  </si>
  <si>
    <t>Архангельский филиал</t>
  </si>
  <si>
    <t>4.2.</t>
  </si>
  <si>
    <t>Вологодский филиал</t>
  </si>
  <si>
    <t>4.3.</t>
  </si>
  <si>
    <t>Карельский филиал</t>
  </si>
  <si>
    <t>4.4.</t>
  </si>
  <si>
    <t>Мурманский филиал</t>
  </si>
  <si>
    <t>4.5.</t>
  </si>
  <si>
    <t xml:space="preserve">филиал в Республике Коми </t>
  </si>
  <si>
    <t>4.6.</t>
  </si>
  <si>
    <t>Новгородский филиал</t>
  </si>
  <si>
    <t>4.7.</t>
  </si>
  <si>
    <t>Псковский филиал</t>
  </si>
  <si>
    <t>ПАО "МРСК Сибири" (ГК)</t>
  </si>
  <si>
    <t>5.1.</t>
  </si>
  <si>
    <t>ПАО "МРСК Сибири"</t>
  </si>
  <si>
    <t>5.1.1.</t>
  </si>
  <si>
    <t>Алтайэнерго</t>
  </si>
  <si>
    <t>5.1.2.</t>
  </si>
  <si>
    <t>Бурятэнерго</t>
  </si>
  <si>
    <t>5.1.3.</t>
  </si>
  <si>
    <t>ГАЭС</t>
  </si>
  <si>
    <t>5.1.4.</t>
  </si>
  <si>
    <t>Красноярскэнерго</t>
  </si>
  <si>
    <t>5.1.5.</t>
  </si>
  <si>
    <t>Кузбассэнерго-РЭС</t>
  </si>
  <si>
    <t>5.1.6.</t>
  </si>
  <si>
    <t>Омскэнерго</t>
  </si>
  <si>
    <t>5.1.7.</t>
  </si>
  <si>
    <t>Хакасэнерго</t>
  </si>
  <si>
    <t>5.1.8.</t>
  </si>
  <si>
    <t>Читаэнерго</t>
  </si>
  <si>
    <t>5.2.</t>
  </si>
  <si>
    <t>АО "Тываэнерго"</t>
  </si>
  <si>
    <t>ПАО "ТРК"</t>
  </si>
  <si>
    <t>ОАО "МРСК Урала" (ГК)</t>
  </si>
  <si>
    <t>7.1.</t>
  </si>
  <si>
    <t>ОАО "МРСК Урала"</t>
  </si>
  <si>
    <t>7.1.1.</t>
  </si>
  <si>
    <t>Пермэнерго</t>
  </si>
  <si>
    <t>7.1.2.</t>
  </si>
  <si>
    <t>Свердловэнерго</t>
  </si>
  <si>
    <t>7.1.3.</t>
  </si>
  <si>
    <t>Челябэнерго</t>
  </si>
  <si>
    <t>7.2.</t>
  </si>
  <si>
    <t>АО ЕЭСК</t>
  </si>
  <si>
    <t>ПАО "Россети Юг"</t>
  </si>
  <si>
    <t>8.1.</t>
  </si>
  <si>
    <t>Астраханьэнерго</t>
  </si>
  <si>
    <t>8.2.</t>
  </si>
  <si>
    <t>Волгоградэнерго</t>
  </si>
  <si>
    <t>8.3.</t>
  </si>
  <si>
    <t>Калмэнерго</t>
  </si>
  <si>
    <t>8.4.</t>
  </si>
  <si>
    <t>Ростовэнерго</t>
  </si>
  <si>
    <t>ПАО "МРСК Северного Кавказа" (ГК)</t>
  </si>
  <si>
    <t>9.1.</t>
  </si>
  <si>
    <t>ПАО "МРСК Северного Кавказа" (ДЗО)</t>
  </si>
  <si>
    <t>9.1.1.</t>
  </si>
  <si>
    <t>ПАО "МРСК Северного Кавказа"</t>
  </si>
  <si>
    <t>9.1.1.1.</t>
  </si>
  <si>
    <t>Каббалкэнерго</t>
  </si>
  <si>
    <t>9.1.1.2.</t>
  </si>
  <si>
    <t>Карачаево-Черкесскэнерго</t>
  </si>
  <si>
    <t>9.1.1.3.</t>
  </si>
  <si>
    <t>Севкавказэнерго</t>
  </si>
  <si>
    <t>9.1.1.4.</t>
  </si>
  <si>
    <t>Ставропольэнерго</t>
  </si>
  <si>
    <t>9.1.1.5.</t>
  </si>
  <si>
    <t>Ингушэнерго</t>
  </si>
  <si>
    <t>9.1.2.</t>
  </si>
  <si>
    <t>АО "Дагестанская сетевая компания"</t>
  </si>
  <si>
    <t>9.2.</t>
  </si>
  <si>
    <t>АО "Чеченэнерго"</t>
  </si>
  <si>
    <t>ПАО "Кубаньэнерго"</t>
  </si>
  <si>
    <t>ПАО "МОЭСК"</t>
  </si>
  <si>
    <t>11.1.</t>
  </si>
  <si>
    <t>г. Москва</t>
  </si>
  <si>
    <t>11.2.</t>
  </si>
  <si>
    <t>Московская область</t>
  </si>
  <si>
    <t>ПАО "Ленэнерго" (ГК)</t>
  </si>
  <si>
    <t>12.1.</t>
  </si>
  <si>
    <t>ПАО "Ленэнерго"</t>
  </si>
  <si>
    <t>12.1.1.</t>
  </si>
  <si>
    <t>г. Санкт-Петербург</t>
  </si>
  <si>
    <t>12.1.2.</t>
  </si>
  <si>
    <t>Ленинградская область</t>
  </si>
  <si>
    <t>12.2.</t>
  </si>
  <si>
    <t>ЗАО "Курортэнерго"</t>
  </si>
  <si>
    <t>12.3.</t>
  </si>
  <si>
    <t xml:space="preserve">ЗАО "ЦЭК" </t>
  </si>
  <si>
    <t>12.4.</t>
  </si>
  <si>
    <t>АО "СПб ЭС"</t>
  </si>
  <si>
    <t>АО «Россети Тюмень»</t>
  </si>
  <si>
    <t>АО "Янтарьэнерго"</t>
  </si>
  <si>
    <t>ИТОГО по РСК</t>
  </si>
  <si>
    <t>ПАО "ФСК ЕЭС"</t>
  </si>
  <si>
    <t>Отчет по сотоянию на:</t>
  </si>
  <si>
    <t>Данные по отпуску в сеть, отпуску из сети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</si>
  <si>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</si>
  <si>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</si>
  <si>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</si>
  <si>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</si>
  <si>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</si>
  <si>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</si>
  <si>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</si>
  <si>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</si>
  <si>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</si>
  <si>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</si>
  <si>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</si>
  <si>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</si>
  <si>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</si>
  <si>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</si>
  <si>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</si>
  <si>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</si>
  <si>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</si>
  <si>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</si>
  <si>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</si>
  <si>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</si>
  <si>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</si>
  <si>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</si>
  <si>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</si>
  <si>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ПУ ТСО</t>
  </si>
  <si>
    <t>потребитель 2</t>
  </si>
  <si>
    <t>тех.учет</t>
  </si>
  <si>
    <t>потребитель 3</t>
  </si>
  <si>
    <t>ПУ потребителя</t>
  </si>
  <si>
    <t>прочие потребители</t>
  </si>
  <si>
    <t>Транспорт</t>
  </si>
  <si>
    <t>ТСО 1</t>
  </si>
  <si>
    <t>ТСО 2</t>
  </si>
  <si>
    <t>ТСО 3</t>
  </si>
  <si>
    <t>прочие ТСО</t>
  </si>
  <si>
    <t>субъект РФ 1</t>
  </si>
  <si>
    <t>филиал 1</t>
  </si>
  <si>
    <t>Отчет за:</t>
  </si>
  <si>
    <t>апрель</t>
  </si>
  <si>
    <t>Данные по отпуску в сеть, отпуску из сети, котловому полезному отпуску и выручке за услуги по передаче электрической энергии за апрель 2019, 2020 гг. с разбивкой по группам потребителей, а также с выделением крупных потребителей.</t>
  </si>
  <si>
    <t>Котловой полезный отпуск</t>
  </si>
  <si>
    <t>Котловой полезный отпуск, млн кВтч</t>
  </si>
  <si>
    <t>Котловой полезный отпуск (отклонения)</t>
  </si>
  <si>
    <t>Выручка (отклонения)</t>
  </si>
  <si>
    <t>7 = сумма (9…38)</t>
  </si>
  <si>
    <t>8 = 7-6</t>
  </si>
  <si>
    <t>13 = 11-10</t>
  </si>
  <si>
    <t>14 = ((11-10)/100-1)%</t>
  </si>
  <si>
    <t>9 = ((7-6)/100-1)%</t>
  </si>
  <si>
    <t>8 = ((7-6)/100-1)%</t>
  </si>
  <si>
    <t>18 = ((16-15)/100-1)%</t>
  </si>
  <si>
    <t>17 = 16-15</t>
  </si>
  <si>
    <t>12 = 11-10</t>
  </si>
  <si>
    <t>13 = ((11-10)/100-1)%</t>
  </si>
  <si>
    <t>18 = 15-14</t>
  </si>
  <si>
    <t>19 = ((15-14)/100-1)%</t>
  </si>
  <si>
    <t>21 = ((17-16)/100-1)%</t>
  </si>
  <si>
    <t>20 = 17-16</t>
  </si>
  <si>
    <t>прочие потребители (с ДСППУ)</t>
  </si>
  <si>
    <t>прочие потребители (без ДСППУ)</t>
  </si>
  <si>
    <t>Метод определения прогноза (факта) 2020 года</t>
  </si>
  <si>
    <t>Причины отклонения прогноза (факта) 2020 от факта прошлого года</t>
  </si>
  <si>
    <t>прочие потребители (с ДСППУ)ООО "РУДНИК ВЕСЕЛЫЙ"</t>
  </si>
  <si>
    <t>прочие потребители (с ДСППУ)ООО  Соузгинский мясокомбинат</t>
  </si>
  <si>
    <t>прочие потребители (с ДСППУ)ООО "ТОРГОВЫЙ ДОМ МЗЖБИ"</t>
  </si>
  <si>
    <t>прочие потребители (с ДСППУ)ЗАО "ГОРНОЛЫЖНЫЙ КОМПЛЕКС МАНЖЕРОК"</t>
  </si>
  <si>
    <t>прочие потребители (с ДСППУ)ООО "Алтай-Резорт"</t>
  </si>
  <si>
    <t>прочие потребители (с ДСППУ)Учреждение ИР-91/1 ОИН Минюста России ПО</t>
  </si>
  <si>
    <t>ТСО 1 МУП ГОРСЕТЬ</t>
  </si>
  <si>
    <t xml:space="preserve">Карантинные мероприятия   с связи в короновирусом  Covid-19 </t>
  </si>
  <si>
    <t xml:space="preserve">Карантинные мероприятия   с связи в короновирусом  Covid-19 все сидят дома </t>
  </si>
  <si>
    <t xml:space="preserve">Прогнозный метод с учетом динамики снижения потребления потребителей,  с связи в короновирусом  Covid-19 </t>
  </si>
  <si>
    <t>Потребитель ООО "Алтай-Резорт" отключен от наших сетей на время карантина, питается от дизелей</t>
  </si>
  <si>
    <t>ю</t>
  </si>
  <si>
    <t>ф</t>
  </si>
  <si>
    <t>тсо</t>
  </si>
  <si>
    <t>2020 план</t>
  </si>
  <si>
    <t>кот ПО</t>
  </si>
  <si>
    <t>ОС</t>
  </si>
  <si>
    <t>ПО</t>
  </si>
  <si>
    <t xml:space="preserve">Потери </t>
  </si>
  <si>
    <t>22 дня апреля 2019г.тыс.кВт*ч</t>
  </si>
  <si>
    <t>20 дня апреля 2020г.тыс.кВт*ч</t>
  </si>
  <si>
    <t>Отклонение тыс.кВт*ч</t>
  </si>
  <si>
    <t>Отклонение %</t>
  </si>
  <si>
    <t>млн руб</t>
  </si>
  <si>
    <t>Данные по отпуску в сеть, отпуску из сети и выручке за услуги по передаче электрической энергии за август 2019, 2020 гг. с разбивкой по группам потребителей, а также с выделением крупных потребителей.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</si>
</sst>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_-* #,##0\ _₽_-;\-* #,##0\ _₽_-;_-* &quot;-&quot;??\ _₽_-;_-@_-"/>
    <numFmt numFmtId="165" formatCode="#,##0.000"/>
    <numFmt numFmtId="166" formatCode="#,##0.000000"/>
    <numFmt numFmtId="167" formatCode="0.000"/>
    <numFmt numFmtId="168" formatCode="#,##0.0000"/>
    <numFmt numFmtId="169" formatCode="#,##0.00000"/>
    <numFmt numFmtId="170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0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10"/>
      <color rgb="FFFF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3" fillId="0" borderId="0"/>
    <xf numFmtId="9" fontId="4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/>
    </xf>
    <xf numFmtId="14" fontId="0" fillId="2" borderId="0" xfId="0" applyNumberFormat="1" applyFill="1"/>
    <xf numFmtId="14" fontId="2" fillId="0" borderId="0" xfId="0" applyNumberFormat="1" applyFont="1"/>
    <xf numFmtId="14" fontId="7" fillId="0" borderId="0" xfId="0" applyNumberFormat="1" applyFont="1"/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0" borderId="23" xfId="3" applyFont="1" applyFill="1" applyBorder="1" applyAlignment="1">
      <alignment horizontal="center"/>
    </xf>
    <xf numFmtId="0" fontId="6" fillId="0" borderId="2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left" vertical="center" wrapText="1" indent="1"/>
    </xf>
    <xf numFmtId="0" fontId="6" fillId="0" borderId="30" xfId="3" applyFont="1" applyFill="1" applyBorder="1" applyAlignment="1">
      <alignment horizontal="left" vertical="center" wrapText="1" indent="1"/>
    </xf>
    <xf numFmtId="0" fontId="6" fillId="0" borderId="31" xfId="3" applyFont="1" applyFill="1" applyBorder="1" applyAlignment="1">
      <alignment horizontal="left" vertical="center"/>
    </xf>
    <xf numFmtId="164" fontId="6" fillId="3" borderId="29" xfId="1" applyNumberFormat="1" applyFont="1" applyFill="1" applyBorder="1" applyAlignment="1">
      <alignment horizontal="right"/>
    </xf>
    <xf numFmtId="164" fontId="6" fillId="3" borderId="32" xfId="1" applyNumberFormat="1" applyFont="1" applyFill="1" applyBorder="1" applyAlignment="1">
      <alignment horizontal="right"/>
    </xf>
    <xf numFmtId="164" fontId="6" fillId="3" borderId="30" xfId="1" applyNumberFormat="1" applyFont="1" applyFill="1" applyBorder="1" applyAlignment="1">
      <alignment horizontal="right"/>
    </xf>
    <xf numFmtId="10" fontId="6" fillId="3" borderId="32" xfId="2" applyNumberFormat="1" applyFont="1" applyFill="1" applyBorder="1" applyAlignment="1">
      <alignment horizontal="right"/>
    </xf>
    <xf numFmtId="164" fontId="6" fillId="3" borderId="33" xfId="1" applyNumberFormat="1" applyFont="1" applyFill="1" applyBorder="1" applyAlignment="1">
      <alignment horizontal="right"/>
    </xf>
    <xf numFmtId="164" fontId="6" fillId="3" borderId="34" xfId="1" applyNumberFormat="1" applyFont="1" applyFill="1" applyBorder="1" applyAlignment="1">
      <alignment horizontal="right"/>
    </xf>
    <xf numFmtId="164" fontId="6" fillId="3" borderId="35" xfId="1" applyNumberFormat="1" applyFont="1" applyFill="1" applyBorder="1" applyAlignment="1">
      <alignment horizontal="right"/>
    </xf>
    <xf numFmtId="16" fontId="5" fillId="0" borderId="36" xfId="3" applyNumberFormat="1" applyFont="1" applyFill="1" applyBorder="1" applyAlignment="1">
      <alignment horizontal="left" vertical="center" wrapText="1" indent="1"/>
    </xf>
    <xf numFmtId="16" fontId="5" fillId="0" borderId="37" xfId="3" applyNumberFormat="1" applyFont="1" applyFill="1" applyBorder="1" applyAlignment="1">
      <alignment horizontal="left" vertical="center" wrapText="1" indent="1"/>
    </xf>
    <xf numFmtId="0" fontId="5" fillId="0" borderId="38" xfId="3" applyFont="1" applyFill="1" applyBorder="1" applyAlignment="1">
      <alignment horizontal="left" vertical="center" indent="1"/>
    </xf>
    <xf numFmtId="164" fontId="5" fillId="0" borderId="36" xfId="1" applyNumberFormat="1" applyFont="1" applyFill="1" applyBorder="1" applyAlignment="1">
      <alignment horizontal="right"/>
    </xf>
    <xf numFmtId="164" fontId="5" fillId="0" borderId="39" xfId="1" applyNumberFormat="1" applyFont="1" applyFill="1" applyBorder="1" applyAlignment="1">
      <alignment horizontal="right"/>
    </xf>
    <xf numFmtId="164" fontId="5" fillId="3" borderId="37" xfId="1" applyNumberFormat="1" applyFont="1" applyFill="1" applyBorder="1" applyAlignment="1">
      <alignment horizontal="right"/>
    </xf>
    <xf numFmtId="10" fontId="5" fillId="3" borderId="39" xfId="1" applyNumberFormat="1" applyFont="1" applyFill="1" applyBorder="1" applyAlignment="1">
      <alignment horizontal="right"/>
    </xf>
    <xf numFmtId="164" fontId="5" fillId="0" borderId="37" xfId="1" applyNumberFormat="1" applyFont="1" applyFill="1" applyBorder="1" applyAlignment="1">
      <alignment horizontal="right"/>
    </xf>
    <xf numFmtId="164" fontId="5" fillId="0" borderId="4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16" fontId="5" fillId="0" borderId="41" xfId="3" applyNumberFormat="1" applyFont="1" applyFill="1" applyBorder="1" applyAlignment="1">
      <alignment horizontal="left" vertical="center" wrapText="1" indent="1"/>
    </xf>
    <xf numFmtId="16" fontId="5" fillId="0" borderId="42" xfId="3" applyNumberFormat="1" applyFont="1" applyFill="1" applyBorder="1" applyAlignment="1">
      <alignment horizontal="left" vertical="center" wrapText="1" indent="1"/>
    </xf>
    <xf numFmtId="0" fontId="5" fillId="0" borderId="43" xfId="3" applyFont="1" applyFill="1" applyBorder="1" applyAlignment="1">
      <alignment horizontal="left" vertical="center" indent="1"/>
    </xf>
    <xf numFmtId="164" fontId="5" fillId="0" borderId="41" xfId="1" applyNumberFormat="1" applyFont="1" applyFill="1" applyBorder="1" applyAlignment="1">
      <alignment horizontal="right"/>
    </xf>
    <xf numFmtId="164" fontId="5" fillId="0" borderId="44" xfId="1" applyNumberFormat="1" applyFont="1" applyFill="1" applyBorder="1" applyAlignment="1">
      <alignment horizontal="right"/>
    </xf>
    <xf numFmtId="164" fontId="5" fillId="3" borderId="42" xfId="1" applyNumberFormat="1" applyFont="1" applyFill="1" applyBorder="1" applyAlignment="1">
      <alignment horizontal="right"/>
    </xf>
    <xf numFmtId="10" fontId="5" fillId="3" borderId="44" xfId="1" applyNumberFormat="1" applyFont="1" applyFill="1" applyBorder="1" applyAlignment="1">
      <alignment horizontal="right"/>
    </xf>
    <xf numFmtId="164" fontId="5" fillId="0" borderId="42" xfId="1" applyNumberFormat="1" applyFont="1" applyFill="1" applyBorder="1" applyAlignment="1">
      <alignment horizontal="right"/>
    </xf>
    <xf numFmtId="164" fontId="5" fillId="0" borderId="45" xfId="1" applyNumberFormat="1" applyFont="1" applyFill="1" applyBorder="1" applyAlignment="1">
      <alignment horizontal="right"/>
    </xf>
    <xf numFmtId="0" fontId="6" fillId="0" borderId="33" xfId="3" applyFont="1" applyFill="1" applyBorder="1" applyAlignment="1">
      <alignment horizontal="left" vertical="center" wrapText="1" indent="1"/>
    </xf>
    <xf numFmtId="0" fontId="6" fillId="0" borderId="34" xfId="3" applyFont="1" applyFill="1" applyBorder="1" applyAlignment="1">
      <alignment horizontal="left" vertical="center" wrapText="1" indent="1"/>
    </xf>
    <xf numFmtId="0" fontId="6" fillId="0" borderId="46" xfId="3" applyFont="1" applyFill="1" applyBorder="1" applyAlignment="1">
      <alignment horizontal="left" vertical="center"/>
    </xf>
    <xf numFmtId="164" fontId="6" fillId="3" borderId="47" xfId="1" applyNumberFormat="1" applyFont="1" applyFill="1" applyBorder="1" applyAlignment="1">
      <alignment horizontal="right"/>
    </xf>
    <xf numFmtId="10" fontId="6" fillId="3" borderId="47" xfId="1" applyNumberFormat="1" applyFont="1" applyFill="1" applyBorder="1" applyAlignment="1">
      <alignment horizontal="right"/>
    </xf>
    <xf numFmtId="0" fontId="5" fillId="0" borderId="29" xfId="3" applyFont="1" applyFill="1" applyBorder="1" applyAlignment="1">
      <alignment horizontal="left" vertical="center" wrapText="1" indent="1"/>
    </xf>
    <xf numFmtId="0" fontId="5" fillId="0" borderId="30" xfId="3" applyFont="1" applyFill="1" applyBorder="1" applyAlignment="1">
      <alignment horizontal="left" vertical="center" wrapText="1" indent="1"/>
    </xf>
    <xf numFmtId="0" fontId="8" fillId="0" borderId="31" xfId="3" applyFont="1" applyFill="1" applyBorder="1" applyAlignment="1">
      <alignment horizontal="left" vertical="center" indent="1"/>
    </xf>
    <xf numFmtId="164" fontId="5" fillId="3" borderId="29" xfId="1" applyNumberFormat="1" applyFont="1" applyFill="1" applyBorder="1" applyAlignment="1">
      <alignment horizontal="right"/>
    </xf>
    <xf numFmtId="164" fontId="5" fillId="3" borderId="32" xfId="1" applyNumberFormat="1" applyFont="1" applyFill="1" applyBorder="1" applyAlignment="1">
      <alignment horizontal="right"/>
    </xf>
    <xf numFmtId="164" fontId="5" fillId="3" borderId="30" xfId="1" applyNumberFormat="1" applyFont="1" applyFill="1" applyBorder="1" applyAlignment="1">
      <alignment horizontal="right"/>
    </xf>
    <xf numFmtId="10" fontId="5" fillId="3" borderId="32" xfId="1" applyNumberFormat="1" applyFont="1" applyFill="1" applyBorder="1" applyAlignment="1">
      <alignment horizontal="right"/>
    </xf>
    <xf numFmtId="164" fontId="5" fillId="3" borderId="48" xfId="1" applyNumberFormat="1" applyFont="1" applyFill="1" applyBorder="1" applyAlignment="1">
      <alignment horizontal="right"/>
    </xf>
    <xf numFmtId="0" fontId="5" fillId="0" borderId="38" xfId="3" applyFont="1" applyFill="1" applyBorder="1" applyAlignment="1">
      <alignment horizontal="left" vertical="center" indent="2"/>
    </xf>
    <xf numFmtId="0" fontId="8" fillId="0" borderId="43" xfId="3" applyFont="1" applyFill="1" applyBorder="1" applyAlignment="1">
      <alignment horizontal="left" vertical="center" indent="1"/>
    </xf>
    <xf numFmtId="0" fontId="8" fillId="0" borderId="29" xfId="3" applyFont="1" applyFill="1" applyBorder="1" applyAlignment="1">
      <alignment horizontal="left" vertical="center" wrapText="1" indent="1"/>
    </xf>
    <xf numFmtId="0" fontId="8" fillId="0" borderId="30" xfId="3" applyFont="1" applyFill="1" applyBorder="1" applyAlignment="1">
      <alignment horizontal="left" vertical="center" wrapText="1" indent="1"/>
    </xf>
    <xf numFmtId="0" fontId="6" fillId="0" borderId="13" xfId="3" applyFont="1" applyFill="1" applyBorder="1" applyAlignment="1">
      <alignment horizontal="left" vertical="center" wrapText="1" indent="1"/>
    </xf>
    <xf numFmtId="0" fontId="6" fillId="0" borderId="14" xfId="3" applyFont="1" applyFill="1" applyBorder="1" applyAlignment="1">
      <alignment horizontal="left" vertical="center" wrapText="1" indent="1"/>
    </xf>
    <xf numFmtId="0" fontId="6" fillId="0" borderId="0" xfId="3" applyFont="1" applyFill="1" applyBorder="1" applyAlignment="1">
      <alignment horizontal="left" vertical="center"/>
    </xf>
    <xf numFmtId="164" fontId="6" fillId="0" borderId="13" xfId="1" applyNumberFormat="1" applyFont="1" applyFill="1" applyBorder="1" applyAlignment="1">
      <alignment horizontal="right"/>
    </xf>
    <xf numFmtId="164" fontId="6" fillId="0" borderId="15" xfId="1" applyNumberFormat="1" applyFont="1" applyFill="1" applyBorder="1" applyAlignment="1">
      <alignment horizontal="right"/>
    </xf>
    <xf numFmtId="164" fontId="6" fillId="3" borderId="14" xfId="1" applyNumberFormat="1" applyFont="1" applyFill="1" applyBorder="1" applyAlignment="1">
      <alignment horizontal="right"/>
    </xf>
    <xf numFmtId="10" fontId="6" fillId="3" borderId="15" xfId="1" applyNumberFormat="1" applyFont="1" applyFill="1" applyBorder="1" applyAlignment="1">
      <alignment horizontal="right"/>
    </xf>
    <xf numFmtId="164" fontId="6" fillId="0" borderId="14" xfId="1" applyNumberFormat="1" applyFont="1" applyFill="1" applyBorder="1" applyAlignment="1">
      <alignment horizontal="right"/>
    </xf>
    <xf numFmtId="164" fontId="6" fillId="0" borderId="49" xfId="1" applyNumberFormat="1" applyFont="1" applyFill="1" applyBorder="1" applyAlignment="1">
      <alignment horizontal="right"/>
    </xf>
    <xf numFmtId="0" fontId="8" fillId="0" borderId="31" xfId="3" applyFont="1" applyFill="1" applyBorder="1" applyAlignment="1">
      <alignment horizontal="left" vertical="center" indent="2"/>
    </xf>
    <xf numFmtId="0" fontId="5" fillId="0" borderId="38" xfId="3" applyFont="1" applyFill="1" applyBorder="1" applyAlignment="1">
      <alignment horizontal="left" vertical="center" indent="3"/>
    </xf>
    <xf numFmtId="16" fontId="8" fillId="0" borderId="36" xfId="3" applyNumberFormat="1" applyFont="1" applyFill="1" applyBorder="1" applyAlignment="1">
      <alignment horizontal="left" vertical="center" wrapText="1" indent="1"/>
    </xf>
    <xf numFmtId="16" fontId="8" fillId="0" borderId="37" xfId="3" applyNumberFormat="1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2"/>
    </xf>
    <xf numFmtId="16" fontId="8" fillId="0" borderId="41" xfId="3" applyNumberFormat="1" applyFont="1" applyFill="1" applyBorder="1" applyAlignment="1">
      <alignment horizontal="left" vertical="center" wrapText="1" indent="1"/>
    </xf>
    <xf numFmtId="16" fontId="8" fillId="0" borderId="42" xfId="3" applyNumberFormat="1" applyFont="1" applyFill="1" applyBorder="1" applyAlignment="1">
      <alignment horizontal="left" vertical="center" wrapText="1" indent="1"/>
    </xf>
    <xf numFmtId="0" fontId="6" fillId="0" borderId="50" xfId="3" applyFont="1" applyFill="1" applyBorder="1" applyAlignment="1">
      <alignment horizontal="left" vertical="center" wrapText="1" indent="1"/>
    </xf>
    <xf numFmtId="0" fontId="6" fillId="0" borderId="51" xfId="3" applyFont="1" applyFill="1" applyBorder="1" applyAlignment="1">
      <alignment horizontal="left" vertical="center" wrapText="1" indent="1"/>
    </xf>
    <xf numFmtId="0" fontId="6" fillId="0" borderId="52" xfId="3" applyFont="1" applyFill="1" applyBorder="1" applyAlignment="1">
      <alignment horizontal="left" vertical="center"/>
    </xf>
    <xf numFmtId="164" fontId="6" fillId="0" borderId="50" xfId="1" applyNumberFormat="1" applyFont="1" applyFill="1" applyBorder="1" applyAlignment="1">
      <alignment horizontal="right"/>
    </xf>
    <xf numFmtId="164" fontId="6" fillId="0" borderId="53" xfId="1" applyNumberFormat="1" applyFont="1" applyFill="1" applyBorder="1" applyAlignment="1">
      <alignment horizontal="right"/>
    </xf>
    <xf numFmtId="164" fontId="6" fillId="3" borderId="51" xfId="1" applyNumberFormat="1" applyFont="1" applyFill="1" applyBorder="1" applyAlignment="1">
      <alignment horizontal="right"/>
    </xf>
    <xf numFmtId="10" fontId="6" fillId="3" borderId="53" xfId="1" applyNumberFormat="1" applyFont="1" applyFill="1" applyBorder="1" applyAlignment="1">
      <alignment horizontal="right"/>
    </xf>
    <xf numFmtId="164" fontId="6" fillId="0" borderId="51" xfId="1" applyNumberFormat="1" applyFont="1" applyFill="1" applyBorder="1" applyAlignment="1">
      <alignment horizontal="right"/>
    </xf>
    <xf numFmtId="164" fontId="6" fillId="0" borderId="54" xfId="1" applyNumberFormat="1" applyFont="1" applyFill="1" applyBorder="1" applyAlignment="1">
      <alignment horizontal="right"/>
    </xf>
    <xf numFmtId="0" fontId="9" fillId="0" borderId="33" xfId="3" applyFont="1" applyFill="1" applyBorder="1" applyAlignment="1">
      <alignment horizontal="left" vertical="center" wrapText="1" indent="1"/>
    </xf>
    <xf numFmtId="0" fontId="9" fillId="0" borderId="34" xfId="3" applyFont="1" applyFill="1" applyBorder="1" applyAlignment="1">
      <alignment horizontal="left" vertical="center" wrapText="1" indent="1"/>
    </xf>
    <xf numFmtId="0" fontId="9" fillId="0" borderId="46" xfId="3" applyFont="1" applyFill="1" applyBorder="1" applyAlignment="1">
      <alignment horizontal="left" vertical="center"/>
    </xf>
    <xf numFmtId="0" fontId="5" fillId="0" borderId="36" xfId="3" applyFont="1" applyFill="1" applyBorder="1" applyAlignment="1">
      <alignment horizontal="left" vertical="center" wrapText="1" indent="1"/>
    </xf>
    <xf numFmtId="0" fontId="5" fillId="0" borderId="37" xfId="3" applyFont="1" applyFill="1" applyBorder="1" applyAlignment="1">
      <alignment horizontal="left" vertical="center" wrapText="1" indent="1"/>
    </xf>
    <xf numFmtId="0" fontId="8" fillId="0" borderId="38" xfId="3" applyFont="1" applyFill="1" applyBorder="1" applyAlignment="1">
      <alignment horizontal="left" vertical="center" indent="1"/>
    </xf>
    <xf numFmtId="164" fontId="5" fillId="3" borderId="36" xfId="1" applyNumberFormat="1" applyFont="1" applyFill="1" applyBorder="1" applyAlignment="1">
      <alignment horizontal="right"/>
    </xf>
    <xf numFmtId="164" fontId="5" fillId="3" borderId="39" xfId="1" applyNumberFormat="1" applyFont="1" applyFill="1" applyBorder="1" applyAlignment="1">
      <alignment horizontal="right"/>
    </xf>
    <xf numFmtId="164" fontId="5" fillId="3" borderId="40" xfId="1" applyNumberFormat="1" applyFont="1" applyFill="1" applyBorder="1" applyAlignment="1">
      <alignment horizontal="right"/>
    </xf>
    <xf numFmtId="14" fontId="5" fillId="0" borderId="36" xfId="3" applyNumberFormat="1" applyFont="1" applyFill="1" applyBorder="1" applyAlignment="1">
      <alignment horizontal="left" vertical="center" wrapText="1" indent="1"/>
    </xf>
    <xf numFmtId="14" fontId="5" fillId="0" borderId="37" xfId="3" applyNumberFormat="1" applyFont="1" applyFill="1" applyBorder="1" applyAlignment="1">
      <alignment horizontal="left" vertical="center" wrapText="1" indent="1"/>
    </xf>
    <xf numFmtId="0" fontId="8" fillId="0" borderId="36" xfId="3" applyFont="1" applyFill="1" applyBorder="1" applyAlignment="1">
      <alignment horizontal="left" vertical="center" wrapText="1" indent="1"/>
    </xf>
    <xf numFmtId="0" fontId="8" fillId="0" borderId="37" xfId="3" applyFont="1" applyFill="1" applyBorder="1" applyAlignment="1">
      <alignment horizontal="left" vertical="center" wrapText="1" indent="1"/>
    </xf>
    <xf numFmtId="164" fontId="6" fillId="3" borderId="50" xfId="1" applyNumberFormat="1" applyFont="1" applyFill="1" applyBorder="1" applyAlignment="1">
      <alignment horizontal="right"/>
    </xf>
    <xf numFmtId="164" fontId="6" fillId="3" borderId="53" xfId="1" applyNumberFormat="1" applyFont="1" applyFill="1" applyBorder="1" applyAlignment="1">
      <alignment horizontal="right"/>
    </xf>
    <xf numFmtId="164" fontId="6" fillId="3" borderId="54" xfId="1" applyNumberFormat="1" applyFont="1" applyFill="1" applyBorder="1" applyAlignment="1">
      <alignment horizontal="right"/>
    </xf>
    <xf numFmtId="0" fontId="6" fillId="0" borderId="52" xfId="3" applyFont="1" applyFill="1" applyBorder="1" applyAlignment="1">
      <alignment horizontal="left"/>
    </xf>
    <xf numFmtId="0" fontId="11" fillId="0" borderId="0" xfId="4" applyFont="1"/>
    <xf numFmtId="0" fontId="5" fillId="0" borderId="0" xfId="4" applyFont="1"/>
    <xf numFmtId="14" fontId="6" fillId="0" borderId="0" xfId="4" applyNumberFormat="1" applyFont="1"/>
    <xf numFmtId="0" fontId="12" fillId="0" borderId="0" xfId="4" applyFont="1"/>
    <xf numFmtId="0" fontId="5" fillId="0" borderId="24" xfId="5" applyFont="1" applyBorder="1" applyAlignment="1">
      <alignment horizontal="center" vertical="center" wrapText="1"/>
    </xf>
    <xf numFmtId="0" fontId="5" fillId="0" borderId="62" xfId="5" applyFont="1" applyBorder="1" applyAlignment="1">
      <alignment horizontal="center" vertical="center" wrapText="1"/>
    </xf>
    <xf numFmtId="0" fontId="5" fillId="0" borderId="50" xfId="4" applyFont="1" applyBorder="1" applyAlignment="1">
      <alignment horizontal="center" vertical="center"/>
    </xf>
    <xf numFmtId="0" fontId="5" fillId="0" borderId="53" xfId="4" applyFont="1" applyBorder="1" applyAlignment="1">
      <alignment horizontal="center" vertical="center"/>
    </xf>
    <xf numFmtId="0" fontId="5" fillId="0" borderId="51" xfId="4" applyFont="1" applyBorder="1" applyAlignment="1">
      <alignment horizontal="center" vertical="center"/>
    </xf>
    <xf numFmtId="0" fontId="5" fillId="0" borderId="54" xfId="4" applyFont="1" applyBorder="1" applyAlignment="1">
      <alignment horizontal="center" vertical="center"/>
    </xf>
    <xf numFmtId="0" fontId="5" fillId="0" borderId="63" xfId="5" applyFont="1" applyBorder="1" applyAlignment="1">
      <alignment horizontal="center" vertical="center"/>
    </xf>
    <xf numFmtId="0" fontId="5" fillId="0" borderId="51" xfId="5" applyFont="1" applyBorder="1" applyAlignment="1">
      <alignment horizontal="center" vertical="center"/>
    </xf>
    <xf numFmtId="0" fontId="5" fillId="0" borderId="52" xfId="5" applyFont="1" applyBorder="1" applyAlignment="1">
      <alignment horizontal="center" vertical="center"/>
    </xf>
    <xf numFmtId="0" fontId="5" fillId="0" borderId="64" xfId="5" applyFont="1" applyBorder="1" applyAlignment="1">
      <alignment horizontal="center" vertical="center"/>
    </xf>
    <xf numFmtId="0" fontId="12" fillId="4" borderId="65" xfId="4" applyFont="1" applyFill="1" applyBorder="1"/>
    <xf numFmtId="0" fontId="12" fillId="4" borderId="66" xfId="4" applyFont="1" applyFill="1" applyBorder="1"/>
    <xf numFmtId="0" fontId="12" fillId="4" borderId="67" xfId="4" applyFont="1" applyFill="1" applyBorder="1" applyAlignment="1">
      <alignment horizontal="left" indent="1"/>
    </xf>
    <xf numFmtId="0" fontId="12" fillId="4" borderId="68" xfId="4" applyFont="1" applyFill="1" applyBorder="1" applyAlignment="1">
      <alignment wrapText="1"/>
    </xf>
    <xf numFmtId="165" fontId="12" fillId="5" borderId="33" xfId="4" applyNumberFormat="1" applyFont="1" applyFill="1" applyBorder="1"/>
    <xf numFmtId="165" fontId="12" fillId="4" borderId="34" xfId="4" applyNumberFormat="1" applyFont="1" applyFill="1" applyBorder="1"/>
    <xf numFmtId="10" fontId="12" fillId="4" borderId="69" xfId="4" applyNumberFormat="1" applyFont="1" applyFill="1" applyBorder="1"/>
    <xf numFmtId="165" fontId="12" fillId="4" borderId="47" xfId="4" applyNumberFormat="1" applyFont="1" applyFill="1" applyBorder="1"/>
    <xf numFmtId="165" fontId="12" fillId="4" borderId="70" xfId="4" applyNumberFormat="1" applyFont="1" applyFill="1" applyBorder="1"/>
    <xf numFmtId="10" fontId="12" fillId="4" borderId="35" xfId="4" applyNumberFormat="1" applyFont="1" applyFill="1" applyBorder="1"/>
    <xf numFmtId="0" fontId="14" fillId="0" borderId="0" xfId="0" applyFont="1"/>
    <xf numFmtId="16" fontId="15" fillId="6" borderId="36" xfId="4" applyNumberFormat="1" applyFont="1" applyFill="1" applyBorder="1"/>
    <xf numFmtId="16" fontId="15" fillId="6" borderId="39" xfId="4" applyNumberFormat="1" applyFont="1" applyFill="1" applyBorder="1"/>
    <xf numFmtId="0" fontId="15" fillId="6" borderId="37" xfId="4" applyFont="1" applyFill="1" applyBorder="1" applyAlignment="1">
      <alignment horizontal="left" indent="1"/>
    </xf>
    <xf numFmtId="0" fontId="15" fillId="6" borderId="40" xfId="4" applyFont="1" applyFill="1" applyBorder="1" applyAlignment="1">
      <alignment horizontal="left" wrapText="1" indent="1"/>
    </xf>
    <xf numFmtId="165" fontId="15" fillId="7" borderId="71" xfId="4" applyNumberFormat="1" applyFont="1" applyFill="1" applyBorder="1"/>
    <xf numFmtId="165" fontId="15" fillId="7" borderId="37" xfId="4" applyNumberFormat="1" applyFont="1" applyFill="1" applyBorder="1"/>
    <xf numFmtId="10" fontId="15" fillId="7" borderId="72" xfId="4" applyNumberFormat="1" applyFont="1" applyFill="1" applyBorder="1"/>
    <xf numFmtId="165" fontId="15" fillId="6" borderId="39" xfId="4" applyNumberFormat="1" applyFont="1" applyFill="1" applyBorder="1"/>
    <xf numFmtId="165" fontId="15" fillId="6" borderId="37" xfId="4" applyNumberFormat="1" applyFont="1" applyFill="1" applyBorder="1"/>
    <xf numFmtId="10" fontId="15" fillId="6" borderId="72" xfId="4" applyNumberFormat="1" applyFont="1" applyFill="1" applyBorder="1"/>
    <xf numFmtId="165" fontId="15" fillId="6" borderId="73" xfId="4" applyNumberFormat="1" applyFont="1" applyFill="1" applyBorder="1"/>
    <xf numFmtId="10" fontId="15" fillId="6" borderId="40" xfId="4" applyNumberFormat="1" applyFont="1" applyFill="1" applyBorder="1"/>
    <xf numFmtId="16" fontId="15" fillId="6" borderId="74" xfId="4" applyNumberFormat="1" applyFont="1" applyFill="1" applyBorder="1"/>
    <xf numFmtId="16" fontId="15" fillId="6" borderId="75" xfId="4" applyNumberFormat="1" applyFont="1" applyFill="1" applyBorder="1"/>
    <xf numFmtId="0" fontId="15" fillId="6" borderId="76" xfId="4" applyFont="1" applyFill="1" applyBorder="1" applyAlignment="1">
      <alignment horizontal="left" indent="1"/>
    </xf>
    <xf numFmtId="0" fontId="15" fillId="6" borderId="77" xfId="4" applyFont="1" applyFill="1" applyBorder="1" applyAlignment="1">
      <alignment horizontal="left" wrapText="1" indent="1"/>
    </xf>
    <xf numFmtId="165" fontId="15" fillId="7" borderId="78" xfId="4" applyNumberFormat="1" applyFont="1" applyFill="1" applyBorder="1"/>
    <xf numFmtId="165" fontId="15" fillId="7" borderId="76" xfId="4" applyNumberFormat="1" applyFont="1" applyFill="1" applyBorder="1"/>
    <xf numFmtId="10" fontId="15" fillId="7" borderId="79" xfId="4" applyNumberFormat="1" applyFont="1" applyFill="1" applyBorder="1"/>
    <xf numFmtId="165" fontId="15" fillId="6" borderId="75" xfId="4" applyNumberFormat="1" applyFont="1" applyFill="1" applyBorder="1"/>
    <xf numFmtId="165" fontId="15" fillId="6" borderId="76" xfId="4" applyNumberFormat="1" applyFont="1" applyFill="1" applyBorder="1"/>
    <xf numFmtId="10" fontId="15" fillId="6" borderId="79" xfId="4" applyNumberFormat="1" applyFont="1" applyFill="1" applyBorder="1"/>
    <xf numFmtId="165" fontId="15" fillId="6" borderId="80" xfId="4" applyNumberFormat="1" applyFont="1" applyFill="1" applyBorder="1"/>
    <xf numFmtId="10" fontId="15" fillId="6" borderId="77" xfId="4" applyNumberFormat="1" applyFont="1" applyFill="1" applyBorder="1"/>
    <xf numFmtId="0" fontId="12" fillId="6" borderId="65" xfId="4" applyFont="1" applyFill="1" applyBorder="1"/>
    <xf numFmtId="0" fontId="12" fillId="6" borderId="66" xfId="4" applyFont="1" applyFill="1" applyBorder="1"/>
    <xf numFmtId="16" fontId="12" fillId="6" borderId="66" xfId="4" applyNumberFormat="1" applyFont="1" applyFill="1" applyBorder="1"/>
    <xf numFmtId="0" fontId="12" fillId="6" borderId="67" xfId="4" applyFont="1" applyFill="1" applyBorder="1" applyAlignment="1">
      <alignment horizontal="left" indent="1"/>
    </xf>
    <xf numFmtId="0" fontId="12" fillId="6" borderId="68" xfId="4" applyFont="1" applyFill="1" applyBorder="1" applyAlignment="1">
      <alignment wrapText="1"/>
    </xf>
    <xf numFmtId="165" fontId="12" fillId="6" borderId="67" xfId="4" applyNumberFormat="1" applyFont="1" applyFill="1" applyBorder="1"/>
    <xf numFmtId="10" fontId="12" fillId="6" borderId="82" xfId="4" applyNumberFormat="1" applyFont="1" applyFill="1" applyBorder="1"/>
    <xf numFmtId="165" fontId="12" fillId="6" borderId="66" xfId="4" applyNumberFormat="1" applyFont="1" applyFill="1" applyBorder="1"/>
    <xf numFmtId="165" fontId="12" fillId="6" borderId="83" xfId="4" applyNumberFormat="1" applyFont="1" applyFill="1" applyBorder="1"/>
    <xf numFmtId="10" fontId="12" fillId="6" borderId="68" xfId="4" applyNumberFormat="1" applyFont="1" applyFill="1" applyBorder="1"/>
    <xf numFmtId="16" fontId="15" fillId="3" borderId="36" xfId="4" applyNumberFormat="1" applyFont="1" applyFill="1" applyBorder="1"/>
    <xf numFmtId="16" fontId="15" fillId="3" borderId="39" xfId="4" applyNumberFormat="1" applyFont="1" applyFill="1" applyBorder="1"/>
    <xf numFmtId="0" fontId="15" fillId="3" borderId="37" xfId="4" applyFont="1" applyFill="1" applyBorder="1" applyAlignment="1">
      <alignment horizontal="left" indent="1"/>
    </xf>
    <xf numFmtId="0" fontId="15" fillId="3" borderId="40" xfId="4" applyFont="1" applyFill="1" applyBorder="1" applyAlignment="1">
      <alignment horizontal="left" wrapText="1" indent="1"/>
    </xf>
    <xf numFmtId="165" fontId="15" fillId="3" borderId="39" xfId="4" applyNumberFormat="1" applyFont="1" applyFill="1" applyBorder="1"/>
    <xf numFmtId="165" fontId="15" fillId="3" borderId="37" xfId="4" applyNumberFormat="1" applyFont="1" applyFill="1" applyBorder="1"/>
    <xf numFmtId="10" fontId="15" fillId="3" borderId="72" xfId="4" applyNumberFormat="1" applyFont="1" applyFill="1" applyBorder="1"/>
    <xf numFmtId="165" fontId="15" fillId="3" borderId="73" xfId="4" applyNumberFormat="1" applyFont="1" applyFill="1" applyBorder="1"/>
    <xf numFmtId="10" fontId="15" fillId="3" borderId="40" xfId="4" applyNumberFormat="1" applyFont="1" applyFill="1" applyBorder="1"/>
    <xf numFmtId="14" fontId="5" fillId="0" borderId="36" xfId="4" applyNumberFormat="1" applyFont="1" applyBorder="1"/>
    <xf numFmtId="14" fontId="5" fillId="0" borderId="39" xfId="4" applyNumberFormat="1" applyFont="1" applyBorder="1"/>
    <xf numFmtId="0" fontId="5" fillId="0" borderId="37" xfId="4" applyFont="1" applyBorder="1" applyAlignment="1">
      <alignment horizontal="left" indent="1"/>
    </xf>
    <xf numFmtId="0" fontId="8" fillId="0" borderId="40" xfId="4" applyFont="1" applyFill="1" applyBorder="1" applyAlignment="1">
      <alignment horizontal="left" wrapText="1" indent="3"/>
    </xf>
    <xf numFmtId="165" fontId="8" fillId="7" borderId="71" xfId="4" applyNumberFormat="1" applyFont="1" applyFill="1" applyBorder="1"/>
    <xf numFmtId="165" fontId="8" fillId="7" borderId="37" xfId="4" applyNumberFormat="1" applyFont="1" applyFill="1" applyBorder="1"/>
    <xf numFmtId="10" fontId="8" fillId="7" borderId="72" xfId="4" applyNumberFormat="1" applyFont="1" applyFill="1" applyBorder="1"/>
    <xf numFmtId="165" fontId="8" fillId="0" borderId="39" xfId="4" applyNumberFormat="1" applyFont="1" applyBorder="1"/>
    <xf numFmtId="165" fontId="8" fillId="0" borderId="37" xfId="4" applyNumberFormat="1" applyFont="1" applyBorder="1"/>
    <xf numFmtId="10" fontId="8" fillId="0" borderId="72" xfId="4" applyNumberFormat="1" applyFont="1" applyBorder="1"/>
    <xf numFmtId="165" fontId="8" fillId="0" borderId="73" xfId="4" applyNumberFormat="1" applyFont="1" applyBorder="1"/>
    <xf numFmtId="10" fontId="8" fillId="0" borderId="40" xfId="4" applyNumberFormat="1" applyFont="1" applyBorder="1"/>
    <xf numFmtId="165" fontId="8" fillId="8" borderId="39" xfId="4" applyNumberFormat="1" applyFont="1" applyFill="1" applyBorder="1"/>
    <xf numFmtId="165" fontId="8" fillId="8" borderId="37" xfId="4" applyNumberFormat="1" applyFont="1" applyFill="1" applyBorder="1"/>
    <xf numFmtId="0" fontId="8" fillId="0" borderId="40" xfId="4" applyFont="1" applyBorder="1" applyAlignment="1">
      <alignment horizontal="left" wrapText="1" indent="3"/>
    </xf>
    <xf numFmtId="165" fontId="15" fillId="0" borderId="39" xfId="4" applyNumberFormat="1" applyFont="1" applyFill="1" applyBorder="1"/>
    <xf numFmtId="165" fontId="15" fillId="0" borderId="37" xfId="4" applyNumberFormat="1" applyFont="1" applyFill="1" applyBorder="1"/>
    <xf numFmtId="10" fontId="15" fillId="0" borderId="72" xfId="4" applyNumberFormat="1" applyFont="1" applyFill="1" applyBorder="1"/>
    <xf numFmtId="165" fontId="15" fillId="0" borderId="73" xfId="4" applyNumberFormat="1" applyFont="1" applyFill="1" applyBorder="1"/>
    <xf numFmtId="10" fontId="15" fillId="0" borderId="40" xfId="4" applyNumberFormat="1" applyFont="1" applyFill="1" applyBorder="1"/>
    <xf numFmtId="14" fontId="5" fillId="0" borderId="74" xfId="4" applyNumberFormat="1" applyFont="1" applyBorder="1"/>
    <xf numFmtId="14" fontId="5" fillId="0" borderId="75" xfId="4" applyNumberFormat="1" applyFont="1" applyBorder="1"/>
    <xf numFmtId="0" fontId="5" fillId="0" borderId="76" xfId="4" applyFont="1" applyBorder="1" applyAlignment="1">
      <alignment horizontal="left" indent="1"/>
    </xf>
    <xf numFmtId="0" fontId="8" fillId="0" borderId="77" xfId="4" applyFont="1" applyBorder="1" applyAlignment="1">
      <alignment horizontal="left" wrapText="1" indent="3"/>
    </xf>
    <xf numFmtId="165" fontId="8" fillId="7" borderId="84" xfId="4" applyNumberFormat="1" applyFont="1" applyFill="1" applyBorder="1"/>
    <xf numFmtId="165" fontId="8" fillId="7" borderId="42" xfId="4" applyNumberFormat="1" applyFont="1" applyFill="1" applyBorder="1"/>
    <xf numFmtId="10" fontId="8" fillId="7" borderId="85" xfId="4" applyNumberFormat="1" applyFont="1" applyFill="1" applyBorder="1"/>
    <xf numFmtId="165" fontId="8" fillId="0" borderId="44" xfId="4" applyNumberFormat="1" applyFont="1" applyBorder="1"/>
    <xf numFmtId="165" fontId="8" fillId="0" borderId="42" xfId="4" applyNumberFormat="1" applyFont="1" applyBorder="1"/>
    <xf numFmtId="10" fontId="8" fillId="0" borderId="85" xfId="4" applyNumberFormat="1" applyFont="1" applyBorder="1"/>
    <xf numFmtId="165" fontId="8" fillId="0" borderId="86" xfId="4" applyNumberFormat="1" applyFont="1" applyBorder="1"/>
    <xf numFmtId="10" fontId="8" fillId="0" borderId="45" xfId="4" applyNumberFormat="1" applyFont="1" applyBorder="1"/>
    <xf numFmtId="165" fontId="12" fillId="0" borderId="81" xfId="4" applyNumberFormat="1" applyFont="1" applyFill="1" applyBorder="1"/>
    <xf numFmtId="165" fontId="12" fillId="0" borderId="67" xfId="4" applyNumberFormat="1" applyFont="1" applyFill="1" applyBorder="1"/>
    <xf numFmtId="165" fontId="8" fillId="0" borderId="37" xfId="4" applyNumberFormat="1" applyFont="1" applyFill="1" applyBorder="1"/>
    <xf numFmtId="165" fontId="15" fillId="9" borderId="36" xfId="4" applyNumberFormat="1" applyFont="1" applyFill="1" applyBorder="1"/>
    <xf numFmtId="0" fontId="5" fillId="0" borderId="88" xfId="5" applyFont="1" applyBorder="1" applyAlignment="1">
      <alignment horizontal="center" vertical="center" wrapText="1"/>
    </xf>
    <xf numFmtId="0" fontId="5" fillId="0" borderId="89" xfId="5" applyFont="1" applyBorder="1" applyAlignment="1">
      <alignment horizontal="center" vertical="center" wrapText="1"/>
    </xf>
    <xf numFmtId="0" fontId="5" fillId="0" borderId="27" xfId="5" applyFont="1" applyBorder="1" applyAlignment="1">
      <alignment horizontal="center" vertical="center" wrapText="1"/>
    </xf>
    <xf numFmtId="0" fontId="5" fillId="0" borderId="28" xfId="5" applyFont="1" applyBorder="1" applyAlignment="1">
      <alignment horizontal="center" vertical="center" wrapText="1"/>
    </xf>
    <xf numFmtId="165" fontId="12" fillId="4" borderId="90" xfId="4" applyNumberFormat="1" applyFont="1" applyFill="1" applyBorder="1"/>
    <xf numFmtId="10" fontId="12" fillId="4" borderId="70" xfId="4" applyNumberFormat="1" applyFont="1" applyFill="1" applyBorder="1"/>
    <xf numFmtId="10" fontId="15" fillId="6" borderId="73" xfId="4" applyNumberFormat="1" applyFont="1" applyFill="1" applyBorder="1"/>
    <xf numFmtId="10" fontId="15" fillId="6" borderId="80" xfId="4" applyNumberFormat="1" applyFont="1" applyFill="1" applyBorder="1"/>
    <xf numFmtId="10" fontId="12" fillId="6" borderId="83" xfId="4" applyNumberFormat="1" applyFont="1" applyFill="1" applyBorder="1"/>
    <xf numFmtId="10" fontId="15" fillId="3" borderId="73" xfId="4" applyNumberFormat="1" applyFont="1" applyFill="1" applyBorder="1"/>
    <xf numFmtId="10" fontId="8" fillId="0" borderId="73" xfId="4" applyNumberFormat="1" applyFont="1" applyBorder="1"/>
    <xf numFmtId="10" fontId="15" fillId="0" borderId="73" xfId="4" applyNumberFormat="1" applyFont="1" applyFill="1" applyBorder="1"/>
    <xf numFmtId="10" fontId="8" fillId="0" borderId="86" xfId="4" applyNumberFormat="1" applyFont="1" applyBorder="1"/>
    <xf numFmtId="165" fontId="15" fillId="7" borderId="36" xfId="4" applyNumberFormat="1" applyFont="1" applyFill="1" applyBorder="1"/>
    <xf numFmtId="0" fontId="0" fillId="0" borderId="1" xfId="0" applyBorder="1" applyAlignment="1">
      <alignment horizontal="center" vertical="center"/>
    </xf>
    <xf numFmtId="0" fontId="5" fillId="0" borderId="45" xfId="3" applyFont="1" applyFill="1" applyBorder="1" applyAlignment="1">
      <alignment horizontal="left" vertical="center" indent="1"/>
    </xf>
    <xf numFmtId="165" fontId="15" fillId="7" borderId="73" xfId="4" applyNumberFormat="1" applyFont="1" applyFill="1" applyBorder="1"/>
    <xf numFmtId="165" fontId="8" fillId="7" borderId="73" xfId="4" applyNumberFormat="1" applyFont="1" applyFill="1" applyBorder="1"/>
    <xf numFmtId="165" fontId="8" fillId="7" borderId="86" xfId="4" applyNumberFormat="1" applyFont="1" applyFill="1" applyBorder="1"/>
    <xf numFmtId="10" fontId="15" fillId="7" borderId="40" xfId="4" applyNumberFormat="1" applyFont="1" applyFill="1" applyBorder="1"/>
    <xf numFmtId="10" fontId="8" fillId="7" borderId="40" xfId="4" applyNumberFormat="1" applyFont="1" applyFill="1" applyBorder="1"/>
    <xf numFmtId="10" fontId="8" fillId="7" borderId="45" xfId="4" applyNumberFormat="1" applyFont="1" applyFill="1" applyBorder="1"/>
    <xf numFmtId="165" fontId="15" fillId="7" borderId="80" xfId="4" applyNumberFormat="1" applyFont="1" applyFill="1" applyBorder="1"/>
    <xf numFmtId="10" fontId="15" fillId="7" borderId="77" xfId="4" applyNumberFormat="1" applyFont="1" applyFill="1" applyBorder="1"/>
    <xf numFmtId="0" fontId="6" fillId="0" borderId="34" xfId="3" applyFont="1" applyFill="1" applyBorder="1" applyAlignment="1">
      <alignment horizontal="left" vertical="center" indent="1"/>
    </xf>
    <xf numFmtId="0" fontId="5" fillId="0" borderId="30" xfId="3" applyFont="1" applyFill="1" applyBorder="1" applyAlignment="1">
      <alignment horizontal="left" vertical="center" indent="1"/>
    </xf>
    <xf numFmtId="16" fontId="5" fillId="0" borderId="37" xfId="3" applyNumberFormat="1" applyFont="1" applyFill="1" applyBorder="1" applyAlignment="1">
      <alignment horizontal="left" vertical="center" indent="1"/>
    </xf>
    <xf numFmtId="16" fontId="5" fillId="0" borderId="42" xfId="3" applyNumberFormat="1" applyFont="1" applyFill="1" applyBorder="1" applyAlignment="1">
      <alignment horizontal="left" vertical="center" indent="1"/>
    </xf>
    <xf numFmtId="0" fontId="8" fillId="0" borderId="30" xfId="3" applyFont="1" applyFill="1" applyBorder="1" applyAlignment="1">
      <alignment horizontal="left" vertical="center" indent="1"/>
    </xf>
    <xf numFmtId="16" fontId="8" fillId="0" borderId="37" xfId="3" applyNumberFormat="1" applyFont="1" applyFill="1" applyBorder="1" applyAlignment="1">
      <alignment horizontal="left" vertical="center" indent="1"/>
    </xf>
    <xf numFmtId="16" fontId="8" fillId="0" borderId="42" xfId="3" applyNumberFormat="1" applyFont="1" applyFill="1" applyBorder="1" applyAlignment="1">
      <alignment horizontal="left" vertical="center" indent="1"/>
    </xf>
    <xf numFmtId="0" fontId="6" fillId="0" borderId="51" xfId="3" applyFont="1" applyFill="1" applyBorder="1" applyAlignment="1">
      <alignment horizontal="left" vertical="center" indent="1"/>
    </xf>
    <xf numFmtId="0" fontId="9" fillId="0" borderId="34" xfId="3" applyFont="1" applyFill="1" applyBorder="1" applyAlignment="1">
      <alignment horizontal="left" vertical="center" indent="1"/>
    </xf>
    <xf numFmtId="0" fontId="5" fillId="0" borderId="37" xfId="3" applyFont="1" applyFill="1" applyBorder="1" applyAlignment="1">
      <alignment horizontal="left" vertical="center" indent="1"/>
    </xf>
    <xf numFmtId="14" fontId="5" fillId="0" borderId="37" xfId="3" applyNumberFormat="1" applyFont="1" applyFill="1" applyBorder="1" applyAlignment="1">
      <alignment horizontal="left" vertical="center" indent="1"/>
    </xf>
    <xf numFmtId="0" fontId="8" fillId="0" borderId="37" xfId="3" applyFont="1" applyFill="1" applyBorder="1" applyAlignment="1">
      <alignment horizontal="left" vertical="center" indent="1"/>
    </xf>
    <xf numFmtId="165" fontId="5" fillId="0" borderId="0" xfId="4" applyNumberFormat="1" applyFont="1"/>
    <xf numFmtId="166" fontId="12" fillId="4" borderId="34" xfId="4" applyNumberFormat="1" applyFont="1" applyFill="1" applyBorder="1"/>
    <xf numFmtId="166" fontId="15" fillId="3" borderId="37" xfId="4" applyNumberFormat="1" applyFont="1" applyFill="1" applyBorder="1"/>
    <xf numFmtId="166" fontId="8" fillId="0" borderId="37" xfId="4" applyNumberFormat="1" applyFont="1" applyBorder="1"/>
    <xf numFmtId="166" fontId="15" fillId="0" borderId="37" xfId="4" applyNumberFormat="1" applyFont="1" applyFill="1" applyBorder="1"/>
    <xf numFmtId="0" fontId="5" fillId="2" borderId="0" xfId="4" applyFont="1" applyFill="1"/>
    <xf numFmtId="0" fontId="8" fillId="2" borderId="40" xfId="4" applyFont="1" applyFill="1" applyBorder="1" applyAlignment="1">
      <alignment horizontal="left" wrapText="1" indent="3"/>
    </xf>
    <xf numFmtId="165" fontId="18" fillId="8" borderId="37" xfId="4" applyNumberFormat="1" applyFont="1" applyFill="1" applyBorder="1"/>
    <xf numFmtId="165" fontId="8" fillId="0" borderId="39" xfId="4" applyNumberFormat="1" applyFont="1" applyFill="1" applyBorder="1"/>
    <xf numFmtId="166" fontId="8" fillId="0" borderId="39" xfId="4" applyNumberFormat="1" applyFont="1" applyBorder="1"/>
    <xf numFmtId="166" fontId="8" fillId="8" borderId="39" xfId="4" applyNumberFormat="1" applyFont="1" applyFill="1" applyBorder="1"/>
    <xf numFmtId="166" fontId="15" fillId="2" borderId="39" xfId="4" applyNumberFormat="1" applyFont="1" applyFill="1" applyBorder="1"/>
    <xf numFmtId="166" fontId="15" fillId="2" borderId="37" xfId="4" applyNumberFormat="1" applyFont="1" applyFill="1" applyBorder="1"/>
    <xf numFmtId="166" fontId="8" fillId="2" borderId="37" xfId="4" applyNumberFormat="1" applyFont="1" applyFill="1" applyBorder="1"/>
    <xf numFmtId="2" fontId="14" fillId="0" borderId="0" xfId="0" applyNumberFormat="1" applyFont="1"/>
    <xf numFmtId="3" fontId="14" fillId="0" borderId="0" xfId="0" applyNumberFormat="1" applyFont="1"/>
    <xf numFmtId="1" fontId="14" fillId="0" borderId="0" xfId="0" applyNumberFormat="1" applyFont="1"/>
    <xf numFmtId="10" fontId="14" fillId="0" borderId="0" xfId="0" applyNumberFormat="1" applyFont="1"/>
    <xf numFmtId="167" fontId="14" fillId="0" borderId="0" xfId="0" applyNumberFormat="1" applyFont="1"/>
    <xf numFmtId="168" fontId="5" fillId="0" borderId="0" xfId="4" applyNumberFormat="1" applyFont="1"/>
    <xf numFmtId="166" fontId="12" fillId="6" borderId="67" xfId="4" applyNumberFormat="1" applyFont="1" applyFill="1" applyBorder="1"/>
    <xf numFmtId="169" fontId="5" fillId="0" borderId="0" xfId="4" applyNumberFormat="1" applyFont="1"/>
    <xf numFmtId="166" fontId="19" fillId="0" borderId="0" xfId="4" applyNumberFormat="1" applyFont="1"/>
    <xf numFmtId="166" fontId="8" fillId="0" borderId="37" xfId="4" applyNumberFormat="1" applyFont="1" applyFill="1" applyBorder="1"/>
    <xf numFmtId="2" fontId="5" fillId="0" borderId="0" xfId="4" applyNumberFormat="1" applyFont="1"/>
    <xf numFmtId="170" fontId="5" fillId="0" borderId="0" xfId="4" applyNumberFormat="1" applyFont="1"/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169" fontId="8" fillId="0" borderId="39" xfId="4" applyNumberFormat="1" applyFont="1" applyBorder="1"/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166" fontId="12" fillId="4" borderId="47" xfId="4" applyNumberFormat="1" applyFont="1" applyFill="1" applyBorder="1"/>
    <xf numFmtId="0" fontId="5" fillId="0" borderId="24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5" fillId="0" borderId="20" xfId="3" applyFont="1" applyFill="1" applyBorder="1" applyAlignment="1">
      <alignment horizontal="center" vertical="center"/>
    </xf>
    <xf numFmtId="0" fontId="5" fillId="0" borderId="5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 wrapText="1"/>
    </xf>
    <xf numFmtId="0" fontId="5" fillId="0" borderId="16" xfId="4" applyFont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0" borderId="8" xfId="4" applyFont="1" applyBorder="1" applyAlignment="1">
      <alignment horizontal="center" vertical="center" wrapText="1"/>
    </xf>
    <xf numFmtId="0" fontId="5" fillId="0" borderId="9" xfId="4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55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59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/>
    </xf>
    <xf numFmtId="0" fontId="5" fillId="0" borderId="58" xfId="4" applyFont="1" applyBorder="1" applyAlignment="1">
      <alignment horizontal="center" vertical="center"/>
    </xf>
    <xf numFmtId="0" fontId="5" fillId="0" borderId="60" xfId="5" applyNumberFormat="1" applyFont="1" applyBorder="1" applyAlignment="1">
      <alignment horizontal="center" vertical="center" wrapText="1"/>
    </xf>
    <xf numFmtId="0" fontId="5" fillId="0" borderId="61" xfId="5" applyNumberFormat="1" applyFont="1" applyBorder="1" applyAlignment="1">
      <alignment horizontal="center" vertical="center" wrapText="1"/>
    </xf>
    <xf numFmtId="0" fontId="5" fillId="0" borderId="59" xfId="5" applyFont="1" applyBorder="1" applyAlignment="1">
      <alignment horizontal="center" vertical="center" wrapText="1"/>
    </xf>
    <xf numFmtId="0" fontId="5" fillId="0" borderId="23" xfId="5" applyFont="1" applyBorder="1" applyAlignment="1">
      <alignment horizontal="center" vertical="center" wrapText="1"/>
    </xf>
    <xf numFmtId="0" fontId="5" fillId="0" borderId="57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0" fontId="5" fillId="0" borderId="56" xfId="4" applyFont="1" applyBorder="1" applyAlignment="1">
      <alignment horizontal="center" vertical="center" wrapText="1"/>
    </xf>
    <xf numFmtId="0" fontId="5" fillId="0" borderId="58" xfId="4" applyFont="1" applyBorder="1" applyAlignment="1">
      <alignment horizontal="center" vertical="center" wrapText="1"/>
    </xf>
    <xf numFmtId="0" fontId="5" fillId="0" borderId="92" xfId="4" applyFont="1" applyBorder="1" applyAlignment="1">
      <alignment horizontal="center" vertical="center" wrapText="1"/>
    </xf>
    <xf numFmtId="0" fontId="5" fillId="0" borderId="93" xfId="4" applyFont="1" applyBorder="1" applyAlignment="1">
      <alignment horizontal="center" vertical="center" wrapText="1"/>
    </xf>
    <xf numFmtId="0" fontId="5" fillId="0" borderId="94" xfId="4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55" xfId="5" applyNumberFormat="1" applyFont="1" applyBorder="1" applyAlignment="1">
      <alignment horizontal="center" vertical="center" wrapText="1"/>
    </xf>
    <xf numFmtId="0" fontId="5" fillId="0" borderId="87" xfId="5" applyNumberFormat="1" applyFont="1" applyBorder="1" applyAlignment="1">
      <alignment horizontal="center" vertical="center" wrapText="1"/>
    </xf>
    <xf numFmtId="0" fontId="5" fillId="0" borderId="16" xfId="5" applyNumberFormat="1" applyFont="1" applyBorder="1" applyAlignment="1">
      <alignment horizontal="center" vertical="center" wrapText="1"/>
    </xf>
    <xf numFmtId="0" fontId="5" fillId="0" borderId="91" xfId="5" applyNumberFormat="1" applyFont="1" applyBorder="1" applyAlignment="1">
      <alignment horizontal="center" vertical="center" wrapText="1"/>
    </xf>
  </cellXfs>
  <cellStyles count="7">
    <cellStyle name="Обычный" xfId="0" builtinId="0"/>
    <cellStyle name="Обычный 2" xfId="5"/>
    <cellStyle name="Обычный 3" xfId="4"/>
    <cellStyle name="Обычный_Копия Свод к селекторному совещанию 02-09-09 2" xfId="3"/>
    <cellStyle name="Процентный" xfId="2" builtinId="5"/>
    <cellStyle name="Процентный 2" xfId="6"/>
    <cellStyle name="Финансовый" xfId="1" builtinId="3"/>
  </cellStyles>
  <dxfs count="12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2274792</xdr:colOff>
      <xdr:row>0</xdr:row>
      <xdr:rowOff>56029</xdr:rowOff>
    </xdr:from>
    <xdr:to>
      <xdr:col>21</xdr:col>
      <xdr:colOff>246529</xdr:colOff>
      <xdr:row>2</xdr:row>
      <xdr:rowOff>324969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49468" y="56029"/>
          <a:ext cx="12483355" cy="672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 (верхним границам сетей: определяется по сечениям коммерческого учета электроэнергии субъектов оптового рынка. являющихся основой для определения фактических величин потребления, экспорта/импорта электроэнергии в ГТП), без детализации. Сравнение идет с аналогичным периодом (сутками) прошлого года., нарастающим итогом.</a:t>
          </a:r>
        </a:p>
        <a:p>
          <a:r>
            <a:rPr lang="ru-RU" sz="1100" b="1"/>
            <a:t>Срок предоставления: ежедневно до 12:00 (МСК),</a:t>
          </a:r>
          <a:r>
            <a:rPr lang="ru-RU" sz="1100" b="1" baseline="0"/>
            <a:t> </a:t>
          </a:r>
          <a:r>
            <a:rPr lang="ru-RU" sz="1100" b="1"/>
            <a:t>в понедельник -</a:t>
          </a:r>
          <a:r>
            <a:rPr lang="ru-RU" sz="1100" b="1" baseline="0"/>
            <a:t>  отчеты за пятницу, субботу и воскресенье.</a:t>
          </a:r>
          <a:endParaRPr lang="ru-RU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10</xdr:row>
      <xdr:rowOff>13608</xdr:rowOff>
    </xdr:from>
    <xdr:to>
      <xdr:col>3</xdr:col>
      <xdr:colOff>2122715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7073" y="2435679"/>
          <a:ext cx="6014356" cy="84364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, "Отпуску из сети", "Выручке"  Сравнение идет с аналогичным интервалом времени  прошлого года., нарастающим итогом.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Срок предоставления: ежедневно по четвергам до 12:00 (МСК)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35485</xdr:colOff>
      <xdr:row>10</xdr:row>
      <xdr:rowOff>60832</xdr:rowOff>
    </xdr:from>
    <xdr:to>
      <xdr:col>3</xdr:col>
      <xdr:colOff>1918606</xdr:colOff>
      <xdr:row>14</xdr:row>
      <xdr:rowOff>33617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83720" y="2470097"/>
          <a:ext cx="5850004" cy="73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Формируется по "Отпуску в сеть" ТСО, "Отпуску из сети", "Котловому полезному отпуску",</a:t>
          </a:r>
          <a:r>
            <a:rPr lang="ru-RU" sz="1200" baseline="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"Выручке"</a:t>
          </a:r>
          <a:r>
            <a:rPr lang="ru-RU" sz="1200">
              <a:solidFill>
                <a:srgbClr val="FF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в соответствии с управленческой отчетностью</a:t>
          </a:r>
        </a:p>
        <a:p>
          <a:r>
            <a:rPr lang="ru-RU" sz="1100" b="1"/>
            <a:t>Срок предоставления: ежемесячно 17 числа  до 12:00 (МСК)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2/&#1087;&#1086;&#1090;&#1077;&#1088;&#1080;%202020/&#1052;&#1072;&#1081;/&#1057;&#1077;&#1083;&#1077;&#1082;&#1090;&#1086;&#1088;/&#1077;&#1078;&#1077;&#1076;&#1085;&#1077;&#1074;&#1085;&#1099;&#1081;/&#1077;&#1078;&#1077;&#1076;&#1085;&#1077;&#1074;&#1085;&#1099;&#1081;%20&#1084;&#1088;&#1089;&#1082;%20&#1080;&#1102;&#1083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dc01.mrsks.local\Share\&#1057;&#1083;&#1091;&#1078;&#1073;&#1072;%20&#1090;&#1088;&#1072;&#1085;&#1089;&#1087;&#1086;&#1088;&#1090;&#1072;%20&#1080;%20&#1091;&#1095;&#1077;&#1090;&#1072;%20&#1069;&#1069;%20+%20&#1054;&#1090;&#1076;&#1077;&#1083;%20&#1101;&#1085;&#1077;&#1088;&#1075;&#1086;&#1089;&#1073;&#1077;&#1088;&#1077;&#1078;&#1077;&#1085;&#1080;&#1103;\&#1057;&#1077;&#1082;&#1090;&#1086;&#1088;%20&#1088;&#1077;&#1072;&#1083;&#1080;&#1079;&#1072;&#1094;&#1080;&#1080;%20&#1091;&#1089;&#1083;&#1091;&#1075;\&#1045;.&#1042;.&#1040;&#1096;&#1084;&#1072;&#1088;&#1080;&#1085;&#1072;\&#1055;&#1088;&#1077;&#1076;&#1074;&#1072;&#1088;&#1080;&#1090;&#1077;&#1083;&#1100;&#1085;&#1099;&#1081;%20&#1073;&#1072;&#1083;&#1072;&#1085;&#1089;\&#1089;&#1074;&#1086;&#1076;&#1085;&#1080;&#1082;%202019%20&#1075;&#1086;&#1076;\4_&#1072;&#1087;&#1088;&#1077;&#1083;&#1100;\&#1070;&#1088;&#1080;&#1082;&#1080;\&#1102;&#1088;&#1080;&#1082;&#1080;&#1080;%20%200805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2/&#1087;&#1086;&#1090;&#1077;&#1088;&#1080;%202020/&#1052;&#1040;&#1056;&#1058;/&#1089;&#1077;&#1083;&#1077;&#1082;&#1090;&#1086;&#1088;/2020/2020%20&#1075;&#1086;&#107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2/&#1087;&#1086;&#1090;&#1077;&#1088;&#1080;%202020/&#1052;&#1040;&#1056;&#1058;/&#1089;&#1077;&#1083;&#1077;&#1082;&#1090;&#1086;&#1088;/&#1089;&#1077;&#1083;&#1077;&#1082;&#1090;&#1086;&#1088;%20&#1089;%20&#1056;&#1069;&#1057;%20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02/&#1087;&#1086;&#1090;&#1077;&#1088;&#1080;%202020/&#1052;&#1040;&#1056;&#1058;/&#1089;&#1077;&#1083;&#1077;&#1082;&#1090;&#1086;&#1088;/&#1050;&#1086;&#1087;&#1080;&#1103;%20&#1055;&#1088;&#1086;&#1075;&#1086;&#1085;&#1086;&#1079;%20&#1089;%20&#1082;&#1086;&#1088;&#1086;&#1085;&#1086;&#1074;&#1080;&#1088;&#1091;&#1089;&#1086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июля"/>
      <sheetName val="2 июля"/>
      <sheetName val="3 июля"/>
      <sheetName val="4 июля "/>
      <sheetName val="5 июля "/>
      <sheetName val="6 июля "/>
      <sheetName val="7 июля"/>
      <sheetName val="8 июля "/>
      <sheetName val="9 июля "/>
      <sheetName val="10 июля"/>
      <sheetName val="АвеларСолар"/>
      <sheetName val="11 июля"/>
      <sheetName val="12 июля "/>
      <sheetName val="13 июля "/>
      <sheetName val="14 июля "/>
      <sheetName val="15 июля"/>
      <sheetName val="16 июля "/>
      <sheetName val="17 июля"/>
      <sheetName val="18 июля"/>
      <sheetName val="19 июля"/>
      <sheetName val="20 июля "/>
      <sheetName val="21 июля"/>
      <sheetName val="22 июля "/>
      <sheetName val="23 июля"/>
      <sheetName val="24 июля "/>
      <sheetName val="25 июля "/>
      <sheetName val="26 июля "/>
      <sheetName val="27 июля "/>
      <sheetName val="28 июля "/>
      <sheetName val="29 июля "/>
      <sheetName val="30 июля "/>
      <sheetName val="31 июля "/>
    </sheetNames>
    <sheetDataSet>
      <sheetData sheetId="0"/>
      <sheetData sheetId="1"/>
      <sheetData sheetId="2"/>
      <sheetData sheetId="3"/>
      <sheetData sheetId="4">
        <row r="52">
          <cell r="E52">
            <v>37.751148999999998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811">
          <cell r="AB5811">
            <v>12409984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 2020 "/>
      <sheetName val="февраль 2020"/>
      <sheetName val="март 2020"/>
      <sheetName val="апрель 2020 "/>
      <sheetName val="май 2020"/>
      <sheetName val="июнь 2020"/>
      <sheetName val="июль 2020"/>
      <sheetName val="август 2020 "/>
      <sheetName val="сентябрь 2020 "/>
      <sheetName val="октябрь 2020 "/>
      <sheetName val="ноябрь 2020"/>
      <sheetName val="декабрь 2020"/>
      <sheetName val="ГАЭС 15,02%  согл"/>
    </sheetNames>
    <sheetDataSet>
      <sheetData sheetId="0"/>
      <sheetData sheetId="1"/>
      <sheetData sheetId="2">
        <row r="21">
          <cell r="T21">
            <v>0.16194553879385409</v>
          </cell>
        </row>
      </sheetData>
      <sheetData sheetId="3">
        <row r="9">
          <cell r="E9">
            <v>41559.949000000001</v>
          </cell>
          <cell r="L9">
            <v>36061.968999999997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рт"/>
      <sheetName val="апрель  12042019"/>
      <sheetName val="май 16052019"/>
      <sheetName val="май 22052019"/>
      <sheetName val="май 29052019"/>
      <sheetName val="июнь"/>
      <sheetName val="июль"/>
      <sheetName val="октябрь"/>
      <sheetName val="ноябрь (2)"/>
      <sheetName val="ноябрь (3)"/>
      <sheetName val="ноябрь (4)"/>
      <sheetName val="ноябрь (5)"/>
      <sheetName val="ноябрь (6)"/>
      <sheetName val="ноябрь (7)"/>
      <sheetName val="ноябрь (8)"/>
      <sheetName val="ноябрь (9)"/>
      <sheetName val="ноябрь (15,21%)"/>
      <sheetName val="апрель19042019 "/>
      <sheetName val="Лист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7">
          <cell r="E17">
            <v>40159656.81818182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рт"/>
      <sheetName val="апрель  12042019"/>
      <sheetName val="май 16052019"/>
      <sheetName val="май 22052019"/>
      <sheetName val="май 29052019"/>
      <sheetName val="июнь"/>
      <sheetName val="июль"/>
      <sheetName val="октябрь"/>
      <sheetName val="ноябрь (2)"/>
      <sheetName val="ноябрь (3)"/>
      <sheetName val="ноябрь (4)"/>
      <sheetName val="ноябрь (5)"/>
      <sheetName val="ноябрь (6)"/>
      <sheetName val="ноябрь (7)"/>
      <sheetName val="ноябрь (8)"/>
      <sheetName val="ноябрь (15,21%)"/>
      <sheetName val="апрель19042019 "/>
      <sheetName val="Лист данны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M9">
            <v>34896922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5"/>
  <sheetViews>
    <sheetView zoomScale="85" zoomScaleNormal="85" workbookViewId="0">
      <pane xSplit="4" ySplit="7" topLeftCell="E10" activePane="bottomRight" state="frozen"/>
      <selection pane="topRight" activeCell="D1" sqref="D1"/>
      <selection pane="bottomLeft" activeCell="A9" sqref="A9"/>
      <selection pane="bottomRight" activeCell="F27" sqref="F27"/>
    </sheetView>
  </sheetViews>
  <sheetFormatPr defaultRowHeight="15" x14ac:dyDescent="0.25"/>
  <cols>
    <col min="1" max="1" width="8" customWidth="1"/>
    <col min="2" max="2" width="20.140625" customWidth="1"/>
    <col min="3" max="3" width="25.42578125" customWidth="1"/>
    <col min="4" max="4" width="37.140625" customWidth="1"/>
    <col min="5" max="6" width="13.28515625" customWidth="1"/>
    <col min="7" max="7" width="16" customWidth="1"/>
    <col min="8" max="8" width="16.5703125" customWidth="1"/>
    <col min="9" max="9" width="12.42578125" customWidth="1"/>
    <col min="40" max="40" width="12.42578125" customWidth="1"/>
  </cols>
  <sheetData>
    <row r="1" spans="1:40" ht="15.75" x14ac:dyDescent="0.25">
      <c r="B1" s="7">
        <v>43932</v>
      </c>
      <c r="C1" t="s">
        <v>4</v>
      </c>
      <c r="E1" s="8" t="e">
        <f>#REF!-1</f>
        <v>#REF!</v>
      </c>
      <c r="F1" s="8">
        <f>B1-1</f>
        <v>43931</v>
      </c>
      <c r="G1" s="9">
        <f>F1-366</f>
        <v>43565</v>
      </c>
      <c r="H1" s="1"/>
      <c r="AN1" s="1"/>
    </row>
    <row r="2" spans="1:40" ht="15.75" x14ac:dyDescent="0.25">
      <c r="A2" s="1" t="str">
        <f>"Суточное электропотребление (отпуск в сеть), млн кВтч на "&amp;(TEXT(F1,"ДД.ММ.ГГГГ"))</f>
        <v>Суточное электропотребление (отпуск в сеть), млн кВтч на 10.04.2020</v>
      </c>
      <c r="B2" s="1"/>
      <c r="C2" s="1"/>
      <c r="E2" s="1"/>
      <c r="F2" s="1"/>
      <c r="G2" s="1"/>
      <c r="H2" s="1"/>
      <c r="AN2" s="1"/>
    </row>
    <row r="3" spans="1:40" ht="33.75" customHeight="1" thickBot="1" x14ac:dyDescent="0.3">
      <c r="A3" s="2"/>
      <c r="B3" s="2"/>
      <c r="C3" s="2"/>
      <c r="D3" s="10"/>
      <c r="E3" s="1"/>
      <c r="F3" s="1"/>
      <c r="G3" s="1"/>
      <c r="H3" s="1"/>
      <c r="AN3" s="1"/>
    </row>
    <row r="4" spans="1:40" x14ac:dyDescent="0.25">
      <c r="A4" s="296" t="s">
        <v>0</v>
      </c>
      <c r="B4" s="299" t="s">
        <v>1</v>
      </c>
      <c r="C4" s="299" t="s">
        <v>2</v>
      </c>
      <c r="D4" s="302" t="s">
        <v>3</v>
      </c>
      <c r="E4" s="305" t="s">
        <v>5</v>
      </c>
      <c r="F4" s="306"/>
      <c r="G4" s="306"/>
      <c r="H4" s="307"/>
      <c r="I4" s="288" t="s">
        <v>6</v>
      </c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90"/>
    </row>
    <row r="5" spans="1:40" x14ac:dyDescent="0.25">
      <c r="A5" s="297"/>
      <c r="B5" s="300"/>
      <c r="C5" s="300"/>
      <c r="D5" s="303"/>
      <c r="E5" s="11">
        <v>2019</v>
      </c>
      <c r="F5" s="11">
        <v>2019</v>
      </c>
      <c r="G5" s="5">
        <v>2020</v>
      </c>
      <c r="H5" s="294" t="s">
        <v>7</v>
      </c>
      <c r="I5" s="291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3"/>
      <c r="AN5" s="3"/>
    </row>
    <row r="6" spans="1:40" ht="45" x14ac:dyDescent="0.25">
      <c r="A6" s="298"/>
      <c r="B6" s="301"/>
      <c r="C6" s="301"/>
      <c r="D6" s="304"/>
      <c r="E6" s="12" t="s">
        <v>8</v>
      </c>
      <c r="F6" s="12" t="str">
        <f>"факт"&amp;" по состоянию на "&amp;(TEXT(G1,"ДД.ММ.ГГГГ"))</f>
        <v>факт по состоянию на 10.04.2019</v>
      </c>
      <c r="G6" s="4" t="str">
        <f>"факт"&amp;" по состоянию на "&amp;(TEXT(B1,"ДД.ММ.ГГГГ"))</f>
        <v>факт по состоянию на 11.04.2020</v>
      </c>
      <c r="H6" s="295"/>
      <c r="I6" s="11">
        <v>1</v>
      </c>
      <c r="J6" s="5">
        <v>2</v>
      </c>
      <c r="K6" s="5">
        <v>3</v>
      </c>
      <c r="L6" s="5">
        <v>4</v>
      </c>
      <c r="M6" s="5">
        <v>5</v>
      </c>
      <c r="N6" s="5">
        <v>6</v>
      </c>
      <c r="O6" s="5">
        <v>7</v>
      </c>
      <c r="P6" s="5">
        <v>8</v>
      </c>
      <c r="Q6" s="5">
        <v>9</v>
      </c>
      <c r="R6" s="5">
        <v>10</v>
      </c>
      <c r="S6" s="5">
        <v>11</v>
      </c>
      <c r="T6" s="5">
        <v>12</v>
      </c>
      <c r="U6" s="5">
        <v>13</v>
      </c>
      <c r="V6" s="5">
        <v>14</v>
      </c>
      <c r="W6" s="5">
        <v>15</v>
      </c>
      <c r="X6" s="5">
        <v>16</v>
      </c>
      <c r="Y6" s="5">
        <v>17</v>
      </c>
      <c r="Z6" s="5">
        <v>18</v>
      </c>
      <c r="AA6" s="5">
        <v>19</v>
      </c>
      <c r="AB6" s="5">
        <v>20</v>
      </c>
      <c r="AC6" s="5">
        <v>21</v>
      </c>
      <c r="AD6" s="5">
        <v>22</v>
      </c>
      <c r="AE6" s="5">
        <v>23</v>
      </c>
      <c r="AF6" s="5">
        <v>24</v>
      </c>
      <c r="AG6" s="5">
        <v>25</v>
      </c>
      <c r="AH6" s="5">
        <v>26</v>
      </c>
      <c r="AI6" s="5">
        <v>27</v>
      </c>
      <c r="AJ6" s="5">
        <v>28</v>
      </c>
      <c r="AK6" s="227">
        <v>29</v>
      </c>
      <c r="AL6" s="5">
        <v>30</v>
      </c>
      <c r="AM6" s="13">
        <v>31</v>
      </c>
      <c r="AN6" s="3"/>
    </row>
    <row r="7" spans="1:40" ht="15.75" thickBot="1" x14ac:dyDescent="0.3">
      <c r="A7" s="14">
        <v>1</v>
      </c>
      <c r="B7" s="15">
        <f>A7+1</f>
        <v>2</v>
      </c>
      <c r="C7" s="15">
        <f t="shared" ref="C7:AM7" si="0">B7+1</f>
        <v>3</v>
      </c>
      <c r="D7" s="16">
        <f t="shared" si="0"/>
        <v>4</v>
      </c>
      <c r="E7" s="17">
        <f t="shared" si="0"/>
        <v>5</v>
      </c>
      <c r="F7" s="16">
        <f t="shared" si="0"/>
        <v>6</v>
      </c>
      <c r="G7" s="18" t="s">
        <v>215</v>
      </c>
      <c r="H7" s="18" t="s">
        <v>220</v>
      </c>
      <c r="I7" s="18">
        <v>9</v>
      </c>
      <c r="J7" s="18">
        <f t="shared" si="0"/>
        <v>10</v>
      </c>
      <c r="K7" s="18">
        <f t="shared" si="0"/>
        <v>11</v>
      </c>
      <c r="L7" s="18">
        <f t="shared" si="0"/>
        <v>12</v>
      </c>
      <c r="M7" s="18">
        <f t="shared" si="0"/>
        <v>13</v>
      </c>
      <c r="N7" s="18">
        <f t="shared" si="0"/>
        <v>14</v>
      </c>
      <c r="O7" s="18">
        <f t="shared" si="0"/>
        <v>15</v>
      </c>
      <c r="P7" s="18">
        <f t="shared" si="0"/>
        <v>16</v>
      </c>
      <c r="Q7" s="18">
        <f t="shared" si="0"/>
        <v>17</v>
      </c>
      <c r="R7" s="18">
        <f t="shared" si="0"/>
        <v>18</v>
      </c>
      <c r="S7" s="18">
        <f t="shared" si="0"/>
        <v>19</v>
      </c>
      <c r="T7" s="18">
        <f t="shared" si="0"/>
        <v>20</v>
      </c>
      <c r="U7" s="18">
        <f t="shared" si="0"/>
        <v>21</v>
      </c>
      <c r="V7" s="18">
        <f t="shared" si="0"/>
        <v>22</v>
      </c>
      <c r="W7" s="18">
        <f t="shared" si="0"/>
        <v>23</v>
      </c>
      <c r="X7" s="18">
        <f t="shared" si="0"/>
        <v>24</v>
      </c>
      <c r="Y7" s="18">
        <f t="shared" si="0"/>
        <v>25</v>
      </c>
      <c r="Z7" s="18">
        <f t="shared" si="0"/>
        <v>26</v>
      </c>
      <c r="AA7" s="18">
        <f t="shared" si="0"/>
        <v>27</v>
      </c>
      <c r="AB7" s="18">
        <f t="shared" si="0"/>
        <v>28</v>
      </c>
      <c r="AC7" s="18">
        <f t="shared" si="0"/>
        <v>29</v>
      </c>
      <c r="AD7" s="18">
        <f t="shared" si="0"/>
        <v>30</v>
      </c>
      <c r="AE7" s="18">
        <f t="shared" si="0"/>
        <v>31</v>
      </c>
      <c r="AF7" s="18">
        <f t="shared" si="0"/>
        <v>32</v>
      </c>
      <c r="AG7" s="18">
        <f t="shared" si="0"/>
        <v>33</v>
      </c>
      <c r="AH7" s="18">
        <f t="shared" si="0"/>
        <v>34</v>
      </c>
      <c r="AI7" s="18">
        <f t="shared" si="0"/>
        <v>35</v>
      </c>
      <c r="AJ7" s="18">
        <f t="shared" si="0"/>
        <v>36</v>
      </c>
      <c r="AK7" s="18">
        <f>AI7+1</f>
        <v>36</v>
      </c>
      <c r="AL7" s="18">
        <f>AJ7+1</f>
        <v>37</v>
      </c>
      <c r="AM7" s="19">
        <f t="shared" si="0"/>
        <v>38</v>
      </c>
      <c r="AN7" s="20"/>
    </row>
    <row r="8" spans="1:40" x14ac:dyDescent="0.25">
      <c r="A8" s="21">
        <v>1</v>
      </c>
      <c r="B8" s="22"/>
      <c r="C8" s="22" t="s">
        <v>9</v>
      </c>
      <c r="D8" s="23" t="s">
        <v>9</v>
      </c>
      <c r="E8" s="24">
        <f>SUM(E9:E19)</f>
        <v>1250</v>
      </c>
      <c r="F8" s="25">
        <f>SUM(F9:F19)</f>
        <v>820</v>
      </c>
      <c r="G8" s="26">
        <f>SUM(G9:G19)</f>
        <v>798</v>
      </c>
      <c r="H8" s="27">
        <f>IFERROR((G8-F8)/F8,"")</f>
        <v>-2.6829268292682926E-2</v>
      </c>
      <c r="I8" s="28">
        <f t="shared" ref="I8:AM8" si="1">SUM(I9:I19)</f>
        <v>25</v>
      </c>
      <c r="J8" s="29">
        <f t="shared" si="1"/>
        <v>23</v>
      </c>
      <c r="K8" s="29">
        <f t="shared" si="1"/>
        <v>16</v>
      </c>
      <c r="L8" s="29">
        <f t="shared" si="1"/>
        <v>22</v>
      </c>
      <c r="M8" s="29">
        <f t="shared" si="1"/>
        <v>34</v>
      </c>
      <c r="N8" s="29">
        <f t="shared" si="1"/>
        <v>23</v>
      </c>
      <c r="O8" s="29">
        <f t="shared" si="1"/>
        <v>16</v>
      </c>
      <c r="P8" s="29">
        <f t="shared" si="1"/>
        <v>22</v>
      </c>
      <c r="Q8" s="29">
        <f t="shared" si="1"/>
        <v>34</v>
      </c>
      <c r="R8" s="29">
        <f t="shared" si="1"/>
        <v>34</v>
      </c>
      <c r="S8" s="29">
        <f t="shared" si="1"/>
        <v>35</v>
      </c>
      <c r="T8" s="29">
        <f t="shared" si="1"/>
        <v>23</v>
      </c>
      <c r="U8" s="29">
        <f t="shared" si="1"/>
        <v>16</v>
      </c>
      <c r="V8" s="29">
        <f t="shared" si="1"/>
        <v>22</v>
      </c>
      <c r="W8" s="29">
        <f t="shared" si="1"/>
        <v>34</v>
      </c>
      <c r="X8" s="29">
        <f t="shared" si="1"/>
        <v>40</v>
      </c>
      <c r="Y8" s="29">
        <f t="shared" si="1"/>
        <v>41</v>
      </c>
      <c r="Z8" s="29">
        <f t="shared" si="1"/>
        <v>23</v>
      </c>
      <c r="AA8" s="29">
        <f t="shared" si="1"/>
        <v>16</v>
      </c>
      <c r="AB8" s="29">
        <f t="shared" si="1"/>
        <v>22</v>
      </c>
      <c r="AC8" s="29">
        <f t="shared" si="1"/>
        <v>34</v>
      </c>
      <c r="AD8" s="29">
        <f t="shared" si="1"/>
        <v>47</v>
      </c>
      <c r="AE8" s="29">
        <f t="shared" si="1"/>
        <v>48</v>
      </c>
      <c r="AF8" s="29">
        <f t="shared" si="1"/>
        <v>23</v>
      </c>
      <c r="AG8" s="29">
        <f t="shared" si="1"/>
        <v>16</v>
      </c>
      <c r="AH8" s="29">
        <f t="shared" si="1"/>
        <v>22</v>
      </c>
      <c r="AI8" s="29">
        <f t="shared" si="1"/>
        <v>34</v>
      </c>
      <c r="AJ8" s="29">
        <f t="shared" si="1"/>
        <v>53</v>
      </c>
      <c r="AK8" s="29">
        <f t="shared" ref="AK8" si="2">SUM(AK9:AK19)</f>
        <v>0</v>
      </c>
      <c r="AL8" s="29">
        <f t="shared" si="1"/>
        <v>0</v>
      </c>
      <c r="AM8" s="30">
        <f t="shared" si="1"/>
        <v>0</v>
      </c>
      <c r="AN8" s="6"/>
    </row>
    <row r="9" spans="1:40" x14ac:dyDescent="0.25">
      <c r="A9" s="31" t="s">
        <v>10</v>
      </c>
      <c r="B9" s="32" t="s">
        <v>11</v>
      </c>
      <c r="C9" s="32" t="s">
        <v>9</v>
      </c>
      <c r="D9" s="33" t="s">
        <v>12</v>
      </c>
      <c r="E9" s="34">
        <v>1250</v>
      </c>
      <c r="F9" s="35">
        <v>820</v>
      </c>
      <c r="G9" s="36">
        <f>SUM(I9:AM9)</f>
        <v>798</v>
      </c>
      <c r="H9" s="37">
        <f t="shared" ref="H9:H72" si="3">IFERROR((G9-F9)/F9,"")</f>
        <v>-2.6829268292682926E-2</v>
      </c>
      <c r="I9" s="34">
        <v>25</v>
      </c>
      <c r="J9" s="38">
        <v>23</v>
      </c>
      <c r="K9" s="38">
        <v>16</v>
      </c>
      <c r="L9" s="38">
        <v>22</v>
      </c>
      <c r="M9" s="38">
        <v>34</v>
      </c>
      <c r="N9" s="38">
        <v>23</v>
      </c>
      <c r="O9" s="38">
        <v>16</v>
      </c>
      <c r="P9" s="38">
        <v>22</v>
      </c>
      <c r="Q9" s="38">
        <v>34</v>
      </c>
      <c r="R9" s="38">
        <v>34</v>
      </c>
      <c r="S9" s="38">
        <v>35</v>
      </c>
      <c r="T9" s="38">
        <v>23</v>
      </c>
      <c r="U9" s="38">
        <v>16</v>
      </c>
      <c r="V9" s="38">
        <v>22</v>
      </c>
      <c r="W9" s="38">
        <v>34</v>
      </c>
      <c r="X9" s="38">
        <v>40</v>
      </c>
      <c r="Y9" s="38">
        <v>41</v>
      </c>
      <c r="Z9" s="38">
        <v>23</v>
      </c>
      <c r="AA9" s="38">
        <v>16</v>
      </c>
      <c r="AB9" s="38">
        <v>22</v>
      </c>
      <c r="AC9" s="38">
        <v>34</v>
      </c>
      <c r="AD9" s="38">
        <v>47</v>
      </c>
      <c r="AE9" s="38">
        <v>48</v>
      </c>
      <c r="AF9" s="38">
        <v>23</v>
      </c>
      <c r="AG9" s="38">
        <v>16</v>
      </c>
      <c r="AH9" s="38">
        <v>22</v>
      </c>
      <c r="AI9" s="38">
        <v>34</v>
      </c>
      <c r="AJ9" s="38">
        <v>53</v>
      </c>
      <c r="AK9" s="38">
        <v>0</v>
      </c>
      <c r="AL9" s="38">
        <v>0</v>
      </c>
      <c r="AM9" s="39">
        <v>0</v>
      </c>
      <c r="AN9" s="40"/>
    </row>
    <row r="10" spans="1:40" x14ac:dyDescent="0.25">
      <c r="A10" s="31" t="s">
        <v>13</v>
      </c>
      <c r="B10" s="32"/>
      <c r="C10" s="32" t="s">
        <v>9</v>
      </c>
      <c r="D10" s="33" t="s">
        <v>14</v>
      </c>
      <c r="E10" s="34"/>
      <c r="F10" s="35"/>
      <c r="G10" s="36">
        <f t="shared" ref="G10:G19" si="4">SUM(I10:AM10)</f>
        <v>0</v>
      </c>
      <c r="H10" s="37" t="str">
        <f t="shared" si="3"/>
        <v/>
      </c>
      <c r="I10" s="34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9"/>
      <c r="AN10" s="40"/>
    </row>
    <row r="11" spans="1:40" x14ac:dyDescent="0.25">
      <c r="A11" s="31" t="s">
        <v>15</v>
      </c>
      <c r="B11" s="32"/>
      <c r="C11" s="32" t="s">
        <v>9</v>
      </c>
      <c r="D11" s="33" t="s">
        <v>16</v>
      </c>
      <c r="E11" s="34"/>
      <c r="F11" s="35"/>
      <c r="G11" s="36">
        <f t="shared" si="4"/>
        <v>0</v>
      </c>
      <c r="H11" s="37" t="str">
        <f t="shared" si="3"/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40"/>
    </row>
    <row r="12" spans="1:40" x14ac:dyDescent="0.25">
      <c r="A12" s="31" t="s">
        <v>17</v>
      </c>
      <c r="B12" s="32"/>
      <c r="C12" s="32" t="s">
        <v>9</v>
      </c>
      <c r="D12" s="33" t="s">
        <v>18</v>
      </c>
      <c r="E12" s="34"/>
      <c r="F12" s="35"/>
      <c r="G12" s="36">
        <f t="shared" si="4"/>
        <v>0</v>
      </c>
      <c r="H12" s="37" t="str">
        <f t="shared" si="3"/>
        <v/>
      </c>
      <c r="I12" s="34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40"/>
    </row>
    <row r="13" spans="1:40" x14ac:dyDescent="0.25">
      <c r="A13" s="31" t="s">
        <v>19</v>
      </c>
      <c r="B13" s="32"/>
      <c r="C13" s="32" t="s">
        <v>9</v>
      </c>
      <c r="D13" s="33" t="s">
        <v>20</v>
      </c>
      <c r="E13" s="34"/>
      <c r="F13" s="35"/>
      <c r="G13" s="36">
        <f t="shared" si="4"/>
        <v>0</v>
      </c>
      <c r="H13" s="37" t="str">
        <f t="shared" si="3"/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/>
    </row>
    <row r="14" spans="1:40" x14ac:dyDescent="0.25">
      <c r="A14" s="31" t="s">
        <v>21</v>
      </c>
      <c r="B14" s="32"/>
      <c r="C14" s="32" t="s">
        <v>9</v>
      </c>
      <c r="D14" s="33" t="s">
        <v>22</v>
      </c>
      <c r="E14" s="34"/>
      <c r="F14" s="35"/>
      <c r="G14" s="36">
        <f t="shared" si="4"/>
        <v>0</v>
      </c>
      <c r="H14" s="37" t="str">
        <f t="shared" si="3"/>
        <v/>
      </c>
      <c r="I14" s="34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40"/>
    </row>
    <row r="15" spans="1:40" x14ac:dyDescent="0.25">
      <c r="A15" s="31" t="s">
        <v>23</v>
      </c>
      <c r="B15" s="32"/>
      <c r="C15" s="32" t="s">
        <v>9</v>
      </c>
      <c r="D15" s="33" t="s">
        <v>24</v>
      </c>
      <c r="E15" s="34"/>
      <c r="F15" s="35"/>
      <c r="G15" s="36">
        <f t="shared" si="4"/>
        <v>0</v>
      </c>
      <c r="H15" s="37" t="str">
        <f t="shared" si="3"/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40"/>
    </row>
    <row r="16" spans="1:40" x14ac:dyDescent="0.25">
      <c r="A16" s="31" t="s">
        <v>25</v>
      </c>
      <c r="B16" s="32"/>
      <c r="C16" s="32" t="s">
        <v>9</v>
      </c>
      <c r="D16" s="33" t="s">
        <v>26</v>
      </c>
      <c r="E16" s="34"/>
      <c r="F16" s="35"/>
      <c r="G16" s="36">
        <f t="shared" si="4"/>
        <v>0</v>
      </c>
      <c r="H16" s="37" t="str">
        <f t="shared" si="3"/>
        <v/>
      </c>
      <c r="I16" s="3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40"/>
    </row>
    <row r="17" spans="1:40" x14ac:dyDescent="0.25">
      <c r="A17" s="31" t="s">
        <v>27</v>
      </c>
      <c r="B17" s="32"/>
      <c r="C17" s="32" t="s">
        <v>9</v>
      </c>
      <c r="D17" s="33" t="s">
        <v>28</v>
      </c>
      <c r="E17" s="34"/>
      <c r="F17" s="35"/>
      <c r="G17" s="36">
        <f t="shared" si="4"/>
        <v>0</v>
      </c>
      <c r="H17" s="37" t="str">
        <f t="shared" si="3"/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40"/>
    </row>
    <row r="18" spans="1:40" x14ac:dyDescent="0.25">
      <c r="A18" s="31" t="s">
        <v>29</v>
      </c>
      <c r="B18" s="32"/>
      <c r="C18" s="32" t="s">
        <v>9</v>
      </c>
      <c r="D18" s="33" t="s">
        <v>30</v>
      </c>
      <c r="E18" s="34"/>
      <c r="F18" s="35"/>
      <c r="G18" s="36">
        <f t="shared" si="4"/>
        <v>0</v>
      </c>
      <c r="H18" s="37" t="str">
        <f t="shared" si="3"/>
        <v/>
      </c>
      <c r="I18" s="34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40"/>
    </row>
    <row r="19" spans="1:40" ht="15.75" thickBot="1" x14ac:dyDescent="0.3">
      <c r="A19" s="41" t="s">
        <v>31</v>
      </c>
      <c r="B19" s="42"/>
      <c r="C19" s="42" t="s">
        <v>9</v>
      </c>
      <c r="D19" s="228" t="s">
        <v>32</v>
      </c>
      <c r="E19" s="44"/>
      <c r="F19" s="45"/>
      <c r="G19" s="46">
        <f t="shared" si="4"/>
        <v>0</v>
      </c>
      <c r="H19" s="47" t="str">
        <f t="shared" si="3"/>
        <v/>
      </c>
      <c r="I19" s="44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9"/>
      <c r="AN19" s="40"/>
    </row>
    <row r="20" spans="1:40" x14ac:dyDescent="0.25">
      <c r="A20" s="50">
        <v>2</v>
      </c>
      <c r="B20" s="51"/>
      <c r="C20" s="237" t="s">
        <v>33</v>
      </c>
      <c r="D20" s="52" t="s">
        <v>33</v>
      </c>
      <c r="E20" s="28">
        <f>SUM(E22:E31)</f>
        <v>0</v>
      </c>
      <c r="F20" s="53">
        <f>SUM(F22:F31)</f>
        <v>0</v>
      </c>
      <c r="G20" s="29">
        <f t="shared" ref="G20" si="5">SUM(G22:G31)</f>
        <v>0</v>
      </c>
      <c r="H20" s="54" t="str">
        <f t="shared" si="3"/>
        <v/>
      </c>
      <c r="I20" s="28">
        <f t="shared" ref="I20:AM20" si="6">SUM(I22:I31)</f>
        <v>0</v>
      </c>
      <c r="J20" s="29">
        <f t="shared" si="6"/>
        <v>0</v>
      </c>
      <c r="K20" s="29">
        <f t="shared" si="6"/>
        <v>0</v>
      </c>
      <c r="L20" s="29">
        <f t="shared" si="6"/>
        <v>0</v>
      </c>
      <c r="M20" s="29">
        <f t="shared" si="6"/>
        <v>0</v>
      </c>
      <c r="N20" s="29">
        <f t="shared" si="6"/>
        <v>0</v>
      </c>
      <c r="O20" s="29">
        <f t="shared" si="6"/>
        <v>0</v>
      </c>
      <c r="P20" s="29">
        <f t="shared" si="6"/>
        <v>0</v>
      </c>
      <c r="Q20" s="29">
        <f t="shared" si="6"/>
        <v>0</v>
      </c>
      <c r="R20" s="29">
        <f t="shared" si="6"/>
        <v>0</v>
      </c>
      <c r="S20" s="29">
        <f t="shared" si="6"/>
        <v>0</v>
      </c>
      <c r="T20" s="29">
        <f t="shared" si="6"/>
        <v>0</v>
      </c>
      <c r="U20" s="29">
        <f t="shared" si="6"/>
        <v>0</v>
      </c>
      <c r="V20" s="29">
        <f t="shared" si="6"/>
        <v>0</v>
      </c>
      <c r="W20" s="29">
        <f t="shared" si="6"/>
        <v>0</v>
      </c>
      <c r="X20" s="29">
        <f t="shared" si="6"/>
        <v>0</v>
      </c>
      <c r="Y20" s="29">
        <f t="shared" si="6"/>
        <v>0</v>
      </c>
      <c r="Z20" s="29">
        <f t="shared" si="6"/>
        <v>0</v>
      </c>
      <c r="AA20" s="29">
        <f t="shared" si="6"/>
        <v>0</v>
      </c>
      <c r="AB20" s="29">
        <f t="shared" si="6"/>
        <v>0</v>
      </c>
      <c r="AC20" s="29">
        <f t="shared" si="6"/>
        <v>0</v>
      </c>
      <c r="AD20" s="29">
        <f t="shared" si="6"/>
        <v>0</v>
      </c>
      <c r="AE20" s="29">
        <f t="shared" si="6"/>
        <v>0</v>
      </c>
      <c r="AF20" s="29">
        <f t="shared" si="6"/>
        <v>0</v>
      </c>
      <c r="AG20" s="29">
        <f t="shared" si="6"/>
        <v>0</v>
      </c>
      <c r="AH20" s="29">
        <f t="shared" si="6"/>
        <v>0</v>
      </c>
      <c r="AI20" s="29">
        <f t="shared" si="6"/>
        <v>0</v>
      </c>
      <c r="AJ20" s="29">
        <f t="shared" si="6"/>
        <v>0</v>
      </c>
      <c r="AK20" s="29">
        <f t="shared" si="6"/>
        <v>0</v>
      </c>
      <c r="AL20" s="29">
        <f t="shared" si="6"/>
        <v>0</v>
      </c>
      <c r="AM20" s="30">
        <f t="shared" si="6"/>
        <v>0</v>
      </c>
      <c r="AN20" s="6"/>
    </row>
    <row r="21" spans="1:40" x14ac:dyDescent="0.25">
      <c r="A21" s="55" t="s">
        <v>34</v>
      </c>
      <c r="B21" s="56"/>
      <c r="C21" s="238" t="s">
        <v>33</v>
      </c>
      <c r="D21" s="57" t="s">
        <v>35</v>
      </c>
      <c r="E21" s="58">
        <f>E20-E31</f>
        <v>0</v>
      </c>
      <c r="F21" s="59">
        <f>F20-F31</f>
        <v>0</v>
      </c>
      <c r="G21" s="60">
        <f t="shared" ref="G21:AM21" si="7">G20-G31</f>
        <v>0</v>
      </c>
      <c r="H21" s="61" t="str">
        <f t="shared" si="3"/>
        <v/>
      </c>
      <c r="I21" s="58">
        <f t="shared" si="7"/>
        <v>0</v>
      </c>
      <c r="J21" s="60">
        <f t="shared" si="7"/>
        <v>0</v>
      </c>
      <c r="K21" s="60">
        <f t="shared" si="7"/>
        <v>0</v>
      </c>
      <c r="L21" s="60">
        <f t="shared" si="7"/>
        <v>0</v>
      </c>
      <c r="M21" s="60">
        <f t="shared" si="7"/>
        <v>0</v>
      </c>
      <c r="N21" s="60">
        <f t="shared" si="7"/>
        <v>0</v>
      </c>
      <c r="O21" s="60">
        <f t="shared" si="7"/>
        <v>0</v>
      </c>
      <c r="P21" s="60">
        <f t="shared" si="7"/>
        <v>0</v>
      </c>
      <c r="Q21" s="60">
        <f t="shared" si="7"/>
        <v>0</v>
      </c>
      <c r="R21" s="60">
        <f t="shared" si="7"/>
        <v>0</v>
      </c>
      <c r="S21" s="60">
        <f t="shared" si="7"/>
        <v>0</v>
      </c>
      <c r="T21" s="60">
        <f t="shared" si="7"/>
        <v>0</v>
      </c>
      <c r="U21" s="60">
        <f t="shared" si="7"/>
        <v>0</v>
      </c>
      <c r="V21" s="60">
        <f t="shared" si="7"/>
        <v>0</v>
      </c>
      <c r="W21" s="60">
        <f t="shared" si="7"/>
        <v>0</v>
      </c>
      <c r="X21" s="60">
        <f t="shared" si="7"/>
        <v>0</v>
      </c>
      <c r="Y21" s="60">
        <f t="shared" si="7"/>
        <v>0</v>
      </c>
      <c r="Z21" s="60">
        <f t="shared" si="7"/>
        <v>0</v>
      </c>
      <c r="AA21" s="60">
        <f t="shared" si="7"/>
        <v>0</v>
      </c>
      <c r="AB21" s="60">
        <f t="shared" si="7"/>
        <v>0</v>
      </c>
      <c r="AC21" s="60">
        <f t="shared" si="7"/>
        <v>0</v>
      </c>
      <c r="AD21" s="60">
        <f t="shared" si="7"/>
        <v>0</v>
      </c>
      <c r="AE21" s="60">
        <f t="shared" si="7"/>
        <v>0</v>
      </c>
      <c r="AF21" s="60">
        <f t="shared" si="7"/>
        <v>0</v>
      </c>
      <c r="AG21" s="60">
        <f t="shared" si="7"/>
        <v>0</v>
      </c>
      <c r="AH21" s="60">
        <f t="shared" si="7"/>
        <v>0</v>
      </c>
      <c r="AI21" s="60">
        <f t="shared" si="7"/>
        <v>0</v>
      </c>
      <c r="AJ21" s="60">
        <f t="shared" si="7"/>
        <v>0</v>
      </c>
      <c r="AK21" s="60">
        <f t="shared" si="7"/>
        <v>0</v>
      </c>
      <c r="AL21" s="60">
        <f t="shared" si="7"/>
        <v>0</v>
      </c>
      <c r="AM21" s="62">
        <f t="shared" si="7"/>
        <v>0</v>
      </c>
      <c r="AN21" s="40"/>
    </row>
    <row r="22" spans="1:40" x14ac:dyDescent="0.25">
      <c r="A22" s="31" t="s">
        <v>36</v>
      </c>
      <c r="B22" s="32"/>
      <c r="C22" s="239" t="s">
        <v>33</v>
      </c>
      <c r="D22" s="63" t="s">
        <v>37</v>
      </c>
      <c r="E22" s="34"/>
      <c r="F22" s="35"/>
      <c r="G22" s="36">
        <f t="shared" ref="G22:G31" si="8">SUM(I22:AM22)</f>
        <v>0</v>
      </c>
      <c r="H22" s="37" t="str">
        <f t="shared" si="3"/>
        <v/>
      </c>
      <c r="I22" s="34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9"/>
      <c r="AN22" s="40"/>
    </row>
    <row r="23" spans="1:40" x14ac:dyDescent="0.25">
      <c r="A23" s="31" t="s">
        <v>38</v>
      </c>
      <c r="B23" s="32"/>
      <c r="C23" s="239" t="s">
        <v>33</v>
      </c>
      <c r="D23" s="63" t="s">
        <v>39</v>
      </c>
      <c r="E23" s="34"/>
      <c r="F23" s="35"/>
      <c r="G23" s="36">
        <f t="shared" si="8"/>
        <v>0</v>
      </c>
      <c r="H23" s="37" t="str">
        <f t="shared" si="3"/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9"/>
      <c r="AN23" s="40"/>
    </row>
    <row r="24" spans="1:40" x14ac:dyDescent="0.25">
      <c r="A24" s="31" t="s">
        <v>40</v>
      </c>
      <c r="B24" s="32"/>
      <c r="C24" s="239" t="s">
        <v>33</v>
      </c>
      <c r="D24" s="63" t="s">
        <v>41</v>
      </c>
      <c r="E24" s="34"/>
      <c r="F24" s="35"/>
      <c r="G24" s="36">
        <f t="shared" si="8"/>
        <v>0</v>
      </c>
      <c r="H24" s="37" t="str">
        <f t="shared" si="3"/>
        <v/>
      </c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9"/>
      <c r="AN24" s="40"/>
    </row>
    <row r="25" spans="1:40" x14ac:dyDescent="0.25">
      <c r="A25" s="31" t="s">
        <v>42</v>
      </c>
      <c r="B25" s="32"/>
      <c r="C25" s="239" t="s">
        <v>33</v>
      </c>
      <c r="D25" s="63" t="s">
        <v>43</v>
      </c>
      <c r="E25" s="34"/>
      <c r="F25" s="35"/>
      <c r="G25" s="36">
        <f t="shared" si="8"/>
        <v>0</v>
      </c>
      <c r="H25" s="37" t="str">
        <f t="shared" si="3"/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40"/>
    </row>
    <row r="26" spans="1:40" x14ac:dyDescent="0.25">
      <c r="A26" s="31" t="s">
        <v>44</v>
      </c>
      <c r="B26" s="32"/>
      <c r="C26" s="239" t="s">
        <v>33</v>
      </c>
      <c r="D26" s="63" t="s">
        <v>45</v>
      </c>
      <c r="E26" s="34"/>
      <c r="F26" s="35"/>
      <c r="G26" s="36">
        <f t="shared" si="8"/>
        <v>0</v>
      </c>
      <c r="H26" s="37" t="str">
        <f t="shared" si="3"/>
        <v/>
      </c>
      <c r="I26" s="34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9"/>
      <c r="AN26" s="40"/>
    </row>
    <row r="27" spans="1:40" x14ac:dyDescent="0.25">
      <c r="A27" s="31" t="s">
        <v>46</v>
      </c>
      <c r="B27" s="32"/>
      <c r="C27" s="239" t="s">
        <v>33</v>
      </c>
      <c r="D27" s="63" t="s">
        <v>47</v>
      </c>
      <c r="E27" s="34"/>
      <c r="F27" s="35"/>
      <c r="G27" s="36">
        <f t="shared" si="8"/>
        <v>0</v>
      </c>
      <c r="H27" s="37" t="str">
        <f t="shared" si="3"/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9"/>
      <c r="AN27" s="40"/>
    </row>
    <row r="28" spans="1:40" x14ac:dyDescent="0.25">
      <c r="A28" s="31" t="s">
        <v>48</v>
      </c>
      <c r="B28" s="32"/>
      <c r="C28" s="239" t="s">
        <v>33</v>
      </c>
      <c r="D28" s="63" t="s">
        <v>49</v>
      </c>
      <c r="E28" s="34"/>
      <c r="F28" s="35"/>
      <c r="G28" s="36">
        <f t="shared" si="8"/>
        <v>0</v>
      </c>
      <c r="H28" s="37" t="str">
        <f t="shared" si="3"/>
        <v/>
      </c>
      <c r="I28" s="34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9"/>
      <c r="AN28" s="40"/>
    </row>
    <row r="29" spans="1:40" x14ac:dyDescent="0.25">
      <c r="A29" s="31" t="s">
        <v>50</v>
      </c>
      <c r="B29" s="32"/>
      <c r="C29" s="239" t="s">
        <v>33</v>
      </c>
      <c r="D29" s="63" t="s">
        <v>51</v>
      </c>
      <c r="E29" s="34"/>
      <c r="F29" s="35"/>
      <c r="G29" s="36">
        <f t="shared" si="8"/>
        <v>0</v>
      </c>
      <c r="H29" s="37" t="str">
        <f t="shared" si="3"/>
        <v/>
      </c>
      <c r="I29" s="34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9"/>
      <c r="AN29" s="40"/>
    </row>
    <row r="30" spans="1:40" x14ac:dyDescent="0.25">
      <c r="A30" s="31" t="s">
        <v>52</v>
      </c>
      <c r="B30" s="32"/>
      <c r="C30" s="239" t="s">
        <v>33</v>
      </c>
      <c r="D30" s="63" t="s">
        <v>53</v>
      </c>
      <c r="E30" s="34"/>
      <c r="F30" s="35"/>
      <c r="G30" s="36">
        <f t="shared" si="8"/>
        <v>0</v>
      </c>
      <c r="H30" s="37" t="str">
        <f t="shared" si="3"/>
        <v/>
      </c>
      <c r="I30" s="34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9"/>
      <c r="AN30" s="40"/>
    </row>
    <row r="31" spans="1:40" ht="15.75" thickBot="1" x14ac:dyDescent="0.3">
      <c r="A31" s="41" t="s">
        <v>54</v>
      </c>
      <c r="B31" s="42"/>
      <c r="C31" s="240" t="s">
        <v>33</v>
      </c>
      <c r="D31" s="64" t="s">
        <v>55</v>
      </c>
      <c r="E31" s="44"/>
      <c r="F31" s="45"/>
      <c r="G31" s="46">
        <f t="shared" si="8"/>
        <v>0</v>
      </c>
      <c r="H31" s="47" t="str">
        <f t="shared" si="3"/>
        <v/>
      </c>
      <c r="I31" s="44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9"/>
      <c r="AN31" s="40"/>
    </row>
    <row r="32" spans="1:40" x14ac:dyDescent="0.25">
      <c r="A32" s="50">
        <v>3</v>
      </c>
      <c r="B32" s="51"/>
      <c r="C32" s="51" t="s">
        <v>56</v>
      </c>
      <c r="D32" s="52" t="s">
        <v>56</v>
      </c>
      <c r="E32" s="28">
        <f>SUM(E33:E39)</f>
        <v>0</v>
      </c>
      <c r="F32" s="53">
        <f>SUM(F33:F39)</f>
        <v>0</v>
      </c>
      <c r="G32" s="29">
        <f t="shared" ref="G32" si="9">SUM(G33:G39)</f>
        <v>0</v>
      </c>
      <c r="H32" s="54" t="str">
        <f t="shared" si="3"/>
        <v/>
      </c>
      <c r="I32" s="28">
        <f t="shared" ref="I32:AM32" si="10">SUM(I33:I39)</f>
        <v>0</v>
      </c>
      <c r="J32" s="29">
        <f t="shared" si="10"/>
        <v>0</v>
      </c>
      <c r="K32" s="29">
        <f t="shared" si="10"/>
        <v>0</v>
      </c>
      <c r="L32" s="29">
        <f t="shared" si="10"/>
        <v>0</v>
      </c>
      <c r="M32" s="29">
        <f t="shared" si="10"/>
        <v>0</v>
      </c>
      <c r="N32" s="29">
        <f t="shared" si="10"/>
        <v>0</v>
      </c>
      <c r="O32" s="29">
        <f t="shared" si="10"/>
        <v>0</v>
      </c>
      <c r="P32" s="29">
        <f t="shared" si="10"/>
        <v>0</v>
      </c>
      <c r="Q32" s="29">
        <f t="shared" si="10"/>
        <v>0</v>
      </c>
      <c r="R32" s="29">
        <f t="shared" si="10"/>
        <v>0</v>
      </c>
      <c r="S32" s="29">
        <f t="shared" si="10"/>
        <v>0</v>
      </c>
      <c r="T32" s="29">
        <f t="shared" si="10"/>
        <v>0</v>
      </c>
      <c r="U32" s="29">
        <f t="shared" si="10"/>
        <v>0</v>
      </c>
      <c r="V32" s="29">
        <f t="shared" si="10"/>
        <v>0</v>
      </c>
      <c r="W32" s="29">
        <f t="shared" si="10"/>
        <v>0</v>
      </c>
      <c r="X32" s="29">
        <f t="shared" si="10"/>
        <v>0</v>
      </c>
      <c r="Y32" s="29">
        <f t="shared" si="10"/>
        <v>0</v>
      </c>
      <c r="Z32" s="29">
        <f t="shared" si="10"/>
        <v>0</v>
      </c>
      <c r="AA32" s="29">
        <f t="shared" si="10"/>
        <v>0</v>
      </c>
      <c r="AB32" s="29">
        <f t="shared" si="10"/>
        <v>0</v>
      </c>
      <c r="AC32" s="29">
        <f t="shared" si="10"/>
        <v>0</v>
      </c>
      <c r="AD32" s="29">
        <f t="shared" si="10"/>
        <v>0</v>
      </c>
      <c r="AE32" s="29">
        <f t="shared" si="10"/>
        <v>0</v>
      </c>
      <c r="AF32" s="29">
        <f t="shared" si="10"/>
        <v>0</v>
      </c>
      <c r="AG32" s="29">
        <f t="shared" si="10"/>
        <v>0</v>
      </c>
      <c r="AH32" s="29">
        <f t="shared" si="10"/>
        <v>0</v>
      </c>
      <c r="AI32" s="29">
        <f t="shared" si="10"/>
        <v>0</v>
      </c>
      <c r="AJ32" s="29">
        <f t="shared" si="10"/>
        <v>0</v>
      </c>
      <c r="AK32" s="29">
        <f t="shared" si="10"/>
        <v>0</v>
      </c>
      <c r="AL32" s="29">
        <f t="shared" si="10"/>
        <v>0</v>
      </c>
      <c r="AM32" s="30">
        <f t="shared" si="10"/>
        <v>0</v>
      </c>
      <c r="AN32" s="6"/>
    </row>
    <row r="33" spans="1:40" x14ac:dyDescent="0.25">
      <c r="A33" s="31" t="s">
        <v>57</v>
      </c>
      <c r="B33" s="32"/>
      <c r="C33" s="32" t="s">
        <v>56</v>
      </c>
      <c r="D33" s="33" t="s">
        <v>58</v>
      </c>
      <c r="E33" s="34"/>
      <c r="F33" s="35"/>
      <c r="G33" s="36">
        <f t="shared" ref="G33:G39" si="11">SUM(I33:AM33)</f>
        <v>0</v>
      </c>
      <c r="H33" s="37" t="str">
        <f t="shared" si="3"/>
        <v/>
      </c>
      <c r="I33" s="34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9"/>
      <c r="AN33" s="40"/>
    </row>
    <row r="34" spans="1:40" x14ac:dyDescent="0.25">
      <c r="A34" s="31" t="s">
        <v>59</v>
      </c>
      <c r="B34" s="32"/>
      <c r="C34" s="32" t="s">
        <v>56</v>
      </c>
      <c r="D34" s="33" t="s">
        <v>60</v>
      </c>
      <c r="E34" s="34"/>
      <c r="F34" s="35"/>
      <c r="G34" s="36">
        <f t="shared" si="11"/>
        <v>0</v>
      </c>
      <c r="H34" s="37" t="str">
        <f t="shared" si="3"/>
        <v/>
      </c>
      <c r="I34" s="34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9"/>
      <c r="AN34" s="40"/>
    </row>
    <row r="35" spans="1:40" x14ac:dyDescent="0.25">
      <c r="A35" s="31" t="s">
        <v>61</v>
      </c>
      <c r="B35" s="32"/>
      <c r="C35" s="32" t="s">
        <v>56</v>
      </c>
      <c r="D35" s="33" t="s">
        <v>62</v>
      </c>
      <c r="E35" s="34"/>
      <c r="F35" s="35"/>
      <c r="G35" s="36">
        <f t="shared" si="11"/>
        <v>0</v>
      </c>
      <c r="H35" s="37" t="str">
        <f t="shared" si="3"/>
        <v/>
      </c>
      <c r="I35" s="3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9"/>
      <c r="AN35" s="40"/>
    </row>
    <row r="36" spans="1:40" x14ac:dyDescent="0.25">
      <c r="A36" s="31" t="s">
        <v>63</v>
      </c>
      <c r="B36" s="32"/>
      <c r="C36" s="32" t="s">
        <v>56</v>
      </c>
      <c r="D36" s="33" t="s">
        <v>64</v>
      </c>
      <c r="E36" s="34"/>
      <c r="F36" s="35"/>
      <c r="G36" s="36">
        <f t="shared" si="11"/>
        <v>0</v>
      </c>
      <c r="H36" s="37" t="str">
        <f t="shared" si="3"/>
        <v/>
      </c>
      <c r="I36" s="34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9"/>
      <c r="AN36" s="40"/>
    </row>
    <row r="37" spans="1:40" x14ac:dyDescent="0.25">
      <c r="A37" s="31" t="s">
        <v>65</v>
      </c>
      <c r="B37" s="32"/>
      <c r="C37" s="32" t="s">
        <v>56</v>
      </c>
      <c r="D37" s="33" t="s">
        <v>66</v>
      </c>
      <c r="E37" s="34"/>
      <c r="F37" s="35"/>
      <c r="G37" s="36">
        <f t="shared" si="11"/>
        <v>0</v>
      </c>
      <c r="H37" s="37" t="str">
        <f t="shared" si="3"/>
        <v/>
      </c>
      <c r="I37" s="34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9"/>
      <c r="AN37" s="40"/>
    </row>
    <row r="38" spans="1:40" x14ac:dyDescent="0.25">
      <c r="A38" s="31" t="s">
        <v>67</v>
      </c>
      <c r="B38" s="32"/>
      <c r="C38" s="32" t="s">
        <v>56</v>
      </c>
      <c r="D38" s="33" t="s">
        <v>68</v>
      </c>
      <c r="E38" s="34"/>
      <c r="F38" s="35"/>
      <c r="G38" s="36">
        <f t="shared" si="11"/>
        <v>0</v>
      </c>
      <c r="H38" s="37" t="str">
        <f t="shared" si="3"/>
        <v/>
      </c>
      <c r="I38" s="34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9"/>
      <c r="AN38" s="40"/>
    </row>
    <row r="39" spans="1:40" ht="15.75" thickBot="1" x14ac:dyDescent="0.3">
      <c r="A39" s="41" t="s">
        <v>69</v>
      </c>
      <c r="B39" s="42"/>
      <c r="C39" s="42" t="s">
        <v>56</v>
      </c>
      <c r="D39" s="43" t="s">
        <v>70</v>
      </c>
      <c r="E39" s="44"/>
      <c r="F39" s="45"/>
      <c r="G39" s="46">
        <f t="shared" si="11"/>
        <v>0</v>
      </c>
      <c r="H39" s="47" t="str">
        <f t="shared" si="3"/>
        <v/>
      </c>
      <c r="I39" s="44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9"/>
      <c r="AN39" s="40"/>
    </row>
    <row r="40" spans="1:40" x14ac:dyDescent="0.25">
      <c r="A40" s="50">
        <v>4</v>
      </c>
      <c r="B40" s="51"/>
      <c r="C40" s="237" t="s">
        <v>71</v>
      </c>
      <c r="D40" s="52" t="s">
        <v>71</v>
      </c>
      <c r="E40" s="28">
        <f>SUM(E41:E47)</f>
        <v>0</v>
      </c>
      <c r="F40" s="53">
        <f>SUM(F41:F47)</f>
        <v>0</v>
      </c>
      <c r="G40" s="29">
        <f t="shared" ref="G40" si="12">SUM(G41:G47)</f>
        <v>0</v>
      </c>
      <c r="H40" s="54" t="str">
        <f t="shared" si="3"/>
        <v/>
      </c>
      <c r="I40" s="28">
        <f t="shared" ref="I40:AM40" si="13">SUM(I41:I47)</f>
        <v>0</v>
      </c>
      <c r="J40" s="29">
        <f t="shared" si="13"/>
        <v>0</v>
      </c>
      <c r="K40" s="29">
        <f t="shared" si="13"/>
        <v>0</v>
      </c>
      <c r="L40" s="29">
        <f t="shared" si="13"/>
        <v>0</v>
      </c>
      <c r="M40" s="29">
        <f t="shared" si="13"/>
        <v>0</v>
      </c>
      <c r="N40" s="29">
        <f t="shared" si="13"/>
        <v>0</v>
      </c>
      <c r="O40" s="29">
        <f t="shared" si="13"/>
        <v>0</v>
      </c>
      <c r="P40" s="29">
        <f t="shared" si="13"/>
        <v>0</v>
      </c>
      <c r="Q40" s="29">
        <f t="shared" si="13"/>
        <v>0</v>
      </c>
      <c r="R40" s="29">
        <f t="shared" si="13"/>
        <v>0</v>
      </c>
      <c r="S40" s="29">
        <f t="shared" si="13"/>
        <v>0</v>
      </c>
      <c r="T40" s="29">
        <f t="shared" si="13"/>
        <v>0</v>
      </c>
      <c r="U40" s="29">
        <f t="shared" si="13"/>
        <v>0</v>
      </c>
      <c r="V40" s="29">
        <f t="shared" si="13"/>
        <v>0</v>
      </c>
      <c r="W40" s="29">
        <f t="shared" si="13"/>
        <v>0</v>
      </c>
      <c r="X40" s="29">
        <f t="shared" si="13"/>
        <v>0</v>
      </c>
      <c r="Y40" s="29">
        <f t="shared" si="13"/>
        <v>0</v>
      </c>
      <c r="Z40" s="29">
        <f t="shared" si="13"/>
        <v>0</v>
      </c>
      <c r="AA40" s="29">
        <f t="shared" si="13"/>
        <v>0</v>
      </c>
      <c r="AB40" s="29">
        <f t="shared" si="13"/>
        <v>0</v>
      </c>
      <c r="AC40" s="29">
        <f t="shared" si="13"/>
        <v>0</v>
      </c>
      <c r="AD40" s="29">
        <f t="shared" si="13"/>
        <v>0</v>
      </c>
      <c r="AE40" s="29">
        <f t="shared" si="13"/>
        <v>0</v>
      </c>
      <c r="AF40" s="29">
        <f t="shared" si="13"/>
        <v>0</v>
      </c>
      <c r="AG40" s="29">
        <f t="shared" si="13"/>
        <v>0</v>
      </c>
      <c r="AH40" s="29">
        <f t="shared" si="13"/>
        <v>0</v>
      </c>
      <c r="AI40" s="29">
        <f t="shared" si="13"/>
        <v>0</v>
      </c>
      <c r="AJ40" s="29">
        <f t="shared" si="13"/>
        <v>0</v>
      </c>
      <c r="AK40" s="29">
        <f t="shared" si="13"/>
        <v>0</v>
      </c>
      <c r="AL40" s="29">
        <f t="shared" si="13"/>
        <v>0</v>
      </c>
      <c r="AM40" s="30">
        <f t="shared" si="13"/>
        <v>0</v>
      </c>
      <c r="AN40" s="6"/>
    </row>
    <row r="41" spans="1:40" x14ac:dyDescent="0.25">
      <c r="A41" s="31" t="s">
        <v>72</v>
      </c>
      <c r="B41" s="32"/>
      <c r="C41" s="239" t="s">
        <v>71</v>
      </c>
      <c r="D41" s="33" t="s">
        <v>73</v>
      </c>
      <c r="E41" s="34"/>
      <c r="F41" s="35"/>
      <c r="G41" s="36">
        <f t="shared" ref="G41:G47" si="14">SUM(I41:AM41)</f>
        <v>0</v>
      </c>
      <c r="H41" s="37" t="str">
        <f t="shared" si="3"/>
        <v/>
      </c>
      <c r="I41" s="34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9"/>
      <c r="AN41" s="40"/>
    </row>
    <row r="42" spans="1:40" x14ac:dyDescent="0.25">
      <c r="A42" s="31" t="s">
        <v>74</v>
      </c>
      <c r="B42" s="32"/>
      <c r="C42" s="239" t="s">
        <v>71</v>
      </c>
      <c r="D42" s="33" t="s">
        <v>75</v>
      </c>
      <c r="E42" s="34"/>
      <c r="F42" s="35"/>
      <c r="G42" s="36">
        <f t="shared" si="14"/>
        <v>0</v>
      </c>
      <c r="H42" s="37" t="str">
        <f t="shared" si="3"/>
        <v/>
      </c>
      <c r="I42" s="3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9"/>
      <c r="AN42" s="40"/>
    </row>
    <row r="43" spans="1:40" x14ac:dyDescent="0.25">
      <c r="A43" s="31" t="s">
        <v>76</v>
      </c>
      <c r="B43" s="32"/>
      <c r="C43" s="239" t="s">
        <v>71</v>
      </c>
      <c r="D43" s="33" t="s">
        <v>77</v>
      </c>
      <c r="E43" s="34"/>
      <c r="F43" s="35"/>
      <c r="G43" s="36">
        <f t="shared" si="14"/>
        <v>0</v>
      </c>
      <c r="H43" s="37" t="str">
        <f t="shared" si="3"/>
        <v/>
      </c>
      <c r="I43" s="34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9"/>
      <c r="AN43" s="40"/>
    </row>
    <row r="44" spans="1:40" x14ac:dyDescent="0.25">
      <c r="A44" s="31" t="s">
        <v>78</v>
      </c>
      <c r="B44" s="32"/>
      <c r="C44" s="239" t="s">
        <v>71</v>
      </c>
      <c r="D44" s="33" t="s">
        <v>79</v>
      </c>
      <c r="E44" s="34"/>
      <c r="F44" s="35"/>
      <c r="G44" s="36">
        <f t="shared" si="14"/>
        <v>0</v>
      </c>
      <c r="H44" s="37" t="str">
        <f t="shared" si="3"/>
        <v/>
      </c>
      <c r="I44" s="3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9"/>
      <c r="AN44" s="40"/>
    </row>
    <row r="45" spans="1:40" x14ac:dyDescent="0.25">
      <c r="A45" s="31" t="s">
        <v>80</v>
      </c>
      <c r="B45" s="32"/>
      <c r="C45" s="239" t="s">
        <v>71</v>
      </c>
      <c r="D45" s="33" t="s">
        <v>81</v>
      </c>
      <c r="E45" s="34"/>
      <c r="F45" s="35"/>
      <c r="G45" s="36">
        <f t="shared" si="14"/>
        <v>0</v>
      </c>
      <c r="H45" s="37" t="str">
        <f t="shared" si="3"/>
        <v/>
      </c>
      <c r="I45" s="34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40"/>
    </row>
    <row r="46" spans="1:40" x14ac:dyDescent="0.25">
      <c r="A46" s="31" t="s">
        <v>82</v>
      </c>
      <c r="B46" s="32"/>
      <c r="C46" s="239" t="s">
        <v>71</v>
      </c>
      <c r="D46" s="33" t="s">
        <v>83</v>
      </c>
      <c r="E46" s="34"/>
      <c r="F46" s="35"/>
      <c r="G46" s="36">
        <f t="shared" si="14"/>
        <v>0</v>
      </c>
      <c r="H46" s="37" t="str">
        <f t="shared" si="3"/>
        <v/>
      </c>
      <c r="I46" s="34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40"/>
    </row>
    <row r="47" spans="1:40" ht="15.75" thickBot="1" x14ac:dyDescent="0.3">
      <c r="A47" s="41" t="s">
        <v>84</v>
      </c>
      <c r="B47" s="42"/>
      <c r="C47" s="240" t="s">
        <v>71</v>
      </c>
      <c r="D47" s="43" t="s">
        <v>85</v>
      </c>
      <c r="E47" s="44"/>
      <c r="F47" s="45"/>
      <c r="G47" s="46">
        <f t="shared" si="14"/>
        <v>0</v>
      </c>
      <c r="H47" s="47" t="str">
        <f t="shared" si="3"/>
        <v/>
      </c>
      <c r="I47" s="44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9"/>
      <c r="AN47" s="40"/>
    </row>
    <row r="48" spans="1:40" x14ac:dyDescent="0.25">
      <c r="A48" s="50">
        <v>5</v>
      </c>
      <c r="B48" s="51"/>
      <c r="C48" s="237" t="s">
        <v>86</v>
      </c>
      <c r="D48" s="52" t="s">
        <v>86</v>
      </c>
      <c r="E48" s="28">
        <f>SUM(E50:E58)</f>
        <v>0</v>
      </c>
      <c r="F48" s="53">
        <f>SUM(F50:F58)</f>
        <v>0</v>
      </c>
      <c r="G48" s="29">
        <f t="shared" ref="G48" si="15">SUM(G50:G58)</f>
        <v>0</v>
      </c>
      <c r="H48" s="54" t="str">
        <f t="shared" si="3"/>
        <v/>
      </c>
      <c r="I48" s="28">
        <f t="shared" ref="I48:AM48" si="16">SUM(I50:I58)</f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0</v>
      </c>
      <c r="P48" s="29">
        <f t="shared" si="16"/>
        <v>0</v>
      </c>
      <c r="Q48" s="29">
        <f t="shared" si="16"/>
        <v>0</v>
      </c>
      <c r="R48" s="29">
        <f t="shared" si="16"/>
        <v>0</v>
      </c>
      <c r="S48" s="29">
        <f t="shared" si="16"/>
        <v>0</v>
      </c>
      <c r="T48" s="29">
        <f t="shared" si="16"/>
        <v>0</v>
      </c>
      <c r="U48" s="29">
        <f t="shared" si="16"/>
        <v>0</v>
      </c>
      <c r="V48" s="29">
        <f t="shared" si="16"/>
        <v>0</v>
      </c>
      <c r="W48" s="29">
        <f t="shared" si="16"/>
        <v>0</v>
      </c>
      <c r="X48" s="29">
        <f t="shared" si="16"/>
        <v>0</v>
      </c>
      <c r="Y48" s="29">
        <f t="shared" si="16"/>
        <v>0</v>
      </c>
      <c r="Z48" s="29">
        <f t="shared" si="16"/>
        <v>0</v>
      </c>
      <c r="AA48" s="29">
        <f t="shared" si="16"/>
        <v>0</v>
      </c>
      <c r="AB48" s="29">
        <f t="shared" si="16"/>
        <v>0</v>
      </c>
      <c r="AC48" s="29">
        <f t="shared" si="16"/>
        <v>0</v>
      </c>
      <c r="AD48" s="29">
        <f t="shared" si="16"/>
        <v>0</v>
      </c>
      <c r="AE48" s="29">
        <f t="shared" si="16"/>
        <v>0</v>
      </c>
      <c r="AF48" s="29">
        <f t="shared" si="16"/>
        <v>0</v>
      </c>
      <c r="AG48" s="29">
        <f t="shared" si="16"/>
        <v>0</v>
      </c>
      <c r="AH48" s="29">
        <f t="shared" si="16"/>
        <v>0</v>
      </c>
      <c r="AI48" s="29">
        <f t="shared" si="16"/>
        <v>0</v>
      </c>
      <c r="AJ48" s="29">
        <f t="shared" si="16"/>
        <v>0</v>
      </c>
      <c r="AK48" s="29">
        <f t="shared" si="16"/>
        <v>0</v>
      </c>
      <c r="AL48" s="29">
        <f t="shared" si="16"/>
        <v>0</v>
      </c>
      <c r="AM48" s="30">
        <f t="shared" si="16"/>
        <v>0</v>
      </c>
      <c r="AN48" s="6"/>
    </row>
    <row r="49" spans="1:40" x14ac:dyDescent="0.25">
      <c r="A49" s="65" t="s">
        <v>87</v>
      </c>
      <c r="B49" s="66"/>
      <c r="C49" s="241" t="s">
        <v>86</v>
      </c>
      <c r="D49" s="57" t="s">
        <v>88</v>
      </c>
      <c r="E49" s="58">
        <f>E48-E58</f>
        <v>0</v>
      </c>
      <c r="F49" s="59">
        <f>F48-F58</f>
        <v>0</v>
      </c>
      <c r="G49" s="60">
        <f t="shared" ref="G49:AM49" si="17">G48-G58</f>
        <v>0</v>
      </c>
      <c r="H49" s="61" t="str">
        <f t="shared" si="3"/>
        <v/>
      </c>
      <c r="I49" s="58">
        <f t="shared" si="17"/>
        <v>0</v>
      </c>
      <c r="J49" s="60">
        <f t="shared" si="17"/>
        <v>0</v>
      </c>
      <c r="K49" s="60">
        <f t="shared" si="17"/>
        <v>0</v>
      </c>
      <c r="L49" s="60">
        <f t="shared" si="17"/>
        <v>0</v>
      </c>
      <c r="M49" s="60">
        <f t="shared" si="17"/>
        <v>0</v>
      </c>
      <c r="N49" s="60">
        <f t="shared" si="17"/>
        <v>0</v>
      </c>
      <c r="O49" s="60">
        <f t="shared" si="17"/>
        <v>0</v>
      </c>
      <c r="P49" s="60">
        <f t="shared" si="17"/>
        <v>0</v>
      </c>
      <c r="Q49" s="60">
        <f t="shared" si="17"/>
        <v>0</v>
      </c>
      <c r="R49" s="60">
        <f t="shared" si="17"/>
        <v>0</v>
      </c>
      <c r="S49" s="60">
        <f t="shared" si="17"/>
        <v>0</v>
      </c>
      <c r="T49" s="60">
        <f t="shared" si="17"/>
        <v>0</v>
      </c>
      <c r="U49" s="60">
        <f t="shared" si="17"/>
        <v>0</v>
      </c>
      <c r="V49" s="60">
        <f t="shared" si="17"/>
        <v>0</v>
      </c>
      <c r="W49" s="60">
        <f t="shared" si="17"/>
        <v>0</v>
      </c>
      <c r="X49" s="60">
        <f t="shared" si="17"/>
        <v>0</v>
      </c>
      <c r="Y49" s="60">
        <f t="shared" si="17"/>
        <v>0</v>
      </c>
      <c r="Z49" s="60">
        <f t="shared" si="17"/>
        <v>0</v>
      </c>
      <c r="AA49" s="60">
        <f t="shared" si="17"/>
        <v>0</v>
      </c>
      <c r="AB49" s="60">
        <f t="shared" si="17"/>
        <v>0</v>
      </c>
      <c r="AC49" s="60">
        <f t="shared" si="17"/>
        <v>0</v>
      </c>
      <c r="AD49" s="60">
        <f t="shared" si="17"/>
        <v>0</v>
      </c>
      <c r="AE49" s="60">
        <f t="shared" si="17"/>
        <v>0</v>
      </c>
      <c r="AF49" s="60">
        <f t="shared" si="17"/>
        <v>0</v>
      </c>
      <c r="AG49" s="60">
        <f t="shared" si="17"/>
        <v>0</v>
      </c>
      <c r="AH49" s="60">
        <f t="shared" si="17"/>
        <v>0</v>
      </c>
      <c r="AI49" s="60">
        <f t="shared" si="17"/>
        <v>0</v>
      </c>
      <c r="AJ49" s="60">
        <f t="shared" si="17"/>
        <v>0</v>
      </c>
      <c r="AK49" s="60">
        <f t="shared" si="17"/>
        <v>0</v>
      </c>
      <c r="AL49" s="60">
        <f t="shared" si="17"/>
        <v>0</v>
      </c>
      <c r="AM49" s="62">
        <f t="shared" si="17"/>
        <v>0</v>
      </c>
      <c r="AN49" s="40"/>
    </row>
    <row r="50" spans="1:40" x14ac:dyDescent="0.25">
      <c r="A50" s="31" t="s">
        <v>89</v>
      </c>
      <c r="B50" s="32"/>
      <c r="C50" s="239" t="s">
        <v>86</v>
      </c>
      <c r="D50" s="63" t="s">
        <v>90</v>
      </c>
      <c r="E50" s="34"/>
      <c r="F50" s="35"/>
      <c r="G50" s="36">
        <f t="shared" ref="G50:G58" si="18">SUM(I50:AM50)</f>
        <v>0</v>
      </c>
      <c r="H50" s="37" t="str">
        <f t="shared" si="3"/>
        <v/>
      </c>
      <c r="I50" s="34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9"/>
      <c r="AN50" s="40"/>
    </row>
    <row r="51" spans="1:40" x14ac:dyDescent="0.25">
      <c r="A51" s="31" t="s">
        <v>91</v>
      </c>
      <c r="B51" s="32"/>
      <c r="C51" s="239" t="s">
        <v>86</v>
      </c>
      <c r="D51" s="63" t="s">
        <v>92</v>
      </c>
      <c r="E51" s="34"/>
      <c r="F51" s="35"/>
      <c r="G51" s="36">
        <f t="shared" si="18"/>
        <v>0</v>
      </c>
      <c r="H51" s="37" t="str">
        <f t="shared" si="3"/>
        <v/>
      </c>
      <c r="I51" s="3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9"/>
      <c r="AN51" s="40"/>
    </row>
    <row r="52" spans="1:40" x14ac:dyDescent="0.25">
      <c r="A52" s="31" t="s">
        <v>93</v>
      </c>
      <c r="B52" s="32"/>
      <c r="C52" s="239" t="s">
        <v>86</v>
      </c>
      <c r="D52" s="63" t="s">
        <v>94</v>
      </c>
      <c r="E52" s="34"/>
      <c r="F52" s="35"/>
      <c r="G52" s="36">
        <f t="shared" si="18"/>
        <v>0</v>
      </c>
      <c r="H52" s="37" t="str">
        <f t="shared" si="3"/>
        <v/>
      </c>
      <c r="I52" s="34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9"/>
      <c r="AN52" s="40"/>
    </row>
    <row r="53" spans="1:40" x14ac:dyDescent="0.25">
      <c r="A53" s="31" t="s">
        <v>95</v>
      </c>
      <c r="B53" s="32"/>
      <c r="C53" s="239" t="s">
        <v>86</v>
      </c>
      <c r="D53" s="63" t="s">
        <v>96</v>
      </c>
      <c r="E53" s="34"/>
      <c r="F53" s="35"/>
      <c r="G53" s="36">
        <f t="shared" si="18"/>
        <v>0</v>
      </c>
      <c r="H53" s="37" t="str">
        <f t="shared" si="3"/>
        <v/>
      </c>
      <c r="I53" s="3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9"/>
      <c r="AN53" s="40"/>
    </row>
    <row r="54" spans="1:40" x14ac:dyDescent="0.25">
      <c r="A54" s="31" t="s">
        <v>97</v>
      </c>
      <c r="B54" s="32"/>
      <c r="C54" s="239" t="s">
        <v>86</v>
      </c>
      <c r="D54" s="63" t="s">
        <v>98</v>
      </c>
      <c r="E54" s="34"/>
      <c r="F54" s="35"/>
      <c r="G54" s="36">
        <f t="shared" si="18"/>
        <v>0</v>
      </c>
      <c r="H54" s="37" t="str">
        <f t="shared" si="3"/>
        <v/>
      </c>
      <c r="I54" s="34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9"/>
      <c r="AN54" s="40"/>
    </row>
    <row r="55" spans="1:40" x14ac:dyDescent="0.25">
      <c r="A55" s="31" t="s">
        <v>99</v>
      </c>
      <c r="B55" s="32"/>
      <c r="C55" s="239" t="s">
        <v>86</v>
      </c>
      <c r="D55" s="63" t="s">
        <v>100</v>
      </c>
      <c r="E55" s="34"/>
      <c r="F55" s="35"/>
      <c r="G55" s="36">
        <f t="shared" si="18"/>
        <v>0</v>
      </c>
      <c r="H55" s="37" t="str">
        <f t="shared" si="3"/>
        <v/>
      </c>
      <c r="I55" s="34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9"/>
      <c r="AN55" s="40"/>
    </row>
    <row r="56" spans="1:40" x14ac:dyDescent="0.25">
      <c r="A56" s="31" t="s">
        <v>101</v>
      </c>
      <c r="B56" s="32"/>
      <c r="C56" s="239" t="s">
        <v>86</v>
      </c>
      <c r="D56" s="63" t="s">
        <v>102</v>
      </c>
      <c r="E56" s="34"/>
      <c r="F56" s="35"/>
      <c r="G56" s="36">
        <f t="shared" si="18"/>
        <v>0</v>
      </c>
      <c r="H56" s="37" t="str">
        <f t="shared" si="3"/>
        <v/>
      </c>
      <c r="I56" s="3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9"/>
      <c r="AN56" s="40"/>
    </row>
    <row r="57" spans="1:40" x14ac:dyDescent="0.25">
      <c r="A57" s="31" t="s">
        <v>103</v>
      </c>
      <c r="B57" s="32"/>
      <c r="C57" s="239" t="s">
        <v>86</v>
      </c>
      <c r="D57" s="63" t="s">
        <v>104</v>
      </c>
      <c r="E57" s="34"/>
      <c r="F57" s="35"/>
      <c r="G57" s="36">
        <f t="shared" si="18"/>
        <v>0</v>
      </c>
      <c r="H57" s="37" t="str">
        <f t="shared" si="3"/>
        <v/>
      </c>
      <c r="I57" s="34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9"/>
      <c r="AN57" s="40"/>
    </row>
    <row r="58" spans="1:40" ht="15.75" thickBot="1" x14ac:dyDescent="0.3">
      <c r="A58" s="41" t="s">
        <v>105</v>
      </c>
      <c r="B58" s="42"/>
      <c r="C58" s="240" t="s">
        <v>86</v>
      </c>
      <c r="D58" s="64" t="s">
        <v>106</v>
      </c>
      <c r="E58" s="44"/>
      <c r="F58" s="45"/>
      <c r="G58" s="46">
        <f t="shared" si="18"/>
        <v>0</v>
      </c>
      <c r="H58" s="47" t="str">
        <f t="shared" si="3"/>
        <v/>
      </c>
      <c r="I58" s="44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40"/>
    </row>
    <row r="59" spans="1:40" ht="15.75" thickBot="1" x14ac:dyDescent="0.3">
      <c r="A59" s="67">
        <v>6</v>
      </c>
      <c r="B59" s="68"/>
      <c r="C59" s="68" t="s">
        <v>107</v>
      </c>
      <c r="D59" s="69" t="s">
        <v>107</v>
      </c>
      <c r="E59" s="70"/>
      <c r="F59" s="71"/>
      <c r="G59" s="72">
        <f>SUM(I59:AM59)</f>
        <v>0</v>
      </c>
      <c r="H59" s="73" t="str">
        <f t="shared" si="3"/>
        <v/>
      </c>
      <c r="I59" s="70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5"/>
      <c r="AN59" s="6"/>
    </row>
    <row r="60" spans="1:40" x14ac:dyDescent="0.25">
      <c r="A60" s="50">
        <v>7</v>
      </c>
      <c r="B60" s="51"/>
      <c r="C60" s="237" t="s">
        <v>108</v>
      </c>
      <c r="D60" s="52" t="s">
        <v>108</v>
      </c>
      <c r="E60" s="28">
        <f>SUM(E62:E65)</f>
        <v>0</v>
      </c>
      <c r="F60" s="53">
        <f>SUM(F62:F65)</f>
        <v>0</v>
      </c>
      <c r="G60" s="29">
        <f t="shared" ref="G60" si="19">SUM(G62:G65)</f>
        <v>0</v>
      </c>
      <c r="H60" s="54" t="str">
        <f t="shared" si="3"/>
        <v/>
      </c>
      <c r="I60" s="28">
        <f t="shared" ref="I60:AM60" si="20">SUM(I62:I65)</f>
        <v>0</v>
      </c>
      <c r="J60" s="29">
        <f t="shared" si="20"/>
        <v>0</v>
      </c>
      <c r="K60" s="29">
        <f t="shared" si="20"/>
        <v>0</v>
      </c>
      <c r="L60" s="29">
        <f t="shared" si="20"/>
        <v>0</v>
      </c>
      <c r="M60" s="29">
        <f t="shared" si="20"/>
        <v>0</v>
      </c>
      <c r="N60" s="29">
        <f t="shared" si="20"/>
        <v>0</v>
      </c>
      <c r="O60" s="29">
        <f t="shared" si="20"/>
        <v>0</v>
      </c>
      <c r="P60" s="29">
        <f t="shared" si="20"/>
        <v>0</v>
      </c>
      <c r="Q60" s="29">
        <f t="shared" si="20"/>
        <v>0</v>
      </c>
      <c r="R60" s="29">
        <f t="shared" si="20"/>
        <v>0</v>
      </c>
      <c r="S60" s="29">
        <f t="shared" si="20"/>
        <v>0</v>
      </c>
      <c r="T60" s="29">
        <f t="shared" si="20"/>
        <v>0</v>
      </c>
      <c r="U60" s="29">
        <f t="shared" si="20"/>
        <v>0</v>
      </c>
      <c r="V60" s="29">
        <f t="shared" si="20"/>
        <v>0</v>
      </c>
      <c r="W60" s="29">
        <f t="shared" si="20"/>
        <v>0</v>
      </c>
      <c r="X60" s="29">
        <f t="shared" si="20"/>
        <v>0</v>
      </c>
      <c r="Y60" s="29">
        <f t="shared" si="20"/>
        <v>0</v>
      </c>
      <c r="Z60" s="29">
        <f t="shared" si="20"/>
        <v>0</v>
      </c>
      <c r="AA60" s="29">
        <f t="shared" si="20"/>
        <v>0</v>
      </c>
      <c r="AB60" s="29">
        <f t="shared" si="20"/>
        <v>0</v>
      </c>
      <c r="AC60" s="29">
        <f t="shared" si="20"/>
        <v>0</v>
      </c>
      <c r="AD60" s="29">
        <f t="shared" si="20"/>
        <v>0</v>
      </c>
      <c r="AE60" s="29">
        <f t="shared" si="20"/>
        <v>0</v>
      </c>
      <c r="AF60" s="29">
        <f t="shared" si="20"/>
        <v>0</v>
      </c>
      <c r="AG60" s="29">
        <f t="shared" si="20"/>
        <v>0</v>
      </c>
      <c r="AH60" s="29">
        <f t="shared" si="20"/>
        <v>0</v>
      </c>
      <c r="AI60" s="29">
        <f t="shared" si="20"/>
        <v>0</v>
      </c>
      <c r="AJ60" s="29">
        <f t="shared" si="20"/>
        <v>0</v>
      </c>
      <c r="AK60" s="29">
        <f t="shared" si="20"/>
        <v>0</v>
      </c>
      <c r="AL60" s="29">
        <f t="shared" si="20"/>
        <v>0</v>
      </c>
      <c r="AM60" s="30">
        <f t="shared" si="20"/>
        <v>0</v>
      </c>
      <c r="AN60" s="6"/>
    </row>
    <row r="61" spans="1:40" x14ac:dyDescent="0.25">
      <c r="A61" s="55" t="s">
        <v>109</v>
      </c>
      <c r="B61" s="56"/>
      <c r="C61" s="238" t="s">
        <v>108</v>
      </c>
      <c r="D61" s="57" t="s">
        <v>110</v>
      </c>
      <c r="E61" s="58">
        <f>E60-E65</f>
        <v>0</v>
      </c>
      <c r="F61" s="59">
        <f>F60-F65</f>
        <v>0</v>
      </c>
      <c r="G61" s="60">
        <f t="shared" ref="G61:AM61" si="21">G60-G65</f>
        <v>0</v>
      </c>
      <c r="H61" s="61" t="str">
        <f t="shared" si="3"/>
        <v/>
      </c>
      <c r="I61" s="58">
        <f t="shared" si="21"/>
        <v>0</v>
      </c>
      <c r="J61" s="60">
        <f t="shared" si="21"/>
        <v>0</v>
      </c>
      <c r="K61" s="60">
        <f t="shared" si="21"/>
        <v>0</v>
      </c>
      <c r="L61" s="60">
        <f t="shared" si="21"/>
        <v>0</v>
      </c>
      <c r="M61" s="60">
        <f t="shared" si="21"/>
        <v>0</v>
      </c>
      <c r="N61" s="60">
        <f t="shared" si="21"/>
        <v>0</v>
      </c>
      <c r="O61" s="60">
        <f t="shared" si="21"/>
        <v>0</v>
      </c>
      <c r="P61" s="60">
        <f t="shared" si="21"/>
        <v>0</v>
      </c>
      <c r="Q61" s="60">
        <f t="shared" si="21"/>
        <v>0</v>
      </c>
      <c r="R61" s="60">
        <f t="shared" si="21"/>
        <v>0</v>
      </c>
      <c r="S61" s="60">
        <f t="shared" si="21"/>
        <v>0</v>
      </c>
      <c r="T61" s="60">
        <f t="shared" si="21"/>
        <v>0</v>
      </c>
      <c r="U61" s="60">
        <f t="shared" si="21"/>
        <v>0</v>
      </c>
      <c r="V61" s="60">
        <f t="shared" si="21"/>
        <v>0</v>
      </c>
      <c r="W61" s="60">
        <f t="shared" si="21"/>
        <v>0</v>
      </c>
      <c r="X61" s="60">
        <f t="shared" si="21"/>
        <v>0</v>
      </c>
      <c r="Y61" s="60">
        <f t="shared" si="21"/>
        <v>0</v>
      </c>
      <c r="Z61" s="60">
        <f t="shared" si="21"/>
        <v>0</v>
      </c>
      <c r="AA61" s="60">
        <f t="shared" si="21"/>
        <v>0</v>
      </c>
      <c r="AB61" s="60">
        <f t="shared" si="21"/>
        <v>0</v>
      </c>
      <c r="AC61" s="60">
        <f t="shared" si="21"/>
        <v>0</v>
      </c>
      <c r="AD61" s="60">
        <f t="shared" si="21"/>
        <v>0</v>
      </c>
      <c r="AE61" s="60">
        <f t="shared" si="21"/>
        <v>0</v>
      </c>
      <c r="AF61" s="60">
        <f t="shared" si="21"/>
        <v>0</v>
      </c>
      <c r="AG61" s="60">
        <f t="shared" si="21"/>
        <v>0</v>
      </c>
      <c r="AH61" s="60">
        <f t="shared" si="21"/>
        <v>0</v>
      </c>
      <c r="AI61" s="60">
        <f t="shared" si="21"/>
        <v>0</v>
      </c>
      <c r="AJ61" s="60">
        <f t="shared" si="21"/>
        <v>0</v>
      </c>
      <c r="AK61" s="60">
        <f t="shared" si="21"/>
        <v>0</v>
      </c>
      <c r="AL61" s="60">
        <f t="shared" si="21"/>
        <v>0</v>
      </c>
      <c r="AM61" s="62">
        <f t="shared" si="21"/>
        <v>0</v>
      </c>
      <c r="AN61" s="40"/>
    </row>
    <row r="62" spans="1:40" x14ac:dyDescent="0.25">
      <c r="A62" s="31" t="s">
        <v>111</v>
      </c>
      <c r="B62" s="32"/>
      <c r="C62" s="239" t="s">
        <v>108</v>
      </c>
      <c r="D62" s="63" t="s">
        <v>112</v>
      </c>
      <c r="E62" s="34"/>
      <c r="F62" s="35"/>
      <c r="G62" s="36">
        <f t="shared" ref="G62:G65" si="22">SUM(I62:AM62)</f>
        <v>0</v>
      </c>
      <c r="H62" s="37" t="str">
        <f t="shared" si="3"/>
        <v/>
      </c>
      <c r="I62" s="34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9"/>
      <c r="AN62" s="40"/>
    </row>
    <row r="63" spans="1:40" x14ac:dyDescent="0.25">
      <c r="A63" s="31" t="s">
        <v>113</v>
      </c>
      <c r="B63" s="32"/>
      <c r="C63" s="239" t="s">
        <v>108</v>
      </c>
      <c r="D63" s="63" t="s">
        <v>114</v>
      </c>
      <c r="E63" s="34"/>
      <c r="F63" s="35"/>
      <c r="G63" s="36">
        <f t="shared" si="22"/>
        <v>0</v>
      </c>
      <c r="H63" s="37" t="str">
        <f t="shared" si="3"/>
        <v/>
      </c>
      <c r="I63" s="34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9"/>
      <c r="AN63" s="40"/>
    </row>
    <row r="64" spans="1:40" x14ac:dyDescent="0.25">
      <c r="A64" s="31" t="s">
        <v>115</v>
      </c>
      <c r="B64" s="32"/>
      <c r="C64" s="239" t="s">
        <v>108</v>
      </c>
      <c r="D64" s="63" t="s">
        <v>116</v>
      </c>
      <c r="E64" s="34"/>
      <c r="F64" s="35"/>
      <c r="G64" s="36">
        <f t="shared" si="22"/>
        <v>0</v>
      </c>
      <c r="H64" s="37" t="str">
        <f t="shared" si="3"/>
        <v/>
      </c>
      <c r="I64" s="34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9"/>
      <c r="AN64" s="40"/>
    </row>
    <row r="65" spans="1:40" ht="15.75" thickBot="1" x14ac:dyDescent="0.3">
      <c r="A65" s="41" t="s">
        <v>117</v>
      </c>
      <c r="B65" s="42"/>
      <c r="C65" s="240" t="s">
        <v>108</v>
      </c>
      <c r="D65" s="64" t="s">
        <v>118</v>
      </c>
      <c r="E65" s="44"/>
      <c r="F65" s="45"/>
      <c r="G65" s="46">
        <f t="shared" si="22"/>
        <v>0</v>
      </c>
      <c r="H65" s="47" t="str">
        <f t="shared" si="3"/>
        <v/>
      </c>
      <c r="I65" s="44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9"/>
      <c r="AN65" s="40"/>
    </row>
    <row r="66" spans="1:40" x14ac:dyDescent="0.25">
      <c r="A66" s="50">
        <v>8</v>
      </c>
      <c r="B66" s="51"/>
      <c r="C66" s="237" t="s">
        <v>119</v>
      </c>
      <c r="D66" s="52" t="s">
        <v>119</v>
      </c>
      <c r="E66" s="28">
        <f>SUM(E67:E70)</f>
        <v>0</v>
      </c>
      <c r="F66" s="53">
        <f>SUM(F67:F70)</f>
        <v>0</v>
      </c>
      <c r="G66" s="29">
        <f t="shared" ref="G66" si="23">SUM(G67:G70)</f>
        <v>0</v>
      </c>
      <c r="H66" s="54" t="str">
        <f t="shared" si="3"/>
        <v/>
      </c>
      <c r="I66" s="28">
        <f t="shared" ref="I66:AM66" si="24">SUM(I67:I70)</f>
        <v>0</v>
      </c>
      <c r="J66" s="29">
        <f t="shared" si="24"/>
        <v>0</v>
      </c>
      <c r="K66" s="29">
        <f t="shared" si="24"/>
        <v>0</v>
      </c>
      <c r="L66" s="29">
        <f t="shared" si="24"/>
        <v>0</v>
      </c>
      <c r="M66" s="29">
        <f t="shared" si="24"/>
        <v>0</v>
      </c>
      <c r="N66" s="29">
        <f t="shared" si="24"/>
        <v>0</v>
      </c>
      <c r="O66" s="29">
        <f t="shared" si="24"/>
        <v>0</v>
      </c>
      <c r="P66" s="29">
        <f t="shared" si="24"/>
        <v>0</v>
      </c>
      <c r="Q66" s="29">
        <f t="shared" si="24"/>
        <v>0</v>
      </c>
      <c r="R66" s="29">
        <f t="shared" si="24"/>
        <v>0</v>
      </c>
      <c r="S66" s="29">
        <f t="shared" si="24"/>
        <v>0</v>
      </c>
      <c r="T66" s="29">
        <f t="shared" si="24"/>
        <v>0</v>
      </c>
      <c r="U66" s="29">
        <f t="shared" si="24"/>
        <v>0</v>
      </c>
      <c r="V66" s="29">
        <f t="shared" si="24"/>
        <v>0</v>
      </c>
      <c r="W66" s="29">
        <f t="shared" si="24"/>
        <v>0</v>
      </c>
      <c r="X66" s="29">
        <f t="shared" si="24"/>
        <v>0</v>
      </c>
      <c r="Y66" s="29">
        <f t="shared" si="24"/>
        <v>0</v>
      </c>
      <c r="Z66" s="29">
        <f t="shared" si="24"/>
        <v>0</v>
      </c>
      <c r="AA66" s="29">
        <f t="shared" si="24"/>
        <v>0</v>
      </c>
      <c r="AB66" s="29">
        <f t="shared" si="24"/>
        <v>0</v>
      </c>
      <c r="AC66" s="29">
        <f t="shared" si="24"/>
        <v>0</v>
      </c>
      <c r="AD66" s="29">
        <f t="shared" si="24"/>
        <v>0</v>
      </c>
      <c r="AE66" s="29">
        <f t="shared" si="24"/>
        <v>0</v>
      </c>
      <c r="AF66" s="29">
        <f t="shared" si="24"/>
        <v>0</v>
      </c>
      <c r="AG66" s="29">
        <f t="shared" si="24"/>
        <v>0</v>
      </c>
      <c r="AH66" s="29">
        <f t="shared" si="24"/>
        <v>0</v>
      </c>
      <c r="AI66" s="29">
        <f t="shared" si="24"/>
        <v>0</v>
      </c>
      <c r="AJ66" s="29">
        <f t="shared" si="24"/>
        <v>0</v>
      </c>
      <c r="AK66" s="29">
        <f t="shared" si="24"/>
        <v>0</v>
      </c>
      <c r="AL66" s="29">
        <f t="shared" si="24"/>
        <v>0</v>
      </c>
      <c r="AM66" s="30">
        <f t="shared" si="24"/>
        <v>0</v>
      </c>
      <c r="AN66" s="6"/>
    </row>
    <row r="67" spans="1:40" x14ac:dyDescent="0.25">
      <c r="A67" s="31" t="s">
        <v>120</v>
      </c>
      <c r="B67" s="32"/>
      <c r="C67" s="239" t="s">
        <v>119</v>
      </c>
      <c r="D67" s="33" t="s">
        <v>121</v>
      </c>
      <c r="E67" s="34"/>
      <c r="F67" s="35"/>
      <c r="G67" s="36">
        <f t="shared" ref="G67:G70" si="25">SUM(I67:AM67)</f>
        <v>0</v>
      </c>
      <c r="H67" s="37" t="str">
        <f t="shared" si="3"/>
        <v/>
      </c>
      <c r="I67" s="34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9"/>
      <c r="AN67" s="40"/>
    </row>
    <row r="68" spans="1:40" x14ac:dyDescent="0.25">
      <c r="A68" s="31" t="s">
        <v>122</v>
      </c>
      <c r="B68" s="32"/>
      <c r="C68" s="239" t="s">
        <v>119</v>
      </c>
      <c r="D68" s="33" t="s">
        <v>123</v>
      </c>
      <c r="E68" s="34"/>
      <c r="F68" s="35"/>
      <c r="G68" s="36">
        <f t="shared" si="25"/>
        <v>0</v>
      </c>
      <c r="H68" s="37" t="str">
        <f t="shared" si="3"/>
        <v/>
      </c>
      <c r="I68" s="34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9"/>
      <c r="AN68" s="40"/>
    </row>
    <row r="69" spans="1:40" x14ac:dyDescent="0.25">
      <c r="A69" s="31" t="s">
        <v>124</v>
      </c>
      <c r="B69" s="32"/>
      <c r="C69" s="239" t="s">
        <v>119</v>
      </c>
      <c r="D69" s="33" t="s">
        <v>125</v>
      </c>
      <c r="E69" s="34"/>
      <c r="F69" s="35"/>
      <c r="G69" s="36">
        <f t="shared" si="25"/>
        <v>0</v>
      </c>
      <c r="H69" s="37" t="str">
        <f t="shared" si="3"/>
        <v/>
      </c>
      <c r="I69" s="34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9"/>
      <c r="AN69" s="40"/>
    </row>
    <row r="70" spans="1:40" ht="15.75" thickBot="1" x14ac:dyDescent="0.3">
      <c r="A70" s="41" t="s">
        <v>126</v>
      </c>
      <c r="B70" s="42"/>
      <c r="C70" s="240" t="s">
        <v>119</v>
      </c>
      <c r="D70" s="43" t="s">
        <v>127</v>
      </c>
      <c r="E70" s="44"/>
      <c r="F70" s="45"/>
      <c r="G70" s="46">
        <f t="shared" si="25"/>
        <v>0</v>
      </c>
      <c r="H70" s="47" t="str">
        <f t="shared" si="3"/>
        <v/>
      </c>
      <c r="I70" s="44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9"/>
      <c r="AN70" s="40"/>
    </row>
    <row r="71" spans="1:40" x14ac:dyDescent="0.25">
      <c r="A71" s="50">
        <v>9</v>
      </c>
      <c r="B71" s="51"/>
      <c r="C71" s="237" t="s">
        <v>128</v>
      </c>
      <c r="D71" s="52" t="s">
        <v>128</v>
      </c>
      <c r="E71" s="28">
        <f>SUM(E74:E80)</f>
        <v>0</v>
      </c>
      <c r="F71" s="53">
        <f>SUM(F74:F80)</f>
        <v>0</v>
      </c>
      <c r="G71" s="29">
        <f t="shared" ref="G71" si="26">SUM(G74:G80)</f>
        <v>0</v>
      </c>
      <c r="H71" s="54" t="str">
        <f t="shared" si="3"/>
        <v/>
      </c>
      <c r="I71" s="28">
        <f t="shared" ref="I71:AM71" si="27">SUM(I74:I80)</f>
        <v>0</v>
      </c>
      <c r="J71" s="29">
        <f t="shared" si="27"/>
        <v>0</v>
      </c>
      <c r="K71" s="29">
        <f t="shared" si="27"/>
        <v>0</v>
      </c>
      <c r="L71" s="29">
        <f t="shared" si="27"/>
        <v>0</v>
      </c>
      <c r="M71" s="29">
        <f t="shared" si="27"/>
        <v>0</v>
      </c>
      <c r="N71" s="29">
        <f t="shared" si="27"/>
        <v>0</v>
      </c>
      <c r="O71" s="29">
        <f t="shared" si="27"/>
        <v>0</v>
      </c>
      <c r="P71" s="29">
        <f t="shared" si="27"/>
        <v>0</v>
      </c>
      <c r="Q71" s="29">
        <f t="shared" si="27"/>
        <v>0</v>
      </c>
      <c r="R71" s="29">
        <f t="shared" si="27"/>
        <v>0</v>
      </c>
      <c r="S71" s="29">
        <f t="shared" si="27"/>
        <v>0</v>
      </c>
      <c r="T71" s="29">
        <f t="shared" si="27"/>
        <v>0</v>
      </c>
      <c r="U71" s="29">
        <f t="shared" si="27"/>
        <v>0</v>
      </c>
      <c r="V71" s="29">
        <f t="shared" si="27"/>
        <v>0</v>
      </c>
      <c r="W71" s="29">
        <f t="shared" si="27"/>
        <v>0</v>
      </c>
      <c r="X71" s="29">
        <f t="shared" si="27"/>
        <v>0</v>
      </c>
      <c r="Y71" s="29">
        <f t="shared" si="27"/>
        <v>0</v>
      </c>
      <c r="Z71" s="29">
        <f t="shared" si="27"/>
        <v>0</v>
      </c>
      <c r="AA71" s="29">
        <f t="shared" si="27"/>
        <v>0</v>
      </c>
      <c r="AB71" s="29">
        <f t="shared" si="27"/>
        <v>0</v>
      </c>
      <c r="AC71" s="29">
        <f t="shared" si="27"/>
        <v>0</v>
      </c>
      <c r="AD71" s="29">
        <f t="shared" si="27"/>
        <v>0</v>
      </c>
      <c r="AE71" s="29">
        <f t="shared" si="27"/>
        <v>0</v>
      </c>
      <c r="AF71" s="29">
        <f t="shared" si="27"/>
        <v>0</v>
      </c>
      <c r="AG71" s="29">
        <f t="shared" si="27"/>
        <v>0</v>
      </c>
      <c r="AH71" s="29">
        <f t="shared" si="27"/>
        <v>0</v>
      </c>
      <c r="AI71" s="29">
        <f t="shared" si="27"/>
        <v>0</v>
      </c>
      <c r="AJ71" s="29">
        <f t="shared" si="27"/>
        <v>0</v>
      </c>
      <c r="AK71" s="29">
        <f t="shared" si="27"/>
        <v>0</v>
      </c>
      <c r="AL71" s="29">
        <f t="shared" si="27"/>
        <v>0</v>
      </c>
      <c r="AM71" s="30">
        <f t="shared" si="27"/>
        <v>0</v>
      </c>
      <c r="AN71" s="6"/>
    </row>
    <row r="72" spans="1:40" x14ac:dyDescent="0.25">
      <c r="A72" s="65" t="s">
        <v>129</v>
      </c>
      <c r="B72" s="66"/>
      <c r="C72" s="241" t="s">
        <v>128</v>
      </c>
      <c r="D72" s="57" t="s">
        <v>130</v>
      </c>
      <c r="E72" s="58">
        <f>E71-E80</f>
        <v>0</v>
      </c>
      <c r="F72" s="59">
        <f>F71-F80</f>
        <v>0</v>
      </c>
      <c r="G72" s="60">
        <f t="shared" ref="G72:AM72" si="28">G71-G80</f>
        <v>0</v>
      </c>
      <c r="H72" s="61" t="str">
        <f t="shared" si="3"/>
        <v/>
      </c>
      <c r="I72" s="58">
        <f t="shared" si="28"/>
        <v>0</v>
      </c>
      <c r="J72" s="60">
        <f t="shared" si="28"/>
        <v>0</v>
      </c>
      <c r="K72" s="60">
        <f t="shared" si="28"/>
        <v>0</v>
      </c>
      <c r="L72" s="60">
        <f t="shared" si="28"/>
        <v>0</v>
      </c>
      <c r="M72" s="60">
        <f t="shared" si="28"/>
        <v>0</v>
      </c>
      <c r="N72" s="60">
        <f t="shared" si="28"/>
        <v>0</v>
      </c>
      <c r="O72" s="60">
        <f t="shared" si="28"/>
        <v>0</v>
      </c>
      <c r="P72" s="60">
        <f t="shared" si="28"/>
        <v>0</v>
      </c>
      <c r="Q72" s="60">
        <f t="shared" si="28"/>
        <v>0</v>
      </c>
      <c r="R72" s="60">
        <f t="shared" si="28"/>
        <v>0</v>
      </c>
      <c r="S72" s="60">
        <f t="shared" si="28"/>
        <v>0</v>
      </c>
      <c r="T72" s="60">
        <f t="shared" si="28"/>
        <v>0</v>
      </c>
      <c r="U72" s="60">
        <f t="shared" si="28"/>
        <v>0</v>
      </c>
      <c r="V72" s="60">
        <f t="shared" si="28"/>
        <v>0</v>
      </c>
      <c r="W72" s="60">
        <f t="shared" si="28"/>
        <v>0</v>
      </c>
      <c r="X72" s="60">
        <f t="shared" si="28"/>
        <v>0</v>
      </c>
      <c r="Y72" s="60">
        <f t="shared" si="28"/>
        <v>0</v>
      </c>
      <c r="Z72" s="60">
        <f t="shared" si="28"/>
        <v>0</v>
      </c>
      <c r="AA72" s="60">
        <f t="shared" si="28"/>
        <v>0</v>
      </c>
      <c r="AB72" s="60">
        <f t="shared" si="28"/>
        <v>0</v>
      </c>
      <c r="AC72" s="60">
        <f t="shared" si="28"/>
        <v>0</v>
      </c>
      <c r="AD72" s="60">
        <f t="shared" si="28"/>
        <v>0</v>
      </c>
      <c r="AE72" s="60">
        <f t="shared" si="28"/>
        <v>0</v>
      </c>
      <c r="AF72" s="60">
        <f t="shared" si="28"/>
        <v>0</v>
      </c>
      <c r="AG72" s="60">
        <f t="shared" si="28"/>
        <v>0</v>
      </c>
      <c r="AH72" s="60">
        <f t="shared" si="28"/>
        <v>0</v>
      </c>
      <c r="AI72" s="60">
        <f t="shared" si="28"/>
        <v>0</v>
      </c>
      <c r="AJ72" s="60">
        <f t="shared" si="28"/>
        <v>0</v>
      </c>
      <c r="AK72" s="60">
        <f t="shared" si="28"/>
        <v>0</v>
      </c>
      <c r="AL72" s="60">
        <f t="shared" si="28"/>
        <v>0</v>
      </c>
      <c r="AM72" s="62">
        <f t="shared" si="28"/>
        <v>0</v>
      </c>
      <c r="AN72" s="40"/>
    </row>
    <row r="73" spans="1:40" x14ac:dyDescent="0.25">
      <c r="A73" s="65" t="s">
        <v>131</v>
      </c>
      <c r="B73" s="66"/>
      <c r="C73" s="241" t="s">
        <v>128</v>
      </c>
      <c r="D73" s="76" t="s">
        <v>132</v>
      </c>
      <c r="E73" s="58">
        <f>E72-E79</f>
        <v>0</v>
      </c>
      <c r="F73" s="59">
        <f>F72-F79</f>
        <v>0</v>
      </c>
      <c r="G73" s="60">
        <f t="shared" ref="G73:AM73" si="29">G72-G79</f>
        <v>0</v>
      </c>
      <c r="H73" s="61" t="str">
        <f t="shared" ref="H73:H95" si="30">IFERROR((G73-F73)/F73,"")</f>
        <v/>
      </c>
      <c r="I73" s="58">
        <f t="shared" si="29"/>
        <v>0</v>
      </c>
      <c r="J73" s="60">
        <f t="shared" si="29"/>
        <v>0</v>
      </c>
      <c r="K73" s="60">
        <f t="shared" si="29"/>
        <v>0</v>
      </c>
      <c r="L73" s="60">
        <f t="shared" si="29"/>
        <v>0</v>
      </c>
      <c r="M73" s="60">
        <f t="shared" si="29"/>
        <v>0</v>
      </c>
      <c r="N73" s="60">
        <f t="shared" si="29"/>
        <v>0</v>
      </c>
      <c r="O73" s="60">
        <f t="shared" si="29"/>
        <v>0</v>
      </c>
      <c r="P73" s="60">
        <f t="shared" si="29"/>
        <v>0</v>
      </c>
      <c r="Q73" s="60">
        <f t="shared" si="29"/>
        <v>0</v>
      </c>
      <c r="R73" s="60">
        <f t="shared" si="29"/>
        <v>0</v>
      </c>
      <c r="S73" s="60">
        <f t="shared" si="29"/>
        <v>0</v>
      </c>
      <c r="T73" s="60">
        <f t="shared" si="29"/>
        <v>0</v>
      </c>
      <c r="U73" s="60">
        <f t="shared" si="29"/>
        <v>0</v>
      </c>
      <c r="V73" s="60">
        <f t="shared" si="29"/>
        <v>0</v>
      </c>
      <c r="W73" s="60">
        <f t="shared" si="29"/>
        <v>0</v>
      </c>
      <c r="X73" s="60">
        <f t="shared" si="29"/>
        <v>0</v>
      </c>
      <c r="Y73" s="60">
        <f t="shared" si="29"/>
        <v>0</v>
      </c>
      <c r="Z73" s="60">
        <f t="shared" si="29"/>
        <v>0</v>
      </c>
      <c r="AA73" s="60">
        <f t="shared" si="29"/>
        <v>0</v>
      </c>
      <c r="AB73" s="60">
        <f t="shared" si="29"/>
        <v>0</v>
      </c>
      <c r="AC73" s="60">
        <f t="shared" si="29"/>
        <v>0</v>
      </c>
      <c r="AD73" s="60">
        <f t="shared" si="29"/>
        <v>0</v>
      </c>
      <c r="AE73" s="60">
        <f t="shared" si="29"/>
        <v>0</v>
      </c>
      <c r="AF73" s="60">
        <f t="shared" si="29"/>
        <v>0</v>
      </c>
      <c r="AG73" s="60">
        <f t="shared" si="29"/>
        <v>0</v>
      </c>
      <c r="AH73" s="60">
        <f t="shared" si="29"/>
        <v>0</v>
      </c>
      <c r="AI73" s="60">
        <f t="shared" si="29"/>
        <v>0</v>
      </c>
      <c r="AJ73" s="60">
        <f t="shared" si="29"/>
        <v>0</v>
      </c>
      <c r="AK73" s="60">
        <f t="shared" si="29"/>
        <v>0</v>
      </c>
      <c r="AL73" s="60">
        <f t="shared" si="29"/>
        <v>0</v>
      </c>
      <c r="AM73" s="62">
        <f t="shared" si="29"/>
        <v>0</v>
      </c>
      <c r="AN73" s="40"/>
    </row>
    <row r="74" spans="1:40" x14ac:dyDescent="0.25">
      <c r="A74" s="31" t="s">
        <v>133</v>
      </c>
      <c r="B74" s="32"/>
      <c r="C74" s="239" t="s">
        <v>128</v>
      </c>
      <c r="D74" s="77" t="s">
        <v>134</v>
      </c>
      <c r="E74" s="34"/>
      <c r="F74" s="35"/>
      <c r="G74" s="36">
        <f t="shared" ref="G74:G81" si="31">SUM(I74:AM74)</f>
        <v>0</v>
      </c>
      <c r="H74" s="37" t="str">
        <f t="shared" si="30"/>
        <v/>
      </c>
      <c r="I74" s="34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9"/>
      <c r="AN74" s="40"/>
    </row>
    <row r="75" spans="1:40" x14ac:dyDescent="0.25">
      <c r="A75" s="31" t="s">
        <v>135</v>
      </c>
      <c r="B75" s="32"/>
      <c r="C75" s="239" t="s">
        <v>128</v>
      </c>
      <c r="D75" s="77" t="s">
        <v>136</v>
      </c>
      <c r="E75" s="34"/>
      <c r="F75" s="35"/>
      <c r="G75" s="36">
        <f t="shared" si="31"/>
        <v>0</v>
      </c>
      <c r="H75" s="37" t="str">
        <f t="shared" si="30"/>
        <v/>
      </c>
      <c r="I75" s="34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9"/>
      <c r="AN75" s="40"/>
    </row>
    <row r="76" spans="1:40" x14ac:dyDescent="0.25">
      <c r="A76" s="31" t="s">
        <v>137</v>
      </c>
      <c r="B76" s="32"/>
      <c r="C76" s="239" t="s">
        <v>128</v>
      </c>
      <c r="D76" s="77" t="s">
        <v>138</v>
      </c>
      <c r="E76" s="34"/>
      <c r="F76" s="35"/>
      <c r="G76" s="36">
        <f t="shared" si="31"/>
        <v>0</v>
      </c>
      <c r="H76" s="37" t="str">
        <f t="shared" si="30"/>
        <v/>
      </c>
      <c r="I76" s="34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40"/>
    </row>
    <row r="77" spans="1:40" x14ac:dyDescent="0.25">
      <c r="A77" s="31" t="s">
        <v>139</v>
      </c>
      <c r="B77" s="32"/>
      <c r="C77" s="239" t="s">
        <v>128</v>
      </c>
      <c r="D77" s="77" t="s">
        <v>140</v>
      </c>
      <c r="E77" s="34"/>
      <c r="F77" s="35"/>
      <c r="G77" s="36">
        <f t="shared" si="31"/>
        <v>0</v>
      </c>
      <c r="H77" s="37" t="str">
        <f t="shared" si="30"/>
        <v/>
      </c>
      <c r="I77" s="34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40"/>
    </row>
    <row r="78" spans="1:40" x14ac:dyDescent="0.25">
      <c r="A78" s="31" t="s">
        <v>141</v>
      </c>
      <c r="B78" s="32"/>
      <c r="C78" s="239" t="s">
        <v>128</v>
      </c>
      <c r="D78" s="77" t="s">
        <v>142</v>
      </c>
      <c r="E78" s="34"/>
      <c r="F78" s="35"/>
      <c r="G78" s="36">
        <f t="shared" si="31"/>
        <v>0</v>
      </c>
      <c r="H78" s="37" t="str">
        <f t="shared" si="30"/>
        <v/>
      </c>
      <c r="I78" s="34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40"/>
    </row>
    <row r="79" spans="1:40" x14ac:dyDescent="0.25">
      <c r="A79" s="78" t="s">
        <v>143</v>
      </c>
      <c r="B79" s="79"/>
      <c r="C79" s="242" t="s">
        <v>128</v>
      </c>
      <c r="D79" s="80" t="s">
        <v>144</v>
      </c>
      <c r="E79" s="34"/>
      <c r="F79" s="35"/>
      <c r="G79" s="36">
        <f t="shared" si="31"/>
        <v>0</v>
      </c>
      <c r="H79" s="37" t="str">
        <f t="shared" si="30"/>
        <v/>
      </c>
      <c r="I79" s="34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40"/>
    </row>
    <row r="80" spans="1:40" ht="15.75" thickBot="1" x14ac:dyDescent="0.3">
      <c r="A80" s="81" t="s">
        <v>145</v>
      </c>
      <c r="B80" s="82"/>
      <c r="C80" s="243" t="s">
        <v>128</v>
      </c>
      <c r="D80" s="64" t="s">
        <v>146</v>
      </c>
      <c r="E80" s="44"/>
      <c r="F80" s="45"/>
      <c r="G80" s="46">
        <f t="shared" si="31"/>
        <v>0</v>
      </c>
      <c r="H80" s="47" t="str">
        <f t="shared" si="30"/>
        <v/>
      </c>
      <c r="I80" s="44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9"/>
      <c r="AN80" s="40"/>
    </row>
    <row r="81" spans="1:40" ht="15.75" thickBot="1" x14ac:dyDescent="0.3">
      <c r="A81" s="83">
        <v>10</v>
      </c>
      <c r="B81" s="84"/>
      <c r="C81" s="244" t="s">
        <v>147</v>
      </c>
      <c r="D81" s="85" t="s">
        <v>147</v>
      </c>
      <c r="E81" s="86"/>
      <c r="F81" s="87"/>
      <c r="G81" s="88">
        <f t="shared" si="31"/>
        <v>0</v>
      </c>
      <c r="H81" s="89" t="str">
        <f t="shared" si="30"/>
        <v/>
      </c>
      <c r="I81" s="86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1"/>
      <c r="AN81" s="6"/>
    </row>
    <row r="82" spans="1:40" x14ac:dyDescent="0.25">
      <c r="A82" s="50">
        <v>11</v>
      </c>
      <c r="B82" s="51"/>
      <c r="C82" s="237" t="s">
        <v>148</v>
      </c>
      <c r="D82" s="52" t="s">
        <v>148</v>
      </c>
      <c r="E82" s="28">
        <f>SUM(E83:E84)</f>
        <v>0</v>
      </c>
      <c r="F82" s="53">
        <f>SUM(F83:F84)</f>
        <v>0</v>
      </c>
      <c r="G82" s="29">
        <f t="shared" ref="G82" si="32">SUM(G83:G84)</f>
        <v>0</v>
      </c>
      <c r="H82" s="54" t="str">
        <f t="shared" si="30"/>
        <v/>
      </c>
      <c r="I82" s="28">
        <f t="shared" ref="I82:AM82" si="33">SUM(I83:I84)</f>
        <v>0</v>
      </c>
      <c r="J82" s="29">
        <f t="shared" si="33"/>
        <v>0</v>
      </c>
      <c r="K82" s="29">
        <f t="shared" si="33"/>
        <v>0</v>
      </c>
      <c r="L82" s="29">
        <f t="shared" si="33"/>
        <v>0</v>
      </c>
      <c r="M82" s="29">
        <f t="shared" si="33"/>
        <v>0</v>
      </c>
      <c r="N82" s="29">
        <f t="shared" si="33"/>
        <v>0</v>
      </c>
      <c r="O82" s="29">
        <f t="shared" si="33"/>
        <v>0</v>
      </c>
      <c r="P82" s="29">
        <f t="shared" si="33"/>
        <v>0</v>
      </c>
      <c r="Q82" s="29">
        <f t="shared" si="33"/>
        <v>0</v>
      </c>
      <c r="R82" s="29">
        <f t="shared" si="33"/>
        <v>0</v>
      </c>
      <c r="S82" s="29">
        <f t="shared" si="33"/>
        <v>0</v>
      </c>
      <c r="T82" s="29">
        <f t="shared" si="33"/>
        <v>0</v>
      </c>
      <c r="U82" s="29">
        <f t="shared" si="33"/>
        <v>0</v>
      </c>
      <c r="V82" s="29">
        <f t="shared" si="33"/>
        <v>0</v>
      </c>
      <c r="W82" s="29">
        <f t="shared" si="33"/>
        <v>0</v>
      </c>
      <c r="X82" s="29">
        <f t="shared" si="33"/>
        <v>0</v>
      </c>
      <c r="Y82" s="29">
        <f t="shared" si="33"/>
        <v>0</v>
      </c>
      <c r="Z82" s="29">
        <f t="shared" si="33"/>
        <v>0</v>
      </c>
      <c r="AA82" s="29">
        <f t="shared" si="33"/>
        <v>0</v>
      </c>
      <c r="AB82" s="29">
        <f t="shared" si="33"/>
        <v>0</v>
      </c>
      <c r="AC82" s="29">
        <f t="shared" si="33"/>
        <v>0</v>
      </c>
      <c r="AD82" s="29">
        <f t="shared" si="33"/>
        <v>0</v>
      </c>
      <c r="AE82" s="29">
        <f t="shared" si="33"/>
        <v>0</v>
      </c>
      <c r="AF82" s="29">
        <f t="shared" si="33"/>
        <v>0</v>
      </c>
      <c r="AG82" s="29">
        <f t="shared" si="33"/>
        <v>0</v>
      </c>
      <c r="AH82" s="29">
        <f t="shared" si="33"/>
        <v>0</v>
      </c>
      <c r="AI82" s="29">
        <f t="shared" si="33"/>
        <v>0</v>
      </c>
      <c r="AJ82" s="29">
        <f t="shared" si="33"/>
        <v>0</v>
      </c>
      <c r="AK82" s="29">
        <f t="shared" si="33"/>
        <v>0</v>
      </c>
      <c r="AL82" s="29">
        <f t="shared" si="33"/>
        <v>0</v>
      </c>
      <c r="AM82" s="30">
        <f t="shared" si="33"/>
        <v>0</v>
      </c>
      <c r="AN82" s="6"/>
    </row>
    <row r="83" spans="1:40" x14ac:dyDescent="0.25">
      <c r="A83" s="31" t="s">
        <v>149</v>
      </c>
      <c r="B83" s="32"/>
      <c r="C83" s="239" t="s">
        <v>148</v>
      </c>
      <c r="D83" s="33" t="s">
        <v>150</v>
      </c>
      <c r="E83" s="34"/>
      <c r="F83" s="35"/>
      <c r="G83" s="36">
        <f t="shared" ref="G83:G84" si="34">SUM(I83:AM83)</f>
        <v>0</v>
      </c>
      <c r="H83" s="37" t="str">
        <f t="shared" si="30"/>
        <v/>
      </c>
      <c r="I83" s="34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40"/>
    </row>
    <row r="84" spans="1:40" ht="15.75" thickBot="1" x14ac:dyDescent="0.3">
      <c r="A84" s="41" t="s">
        <v>151</v>
      </c>
      <c r="B84" s="42"/>
      <c r="C84" s="240" t="s">
        <v>148</v>
      </c>
      <c r="D84" s="43" t="s">
        <v>152</v>
      </c>
      <c r="E84" s="44"/>
      <c r="F84" s="45"/>
      <c r="G84" s="46">
        <f t="shared" si="34"/>
        <v>0</v>
      </c>
      <c r="H84" s="47" t="str">
        <f t="shared" si="30"/>
        <v/>
      </c>
      <c r="I84" s="44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9"/>
      <c r="AN84" s="40"/>
    </row>
    <row r="85" spans="1:40" x14ac:dyDescent="0.25">
      <c r="A85" s="92">
        <v>12</v>
      </c>
      <c r="B85" s="93"/>
      <c r="C85" s="245" t="s">
        <v>153</v>
      </c>
      <c r="D85" s="94" t="s">
        <v>153</v>
      </c>
      <c r="E85" s="28">
        <f>SUM(E87:E91)</f>
        <v>0</v>
      </c>
      <c r="F85" s="53">
        <f>SUM(F87:F91)</f>
        <v>0</v>
      </c>
      <c r="G85" s="29">
        <f t="shared" ref="G85" si="35">SUM(G87:G91)</f>
        <v>0</v>
      </c>
      <c r="H85" s="54" t="str">
        <f t="shared" si="30"/>
        <v/>
      </c>
      <c r="I85" s="28">
        <f t="shared" ref="I85:AM85" si="36">SUM(I87:I91)</f>
        <v>0</v>
      </c>
      <c r="J85" s="29">
        <f t="shared" si="36"/>
        <v>0</v>
      </c>
      <c r="K85" s="29">
        <f t="shared" si="36"/>
        <v>0</v>
      </c>
      <c r="L85" s="29">
        <f t="shared" si="36"/>
        <v>0</v>
      </c>
      <c r="M85" s="29">
        <f t="shared" si="36"/>
        <v>0</v>
      </c>
      <c r="N85" s="29">
        <f t="shared" si="36"/>
        <v>0</v>
      </c>
      <c r="O85" s="29">
        <f t="shared" si="36"/>
        <v>0</v>
      </c>
      <c r="P85" s="29">
        <f t="shared" si="36"/>
        <v>0</v>
      </c>
      <c r="Q85" s="29">
        <f t="shared" si="36"/>
        <v>0</v>
      </c>
      <c r="R85" s="29">
        <f t="shared" si="36"/>
        <v>0</v>
      </c>
      <c r="S85" s="29">
        <f t="shared" si="36"/>
        <v>0</v>
      </c>
      <c r="T85" s="29">
        <f t="shared" si="36"/>
        <v>0</v>
      </c>
      <c r="U85" s="29">
        <f t="shared" si="36"/>
        <v>0</v>
      </c>
      <c r="V85" s="29">
        <f t="shared" si="36"/>
        <v>0</v>
      </c>
      <c r="W85" s="29">
        <f t="shared" si="36"/>
        <v>0</v>
      </c>
      <c r="X85" s="29">
        <f t="shared" si="36"/>
        <v>0</v>
      </c>
      <c r="Y85" s="29">
        <f t="shared" si="36"/>
        <v>0</v>
      </c>
      <c r="Z85" s="29">
        <f t="shared" si="36"/>
        <v>0</v>
      </c>
      <c r="AA85" s="29">
        <f t="shared" si="36"/>
        <v>0</v>
      </c>
      <c r="AB85" s="29">
        <f t="shared" si="36"/>
        <v>0</v>
      </c>
      <c r="AC85" s="29">
        <f t="shared" si="36"/>
        <v>0</v>
      </c>
      <c r="AD85" s="29">
        <f t="shared" si="36"/>
        <v>0</v>
      </c>
      <c r="AE85" s="29">
        <f t="shared" si="36"/>
        <v>0</v>
      </c>
      <c r="AF85" s="29">
        <f t="shared" si="36"/>
        <v>0</v>
      </c>
      <c r="AG85" s="29">
        <f t="shared" si="36"/>
        <v>0</v>
      </c>
      <c r="AH85" s="29">
        <f t="shared" si="36"/>
        <v>0</v>
      </c>
      <c r="AI85" s="29">
        <f t="shared" si="36"/>
        <v>0</v>
      </c>
      <c r="AJ85" s="29">
        <f t="shared" si="36"/>
        <v>0</v>
      </c>
      <c r="AK85" s="29">
        <f t="shared" si="36"/>
        <v>0</v>
      </c>
      <c r="AL85" s="29">
        <f t="shared" si="36"/>
        <v>0</v>
      </c>
      <c r="AM85" s="30">
        <f t="shared" si="36"/>
        <v>0</v>
      </c>
      <c r="AN85" s="6"/>
    </row>
    <row r="86" spans="1:40" x14ac:dyDescent="0.25">
      <c r="A86" s="95" t="s">
        <v>154</v>
      </c>
      <c r="B86" s="96"/>
      <c r="C86" s="246" t="s">
        <v>153</v>
      </c>
      <c r="D86" s="97" t="s">
        <v>155</v>
      </c>
      <c r="E86" s="98">
        <f>E87+E88</f>
        <v>0</v>
      </c>
      <c r="F86" s="99">
        <f>F87+F88</f>
        <v>0</v>
      </c>
      <c r="G86" s="36">
        <f t="shared" ref="G86:AM86" si="37">G87+G88</f>
        <v>0</v>
      </c>
      <c r="H86" s="37" t="str">
        <f t="shared" si="30"/>
        <v/>
      </c>
      <c r="I86" s="98">
        <f t="shared" si="37"/>
        <v>0</v>
      </c>
      <c r="J86" s="36">
        <f t="shared" si="37"/>
        <v>0</v>
      </c>
      <c r="K86" s="36">
        <f t="shared" si="37"/>
        <v>0</v>
      </c>
      <c r="L86" s="36">
        <f t="shared" si="37"/>
        <v>0</v>
      </c>
      <c r="M86" s="36">
        <f t="shared" si="37"/>
        <v>0</v>
      </c>
      <c r="N86" s="36">
        <f t="shared" si="37"/>
        <v>0</v>
      </c>
      <c r="O86" s="36">
        <f t="shared" si="37"/>
        <v>0</v>
      </c>
      <c r="P86" s="36">
        <f t="shared" si="37"/>
        <v>0</v>
      </c>
      <c r="Q86" s="36">
        <f t="shared" si="37"/>
        <v>0</v>
      </c>
      <c r="R86" s="36">
        <f t="shared" si="37"/>
        <v>0</v>
      </c>
      <c r="S86" s="36">
        <f t="shared" si="37"/>
        <v>0</v>
      </c>
      <c r="T86" s="36">
        <f t="shared" si="37"/>
        <v>0</v>
      </c>
      <c r="U86" s="36">
        <f t="shared" si="37"/>
        <v>0</v>
      </c>
      <c r="V86" s="36">
        <f t="shared" si="37"/>
        <v>0</v>
      </c>
      <c r="W86" s="36">
        <f t="shared" si="37"/>
        <v>0</v>
      </c>
      <c r="X86" s="36">
        <f t="shared" si="37"/>
        <v>0</v>
      </c>
      <c r="Y86" s="36">
        <f t="shared" si="37"/>
        <v>0</v>
      </c>
      <c r="Z86" s="36">
        <f t="shared" si="37"/>
        <v>0</v>
      </c>
      <c r="AA86" s="36">
        <f t="shared" si="37"/>
        <v>0</v>
      </c>
      <c r="AB86" s="36">
        <f t="shared" si="37"/>
        <v>0</v>
      </c>
      <c r="AC86" s="36">
        <f t="shared" si="37"/>
        <v>0</v>
      </c>
      <c r="AD86" s="36">
        <f t="shared" si="37"/>
        <v>0</v>
      </c>
      <c r="AE86" s="36">
        <f t="shared" si="37"/>
        <v>0</v>
      </c>
      <c r="AF86" s="36">
        <f t="shared" si="37"/>
        <v>0</v>
      </c>
      <c r="AG86" s="36">
        <f t="shared" si="37"/>
        <v>0</v>
      </c>
      <c r="AH86" s="36">
        <f t="shared" si="37"/>
        <v>0</v>
      </c>
      <c r="AI86" s="36">
        <f t="shared" si="37"/>
        <v>0</v>
      </c>
      <c r="AJ86" s="36">
        <f t="shared" si="37"/>
        <v>0</v>
      </c>
      <c r="AK86" s="36">
        <f t="shared" si="37"/>
        <v>0</v>
      </c>
      <c r="AL86" s="36">
        <f t="shared" si="37"/>
        <v>0</v>
      </c>
      <c r="AM86" s="100">
        <f t="shared" si="37"/>
        <v>0</v>
      </c>
      <c r="AN86" s="40"/>
    </row>
    <row r="87" spans="1:40" x14ac:dyDescent="0.25">
      <c r="A87" s="101" t="s">
        <v>156</v>
      </c>
      <c r="B87" s="102"/>
      <c r="C87" s="247" t="s">
        <v>153</v>
      </c>
      <c r="D87" s="63" t="s">
        <v>157</v>
      </c>
      <c r="E87" s="34"/>
      <c r="F87" s="35"/>
      <c r="G87" s="36">
        <f t="shared" ref="G87:G93" si="38">SUM(I87:AM87)</f>
        <v>0</v>
      </c>
      <c r="H87" s="37" t="str">
        <f t="shared" si="30"/>
        <v/>
      </c>
      <c r="I87" s="34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40"/>
    </row>
    <row r="88" spans="1:40" x14ac:dyDescent="0.25">
      <c r="A88" s="95" t="s">
        <v>158</v>
      </c>
      <c r="B88" s="96"/>
      <c r="C88" s="246" t="s">
        <v>153</v>
      </c>
      <c r="D88" s="63" t="s">
        <v>159</v>
      </c>
      <c r="E88" s="34"/>
      <c r="F88" s="35"/>
      <c r="G88" s="36">
        <f t="shared" si="38"/>
        <v>0</v>
      </c>
      <c r="H88" s="37" t="str">
        <f t="shared" si="30"/>
        <v/>
      </c>
      <c r="I88" s="34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40"/>
    </row>
    <row r="89" spans="1:40" x14ac:dyDescent="0.25">
      <c r="A89" s="103" t="s">
        <v>160</v>
      </c>
      <c r="B89" s="104"/>
      <c r="C89" s="248" t="s">
        <v>153</v>
      </c>
      <c r="D89" s="97" t="s">
        <v>161</v>
      </c>
      <c r="E89" s="34"/>
      <c r="F89" s="35"/>
      <c r="G89" s="36">
        <f t="shared" si="38"/>
        <v>0</v>
      </c>
      <c r="H89" s="37" t="str">
        <f t="shared" si="30"/>
        <v/>
      </c>
      <c r="I89" s="34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40"/>
    </row>
    <row r="90" spans="1:40" x14ac:dyDescent="0.25">
      <c r="A90" s="103" t="s">
        <v>162</v>
      </c>
      <c r="B90" s="104"/>
      <c r="C90" s="248" t="s">
        <v>153</v>
      </c>
      <c r="D90" s="97" t="s">
        <v>163</v>
      </c>
      <c r="E90" s="34"/>
      <c r="F90" s="35"/>
      <c r="G90" s="36">
        <f t="shared" si="38"/>
        <v>0</v>
      </c>
      <c r="H90" s="37" t="str">
        <f t="shared" si="30"/>
        <v/>
      </c>
      <c r="I90" s="34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40"/>
    </row>
    <row r="91" spans="1:40" ht="15.75" thickBot="1" x14ac:dyDescent="0.3">
      <c r="A91" s="103" t="s">
        <v>164</v>
      </c>
      <c r="B91" s="104"/>
      <c r="C91" s="248" t="s">
        <v>153</v>
      </c>
      <c r="D91" s="97" t="s">
        <v>165</v>
      </c>
      <c r="E91" s="34"/>
      <c r="F91" s="35"/>
      <c r="G91" s="36">
        <f t="shared" si="38"/>
        <v>0</v>
      </c>
      <c r="H91" s="37" t="str">
        <f t="shared" si="30"/>
        <v/>
      </c>
      <c r="I91" s="34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40"/>
    </row>
    <row r="92" spans="1:40" ht="15.75" thickBot="1" x14ac:dyDescent="0.3">
      <c r="A92" s="83">
        <v>13</v>
      </c>
      <c r="B92" s="84"/>
      <c r="C92" s="244" t="s">
        <v>166</v>
      </c>
      <c r="D92" s="85" t="s">
        <v>166</v>
      </c>
      <c r="E92" s="86"/>
      <c r="F92" s="87"/>
      <c r="G92" s="88">
        <f t="shared" si="38"/>
        <v>0</v>
      </c>
      <c r="H92" s="89" t="str">
        <f t="shared" si="30"/>
        <v/>
      </c>
      <c r="I92" s="86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1"/>
      <c r="AN92" s="6"/>
    </row>
    <row r="93" spans="1:40" ht="15.75" thickBot="1" x14ac:dyDescent="0.3">
      <c r="A93" s="83">
        <v>14</v>
      </c>
      <c r="B93" s="84"/>
      <c r="C93" s="244" t="s">
        <v>167</v>
      </c>
      <c r="D93" s="85" t="s">
        <v>167</v>
      </c>
      <c r="E93" s="86"/>
      <c r="F93" s="87"/>
      <c r="G93" s="88">
        <f t="shared" si="38"/>
        <v>0</v>
      </c>
      <c r="H93" s="89" t="str">
        <f t="shared" si="30"/>
        <v/>
      </c>
      <c r="I93" s="86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1"/>
      <c r="AN93" s="6"/>
    </row>
    <row r="94" spans="1:40" ht="15.75" thickBot="1" x14ac:dyDescent="0.3">
      <c r="A94" s="83"/>
      <c r="B94" s="84"/>
      <c r="C94" s="244" t="s">
        <v>168</v>
      </c>
      <c r="D94" s="85" t="s">
        <v>168</v>
      </c>
      <c r="E94" s="105">
        <f>E8+E20+E32+E40+E48+E59+E60+E66+E71+E81+E82+E85+E92+E93</f>
        <v>1250</v>
      </c>
      <c r="F94" s="106">
        <f>F8+F20+F32+F40+F48+F59+F60+F66+F71+F81+F82+F85+F92+F93</f>
        <v>820</v>
      </c>
      <c r="G94" s="88">
        <f t="shared" ref="G94:AM94" si="39">G8+G20+G32+G40+G48+G59+G60+G66+G71+G81+G82+G85+G92+G93</f>
        <v>798</v>
      </c>
      <c r="H94" s="89">
        <f t="shared" si="30"/>
        <v>-2.6829268292682926E-2</v>
      </c>
      <c r="I94" s="105">
        <f t="shared" si="39"/>
        <v>25</v>
      </c>
      <c r="J94" s="88">
        <f t="shared" si="39"/>
        <v>23</v>
      </c>
      <c r="K94" s="88">
        <f t="shared" si="39"/>
        <v>16</v>
      </c>
      <c r="L94" s="88">
        <f t="shared" si="39"/>
        <v>22</v>
      </c>
      <c r="M94" s="88">
        <f t="shared" si="39"/>
        <v>34</v>
      </c>
      <c r="N94" s="88">
        <f t="shared" si="39"/>
        <v>23</v>
      </c>
      <c r="O94" s="88">
        <f t="shared" si="39"/>
        <v>16</v>
      </c>
      <c r="P94" s="88">
        <f t="shared" si="39"/>
        <v>22</v>
      </c>
      <c r="Q94" s="88">
        <f t="shared" si="39"/>
        <v>34</v>
      </c>
      <c r="R94" s="88">
        <f t="shared" si="39"/>
        <v>34</v>
      </c>
      <c r="S94" s="88">
        <f t="shared" si="39"/>
        <v>35</v>
      </c>
      <c r="T94" s="88">
        <f t="shared" si="39"/>
        <v>23</v>
      </c>
      <c r="U94" s="88">
        <f t="shared" si="39"/>
        <v>16</v>
      </c>
      <c r="V94" s="88">
        <f t="shared" si="39"/>
        <v>22</v>
      </c>
      <c r="W94" s="88">
        <f t="shared" si="39"/>
        <v>34</v>
      </c>
      <c r="X94" s="88">
        <f t="shared" si="39"/>
        <v>40</v>
      </c>
      <c r="Y94" s="88">
        <f t="shared" si="39"/>
        <v>41</v>
      </c>
      <c r="Z94" s="88">
        <f t="shared" si="39"/>
        <v>23</v>
      </c>
      <c r="AA94" s="88">
        <f t="shared" si="39"/>
        <v>16</v>
      </c>
      <c r="AB94" s="88">
        <f t="shared" si="39"/>
        <v>22</v>
      </c>
      <c r="AC94" s="88">
        <f t="shared" si="39"/>
        <v>34</v>
      </c>
      <c r="AD94" s="88">
        <f t="shared" si="39"/>
        <v>47</v>
      </c>
      <c r="AE94" s="88">
        <f t="shared" si="39"/>
        <v>48</v>
      </c>
      <c r="AF94" s="88">
        <f t="shared" si="39"/>
        <v>23</v>
      </c>
      <c r="AG94" s="88">
        <f t="shared" si="39"/>
        <v>16</v>
      </c>
      <c r="AH94" s="88">
        <f t="shared" si="39"/>
        <v>22</v>
      </c>
      <c r="AI94" s="88">
        <f t="shared" si="39"/>
        <v>34</v>
      </c>
      <c r="AJ94" s="88">
        <f t="shared" si="39"/>
        <v>53</v>
      </c>
      <c r="AK94" s="88">
        <f t="shared" si="39"/>
        <v>0</v>
      </c>
      <c r="AL94" s="88">
        <f t="shared" si="39"/>
        <v>0</v>
      </c>
      <c r="AM94" s="107">
        <f t="shared" si="39"/>
        <v>0</v>
      </c>
      <c r="AN94" s="6"/>
    </row>
    <row r="95" spans="1:40" ht="15.75" thickBot="1" x14ac:dyDescent="0.3">
      <c r="A95" s="83">
        <v>15</v>
      </c>
      <c r="B95" s="84"/>
      <c r="C95" s="244" t="s">
        <v>169</v>
      </c>
      <c r="D95" s="108" t="s">
        <v>169</v>
      </c>
      <c r="E95" s="86"/>
      <c r="F95" s="87"/>
      <c r="G95" s="88">
        <f>SUM(I95:AM95)</f>
        <v>0</v>
      </c>
      <c r="H95" s="89" t="str">
        <f t="shared" si="30"/>
        <v/>
      </c>
      <c r="I95" s="86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1"/>
      <c r="AN95" s="6"/>
    </row>
  </sheetData>
  <mergeCells count="7">
    <mergeCell ref="I4:AM5"/>
    <mergeCell ref="H5:H6"/>
    <mergeCell ref="A4:A6"/>
    <mergeCell ref="B4:B6"/>
    <mergeCell ref="C4:C6"/>
    <mergeCell ref="D4:D6"/>
    <mergeCell ref="E4:H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37" activePane="bottomRight" state="frozen"/>
      <selection activeCell="K54" sqref="K54"/>
      <selection pane="topRight" activeCell="K54" sqref="K54"/>
      <selection pane="bottomLeft" activeCell="K54" sqref="K54"/>
      <selection pane="bottomRight" activeCell="K54" sqref="K5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44038</v>
      </c>
      <c r="K1" s="249">
        <f>G19</f>
        <v>11.3806200842</v>
      </c>
      <c r="L1" s="249">
        <f>K10</f>
        <v>9.8295284032258028</v>
      </c>
      <c r="M1" s="249">
        <f>K1-L1</f>
        <v>1.5510916809741975</v>
      </c>
      <c r="N1" s="273">
        <f>M1/K1*100</f>
        <v>13.629236979166159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11.3806200842</v>
      </c>
      <c r="P3" s="249">
        <v>0.105769</v>
      </c>
      <c r="Q3" s="249">
        <f>O1-P3</f>
        <v>-0.105769</v>
      </c>
      <c r="R3" s="249">
        <f>F19-J10</f>
        <v>1.4688412761645182</v>
      </c>
      <c r="S3" s="249">
        <f>F19-J10</f>
        <v>1.4688412761645182</v>
      </c>
      <c r="T3" s="110">
        <f>S3/F19*100</f>
        <v>13.298790229407075</v>
      </c>
    </row>
    <row r="4" spans="1:20" s="110" customFormat="1" ht="12" customHeight="1" x14ac:dyDescent="0.2">
      <c r="F4" s="110">
        <f>G19/20*31</f>
        <v>17.639961130509999</v>
      </c>
      <c r="G4" s="110">
        <v>13.2800040955377</v>
      </c>
      <c r="H4" s="270">
        <f>G4*F4/100</f>
        <v>2.3425875605829862</v>
      </c>
      <c r="I4" s="268">
        <f>F4-H4</f>
        <v>15.297373569927013</v>
      </c>
      <c r="J4" s="270">
        <f>I4/31*20</f>
        <v>9.8692732709206528</v>
      </c>
      <c r="K4" s="270">
        <f>J4-K10</f>
        <v>3.9744867694849972E-2</v>
      </c>
      <c r="L4" s="268">
        <f>G19/27*31</f>
        <v>13.066637874451851</v>
      </c>
      <c r="M4" s="271"/>
      <c r="N4" s="249">
        <f>F19-J10</f>
        <v>1.4688412761645182</v>
      </c>
      <c r="O4" s="249">
        <f>N4/F19*100</f>
        <v>13.298790229407075</v>
      </c>
      <c r="Q4" s="249"/>
      <c r="R4" s="110">
        <f>R3/F19*100</f>
        <v>13.298790229407075</v>
      </c>
      <c r="S4" s="249">
        <f>G19-K10</f>
        <v>1.5510916809741975</v>
      </c>
      <c r="T4" s="110">
        <f>S4/G19*100</f>
        <v>13.629236979166159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1.5510916809741975</v>
      </c>
      <c r="O5" s="274">
        <f>N5/G19*100</f>
        <v>13.629236979166159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79" t="s">
        <v>179</v>
      </c>
      <c r="I8" s="114" t="s">
        <v>180</v>
      </c>
      <c r="J8" s="318"/>
      <c r="K8" s="328"/>
      <c r="L8" s="328"/>
      <c r="M8" s="279" t="s">
        <v>179</v>
      </c>
      <c r="N8" s="114" t="s">
        <v>180</v>
      </c>
      <c r="O8" s="318"/>
      <c r="P8" s="328"/>
      <c r="Q8" s="279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11.0449240181</v>
      </c>
      <c r="G10" s="128">
        <f>SUMIFS(G18:G5005,$A18:$A5005,$A10,$C18:$C5005,$C10)</f>
        <v>11.3806200842</v>
      </c>
      <c r="H10" s="128">
        <f>G10-F10</f>
        <v>0.33569606610000058</v>
      </c>
      <c r="I10" s="129">
        <f>IFERROR(G10/F10-1,"")</f>
        <v>3.0393696285268668E-2</v>
      </c>
      <c r="J10" s="130">
        <f t="shared" ref="J10" si="1">SUM(J11:J18)</f>
        <v>9.5760827419354815</v>
      </c>
      <c r="K10" s="128">
        <f t="shared" ref="K10" si="2">SUM(K11:K18)</f>
        <v>9.8295284032258028</v>
      </c>
      <c r="L10" s="128"/>
      <c r="M10" s="250">
        <f>K10-J10</f>
        <v>0.25344566129032131</v>
      </c>
      <c r="N10" s="129">
        <f>IFERROR(K10/J10-1,"")</f>
        <v>2.6466527923827865E-2</v>
      </c>
      <c r="O10" s="128">
        <f>SUMIFS(O18:O5005,$A18:$A5005,$A10,$C18:$C5005,$C10)</f>
        <v>87.927876870000006</v>
      </c>
      <c r="P10" s="128">
        <f>SUMIFS(P18:P5005,$A18:$A5005,$A10,$C18:$C5005,$C10)</f>
        <v>87.696462870000005</v>
      </c>
      <c r="Q10" s="131">
        <f>P10-O10</f>
        <v>-0.2314140000000009</v>
      </c>
      <c r="R10" s="132">
        <f t="shared" ref="R10:R19" si="3">IFERROR(P10/O10-1,"")</f>
        <v>-2.6318615692511038E-3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0.6195553548387096</v>
      </c>
      <c r="K11" s="142">
        <f>SUMIFS(K19:K5006,$A19:$A5006,$A11,$C19:$C5006,$C11)</f>
        <v>0.61700919354838701</v>
      </c>
      <c r="L11" s="142"/>
      <c r="M11" s="142">
        <f t="shared" ref="M11:M68" si="4">K11-J11</f>
        <v>-2.5461612903225905E-3</v>
      </c>
      <c r="N11" s="143">
        <f t="shared" ref="N11:N68" si="5">IFERROR(K11/J11-1,"")</f>
        <v>-4.1096590812058631E-3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0.18774522580645159</v>
      </c>
      <c r="K14" s="142">
        <f>SUMIFS(K19:K5006,$A19:$A5006,$A14,$C19:$C5006,$C14)</f>
        <v>0.17850622580645159</v>
      </c>
      <c r="L14" s="142"/>
      <c r="M14" s="142">
        <f t="shared" si="4"/>
        <v>-9.2389999999999972E-3</v>
      </c>
      <c r="N14" s="143">
        <f t="shared" si="5"/>
        <v>-4.9210305936219001E-2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2.3342382580645133</v>
      </c>
      <c r="K15" s="142">
        <f>SUMIFS(K19:K5006,$A19:$A5006,$A15,$C19:$C5006,$C15)</f>
        <v>2.5859624354838684</v>
      </c>
      <c r="L15" s="142"/>
      <c r="M15" s="142">
        <f t="shared" si="4"/>
        <v>0.25172417741935504</v>
      </c>
      <c r="N15" s="143">
        <f t="shared" si="5"/>
        <v>0.10783996729968681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0.11536316129032259</v>
      </c>
      <c r="K16" s="142">
        <f>SUMIFS(K19:K5006,$A19:$A5006,$A16,$C19:$C5006,$C16)</f>
        <v>0.11511080645161291</v>
      </c>
      <c r="L16" s="142"/>
      <c r="M16" s="142">
        <f t="shared" si="4"/>
        <v>-2.5235483870968134E-4</v>
      </c>
      <c r="N16" s="143">
        <f t="shared" si="5"/>
        <v>-2.1874819993412675E-3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3.3988407096774189</v>
      </c>
      <c r="K17" s="142">
        <f>SUMIFS(K19:K5006,$A19:$A5006,$A17,$C19:$C5006,$C17)</f>
        <v>3.4113637096774188</v>
      </c>
      <c r="L17" s="142"/>
      <c r="M17" s="142">
        <f t="shared" si="4"/>
        <v>1.252299999999984E-2</v>
      </c>
      <c r="N17" s="143">
        <f t="shared" si="5"/>
        <v>3.6844915868941008E-3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2.9203400322580646</v>
      </c>
      <c r="K18" s="154">
        <f>SUMIFS(K19:K5006,$A19:$A5006,$A18,$C19:$C5006,$C18)</f>
        <v>2.9215760322580646</v>
      </c>
      <c r="L18" s="154"/>
      <c r="M18" s="154">
        <f t="shared" si="4"/>
        <v>1.2360000000000149E-3</v>
      </c>
      <c r="N18" s="155">
        <f t="shared" si="5"/>
        <v>4.2323838537527969E-4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11.0449240181</v>
      </c>
      <c r="G19" s="210">
        <v>11.3806200842</v>
      </c>
      <c r="H19" s="269">
        <f>G19-F19</f>
        <v>0.33569606610000058</v>
      </c>
      <c r="I19" s="164">
        <f>IFERROR(G19/F19-1,"")</f>
        <v>3.0393696285268668E-2</v>
      </c>
      <c r="J19" s="165">
        <f>SUM(J20,J29,J35,J41,J47,J55,J62,J63)</f>
        <v>9.5760827419354815</v>
      </c>
      <c r="K19" s="163">
        <f>SUM(K20,K29,K35,K41,K47,K55,K62,K63)</f>
        <v>9.8295284032258028</v>
      </c>
      <c r="L19" s="163"/>
      <c r="M19" s="163">
        <f t="shared" si="4"/>
        <v>0.25344566129032131</v>
      </c>
      <c r="N19" s="164">
        <f t="shared" si="5"/>
        <v>2.6466527923827865E-2</v>
      </c>
      <c r="O19" s="210">
        <v>87.927876870000006</v>
      </c>
      <c r="P19" s="210">
        <f>O19-0.231414</f>
        <v>87.696462870000005</v>
      </c>
      <c r="Q19" s="166">
        <f t="shared" ref="Q19" si="7">P19-O19</f>
        <v>-0.2314140000000009</v>
      </c>
      <c r="R19" s="167">
        <f t="shared" si="3"/>
        <v>-2.6318615692511038E-3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0.6195553548387096</v>
      </c>
      <c r="K20" s="173">
        <f>SUM(K21:K28)</f>
        <v>0.61700919354838701</v>
      </c>
      <c r="L20" s="173"/>
      <c r="M20" s="251">
        <f t="shared" si="4"/>
        <v>-2.5461612903225905E-3</v>
      </c>
      <c r="N20" s="174">
        <f t="shared" si="5"/>
        <v>-4.1096590812058631E-3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0.958468/31*9</f>
        <v>0.27826490322580644</v>
      </c>
      <c r="K24" s="262">
        <f>J24-0.000521</f>
        <v>0.27774390322580644</v>
      </c>
      <c r="L24" s="185"/>
      <c r="M24" s="252">
        <f>K24-J24</f>
        <v>-5.2099999999999369E-4</v>
      </c>
      <c r="N24" s="186">
        <f>IFERROR(K24/J24-1,"")</f>
        <v>-1.8723166089588128E-3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0.35886/31*9</f>
        <v>0.10418516129032258</v>
      </c>
      <c r="K25" s="262">
        <v>0.102072</v>
      </c>
      <c r="L25" s="185"/>
      <c r="M25" s="252">
        <f t="shared" ref="M25:M27" si="10">K25-J25</f>
        <v>-2.1131612903225877E-3</v>
      </c>
      <c r="N25" s="186">
        <f t="shared" ref="N25:N27" si="11">IFERROR(K25/J25-1,"")</f>
        <v>-2.0282747218042352E-2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0.080084/31*9</f>
        <v>2.3250193548387098E-2</v>
      </c>
      <c r="K26" s="262">
        <f>J26+0.000235</f>
        <v>2.3485193548387098E-2</v>
      </c>
      <c r="L26" s="185"/>
      <c r="M26" s="252">
        <f t="shared" si="10"/>
        <v>2.349999999999991E-4</v>
      </c>
      <c r="N26" s="186">
        <f t="shared" si="11"/>
        <v>1.0107442740677763E-2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0.736612/31*9</f>
        <v>0.21385509677419356</v>
      </c>
      <c r="K28" s="190">
        <f>J28-0.000147</f>
        <v>0.21370809677419356</v>
      </c>
      <c r="L28" s="190"/>
      <c r="M28" s="185">
        <f t="shared" si="4"/>
        <v>-1.4700000000000824E-4</v>
      </c>
      <c r="N28" s="186">
        <f t="shared" si="5"/>
        <v>-6.8738132603507474E-4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0.18774522580645159</v>
      </c>
      <c r="K41" s="251">
        <f t="shared" si="15"/>
        <v>0.17850622580645159</v>
      </c>
      <c r="L41" s="173"/>
      <c r="M41" s="173">
        <f t="shared" si="4"/>
        <v>-9.2389999999999972E-3</v>
      </c>
      <c r="N41" s="174">
        <f t="shared" si="5"/>
        <v>-4.9210305936219001E-2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0.646678/31*9</f>
        <v>0.18774522580645159</v>
      </c>
      <c r="K46" s="185">
        <f>J46-0.009239</f>
        <v>0.17850622580645159</v>
      </c>
      <c r="L46" s="185"/>
      <c r="M46" s="185">
        <f t="shared" si="4"/>
        <v>-9.2389999999999972E-3</v>
      </c>
      <c r="N46" s="186">
        <f t="shared" si="5"/>
        <v>-4.9210305936219001E-2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2.3342382580645133</v>
      </c>
      <c r="K47" s="251">
        <f>SUM(K48:K54)</f>
        <v>2.5859624354838684</v>
      </c>
      <c r="L47" s="173"/>
      <c r="M47" s="251">
        <f t="shared" si="4"/>
        <v>0.25172417741935504</v>
      </c>
      <c r="N47" s="174">
        <f t="shared" si="5"/>
        <v>0.10783996729968681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0.141065/31*9</f>
        <v>4.0954354838709676E-2</v>
      </c>
      <c r="K51" s="256">
        <f>J51+0.039521</f>
        <v>8.0475354838709684E-2</v>
      </c>
      <c r="L51" s="190"/>
      <c r="M51" s="252">
        <f>K51-J51</f>
        <v>3.9521000000000008E-2</v>
      </c>
      <c r="N51" s="186">
        <f t="shared" si="5"/>
        <v>0.96500116179696538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0.282325/31*9</f>
        <v>8.196532258064515E-2</v>
      </c>
      <c r="K52" s="190">
        <v>4.0544999999999999E-3</v>
      </c>
      <c r="L52" s="190"/>
      <c r="M52" s="252">
        <f t="shared" ref="M52:M53" si="16">K52-J52</f>
        <v>-7.7910822580645148E-2</v>
      </c>
      <c r="N52" s="186">
        <f t="shared" si="5"/>
        <v>-0.95053395908970162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7.61676399999999/31*9</f>
        <v>2.2113185806451585</v>
      </c>
      <c r="K54" s="185">
        <f>J54+0.290114</f>
        <v>2.5014325806451585</v>
      </c>
      <c r="L54" s="185"/>
      <c r="M54" s="252">
        <f t="shared" si="4"/>
        <v>0.29011399999999998</v>
      </c>
      <c r="N54" s="186">
        <f t="shared" si="5"/>
        <v>0.13119502659601334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0.11536316129032259</v>
      </c>
      <c r="K55" s="173">
        <f t="shared" si="18"/>
        <v>0.11511080645161291</v>
      </c>
      <c r="L55" s="173"/>
      <c r="M55" s="251">
        <f t="shared" si="4"/>
        <v>-2.5235483870968134E-4</v>
      </c>
      <c r="N55" s="174">
        <f t="shared" si="5"/>
        <v>-2.1874819993412675E-3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0.107988/31*9</f>
        <v>3.1351354838709676E-2</v>
      </c>
      <c r="K59" s="262">
        <v>2.5149000000000001E-2</v>
      </c>
      <c r="L59" s="190"/>
      <c r="M59" s="185">
        <f>K59-J59</f>
        <v>-6.2023548387096748E-3</v>
      </c>
      <c r="N59" s="186">
        <f>IFERROR(K59/J59-1,"")</f>
        <v>-0.19783370991838589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0.289374/31*9</f>
        <v>8.4011806451612908E-2</v>
      </c>
      <c r="K61" s="185">
        <f>J61+0.00595</f>
        <v>8.9961806451612905E-2</v>
      </c>
      <c r="L61" s="185"/>
      <c r="M61" s="185">
        <f t="shared" si="4"/>
        <v>5.949999999999997E-3</v>
      </c>
      <c r="N61" s="186">
        <f t="shared" si="5"/>
        <v>7.0823378895285893E-2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11.707118/31*9</f>
        <v>3.3988407096774189</v>
      </c>
      <c r="K62" s="261">
        <f>J62+0.012523</f>
        <v>3.4113637096774188</v>
      </c>
      <c r="L62" s="193"/>
      <c r="M62" s="253">
        <f t="shared" si="4"/>
        <v>1.252299999999984E-2</v>
      </c>
      <c r="N62" s="194">
        <f t="shared" si="5"/>
        <v>3.6844915868941008E-3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2.9203400322580646</v>
      </c>
      <c r="K63" s="173">
        <f>SUM(K64:K68)</f>
        <v>2.9215760322580646</v>
      </c>
      <c r="L63" s="173"/>
      <c r="M63" s="173">
        <f t="shared" si="4"/>
        <v>1.2360000000000149E-3</v>
      </c>
      <c r="N63" s="174">
        <f t="shared" si="5"/>
        <v>4.2323838537527969E-4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10.058949/31*9</f>
        <v>2.9203400322580646</v>
      </c>
      <c r="K64" s="211">
        <f>J64+0.001236</f>
        <v>2.9215760322580646</v>
      </c>
      <c r="L64" s="185"/>
      <c r="M64" s="252">
        <f t="shared" si="4"/>
        <v>1.2360000000000149E-3</v>
      </c>
      <c r="N64" s="186">
        <f t="shared" si="5"/>
        <v>4.2323838537527969E-4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3983967.3167155432</v>
      </c>
      <c r="L74" s="133">
        <f>J74-K74</f>
        <v>8561629.6832844578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9576.082741935481</v>
      </c>
      <c r="L83" s="267">
        <f>L84+L85+L86+L87+L88+L89</f>
        <v>9829.5284032258023</v>
      </c>
      <c r="M83" s="267">
        <f>L83-K83</f>
        <v>253.44566129032137</v>
      </c>
      <c r="N83" s="266">
        <f>M83/K83</f>
        <v>2.6466527923827851E-2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619.5553548387096</v>
      </c>
      <c r="L84" s="267">
        <f>K20*1000</f>
        <v>617.00919354838697</v>
      </c>
      <c r="M84" s="267">
        <f t="shared" ref="M84:M89" si="19">L84-K84</f>
        <v>-2.5461612903226296</v>
      </c>
      <c r="N84" s="266">
        <f t="shared" ref="N84:N89" si="20">M84/K84</f>
        <v>-4.1096590812058726E-3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187.7452258064516</v>
      </c>
      <c r="L85" s="267">
        <f>K46*1000</f>
        <v>178.5062258064516</v>
      </c>
      <c r="M85" s="267">
        <f t="shared" si="19"/>
        <v>-9.2390000000000043</v>
      </c>
      <c r="N85" s="266">
        <f t="shared" si="20"/>
        <v>-4.9210305936219015E-2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2334.2382580645135</v>
      </c>
      <c r="L86" s="267">
        <f>K47*1000</f>
        <v>2585.9624354838684</v>
      </c>
      <c r="M86" s="267">
        <f t="shared" si="19"/>
        <v>251.72417741935487</v>
      </c>
      <c r="N86" s="266">
        <f t="shared" si="20"/>
        <v>0.10783996729968674</v>
      </c>
    </row>
    <row r="87" spans="5:20" x14ac:dyDescent="0.25">
      <c r="J87" s="133" t="s">
        <v>189</v>
      </c>
      <c r="K87" s="267">
        <f>J55*1000</f>
        <v>115.36316129032259</v>
      </c>
      <c r="L87" s="267">
        <f>K55*1000</f>
        <v>115.11080645161292</v>
      </c>
      <c r="M87" s="267">
        <f t="shared" si="19"/>
        <v>-0.25235483870967812</v>
      </c>
      <c r="N87" s="266">
        <f t="shared" si="20"/>
        <v>-2.1874819993412168E-3</v>
      </c>
    </row>
    <row r="88" spans="5:20" x14ac:dyDescent="0.25">
      <c r="E88" s="133">
        <v>9.8273639999999993</v>
      </c>
      <c r="J88" s="133" t="s">
        <v>190</v>
      </c>
      <c r="K88" s="267">
        <f>J62*1000</f>
        <v>3398.840709677419</v>
      </c>
      <c r="L88" s="267">
        <f>K62*1000</f>
        <v>3411.3637096774187</v>
      </c>
      <c r="M88" s="267">
        <f t="shared" si="19"/>
        <v>12.522999999999683</v>
      </c>
      <c r="N88" s="266">
        <f t="shared" si="20"/>
        <v>3.6844915868941177E-3</v>
      </c>
    </row>
    <row r="89" spans="5:20" x14ac:dyDescent="0.25">
      <c r="E89" s="133">
        <v>11.487494999999999</v>
      </c>
      <c r="J89" s="133" t="s">
        <v>191</v>
      </c>
      <c r="K89" s="267">
        <f>J64*1000</f>
        <v>2920.3400322580646</v>
      </c>
      <c r="L89" s="267">
        <f>K64*1000</f>
        <v>2921.5760322580645</v>
      </c>
      <c r="M89" s="267">
        <f t="shared" si="19"/>
        <v>1.2359999999998763</v>
      </c>
      <c r="N89" s="266">
        <f t="shared" si="20"/>
        <v>4.232383853753416E-4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523" priority="95" operator="lessThan">
      <formula>0</formula>
    </cfRule>
    <cfRule type="cellIs" dxfId="522" priority="96" operator="greaterThan">
      <formula>0</formula>
    </cfRule>
  </conditionalFormatting>
  <conditionalFormatting sqref="N10:N26 N28:N32 N34:N38 N40:N44 N46:N52 N54:N59 N61:N65 N67:N68">
    <cfRule type="cellIs" dxfId="521" priority="93" operator="lessThan">
      <formula>0</formula>
    </cfRule>
    <cfRule type="cellIs" dxfId="520" priority="94" operator="greaterThan">
      <formula>0</formula>
    </cfRule>
  </conditionalFormatting>
  <conditionalFormatting sqref="R10:R26 R28:R32 R34:R38 R40:R44 R46:R52 R54:R59 R61:R65 R67:R68">
    <cfRule type="cellIs" dxfId="519" priority="91" operator="lessThan">
      <formula>0</formula>
    </cfRule>
    <cfRule type="cellIs" dxfId="518" priority="92" operator="greaterThan">
      <formula>0</formula>
    </cfRule>
  </conditionalFormatting>
  <conditionalFormatting sqref="H10:H26 H28:H32 H34:H38 H40:H44 H46:H52 H54:H59 H61:H65 H67:H68">
    <cfRule type="cellIs" dxfId="517" priority="89" operator="lessThan">
      <formula>0</formula>
    </cfRule>
    <cfRule type="cellIs" dxfId="516" priority="90" operator="greaterThan">
      <formula>0</formula>
    </cfRule>
  </conditionalFormatting>
  <conditionalFormatting sqref="M10:M26 M28:M32 M34:M38 M40:M44 M46:M52 M54:M59 M61:M65 M67:M68">
    <cfRule type="cellIs" dxfId="515" priority="87" operator="lessThan">
      <formula>0</formula>
    </cfRule>
    <cfRule type="cellIs" dxfId="514" priority="88" operator="greaterThan">
      <formula>0</formula>
    </cfRule>
  </conditionalFormatting>
  <conditionalFormatting sqref="Q10:Q26 Q28:Q32 Q34:Q38 Q40:Q44 Q46:Q52 Q54:Q59 Q61:Q65 Q67:Q68">
    <cfRule type="cellIs" dxfId="513" priority="85" operator="lessThan">
      <formula>0</formula>
    </cfRule>
    <cfRule type="cellIs" dxfId="512" priority="86" operator="greaterThan">
      <formula>0</formula>
    </cfRule>
  </conditionalFormatting>
  <conditionalFormatting sqref="I27">
    <cfRule type="cellIs" dxfId="511" priority="83" operator="lessThan">
      <formula>0</formula>
    </cfRule>
    <cfRule type="cellIs" dxfId="510" priority="84" operator="greaterThan">
      <formula>0</formula>
    </cfRule>
  </conditionalFormatting>
  <conditionalFormatting sqref="N27">
    <cfRule type="cellIs" dxfId="509" priority="81" operator="lessThan">
      <formula>0</formula>
    </cfRule>
    <cfRule type="cellIs" dxfId="508" priority="82" operator="greaterThan">
      <formula>0</formula>
    </cfRule>
  </conditionalFormatting>
  <conditionalFormatting sqref="R27">
    <cfRule type="cellIs" dxfId="507" priority="79" operator="lessThan">
      <formula>0</formula>
    </cfRule>
    <cfRule type="cellIs" dxfId="506" priority="80" operator="greaterThan">
      <formula>0</formula>
    </cfRule>
  </conditionalFormatting>
  <conditionalFormatting sqref="H27">
    <cfRule type="cellIs" dxfId="505" priority="77" operator="lessThan">
      <formula>0</formula>
    </cfRule>
    <cfRule type="cellIs" dxfId="504" priority="78" operator="greaterThan">
      <formula>0</formula>
    </cfRule>
  </conditionalFormatting>
  <conditionalFormatting sqref="M27">
    <cfRule type="cellIs" dxfId="503" priority="75" operator="lessThan">
      <formula>0</formula>
    </cfRule>
    <cfRule type="cellIs" dxfId="502" priority="76" operator="greaterThan">
      <formula>0</formula>
    </cfRule>
  </conditionalFormatting>
  <conditionalFormatting sqref="Q27">
    <cfRule type="cellIs" dxfId="501" priority="73" operator="lessThan">
      <formula>0</formula>
    </cfRule>
    <cfRule type="cellIs" dxfId="500" priority="74" operator="greaterThan">
      <formula>0</formula>
    </cfRule>
  </conditionalFormatting>
  <conditionalFormatting sqref="I33">
    <cfRule type="cellIs" dxfId="499" priority="71" operator="lessThan">
      <formula>0</formula>
    </cfRule>
    <cfRule type="cellIs" dxfId="498" priority="72" operator="greaterThan">
      <formula>0</formula>
    </cfRule>
  </conditionalFormatting>
  <conditionalFormatting sqref="N33">
    <cfRule type="cellIs" dxfId="497" priority="69" operator="lessThan">
      <formula>0</formula>
    </cfRule>
    <cfRule type="cellIs" dxfId="496" priority="70" operator="greaterThan">
      <formula>0</formula>
    </cfRule>
  </conditionalFormatting>
  <conditionalFormatting sqref="R33">
    <cfRule type="cellIs" dxfId="495" priority="67" operator="lessThan">
      <formula>0</formula>
    </cfRule>
    <cfRule type="cellIs" dxfId="494" priority="68" operator="greaterThan">
      <formula>0</formula>
    </cfRule>
  </conditionalFormatting>
  <conditionalFormatting sqref="H33">
    <cfRule type="cellIs" dxfId="493" priority="65" operator="lessThan">
      <formula>0</formula>
    </cfRule>
    <cfRule type="cellIs" dxfId="492" priority="66" operator="greaterThan">
      <formula>0</formula>
    </cfRule>
  </conditionalFormatting>
  <conditionalFormatting sqref="M33">
    <cfRule type="cellIs" dxfId="491" priority="63" operator="lessThan">
      <formula>0</formula>
    </cfRule>
    <cfRule type="cellIs" dxfId="490" priority="64" operator="greaterThan">
      <formula>0</formula>
    </cfRule>
  </conditionalFormatting>
  <conditionalFormatting sqref="Q33">
    <cfRule type="cellIs" dxfId="489" priority="61" operator="lessThan">
      <formula>0</formula>
    </cfRule>
    <cfRule type="cellIs" dxfId="488" priority="62" operator="greaterThan">
      <formula>0</formula>
    </cfRule>
  </conditionalFormatting>
  <conditionalFormatting sqref="I39">
    <cfRule type="cellIs" dxfId="487" priority="59" operator="lessThan">
      <formula>0</formula>
    </cfRule>
    <cfRule type="cellIs" dxfId="486" priority="60" operator="greaterThan">
      <formula>0</formula>
    </cfRule>
  </conditionalFormatting>
  <conditionalFormatting sqref="N39">
    <cfRule type="cellIs" dxfId="485" priority="57" operator="lessThan">
      <formula>0</formula>
    </cfRule>
    <cfRule type="cellIs" dxfId="484" priority="58" operator="greaterThan">
      <formula>0</formula>
    </cfRule>
  </conditionalFormatting>
  <conditionalFormatting sqref="R39">
    <cfRule type="cellIs" dxfId="483" priority="55" operator="lessThan">
      <formula>0</formula>
    </cfRule>
    <cfRule type="cellIs" dxfId="482" priority="56" operator="greaterThan">
      <formula>0</formula>
    </cfRule>
  </conditionalFormatting>
  <conditionalFormatting sqref="H39">
    <cfRule type="cellIs" dxfId="481" priority="53" operator="lessThan">
      <formula>0</formula>
    </cfRule>
    <cfRule type="cellIs" dxfId="480" priority="54" operator="greaterThan">
      <formula>0</formula>
    </cfRule>
  </conditionalFormatting>
  <conditionalFormatting sqref="M39">
    <cfRule type="cellIs" dxfId="479" priority="51" operator="lessThan">
      <formula>0</formula>
    </cfRule>
    <cfRule type="cellIs" dxfId="478" priority="52" operator="greaterThan">
      <formula>0</formula>
    </cfRule>
  </conditionalFormatting>
  <conditionalFormatting sqref="Q39">
    <cfRule type="cellIs" dxfId="477" priority="49" operator="lessThan">
      <formula>0</formula>
    </cfRule>
    <cfRule type="cellIs" dxfId="476" priority="50" operator="greaterThan">
      <formula>0</formula>
    </cfRule>
  </conditionalFormatting>
  <conditionalFormatting sqref="I45">
    <cfRule type="cellIs" dxfId="475" priority="47" operator="lessThan">
      <formula>0</formula>
    </cfRule>
    <cfRule type="cellIs" dxfId="474" priority="48" operator="greaterThan">
      <formula>0</formula>
    </cfRule>
  </conditionalFormatting>
  <conditionalFormatting sqref="N45">
    <cfRule type="cellIs" dxfId="473" priority="45" operator="lessThan">
      <formula>0</formula>
    </cfRule>
    <cfRule type="cellIs" dxfId="472" priority="46" operator="greaterThan">
      <formula>0</formula>
    </cfRule>
  </conditionalFormatting>
  <conditionalFormatting sqref="R45">
    <cfRule type="cellIs" dxfId="471" priority="43" operator="lessThan">
      <formula>0</formula>
    </cfRule>
    <cfRule type="cellIs" dxfId="470" priority="44" operator="greaterThan">
      <formula>0</formula>
    </cfRule>
  </conditionalFormatting>
  <conditionalFormatting sqref="H45">
    <cfRule type="cellIs" dxfId="469" priority="41" operator="lessThan">
      <formula>0</formula>
    </cfRule>
    <cfRule type="cellIs" dxfId="468" priority="42" operator="greaterThan">
      <formula>0</formula>
    </cfRule>
  </conditionalFormatting>
  <conditionalFormatting sqref="M45">
    <cfRule type="cellIs" dxfId="467" priority="39" operator="lessThan">
      <formula>0</formula>
    </cfRule>
    <cfRule type="cellIs" dxfId="466" priority="40" operator="greaterThan">
      <formula>0</formula>
    </cfRule>
  </conditionalFormatting>
  <conditionalFormatting sqref="Q45">
    <cfRule type="cellIs" dxfId="465" priority="37" operator="lessThan">
      <formula>0</formula>
    </cfRule>
    <cfRule type="cellIs" dxfId="464" priority="38" operator="greaterThan">
      <formula>0</formula>
    </cfRule>
  </conditionalFormatting>
  <conditionalFormatting sqref="I53">
    <cfRule type="cellIs" dxfId="463" priority="35" operator="lessThan">
      <formula>0</formula>
    </cfRule>
    <cfRule type="cellIs" dxfId="462" priority="36" operator="greaterThan">
      <formula>0</formula>
    </cfRule>
  </conditionalFormatting>
  <conditionalFormatting sqref="N53">
    <cfRule type="cellIs" dxfId="461" priority="33" operator="lessThan">
      <formula>0</formula>
    </cfRule>
    <cfRule type="cellIs" dxfId="460" priority="34" operator="greaterThan">
      <formula>0</formula>
    </cfRule>
  </conditionalFormatting>
  <conditionalFormatting sqref="R53">
    <cfRule type="cellIs" dxfId="459" priority="31" operator="lessThan">
      <formula>0</formula>
    </cfRule>
    <cfRule type="cellIs" dxfId="458" priority="32" operator="greaterThan">
      <formula>0</formula>
    </cfRule>
  </conditionalFormatting>
  <conditionalFormatting sqref="H53">
    <cfRule type="cellIs" dxfId="457" priority="29" operator="lessThan">
      <formula>0</formula>
    </cfRule>
    <cfRule type="cellIs" dxfId="456" priority="30" operator="greaterThan">
      <formula>0</formula>
    </cfRule>
  </conditionalFormatting>
  <conditionalFormatting sqref="M53">
    <cfRule type="cellIs" dxfId="455" priority="27" operator="lessThan">
      <formula>0</formula>
    </cfRule>
    <cfRule type="cellIs" dxfId="454" priority="28" operator="greaterThan">
      <formula>0</formula>
    </cfRule>
  </conditionalFormatting>
  <conditionalFormatting sqref="Q53">
    <cfRule type="cellIs" dxfId="453" priority="25" operator="lessThan">
      <formula>0</formula>
    </cfRule>
    <cfRule type="cellIs" dxfId="452" priority="26" operator="greaterThan">
      <formula>0</formula>
    </cfRule>
  </conditionalFormatting>
  <conditionalFormatting sqref="I60">
    <cfRule type="cellIs" dxfId="451" priority="23" operator="lessThan">
      <formula>0</formula>
    </cfRule>
    <cfRule type="cellIs" dxfId="450" priority="24" operator="greaterThan">
      <formula>0</formula>
    </cfRule>
  </conditionalFormatting>
  <conditionalFormatting sqref="N60">
    <cfRule type="cellIs" dxfId="449" priority="21" operator="lessThan">
      <formula>0</formula>
    </cfRule>
    <cfRule type="cellIs" dxfId="448" priority="22" operator="greaterThan">
      <formula>0</formula>
    </cfRule>
  </conditionalFormatting>
  <conditionalFormatting sqref="R60">
    <cfRule type="cellIs" dxfId="447" priority="19" operator="lessThan">
      <formula>0</formula>
    </cfRule>
    <cfRule type="cellIs" dxfId="446" priority="20" operator="greaterThan">
      <formula>0</formula>
    </cfRule>
  </conditionalFormatting>
  <conditionalFormatting sqref="H60">
    <cfRule type="cellIs" dxfId="445" priority="17" operator="lessThan">
      <formula>0</formula>
    </cfRule>
    <cfRule type="cellIs" dxfId="444" priority="18" operator="greaterThan">
      <formula>0</formula>
    </cfRule>
  </conditionalFormatting>
  <conditionalFormatting sqref="M60">
    <cfRule type="cellIs" dxfId="443" priority="15" operator="lessThan">
      <formula>0</formula>
    </cfRule>
    <cfRule type="cellIs" dxfId="442" priority="16" operator="greaterThan">
      <formula>0</formula>
    </cfRule>
  </conditionalFormatting>
  <conditionalFormatting sqref="Q60">
    <cfRule type="cellIs" dxfId="441" priority="13" operator="lessThan">
      <formula>0</formula>
    </cfRule>
    <cfRule type="cellIs" dxfId="440" priority="14" operator="greaterThan">
      <formula>0</formula>
    </cfRule>
  </conditionalFormatting>
  <conditionalFormatting sqref="I66">
    <cfRule type="cellIs" dxfId="439" priority="11" operator="lessThan">
      <formula>0</formula>
    </cfRule>
    <cfRule type="cellIs" dxfId="438" priority="12" operator="greaterThan">
      <formula>0</formula>
    </cfRule>
  </conditionalFormatting>
  <conditionalFormatting sqref="N66">
    <cfRule type="cellIs" dxfId="437" priority="9" operator="lessThan">
      <formula>0</formula>
    </cfRule>
    <cfRule type="cellIs" dxfId="436" priority="10" operator="greaterThan">
      <formula>0</formula>
    </cfRule>
  </conditionalFormatting>
  <conditionalFormatting sqref="R66">
    <cfRule type="cellIs" dxfId="435" priority="7" operator="lessThan">
      <formula>0</formula>
    </cfRule>
    <cfRule type="cellIs" dxfId="434" priority="8" operator="greaterThan">
      <formula>0</formula>
    </cfRule>
  </conditionalFormatting>
  <conditionalFormatting sqref="H66">
    <cfRule type="cellIs" dxfId="433" priority="5" operator="lessThan">
      <formula>0</formula>
    </cfRule>
    <cfRule type="cellIs" dxfId="432" priority="6" operator="greaterThan">
      <formula>0</formula>
    </cfRule>
  </conditionalFormatting>
  <conditionalFormatting sqref="M66">
    <cfRule type="cellIs" dxfId="431" priority="3" operator="lessThan">
      <formula>0</formula>
    </cfRule>
    <cfRule type="cellIs" dxfId="430" priority="4" operator="greaterThan">
      <formula>0</formula>
    </cfRule>
  </conditionalFormatting>
  <conditionalFormatting sqref="Q66">
    <cfRule type="cellIs" dxfId="429" priority="1" operator="lessThan">
      <formula>0</formula>
    </cfRule>
    <cfRule type="cellIs" dxfId="428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10" activePane="bottomRight" state="frozen"/>
      <selection activeCell="K54" sqref="K54"/>
      <selection pane="topRight" activeCell="K54" sqref="K54"/>
      <selection pane="bottomLeft" activeCell="K54" sqref="K54"/>
      <selection pane="bottomRight" activeCell="K54" sqref="K5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44038</v>
      </c>
      <c r="K1" s="249">
        <f>G19</f>
        <v>20.242386138570801</v>
      </c>
      <c r="L1" s="249">
        <f>K10</f>
        <v>17.67693296774193</v>
      </c>
      <c r="M1" s="249">
        <f>K1-L1</f>
        <v>2.5654531708288708</v>
      </c>
      <c r="N1" s="273">
        <f>M1/K1*100</f>
        <v>12.673669760407025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20.242386138570801</v>
      </c>
      <c r="P3" s="249">
        <v>0.105769</v>
      </c>
      <c r="Q3" s="249">
        <f>O1-P3</f>
        <v>-0.105769</v>
      </c>
      <c r="R3" s="249">
        <f>F19-J10</f>
        <v>2.5197626071258092</v>
      </c>
      <c r="S3" s="249">
        <f>F19-J10</f>
        <v>2.5197626071258092</v>
      </c>
      <c r="T3" s="110">
        <f>S3/F19*100</f>
        <v>12.892827716160543</v>
      </c>
    </row>
    <row r="4" spans="1:20" s="110" customFormat="1" ht="12" customHeight="1" x14ac:dyDescent="0.2">
      <c r="F4" s="110">
        <f>G19/20*31</f>
        <v>31.375698514784744</v>
      </c>
      <c r="G4" s="110">
        <v>13.2800040955377</v>
      </c>
      <c r="H4" s="270">
        <f>G4*F4/100</f>
        <v>4.1666940477669758</v>
      </c>
      <c r="I4" s="268">
        <f>F4-H4</f>
        <v>27.20900446701777</v>
      </c>
      <c r="J4" s="270">
        <f>I4/31*20</f>
        <v>17.554196430334045</v>
      </c>
      <c r="K4" s="270">
        <f>J4-K10</f>
        <v>-0.12273653740788504</v>
      </c>
      <c r="L4" s="268">
        <f>G19/27*31</f>
        <v>23.241258159099807</v>
      </c>
      <c r="M4" s="271"/>
      <c r="N4" s="249">
        <f>F19-J10</f>
        <v>2.5197626071258092</v>
      </c>
      <c r="O4" s="249">
        <f>N4/F19*100</f>
        <v>12.892827716160543</v>
      </c>
      <c r="Q4" s="249"/>
      <c r="R4" s="110">
        <f>R3/F19*100</f>
        <v>12.892827716160543</v>
      </c>
      <c r="S4" s="249">
        <f>G19-K10</f>
        <v>2.5654531708288708</v>
      </c>
      <c r="T4" s="110">
        <f>S4/G19*100</f>
        <v>12.673669760407025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2.5654531708288708</v>
      </c>
      <c r="O5" s="274">
        <f>N5/G19*100</f>
        <v>12.673669760407025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1" t="s">
        <v>179</v>
      </c>
      <c r="I8" s="114" t="s">
        <v>180</v>
      </c>
      <c r="J8" s="318"/>
      <c r="K8" s="328"/>
      <c r="L8" s="328"/>
      <c r="M8" s="281" t="s">
        <v>179</v>
      </c>
      <c r="N8" s="114" t="s">
        <v>180</v>
      </c>
      <c r="O8" s="318"/>
      <c r="P8" s="328"/>
      <c r="Q8" s="281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19.543909703899999</v>
      </c>
      <c r="G10" s="128">
        <f>SUMIFS(G18:G5005,$A18:$A5005,$A10,$C18:$C5005,$C10)</f>
        <v>20.242386138570801</v>
      </c>
      <c r="H10" s="128">
        <f>G10-F10</f>
        <v>0.69847643467080189</v>
      </c>
      <c r="I10" s="129">
        <f>IFERROR(G10/F10-1,"")</f>
        <v>3.5738828374315634E-2</v>
      </c>
      <c r="J10" s="130">
        <f t="shared" ref="J10" si="1">SUM(J11:J18)</f>
        <v>17.02414709677419</v>
      </c>
      <c r="K10" s="128">
        <f t="shared" ref="K10" si="2">SUM(K11:K18)</f>
        <v>17.67693296774193</v>
      </c>
      <c r="L10" s="128"/>
      <c r="M10" s="250">
        <f>K10-J10</f>
        <v>0.65278587096774032</v>
      </c>
      <c r="N10" s="129">
        <f>IFERROR(K10/J10-1,"")</f>
        <v>3.8344703394358692E-2</v>
      </c>
      <c r="O10" s="128">
        <f>SUMIFS(O18:O5005,$A18:$A5005,$A10,$C18:$C5005,$C10)</f>
        <v>87.927876870000006</v>
      </c>
      <c r="P10" s="128">
        <f>SUMIFS(P18:P5005,$A18:$A5005,$A10,$C18:$C5005,$C10)</f>
        <v>87.696462870000005</v>
      </c>
      <c r="Q10" s="131">
        <f>P10-O10</f>
        <v>-0.2314140000000009</v>
      </c>
      <c r="R10" s="132">
        <f t="shared" ref="R10:R19" si="3">IFERROR(P10/O10-1,"")</f>
        <v>-2.6318615692511038E-3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1.101431741935484</v>
      </c>
      <c r="K11" s="142">
        <f>SUMIFS(K19:K5006,$A19:$A5006,$A11,$C19:$C5006,$C11)</f>
        <v>1.099406741935484</v>
      </c>
      <c r="L11" s="142"/>
      <c r="M11" s="142">
        <f t="shared" ref="M11:M68" si="4">K11-J11</f>
        <v>-2.0249999999999435E-3</v>
      </c>
      <c r="N11" s="143">
        <f t="shared" ref="N11:N68" si="5">IFERROR(K11/J11-1,"")</f>
        <v>-1.8385161085348045E-3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0.33376929032258063</v>
      </c>
      <c r="K14" s="142">
        <f>SUMIFS(K19:K5006,$A19:$A5006,$A14,$C19:$C5006,$C14)</f>
        <v>0.32453029032258063</v>
      </c>
      <c r="L14" s="142"/>
      <c r="M14" s="142">
        <f t="shared" si="4"/>
        <v>-9.2389999999999972E-3</v>
      </c>
      <c r="N14" s="143">
        <f t="shared" si="5"/>
        <v>-2.7680797089123188E-2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4.1497569032258017</v>
      </c>
      <c r="K15" s="142">
        <f>SUMIFS(K19:K5006,$A19:$A5006,$A15,$C19:$C5006,$C15)</f>
        <v>4.7859287741935432</v>
      </c>
      <c r="L15" s="142"/>
      <c r="M15" s="142">
        <f t="shared" si="4"/>
        <v>0.63617187096774153</v>
      </c>
      <c r="N15" s="143">
        <f t="shared" si="5"/>
        <v>0.15330340687504251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0.20509006451612904</v>
      </c>
      <c r="K16" s="142">
        <f>SUMIFS(K19:K5006,$A19:$A5006,$A16,$C19:$C5006,$C16)</f>
        <v>0.20520906451612905</v>
      </c>
      <c r="L16" s="142"/>
      <c r="M16" s="142">
        <f t="shared" si="4"/>
        <v>1.1900000000000799E-4</v>
      </c>
      <c r="N16" s="143">
        <f t="shared" si="5"/>
        <v>5.8023288588238131E-4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6.0423834838709674</v>
      </c>
      <c r="K17" s="142">
        <f>SUMIFS(K19:K5006,$A19:$A5006,$A17,$C19:$C5006,$C17)</f>
        <v>6.0549064838709672</v>
      </c>
      <c r="L17" s="142"/>
      <c r="M17" s="142">
        <f t="shared" si="4"/>
        <v>1.252299999999984E-2</v>
      </c>
      <c r="N17" s="143">
        <f t="shared" si="5"/>
        <v>2.072526517628015E-3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5.1917156129032263</v>
      </c>
      <c r="K18" s="154">
        <f>SUMIFS(K19:K5006,$A19:$A5006,$A18,$C19:$C5006,$C18)</f>
        <v>5.2069516129032261</v>
      </c>
      <c r="L18" s="154"/>
      <c r="M18" s="154">
        <f t="shared" si="4"/>
        <v>1.5235999999999805E-2</v>
      </c>
      <c r="N18" s="155">
        <f t="shared" si="5"/>
        <v>2.934675382090024E-3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19.543909703899999</v>
      </c>
      <c r="G19" s="210">
        <v>20.242386138570801</v>
      </c>
      <c r="H19" s="269">
        <f>G19-F19</f>
        <v>0.69847643467080189</v>
      </c>
      <c r="I19" s="164">
        <f>IFERROR(G19/F19-1,"")</f>
        <v>3.5738828374315634E-2</v>
      </c>
      <c r="J19" s="165">
        <f>SUM(J20,J29,J35,J41,J47,J55,J62,J63)</f>
        <v>17.02414709677419</v>
      </c>
      <c r="K19" s="163">
        <f>SUM(K20,K29,K35,K41,K47,K55,K62,K63)</f>
        <v>17.67693296774193</v>
      </c>
      <c r="L19" s="163"/>
      <c r="M19" s="163">
        <f t="shared" si="4"/>
        <v>0.65278587096774032</v>
      </c>
      <c r="N19" s="164">
        <f t="shared" si="5"/>
        <v>3.8344703394358692E-2</v>
      </c>
      <c r="O19" s="210">
        <v>87.927876870000006</v>
      </c>
      <c r="P19" s="210">
        <f>O19-0.231414</f>
        <v>87.696462870000005</v>
      </c>
      <c r="Q19" s="166">
        <f t="shared" ref="Q19" si="7">P19-O19</f>
        <v>-0.2314140000000009</v>
      </c>
      <c r="R19" s="167">
        <f t="shared" si="3"/>
        <v>-2.6318615692511038E-3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1.101431741935484</v>
      </c>
      <c r="K20" s="173">
        <f>SUM(K21:K28)</f>
        <v>1.099406741935484</v>
      </c>
      <c r="L20" s="173"/>
      <c r="M20" s="251">
        <f t="shared" si="4"/>
        <v>-2.0249999999999435E-3</v>
      </c>
      <c r="N20" s="174">
        <f t="shared" si="5"/>
        <v>-1.8385161085348045E-3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0.958468/31*16</f>
        <v>0.49469316129032259</v>
      </c>
      <c r="K24" s="262">
        <f>J24-0.002321</f>
        <v>0.49237216129032257</v>
      </c>
      <c r="L24" s="185"/>
      <c r="M24" s="252">
        <f>K24-J24</f>
        <v>-2.3210000000000175E-3</v>
      </c>
      <c r="N24" s="186">
        <f>IFERROR(K24/J24-1,"")</f>
        <v>-4.6917972222338955E-3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0.35886/31*16</f>
        <v>0.18521806451612904</v>
      </c>
      <c r="K25" s="262">
        <f>J25-0.00122</f>
        <v>0.18399806451612905</v>
      </c>
      <c r="L25" s="185"/>
      <c r="M25" s="252">
        <f t="shared" ref="M25:M27" si="10">K25-J25</f>
        <v>-1.2199999999999989E-3</v>
      </c>
      <c r="N25" s="186">
        <f t="shared" ref="N25:N27" si="11">IFERROR(K25/J25-1,"")</f>
        <v>-6.5868305188653276E-3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0.080084/31*16</f>
        <v>4.1333677419354842E-2</v>
      </c>
      <c r="K26" s="262">
        <f>J26+0.001663</f>
        <v>4.299667741935484E-2</v>
      </c>
      <c r="L26" s="185"/>
      <c r="M26" s="252">
        <f t="shared" si="10"/>
        <v>1.6629999999999978E-3</v>
      </c>
      <c r="N26" s="186">
        <f t="shared" si="11"/>
        <v>4.0233536037160844E-2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0.736612/31*16</f>
        <v>0.38018683870967745</v>
      </c>
      <c r="K28" s="190">
        <f>J28-0.000147</f>
        <v>0.38003983870967745</v>
      </c>
      <c r="L28" s="190"/>
      <c r="M28" s="185">
        <f t="shared" si="4"/>
        <v>-1.4700000000000824E-4</v>
      </c>
      <c r="N28" s="186">
        <f t="shared" si="5"/>
        <v>-3.8665199589471566E-4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0.33376929032258063</v>
      </c>
      <c r="K41" s="251">
        <f t="shared" si="15"/>
        <v>0.32453029032258063</v>
      </c>
      <c r="L41" s="173"/>
      <c r="M41" s="173">
        <f t="shared" si="4"/>
        <v>-9.2389999999999972E-3</v>
      </c>
      <c r="N41" s="174">
        <f t="shared" si="5"/>
        <v>-2.7680797089123188E-2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0.646678/31*16</f>
        <v>0.33376929032258063</v>
      </c>
      <c r="K46" s="185">
        <f>J46-0.009239</f>
        <v>0.32453029032258063</v>
      </c>
      <c r="L46" s="185"/>
      <c r="M46" s="185">
        <f t="shared" si="4"/>
        <v>-9.2389999999999972E-3</v>
      </c>
      <c r="N46" s="186">
        <f t="shared" si="5"/>
        <v>-2.7680797089123188E-2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4.1497569032258017</v>
      </c>
      <c r="K47" s="251">
        <f>SUM(K48:K54)</f>
        <v>4.7859287741935432</v>
      </c>
      <c r="L47" s="173"/>
      <c r="M47" s="251">
        <f t="shared" si="4"/>
        <v>0.63617187096774153</v>
      </c>
      <c r="N47" s="174">
        <f t="shared" si="5"/>
        <v>0.15330340687504251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0.141065/31*16</f>
        <v>7.2807741935483866E-2</v>
      </c>
      <c r="K51" s="256">
        <f>J51+0.051229</f>
        <v>0.12403674193548386</v>
      </c>
      <c r="L51" s="190"/>
      <c r="M51" s="252">
        <f>K51-J51</f>
        <v>5.1228999999999997E-2</v>
      </c>
      <c r="N51" s="186">
        <f t="shared" si="5"/>
        <v>0.70362022826356641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0.282325/31*16</f>
        <v>0.14571612903225806</v>
      </c>
      <c r="K52" s="190">
        <v>4.0544999999999998E-2</v>
      </c>
      <c r="L52" s="190"/>
      <c r="M52" s="252">
        <f t="shared" ref="M52:M53" si="16">K52-J52</f>
        <v>-0.10517112903225806</v>
      </c>
      <c r="N52" s="186">
        <f t="shared" si="5"/>
        <v>-0.72175351987957148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7.61676399999999/31*16</f>
        <v>3.9312330322580595</v>
      </c>
      <c r="K54" s="185">
        <f>J54+0.690114</f>
        <v>4.6213470322580594</v>
      </c>
      <c r="L54" s="185"/>
      <c r="M54" s="252">
        <f t="shared" si="4"/>
        <v>0.69011399999999989</v>
      </c>
      <c r="N54" s="186">
        <f t="shared" si="5"/>
        <v>0.17554644925325258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0.20509006451612904</v>
      </c>
      <c r="K55" s="173">
        <f t="shared" si="18"/>
        <v>0.20520906451612905</v>
      </c>
      <c r="L55" s="173"/>
      <c r="M55" s="251">
        <f t="shared" si="4"/>
        <v>1.1900000000000799E-4</v>
      </c>
      <c r="N55" s="174">
        <f t="shared" si="5"/>
        <v>5.8023288588238131E-4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0.107988/31*16</f>
        <v>5.5735741935483869E-2</v>
      </c>
      <c r="K59" s="262">
        <f>J59-0.005831</f>
        <v>4.9904741935483866E-2</v>
      </c>
      <c r="L59" s="190"/>
      <c r="M59" s="185">
        <f>K59-J59</f>
        <v>-5.8310000000000028E-3</v>
      </c>
      <c r="N59" s="186">
        <f>IFERROR(K59/J59-1,"")</f>
        <v>-0.10461868448346123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0.289374/31*16</f>
        <v>0.14935432258064518</v>
      </c>
      <c r="K61" s="185">
        <f>J61+0.00595</f>
        <v>0.15530432258064519</v>
      </c>
      <c r="L61" s="185"/>
      <c r="M61" s="185">
        <f t="shared" si="4"/>
        <v>5.9500000000000108E-3</v>
      </c>
      <c r="N61" s="186">
        <f t="shared" si="5"/>
        <v>3.9838150628598301E-2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11.707118/31*16</f>
        <v>6.0423834838709674</v>
      </c>
      <c r="K62" s="261">
        <f>J62+0.012523</f>
        <v>6.0549064838709672</v>
      </c>
      <c r="L62" s="193"/>
      <c r="M62" s="253">
        <f t="shared" si="4"/>
        <v>1.252299999999984E-2</v>
      </c>
      <c r="N62" s="194">
        <f t="shared" si="5"/>
        <v>2.072526517628015E-3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5.1917156129032263</v>
      </c>
      <c r="K63" s="173">
        <f>SUM(K64:K68)</f>
        <v>5.2069516129032261</v>
      </c>
      <c r="L63" s="173"/>
      <c r="M63" s="173">
        <f t="shared" si="4"/>
        <v>1.5235999999999805E-2</v>
      </c>
      <c r="N63" s="174">
        <f t="shared" si="5"/>
        <v>2.934675382090024E-3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10.058949/31*16</f>
        <v>5.1917156129032263</v>
      </c>
      <c r="K64" s="211">
        <f>J64+0.015236</f>
        <v>5.2069516129032261</v>
      </c>
      <c r="L64" s="185"/>
      <c r="M64" s="252">
        <f t="shared" si="4"/>
        <v>1.5235999999999805E-2</v>
      </c>
      <c r="N64" s="186">
        <f t="shared" si="5"/>
        <v>2.934675382090024E-3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7100388.5630498538</v>
      </c>
      <c r="L74" s="133">
        <f>J74-K74</f>
        <v>5445208.4369501462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17024.147096774188</v>
      </c>
      <c r="L83" s="267">
        <f>L84+L85+L86+L87+L88+L89</f>
        <v>17676.93296774193</v>
      </c>
      <c r="M83" s="267">
        <f>L83-K83</f>
        <v>652.78587096774208</v>
      </c>
      <c r="N83" s="266">
        <f>M83/K83</f>
        <v>3.834470339435888E-2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1101.4317419354841</v>
      </c>
      <c r="L84" s="267">
        <f>K20*1000</f>
        <v>1099.406741935484</v>
      </c>
      <c r="M84" s="267">
        <f t="shared" ref="M84:M89" si="19">L84-K84</f>
        <v>-2.0250000000000909</v>
      </c>
      <c r="N84" s="266">
        <f t="shared" ref="N84:N89" si="20">M84/K84</f>
        <v>-1.8385161085349442E-3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333.76929032258062</v>
      </c>
      <c r="L85" s="267">
        <f>K46*1000</f>
        <v>324.53029032258064</v>
      </c>
      <c r="M85" s="267">
        <f t="shared" si="19"/>
        <v>-9.2389999999999759</v>
      </c>
      <c r="N85" s="266">
        <f t="shared" si="20"/>
        <v>-2.7680797089123112E-2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4149.7569032258016</v>
      </c>
      <c r="L86" s="267">
        <f>K47*1000</f>
        <v>4785.9287741935432</v>
      </c>
      <c r="M86" s="267">
        <f t="shared" si="19"/>
        <v>636.1718709677416</v>
      </c>
      <c r="N86" s="266">
        <f t="shared" si="20"/>
        <v>0.15330340687504254</v>
      </c>
    </row>
    <row r="87" spans="5:20" x14ac:dyDescent="0.25">
      <c r="J87" s="133" t="s">
        <v>189</v>
      </c>
      <c r="K87" s="267">
        <f>J55*1000</f>
        <v>205.09006451612905</v>
      </c>
      <c r="L87" s="267">
        <f>K55*1000</f>
        <v>205.20906451612905</v>
      </c>
      <c r="M87" s="267">
        <f t="shared" si="19"/>
        <v>0.11899999999999977</v>
      </c>
      <c r="N87" s="266">
        <f t="shared" si="20"/>
        <v>5.8023288588239324E-4</v>
      </c>
    </row>
    <row r="88" spans="5:20" x14ac:dyDescent="0.25">
      <c r="E88" s="133">
        <v>9.8273639999999993</v>
      </c>
      <c r="J88" s="133" t="s">
        <v>190</v>
      </c>
      <c r="K88" s="267">
        <f>J62*1000</f>
        <v>6042.3834838709672</v>
      </c>
      <c r="L88" s="267">
        <f>K62*1000</f>
        <v>6054.9064838709673</v>
      </c>
      <c r="M88" s="267">
        <f t="shared" si="19"/>
        <v>12.523000000000138</v>
      </c>
      <c r="N88" s="266">
        <f t="shared" si="20"/>
        <v>2.0725265176280167E-3</v>
      </c>
    </row>
    <row r="89" spans="5:20" x14ac:dyDescent="0.25">
      <c r="E89" s="133">
        <v>11.487494999999999</v>
      </c>
      <c r="J89" s="133" t="s">
        <v>191</v>
      </c>
      <c r="K89" s="267">
        <f>J64*1000</f>
        <v>5191.7156129032264</v>
      </c>
      <c r="L89" s="267">
        <f>K64*1000</f>
        <v>5206.9516129032263</v>
      </c>
      <c r="M89" s="267">
        <f t="shared" si="19"/>
        <v>15.235999999999876</v>
      </c>
      <c r="N89" s="266">
        <f t="shared" si="20"/>
        <v>2.9346753820900929E-3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427" priority="95" operator="lessThan">
      <formula>0</formula>
    </cfRule>
    <cfRule type="cellIs" dxfId="426" priority="96" operator="greaterThan">
      <formula>0</formula>
    </cfRule>
  </conditionalFormatting>
  <conditionalFormatting sqref="N10:N26 N28:N32 N34:N38 N40:N44 N46:N52 N54:N59 N61:N65 N67:N68">
    <cfRule type="cellIs" dxfId="425" priority="93" operator="lessThan">
      <formula>0</formula>
    </cfRule>
    <cfRule type="cellIs" dxfId="424" priority="94" operator="greaterThan">
      <formula>0</formula>
    </cfRule>
  </conditionalFormatting>
  <conditionalFormatting sqref="R10:R26 R28:R32 R34:R38 R40:R44 R46:R52 R54:R59 R61:R65 R67:R68">
    <cfRule type="cellIs" dxfId="423" priority="91" operator="lessThan">
      <formula>0</formula>
    </cfRule>
    <cfRule type="cellIs" dxfId="422" priority="92" operator="greaterThan">
      <formula>0</formula>
    </cfRule>
  </conditionalFormatting>
  <conditionalFormatting sqref="H10:H26 H28:H32 H34:H38 H40:H44 H46:H52 H54:H59 H61:H65 H67:H68">
    <cfRule type="cellIs" dxfId="421" priority="89" operator="lessThan">
      <formula>0</formula>
    </cfRule>
    <cfRule type="cellIs" dxfId="420" priority="90" operator="greaterThan">
      <formula>0</formula>
    </cfRule>
  </conditionalFormatting>
  <conditionalFormatting sqref="M10:M26 M28:M32 M34:M38 M40:M44 M46:M52 M54:M59 M61:M65 M67:M68">
    <cfRule type="cellIs" dxfId="419" priority="87" operator="lessThan">
      <formula>0</formula>
    </cfRule>
    <cfRule type="cellIs" dxfId="418" priority="88" operator="greaterThan">
      <formula>0</formula>
    </cfRule>
  </conditionalFormatting>
  <conditionalFormatting sqref="Q10:Q26 Q28:Q32 Q34:Q38 Q40:Q44 Q46:Q52 Q54:Q59 Q61:Q65 Q67:Q68">
    <cfRule type="cellIs" dxfId="417" priority="85" operator="lessThan">
      <formula>0</formula>
    </cfRule>
    <cfRule type="cellIs" dxfId="416" priority="86" operator="greaterThan">
      <formula>0</formula>
    </cfRule>
  </conditionalFormatting>
  <conditionalFormatting sqref="I27">
    <cfRule type="cellIs" dxfId="415" priority="83" operator="lessThan">
      <formula>0</formula>
    </cfRule>
    <cfRule type="cellIs" dxfId="414" priority="84" operator="greaterThan">
      <formula>0</formula>
    </cfRule>
  </conditionalFormatting>
  <conditionalFormatting sqref="N27">
    <cfRule type="cellIs" dxfId="413" priority="81" operator="lessThan">
      <formula>0</formula>
    </cfRule>
    <cfRule type="cellIs" dxfId="412" priority="82" operator="greaterThan">
      <formula>0</formula>
    </cfRule>
  </conditionalFormatting>
  <conditionalFormatting sqref="R27">
    <cfRule type="cellIs" dxfId="411" priority="79" operator="lessThan">
      <formula>0</formula>
    </cfRule>
    <cfRule type="cellIs" dxfId="410" priority="80" operator="greaterThan">
      <formula>0</formula>
    </cfRule>
  </conditionalFormatting>
  <conditionalFormatting sqref="H27">
    <cfRule type="cellIs" dxfId="409" priority="77" operator="lessThan">
      <formula>0</formula>
    </cfRule>
    <cfRule type="cellIs" dxfId="408" priority="78" operator="greaterThan">
      <formula>0</formula>
    </cfRule>
  </conditionalFormatting>
  <conditionalFormatting sqref="M27">
    <cfRule type="cellIs" dxfId="407" priority="75" operator="lessThan">
      <formula>0</formula>
    </cfRule>
    <cfRule type="cellIs" dxfId="406" priority="76" operator="greaterThan">
      <formula>0</formula>
    </cfRule>
  </conditionalFormatting>
  <conditionalFormatting sqref="Q27">
    <cfRule type="cellIs" dxfId="405" priority="73" operator="lessThan">
      <formula>0</formula>
    </cfRule>
    <cfRule type="cellIs" dxfId="404" priority="74" operator="greaterThan">
      <formula>0</formula>
    </cfRule>
  </conditionalFormatting>
  <conditionalFormatting sqref="I33">
    <cfRule type="cellIs" dxfId="403" priority="71" operator="lessThan">
      <formula>0</formula>
    </cfRule>
    <cfRule type="cellIs" dxfId="402" priority="72" operator="greaterThan">
      <formula>0</formula>
    </cfRule>
  </conditionalFormatting>
  <conditionalFormatting sqref="N33">
    <cfRule type="cellIs" dxfId="401" priority="69" operator="lessThan">
      <formula>0</formula>
    </cfRule>
    <cfRule type="cellIs" dxfId="400" priority="70" operator="greaterThan">
      <formula>0</formula>
    </cfRule>
  </conditionalFormatting>
  <conditionalFormatting sqref="R33">
    <cfRule type="cellIs" dxfId="399" priority="67" operator="lessThan">
      <formula>0</formula>
    </cfRule>
    <cfRule type="cellIs" dxfId="398" priority="68" operator="greaterThan">
      <formula>0</formula>
    </cfRule>
  </conditionalFormatting>
  <conditionalFormatting sqref="H33">
    <cfRule type="cellIs" dxfId="397" priority="65" operator="lessThan">
      <formula>0</formula>
    </cfRule>
    <cfRule type="cellIs" dxfId="396" priority="66" operator="greaterThan">
      <formula>0</formula>
    </cfRule>
  </conditionalFormatting>
  <conditionalFormatting sqref="M33">
    <cfRule type="cellIs" dxfId="395" priority="63" operator="lessThan">
      <formula>0</formula>
    </cfRule>
    <cfRule type="cellIs" dxfId="394" priority="64" operator="greaterThan">
      <formula>0</formula>
    </cfRule>
  </conditionalFormatting>
  <conditionalFormatting sqref="Q33">
    <cfRule type="cellIs" dxfId="393" priority="61" operator="lessThan">
      <formula>0</formula>
    </cfRule>
    <cfRule type="cellIs" dxfId="392" priority="62" operator="greaterThan">
      <formula>0</formula>
    </cfRule>
  </conditionalFormatting>
  <conditionalFormatting sqref="I39">
    <cfRule type="cellIs" dxfId="391" priority="59" operator="lessThan">
      <formula>0</formula>
    </cfRule>
    <cfRule type="cellIs" dxfId="390" priority="60" operator="greaterThan">
      <formula>0</formula>
    </cfRule>
  </conditionalFormatting>
  <conditionalFormatting sqref="N39">
    <cfRule type="cellIs" dxfId="389" priority="57" operator="lessThan">
      <formula>0</formula>
    </cfRule>
    <cfRule type="cellIs" dxfId="388" priority="58" operator="greaterThan">
      <formula>0</formula>
    </cfRule>
  </conditionalFormatting>
  <conditionalFormatting sqref="R39">
    <cfRule type="cellIs" dxfId="387" priority="55" operator="lessThan">
      <formula>0</formula>
    </cfRule>
    <cfRule type="cellIs" dxfId="386" priority="56" operator="greaterThan">
      <formula>0</formula>
    </cfRule>
  </conditionalFormatting>
  <conditionalFormatting sqref="H39">
    <cfRule type="cellIs" dxfId="385" priority="53" operator="lessThan">
      <formula>0</formula>
    </cfRule>
    <cfRule type="cellIs" dxfId="384" priority="54" operator="greaterThan">
      <formula>0</formula>
    </cfRule>
  </conditionalFormatting>
  <conditionalFormatting sqref="M39">
    <cfRule type="cellIs" dxfId="383" priority="51" operator="lessThan">
      <formula>0</formula>
    </cfRule>
    <cfRule type="cellIs" dxfId="382" priority="52" operator="greaterThan">
      <formula>0</formula>
    </cfRule>
  </conditionalFormatting>
  <conditionalFormatting sqref="Q39">
    <cfRule type="cellIs" dxfId="381" priority="49" operator="lessThan">
      <formula>0</formula>
    </cfRule>
    <cfRule type="cellIs" dxfId="380" priority="50" operator="greaterThan">
      <formula>0</formula>
    </cfRule>
  </conditionalFormatting>
  <conditionalFormatting sqref="I45">
    <cfRule type="cellIs" dxfId="379" priority="47" operator="lessThan">
      <formula>0</formula>
    </cfRule>
    <cfRule type="cellIs" dxfId="378" priority="48" operator="greaterThan">
      <formula>0</formula>
    </cfRule>
  </conditionalFormatting>
  <conditionalFormatting sqref="N45">
    <cfRule type="cellIs" dxfId="377" priority="45" operator="lessThan">
      <formula>0</formula>
    </cfRule>
    <cfRule type="cellIs" dxfId="376" priority="46" operator="greaterThan">
      <formula>0</formula>
    </cfRule>
  </conditionalFormatting>
  <conditionalFormatting sqref="R45">
    <cfRule type="cellIs" dxfId="375" priority="43" operator="lessThan">
      <formula>0</formula>
    </cfRule>
    <cfRule type="cellIs" dxfId="374" priority="44" operator="greaterThan">
      <formula>0</formula>
    </cfRule>
  </conditionalFormatting>
  <conditionalFormatting sqref="H45">
    <cfRule type="cellIs" dxfId="373" priority="41" operator="lessThan">
      <formula>0</formula>
    </cfRule>
    <cfRule type="cellIs" dxfId="372" priority="42" operator="greaterThan">
      <formula>0</formula>
    </cfRule>
  </conditionalFormatting>
  <conditionalFormatting sqref="M45">
    <cfRule type="cellIs" dxfId="371" priority="39" operator="lessThan">
      <formula>0</formula>
    </cfRule>
    <cfRule type="cellIs" dxfId="370" priority="40" operator="greaterThan">
      <formula>0</formula>
    </cfRule>
  </conditionalFormatting>
  <conditionalFormatting sqref="Q45">
    <cfRule type="cellIs" dxfId="369" priority="37" operator="lessThan">
      <formula>0</formula>
    </cfRule>
    <cfRule type="cellIs" dxfId="368" priority="38" operator="greaterThan">
      <formula>0</formula>
    </cfRule>
  </conditionalFormatting>
  <conditionalFormatting sqref="I53">
    <cfRule type="cellIs" dxfId="367" priority="35" operator="lessThan">
      <formula>0</formula>
    </cfRule>
    <cfRule type="cellIs" dxfId="366" priority="36" operator="greaterThan">
      <formula>0</formula>
    </cfRule>
  </conditionalFormatting>
  <conditionalFormatting sqref="N53">
    <cfRule type="cellIs" dxfId="365" priority="33" operator="lessThan">
      <formula>0</formula>
    </cfRule>
    <cfRule type="cellIs" dxfId="364" priority="34" operator="greaterThan">
      <formula>0</formula>
    </cfRule>
  </conditionalFormatting>
  <conditionalFormatting sqref="R53">
    <cfRule type="cellIs" dxfId="363" priority="31" operator="lessThan">
      <formula>0</formula>
    </cfRule>
    <cfRule type="cellIs" dxfId="362" priority="32" operator="greaterThan">
      <formula>0</formula>
    </cfRule>
  </conditionalFormatting>
  <conditionalFormatting sqref="H53">
    <cfRule type="cellIs" dxfId="361" priority="29" operator="lessThan">
      <formula>0</formula>
    </cfRule>
    <cfRule type="cellIs" dxfId="360" priority="30" operator="greaterThan">
      <formula>0</formula>
    </cfRule>
  </conditionalFormatting>
  <conditionalFormatting sqref="M53">
    <cfRule type="cellIs" dxfId="359" priority="27" operator="lessThan">
      <formula>0</formula>
    </cfRule>
    <cfRule type="cellIs" dxfId="358" priority="28" operator="greaterThan">
      <formula>0</formula>
    </cfRule>
  </conditionalFormatting>
  <conditionalFormatting sqref="Q53">
    <cfRule type="cellIs" dxfId="357" priority="25" operator="lessThan">
      <formula>0</formula>
    </cfRule>
    <cfRule type="cellIs" dxfId="356" priority="26" operator="greaterThan">
      <formula>0</formula>
    </cfRule>
  </conditionalFormatting>
  <conditionalFormatting sqref="I60">
    <cfRule type="cellIs" dxfId="355" priority="23" operator="lessThan">
      <formula>0</formula>
    </cfRule>
    <cfRule type="cellIs" dxfId="354" priority="24" operator="greaterThan">
      <formula>0</formula>
    </cfRule>
  </conditionalFormatting>
  <conditionalFormatting sqref="N60">
    <cfRule type="cellIs" dxfId="353" priority="21" operator="lessThan">
      <formula>0</formula>
    </cfRule>
    <cfRule type="cellIs" dxfId="352" priority="22" operator="greaterThan">
      <formula>0</formula>
    </cfRule>
  </conditionalFormatting>
  <conditionalFormatting sqref="R60">
    <cfRule type="cellIs" dxfId="351" priority="19" operator="lessThan">
      <formula>0</formula>
    </cfRule>
    <cfRule type="cellIs" dxfId="350" priority="20" operator="greaterThan">
      <formula>0</formula>
    </cfRule>
  </conditionalFormatting>
  <conditionalFormatting sqref="H60">
    <cfRule type="cellIs" dxfId="349" priority="17" operator="lessThan">
      <formula>0</formula>
    </cfRule>
    <cfRule type="cellIs" dxfId="348" priority="18" operator="greaterThan">
      <formula>0</formula>
    </cfRule>
  </conditionalFormatting>
  <conditionalFormatting sqref="M60">
    <cfRule type="cellIs" dxfId="347" priority="15" operator="lessThan">
      <formula>0</formula>
    </cfRule>
    <cfRule type="cellIs" dxfId="346" priority="16" operator="greaterThan">
      <formula>0</formula>
    </cfRule>
  </conditionalFormatting>
  <conditionalFormatting sqref="Q60">
    <cfRule type="cellIs" dxfId="345" priority="13" operator="lessThan">
      <formula>0</formula>
    </cfRule>
    <cfRule type="cellIs" dxfId="344" priority="14" operator="greaterThan">
      <formula>0</formula>
    </cfRule>
  </conditionalFormatting>
  <conditionalFormatting sqref="I66">
    <cfRule type="cellIs" dxfId="343" priority="11" operator="lessThan">
      <formula>0</formula>
    </cfRule>
    <cfRule type="cellIs" dxfId="342" priority="12" operator="greaterThan">
      <formula>0</formula>
    </cfRule>
  </conditionalFormatting>
  <conditionalFormatting sqref="N66">
    <cfRule type="cellIs" dxfId="341" priority="9" operator="lessThan">
      <formula>0</formula>
    </cfRule>
    <cfRule type="cellIs" dxfId="340" priority="10" operator="greaterThan">
      <formula>0</formula>
    </cfRule>
  </conditionalFormatting>
  <conditionalFormatting sqref="R66">
    <cfRule type="cellIs" dxfId="339" priority="7" operator="lessThan">
      <formula>0</formula>
    </cfRule>
    <cfRule type="cellIs" dxfId="338" priority="8" operator="greaterThan">
      <formula>0</formula>
    </cfRule>
  </conditionalFormatting>
  <conditionalFormatting sqref="H66">
    <cfRule type="cellIs" dxfId="337" priority="5" operator="lessThan">
      <formula>0</formula>
    </cfRule>
    <cfRule type="cellIs" dxfId="336" priority="6" operator="greaterThan">
      <formula>0</formula>
    </cfRule>
  </conditionalFormatting>
  <conditionalFormatting sqref="M66">
    <cfRule type="cellIs" dxfId="335" priority="3" operator="lessThan">
      <formula>0</formula>
    </cfRule>
    <cfRule type="cellIs" dxfId="334" priority="4" operator="greaterThan">
      <formula>0</formula>
    </cfRule>
  </conditionalFormatting>
  <conditionalFormatting sqref="Q66">
    <cfRule type="cellIs" dxfId="333" priority="1" operator="lessThan">
      <formula>0</formula>
    </cfRule>
    <cfRule type="cellIs" dxfId="332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37" activePane="bottomRight" state="frozen"/>
      <selection activeCell="K54" sqref="K54"/>
      <selection pane="topRight" activeCell="K54" sqref="K54"/>
      <selection pane="bottomLeft" activeCell="K54" sqref="K54"/>
      <selection pane="bottomRight" activeCell="K54" sqref="K5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44038</v>
      </c>
      <c r="K1" s="249">
        <f>G19</f>
        <v>28.998826000000001</v>
      </c>
      <c r="L1" s="249">
        <f>K10</f>
        <v>25.26619941935483</v>
      </c>
      <c r="M1" s="249">
        <f>K1-L1</f>
        <v>3.7326265806451708</v>
      </c>
      <c r="N1" s="273">
        <f>M1/K1*100</f>
        <v>12.871647219943217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28.998826000000001</v>
      </c>
      <c r="P3" s="249">
        <v>0.105769</v>
      </c>
      <c r="Q3" s="249">
        <f>O1-P3</f>
        <v>-0.105769</v>
      </c>
      <c r="R3" s="249">
        <f>F19-J10</f>
        <v>3.6703417431871088</v>
      </c>
      <c r="S3" s="249">
        <f>F19-J10</f>
        <v>3.6703417431871088</v>
      </c>
      <c r="T3" s="110">
        <f>S3/F19*100</f>
        <v>13.041964308573434</v>
      </c>
    </row>
    <row r="4" spans="1:20" s="110" customFormat="1" ht="12" customHeight="1" x14ac:dyDescent="0.2">
      <c r="F4" s="110">
        <f>G19/20*31</f>
        <v>44.948180300000004</v>
      </c>
      <c r="G4" s="110">
        <v>13.2800040955377</v>
      </c>
      <c r="H4" s="270">
        <f>G4*F4/100</f>
        <v>5.96912018470967</v>
      </c>
      <c r="I4" s="268">
        <f>F4-H4</f>
        <v>38.979060115290338</v>
      </c>
      <c r="J4" s="270">
        <f>I4/31*20</f>
        <v>25.147780719542151</v>
      </c>
      <c r="K4" s="270">
        <f>J4-K10</f>
        <v>-0.11841869981267905</v>
      </c>
      <c r="L4" s="268">
        <f>G19/27*31</f>
        <v>33.294948370370371</v>
      </c>
      <c r="M4" s="271"/>
      <c r="N4" s="249">
        <f>F19-J10</f>
        <v>3.6703417431871088</v>
      </c>
      <c r="O4" s="249">
        <f>N4/F19*100</f>
        <v>13.041964308573434</v>
      </c>
      <c r="Q4" s="249"/>
      <c r="R4" s="110">
        <f>R3/F19*100</f>
        <v>13.041964308573434</v>
      </c>
      <c r="S4" s="249">
        <f>G19-K10</f>
        <v>3.7326265806451708</v>
      </c>
      <c r="T4" s="110">
        <f>S4/G19*100</f>
        <v>12.871647219943217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3.7326265806451708</v>
      </c>
      <c r="O5" s="274">
        <f>N5/G19*100</f>
        <v>12.871647219943217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2" t="s">
        <v>179</v>
      </c>
      <c r="I8" s="114" t="s">
        <v>180</v>
      </c>
      <c r="J8" s="318"/>
      <c r="K8" s="328"/>
      <c r="L8" s="328"/>
      <c r="M8" s="282" t="s">
        <v>179</v>
      </c>
      <c r="N8" s="114" t="s">
        <v>180</v>
      </c>
      <c r="O8" s="318"/>
      <c r="P8" s="328"/>
      <c r="Q8" s="282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28.142553194800001</v>
      </c>
      <c r="G10" s="128">
        <f>SUMIFS(G18:G5005,$A18:$A5005,$A10,$C18:$C5005,$C10)</f>
        <v>28.998826000000001</v>
      </c>
      <c r="H10" s="128">
        <f>G10-F10</f>
        <v>0.85627280519999971</v>
      </c>
      <c r="I10" s="129">
        <f>IFERROR(G10/F10-1,"")</f>
        <v>3.0426265849902157E-2</v>
      </c>
      <c r="J10" s="130">
        <f t="shared" ref="J10" si="1">SUM(J11:J18)</f>
        <v>24.472211451612893</v>
      </c>
      <c r="K10" s="128">
        <f t="shared" ref="K10" si="2">SUM(K11:K18)</f>
        <v>25.26619941935483</v>
      </c>
      <c r="L10" s="128"/>
      <c r="M10" s="250">
        <f>K10-J10</f>
        <v>0.79398796774193769</v>
      </c>
      <c r="N10" s="129">
        <f>IFERROR(K10/J10-1,"")</f>
        <v>3.2444471530978403E-2</v>
      </c>
      <c r="O10" s="128">
        <f>SUMIFS(O18:O5005,$A18:$A5005,$A10,$C18:$C5005,$C10)</f>
        <v>87.927876870000006</v>
      </c>
      <c r="P10" s="128">
        <f>SUMIFS(P18:P5005,$A18:$A5005,$A10,$C18:$C5005,$C10)</f>
        <v>87.696462870000005</v>
      </c>
      <c r="Q10" s="131">
        <f>P10-O10</f>
        <v>-0.2314140000000009</v>
      </c>
      <c r="R10" s="132">
        <f t="shared" ref="R10:R19" si="3">IFERROR(P10/O10-1,"")</f>
        <v>-2.6318615692511038E-3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1.5833081290322581</v>
      </c>
      <c r="K11" s="142">
        <f>SUMIFS(K19:K5006,$A19:$A5006,$A11,$C19:$C5006,$C11)</f>
        <v>1.5695941612903224</v>
      </c>
      <c r="L11" s="142"/>
      <c r="M11" s="142">
        <f t="shared" ref="M11:M68" si="4">K11-J11</f>
        <v>-1.3713967741935784E-2</v>
      </c>
      <c r="N11" s="143">
        <f t="shared" ref="N11:N68" si="5">IFERROR(K11/J11-1,"")</f>
        <v>-8.6615911902870879E-3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0.47979335483870966</v>
      </c>
      <c r="K14" s="142">
        <f>SUMIFS(K19:K5006,$A19:$A5006,$A14,$C19:$C5006,$C14)</f>
        <v>0.47127235483870966</v>
      </c>
      <c r="L14" s="142"/>
      <c r="M14" s="142">
        <f t="shared" si="4"/>
        <v>-8.5210000000000008E-3</v>
      </c>
      <c r="N14" s="143">
        <f t="shared" si="5"/>
        <v>-1.7759729087670428E-2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5.9652755483870896</v>
      </c>
      <c r="K15" s="142">
        <f>SUMIFS(K19:K5006,$A19:$A5006,$A15,$C19:$C5006,$C15)</f>
        <v>6.7391956129032193</v>
      </c>
      <c r="L15" s="142"/>
      <c r="M15" s="142">
        <f t="shared" si="4"/>
        <v>0.77392006451612971</v>
      </c>
      <c r="N15" s="143">
        <f t="shared" si="5"/>
        <v>0.12973752146711548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0.2948169677419355</v>
      </c>
      <c r="K16" s="142">
        <f>SUMIFS(K19:K5006,$A19:$A5006,$A16,$C19:$C5006,$C16)</f>
        <v>0.29432983870967744</v>
      </c>
      <c r="L16" s="142"/>
      <c r="M16" s="142">
        <f t="shared" si="4"/>
        <v>-4.8712903225806015E-4</v>
      </c>
      <c r="N16" s="143">
        <f t="shared" si="5"/>
        <v>-1.6523100281136127E-3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8.6859262580645158</v>
      </c>
      <c r="K17" s="142">
        <f>SUMIFS(K19:K5006,$A19:$A5006,$A17,$C19:$C5006,$C17)</f>
        <v>8.699480258064515</v>
      </c>
      <c r="L17" s="142"/>
      <c r="M17" s="142">
        <f t="shared" si="4"/>
        <v>1.3553999999999178E-2</v>
      </c>
      <c r="N17" s="143">
        <f t="shared" si="5"/>
        <v>1.5604553385903941E-3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7.4630911935483875</v>
      </c>
      <c r="K18" s="154">
        <f>SUMIFS(K19:K5006,$A19:$A5006,$A18,$C19:$C5006,$C18)</f>
        <v>7.4923271935483875</v>
      </c>
      <c r="L18" s="154"/>
      <c r="M18" s="154">
        <f t="shared" si="4"/>
        <v>2.923600000000004E-2</v>
      </c>
      <c r="N18" s="155">
        <f t="shared" si="5"/>
        <v>3.917411598195919E-3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28.142553194800001</v>
      </c>
      <c r="G19" s="210">
        <v>28.998826000000001</v>
      </c>
      <c r="H19" s="269">
        <f>G19-F19</f>
        <v>0.85627280519999971</v>
      </c>
      <c r="I19" s="164">
        <f>IFERROR(G19/F19-1,"")</f>
        <v>3.0426265849902157E-2</v>
      </c>
      <c r="J19" s="165">
        <f>SUM(J20,J29,J35,J41,J47,J55,J62,J63)</f>
        <v>24.472211451612893</v>
      </c>
      <c r="K19" s="163">
        <f>SUM(K20,K29,K35,K41,K47,K55,K62,K63)</f>
        <v>25.26619941935483</v>
      </c>
      <c r="L19" s="163"/>
      <c r="M19" s="163">
        <f t="shared" si="4"/>
        <v>0.79398796774193769</v>
      </c>
      <c r="N19" s="164">
        <f t="shared" si="5"/>
        <v>3.2444471530978403E-2</v>
      </c>
      <c r="O19" s="210">
        <v>87.927876870000006</v>
      </c>
      <c r="P19" s="210">
        <f>O19-0.231414</f>
        <v>87.696462870000005</v>
      </c>
      <c r="Q19" s="166">
        <f t="shared" ref="Q19" si="7">P19-O19</f>
        <v>-0.2314140000000009</v>
      </c>
      <c r="R19" s="167">
        <f t="shared" si="3"/>
        <v>-2.6318615692511038E-3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1.5833081290322581</v>
      </c>
      <c r="K20" s="173">
        <f>SUM(K21:K28)</f>
        <v>1.5695941612903224</v>
      </c>
      <c r="L20" s="173"/>
      <c r="M20" s="251">
        <f t="shared" si="4"/>
        <v>-1.3713967741935784E-2</v>
      </c>
      <c r="N20" s="174">
        <f t="shared" si="5"/>
        <v>-8.6615911902870879E-3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0.958468/31*23</f>
        <v>0.71112141935483875</v>
      </c>
      <c r="K24" s="262">
        <f>J24-0.005221</f>
        <v>0.70590041935483872</v>
      </c>
      <c r="L24" s="185"/>
      <c r="M24" s="252">
        <f>K24-J24</f>
        <v>-5.2210000000000312E-3</v>
      </c>
      <c r="N24" s="186">
        <f>IFERROR(K24/J24-1,"")</f>
        <v>-7.3419248216947119E-3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0.35886/31*23</f>
        <v>0.26625096774193552</v>
      </c>
      <c r="K25" s="262">
        <v>0.25616699999999998</v>
      </c>
      <c r="L25" s="185"/>
      <c r="M25" s="252">
        <f t="shared" ref="M25:M27" si="10">K25-J25</f>
        <v>-1.008396774193554E-2</v>
      </c>
      <c r="N25" s="186">
        <f t="shared" ref="N25:N27" si="11">IFERROR(K25/J25-1,"")</f>
        <v>-3.7873919585935334E-2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0.080084/31*23</f>
        <v>5.9417161290322582E-2</v>
      </c>
      <c r="K26" s="262">
        <f>J26+0.002445</f>
        <v>6.1862161290322584E-2</v>
      </c>
      <c r="L26" s="185"/>
      <c r="M26" s="252">
        <f t="shared" si="10"/>
        <v>2.4450000000000027E-3</v>
      </c>
      <c r="N26" s="186">
        <f t="shared" si="11"/>
        <v>4.1149727568661643E-2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0.736612/31*23</f>
        <v>0.54651858064516134</v>
      </c>
      <c r="K28" s="190">
        <f>J28-0.000854</f>
        <v>0.54566458064516132</v>
      </c>
      <c r="L28" s="190"/>
      <c r="M28" s="185">
        <f t="shared" si="4"/>
        <v>-8.5400000000002141E-4</v>
      </c>
      <c r="N28" s="186">
        <f t="shared" si="5"/>
        <v>-1.562618418191497E-3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0.47979335483870966</v>
      </c>
      <c r="K41" s="251">
        <f t="shared" si="15"/>
        <v>0.47127235483870966</v>
      </c>
      <c r="L41" s="173"/>
      <c r="M41" s="173">
        <f t="shared" si="4"/>
        <v>-8.5210000000000008E-3</v>
      </c>
      <c r="N41" s="174">
        <f t="shared" si="5"/>
        <v>-1.7759729087670428E-2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0.646678/31*23</f>
        <v>0.47979335483870966</v>
      </c>
      <c r="K46" s="185">
        <f>J46-0.008521</f>
        <v>0.47127235483870966</v>
      </c>
      <c r="L46" s="185"/>
      <c r="M46" s="185">
        <f t="shared" si="4"/>
        <v>-8.5210000000000008E-3</v>
      </c>
      <c r="N46" s="186">
        <f t="shared" si="5"/>
        <v>-1.7759729087670428E-2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5.9652755483870896</v>
      </c>
      <c r="K47" s="251">
        <f>SUM(K48:K54)</f>
        <v>6.7391956129032193</v>
      </c>
      <c r="L47" s="173"/>
      <c r="M47" s="251">
        <f t="shared" si="4"/>
        <v>0.77392006451612971</v>
      </c>
      <c r="N47" s="174">
        <f t="shared" si="5"/>
        <v>0.12973752146711548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0.141065/31*23</f>
        <v>0.10466112903225806</v>
      </c>
      <c r="K51" s="256">
        <f>J51+0.062229</f>
        <v>0.16689012903225806</v>
      </c>
      <c r="L51" s="190"/>
      <c r="M51" s="252">
        <f>K51-J51</f>
        <v>6.2228999999999993E-2</v>
      </c>
      <c r="N51" s="186">
        <f t="shared" si="5"/>
        <v>0.59457604342124104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0.282325/31*23</f>
        <v>0.20946693548387096</v>
      </c>
      <c r="K52" s="190">
        <v>0.120018</v>
      </c>
      <c r="L52" s="190"/>
      <c r="M52" s="252">
        <f t="shared" ref="M52:M53" si="16">K52-J52</f>
        <v>-8.9448935483870964E-2</v>
      </c>
      <c r="N52" s="186">
        <f t="shared" si="5"/>
        <v>-0.42703128910175214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7.61676399999999/31*23</f>
        <v>5.651147483870961</v>
      </c>
      <c r="K54" s="185">
        <f>J54+0.80114</f>
        <v>6.4522874838709612</v>
      </c>
      <c r="L54" s="185"/>
      <c r="M54" s="252">
        <f t="shared" si="4"/>
        <v>0.80114000000000019</v>
      </c>
      <c r="N54" s="186">
        <f t="shared" si="5"/>
        <v>0.14176589839259157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0.2948169677419355</v>
      </c>
      <c r="K55" s="173">
        <f t="shared" si="18"/>
        <v>0.29432983870967744</v>
      </c>
      <c r="L55" s="173"/>
      <c r="M55" s="251">
        <f t="shared" si="4"/>
        <v>-4.8712903225806015E-4</v>
      </c>
      <c r="N55" s="174">
        <f t="shared" si="5"/>
        <v>-1.6523100281136127E-3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0.107988/31*23</f>
        <v>8.0120129032258056E-2</v>
      </c>
      <c r="K59" s="262">
        <v>7.8218999999999997E-2</v>
      </c>
      <c r="L59" s="190"/>
      <c r="M59" s="185">
        <f>K59-J59</f>
        <v>-1.9011290322580587E-3</v>
      </c>
      <c r="N59" s="186">
        <f>IFERROR(K59/J59-1,"")</f>
        <v>-2.372848190861776E-2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0.289374/31*23</f>
        <v>0.21469683870967746</v>
      </c>
      <c r="K61" s="185">
        <f>J61+0.001414</f>
        <v>0.21611083870967746</v>
      </c>
      <c r="L61" s="185"/>
      <c r="M61" s="185">
        <f t="shared" si="4"/>
        <v>1.4139999999999986E-3</v>
      </c>
      <c r="N61" s="186">
        <f t="shared" si="5"/>
        <v>6.5860308353775654E-3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11.707118/31*23</f>
        <v>8.6859262580645158</v>
      </c>
      <c r="K62" s="261">
        <f>J62+0.013554</f>
        <v>8.699480258064515</v>
      </c>
      <c r="L62" s="193"/>
      <c r="M62" s="253">
        <f t="shared" si="4"/>
        <v>1.3553999999999178E-2</v>
      </c>
      <c r="N62" s="194">
        <f t="shared" si="5"/>
        <v>1.5604553385903941E-3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7.4630911935483875</v>
      </c>
      <c r="K63" s="173">
        <f>SUM(K64:K68)</f>
        <v>7.4923271935483875</v>
      </c>
      <c r="L63" s="173"/>
      <c r="M63" s="173">
        <f t="shared" si="4"/>
        <v>2.923600000000004E-2</v>
      </c>
      <c r="N63" s="174">
        <f t="shared" si="5"/>
        <v>3.917411598195919E-3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10.058949/31*23</f>
        <v>7.4630911935483875</v>
      </c>
      <c r="K64" s="211">
        <f>J64+0.029236</f>
        <v>7.4923271935483875</v>
      </c>
      <c r="L64" s="185"/>
      <c r="M64" s="252">
        <f t="shared" si="4"/>
        <v>2.923600000000004E-2</v>
      </c>
      <c r="N64" s="186">
        <f t="shared" si="5"/>
        <v>3.917411598195919E-3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10216809.809384165</v>
      </c>
      <c r="L74" s="133">
        <f>J74-K74</f>
        <v>2328787.1906158347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24472.211451612893</v>
      </c>
      <c r="L83" s="267">
        <f>L84+L85+L86+L87+L88+L89</f>
        <v>25266.199419354831</v>
      </c>
      <c r="M83" s="267">
        <f>L83-K83</f>
        <v>793.98796774193761</v>
      </c>
      <c r="N83" s="266">
        <f>M83/K83</f>
        <v>3.2444471530978382E-2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1583.3081290322582</v>
      </c>
      <c r="L84" s="267">
        <f>K20*1000</f>
        <v>1569.5941612903223</v>
      </c>
      <c r="M84" s="267">
        <f t="shared" ref="M84:M89" si="19">L84-K84</f>
        <v>-13.713967741935903</v>
      </c>
      <c r="N84" s="266">
        <f t="shared" ref="N84:N89" si="20">M84/K84</f>
        <v>-8.661591190287192E-3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479.79335483870966</v>
      </c>
      <c r="L85" s="267">
        <f>K46*1000</f>
        <v>471.27235483870965</v>
      </c>
      <c r="M85" s="267">
        <f t="shared" si="19"/>
        <v>-8.521000000000015</v>
      </c>
      <c r="N85" s="266">
        <f t="shared" si="20"/>
        <v>-1.7759729087670435E-2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5965.2755483870897</v>
      </c>
      <c r="L86" s="267">
        <f>K47*1000</f>
        <v>6739.1956129032196</v>
      </c>
      <c r="M86" s="267">
        <f t="shared" si="19"/>
        <v>773.92006451612997</v>
      </c>
      <c r="N86" s="266">
        <f t="shared" si="20"/>
        <v>0.12973752146711562</v>
      </c>
    </row>
    <row r="87" spans="5:20" x14ac:dyDescent="0.25">
      <c r="J87" s="133" t="s">
        <v>189</v>
      </c>
      <c r="K87" s="267">
        <f>J55*1000</f>
        <v>294.81696774193551</v>
      </c>
      <c r="L87" s="267">
        <f>K55*1000</f>
        <v>294.32983870967746</v>
      </c>
      <c r="M87" s="267">
        <f t="shared" si="19"/>
        <v>-0.48712903225805348</v>
      </c>
      <c r="N87" s="266">
        <f t="shared" si="20"/>
        <v>-1.6523100281136329E-3</v>
      </c>
    </row>
    <row r="88" spans="5:20" x14ac:dyDescent="0.25">
      <c r="E88" s="133">
        <v>9.8273639999999993</v>
      </c>
      <c r="J88" s="133" t="s">
        <v>190</v>
      </c>
      <c r="K88" s="267">
        <f>J62*1000</f>
        <v>8685.9262580645154</v>
      </c>
      <c r="L88" s="267">
        <f>K62*1000</f>
        <v>8699.4802580645155</v>
      </c>
      <c r="M88" s="267">
        <f t="shared" si="19"/>
        <v>13.554000000000087</v>
      </c>
      <c r="N88" s="266">
        <f t="shared" si="20"/>
        <v>1.5604553385904895E-3</v>
      </c>
    </row>
    <row r="89" spans="5:20" x14ac:dyDescent="0.25">
      <c r="E89" s="133">
        <v>11.487494999999999</v>
      </c>
      <c r="J89" s="133" t="s">
        <v>191</v>
      </c>
      <c r="K89" s="267">
        <f>J64*1000</f>
        <v>7463.0911935483873</v>
      </c>
      <c r="L89" s="267">
        <f>K64*1000</f>
        <v>7492.3271935483872</v>
      </c>
      <c r="M89" s="267">
        <f t="shared" si="19"/>
        <v>29.235999999999876</v>
      </c>
      <c r="N89" s="266">
        <f t="shared" si="20"/>
        <v>3.9174115981958652E-3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331" priority="95" operator="lessThan">
      <formula>0</formula>
    </cfRule>
    <cfRule type="cellIs" dxfId="330" priority="96" operator="greaterThan">
      <formula>0</formula>
    </cfRule>
  </conditionalFormatting>
  <conditionalFormatting sqref="N10:N26 N28:N32 N34:N38 N40:N44 N46:N52 N54:N59 N61:N65 N67:N68">
    <cfRule type="cellIs" dxfId="329" priority="93" operator="lessThan">
      <formula>0</formula>
    </cfRule>
    <cfRule type="cellIs" dxfId="328" priority="94" operator="greaterThan">
      <formula>0</formula>
    </cfRule>
  </conditionalFormatting>
  <conditionalFormatting sqref="R10:R26 R28:R32 R34:R38 R40:R44 R46:R52 R54:R59 R61:R65 R67:R68">
    <cfRule type="cellIs" dxfId="327" priority="91" operator="lessThan">
      <formula>0</formula>
    </cfRule>
    <cfRule type="cellIs" dxfId="326" priority="92" operator="greaterThan">
      <formula>0</formula>
    </cfRule>
  </conditionalFormatting>
  <conditionalFormatting sqref="H10:H26 H28:H32 H34:H38 H40:H44 H46:H52 H54:H59 H61:H65 H67:H68">
    <cfRule type="cellIs" dxfId="325" priority="89" operator="lessThan">
      <formula>0</formula>
    </cfRule>
    <cfRule type="cellIs" dxfId="324" priority="90" operator="greaterThan">
      <formula>0</formula>
    </cfRule>
  </conditionalFormatting>
  <conditionalFormatting sqref="M10:M26 M28:M32 M34:M38 M40:M44 M46:M52 M54:M59 M61:M65 M67:M68">
    <cfRule type="cellIs" dxfId="323" priority="87" operator="lessThan">
      <formula>0</formula>
    </cfRule>
    <cfRule type="cellIs" dxfId="322" priority="88" operator="greaterThan">
      <formula>0</formula>
    </cfRule>
  </conditionalFormatting>
  <conditionalFormatting sqref="Q10:Q26 Q28:Q32 Q34:Q38 Q40:Q44 Q46:Q52 Q54:Q59 Q61:Q65 Q67:Q68">
    <cfRule type="cellIs" dxfId="321" priority="85" operator="lessThan">
      <formula>0</formula>
    </cfRule>
    <cfRule type="cellIs" dxfId="320" priority="86" operator="greaterThan">
      <formula>0</formula>
    </cfRule>
  </conditionalFormatting>
  <conditionalFormatting sqref="I27">
    <cfRule type="cellIs" dxfId="319" priority="83" operator="lessThan">
      <formula>0</formula>
    </cfRule>
    <cfRule type="cellIs" dxfId="318" priority="84" operator="greaterThan">
      <formula>0</formula>
    </cfRule>
  </conditionalFormatting>
  <conditionalFormatting sqref="N27">
    <cfRule type="cellIs" dxfId="317" priority="81" operator="lessThan">
      <formula>0</formula>
    </cfRule>
    <cfRule type="cellIs" dxfId="316" priority="82" operator="greaterThan">
      <formula>0</formula>
    </cfRule>
  </conditionalFormatting>
  <conditionalFormatting sqref="R27">
    <cfRule type="cellIs" dxfId="315" priority="79" operator="lessThan">
      <formula>0</formula>
    </cfRule>
    <cfRule type="cellIs" dxfId="314" priority="80" operator="greaterThan">
      <formula>0</formula>
    </cfRule>
  </conditionalFormatting>
  <conditionalFormatting sqref="H27">
    <cfRule type="cellIs" dxfId="313" priority="77" operator="lessThan">
      <formula>0</formula>
    </cfRule>
    <cfRule type="cellIs" dxfId="312" priority="78" operator="greaterThan">
      <formula>0</formula>
    </cfRule>
  </conditionalFormatting>
  <conditionalFormatting sqref="M27">
    <cfRule type="cellIs" dxfId="311" priority="75" operator="lessThan">
      <formula>0</formula>
    </cfRule>
    <cfRule type="cellIs" dxfId="310" priority="76" operator="greaterThan">
      <formula>0</formula>
    </cfRule>
  </conditionalFormatting>
  <conditionalFormatting sqref="Q27">
    <cfRule type="cellIs" dxfId="309" priority="73" operator="lessThan">
      <formula>0</formula>
    </cfRule>
    <cfRule type="cellIs" dxfId="308" priority="74" operator="greaterThan">
      <formula>0</formula>
    </cfRule>
  </conditionalFormatting>
  <conditionalFormatting sqref="I33">
    <cfRule type="cellIs" dxfId="307" priority="71" operator="lessThan">
      <formula>0</formula>
    </cfRule>
    <cfRule type="cellIs" dxfId="306" priority="72" operator="greaterThan">
      <formula>0</formula>
    </cfRule>
  </conditionalFormatting>
  <conditionalFormatting sqref="N33">
    <cfRule type="cellIs" dxfId="305" priority="69" operator="lessThan">
      <formula>0</formula>
    </cfRule>
    <cfRule type="cellIs" dxfId="304" priority="70" operator="greaterThan">
      <formula>0</formula>
    </cfRule>
  </conditionalFormatting>
  <conditionalFormatting sqref="R33">
    <cfRule type="cellIs" dxfId="303" priority="67" operator="lessThan">
      <formula>0</formula>
    </cfRule>
    <cfRule type="cellIs" dxfId="302" priority="68" operator="greaterThan">
      <formula>0</formula>
    </cfRule>
  </conditionalFormatting>
  <conditionalFormatting sqref="H33">
    <cfRule type="cellIs" dxfId="301" priority="65" operator="lessThan">
      <formula>0</formula>
    </cfRule>
    <cfRule type="cellIs" dxfId="300" priority="66" operator="greaterThan">
      <formula>0</formula>
    </cfRule>
  </conditionalFormatting>
  <conditionalFormatting sqref="M33">
    <cfRule type="cellIs" dxfId="299" priority="63" operator="lessThan">
      <formula>0</formula>
    </cfRule>
    <cfRule type="cellIs" dxfId="298" priority="64" operator="greaterThan">
      <formula>0</formula>
    </cfRule>
  </conditionalFormatting>
  <conditionalFormatting sqref="Q33">
    <cfRule type="cellIs" dxfId="297" priority="61" operator="lessThan">
      <formula>0</formula>
    </cfRule>
    <cfRule type="cellIs" dxfId="296" priority="62" operator="greaterThan">
      <formula>0</formula>
    </cfRule>
  </conditionalFormatting>
  <conditionalFormatting sqref="I39">
    <cfRule type="cellIs" dxfId="295" priority="59" operator="lessThan">
      <formula>0</formula>
    </cfRule>
    <cfRule type="cellIs" dxfId="294" priority="60" operator="greaterThan">
      <formula>0</formula>
    </cfRule>
  </conditionalFormatting>
  <conditionalFormatting sqref="N39">
    <cfRule type="cellIs" dxfId="293" priority="57" operator="lessThan">
      <formula>0</formula>
    </cfRule>
    <cfRule type="cellIs" dxfId="292" priority="58" operator="greaterThan">
      <formula>0</formula>
    </cfRule>
  </conditionalFormatting>
  <conditionalFormatting sqref="R39">
    <cfRule type="cellIs" dxfId="291" priority="55" operator="lessThan">
      <formula>0</formula>
    </cfRule>
    <cfRule type="cellIs" dxfId="290" priority="56" operator="greaterThan">
      <formula>0</formula>
    </cfRule>
  </conditionalFormatting>
  <conditionalFormatting sqref="H39">
    <cfRule type="cellIs" dxfId="289" priority="53" operator="lessThan">
      <formula>0</formula>
    </cfRule>
    <cfRule type="cellIs" dxfId="288" priority="54" operator="greaterThan">
      <formula>0</formula>
    </cfRule>
  </conditionalFormatting>
  <conditionalFormatting sqref="M39">
    <cfRule type="cellIs" dxfId="287" priority="51" operator="lessThan">
      <formula>0</formula>
    </cfRule>
    <cfRule type="cellIs" dxfId="286" priority="52" operator="greaterThan">
      <formula>0</formula>
    </cfRule>
  </conditionalFormatting>
  <conditionalFormatting sqref="Q39">
    <cfRule type="cellIs" dxfId="285" priority="49" operator="lessThan">
      <formula>0</formula>
    </cfRule>
    <cfRule type="cellIs" dxfId="284" priority="50" operator="greaterThan">
      <formula>0</formula>
    </cfRule>
  </conditionalFormatting>
  <conditionalFormatting sqref="I45">
    <cfRule type="cellIs" dxfId="283" priority="47" operator="lessThan">
      <formula>0</formula>
    </cfRule>
    <cfRule type="cellIs" dxfId="282" priority="48" operator="greaterThan">
      <formula>0</formula>
    </cfRule>
  </conditionalFormatting>
  <conditionalFormatting sqref="N45">
    <cfRule type="cellIs" dxfId="281" priority="45" operator="lessThan">
      <formula>0</formula>
    </cfRule>
    <cfRule type="cellIs" dxfId="280" priority="46" operator="greaterThan">
      <formula>0</formula>
    </cfRule>
  </conditionalFormatting>
  <conditionalFormatting sqref="R45">
    <cfRule type="cellIs" dxfId="279" priority="43" operator="lessThan">
      <formula>0</formula>
    </cfRule>
    <cfRule type="cellIs" dxfId="278" priority="44" operator="greaterThan">
      <formula>0</formula>
    </cfRule>
  </conditionalFormatting>
  <conditionalFormatting sqref="H45">
    <cfRule type="cellIs" dxfId="277" priority="41" operator="lessThan">
      <formula>0</formula>
    </cfRule>
    <cfRule type="cellIs" dxfId="276" priority="42" operator="greaterThan">
      <formula>0</formula>
    </cfRule>
  </conditionalFormatting>
  <conditionalFormatting sqref="M45">
    <cfRule type="cellIs" dxfId="275" priority="39" operator="lessThan">
      <formula>0</formula>
    </cfRule>
    <cfRule type="cellIs" dxfId="274" priority="40" operator="greaterThan">
      <formula>0</formula>
    </cfRule>
  </conditionalFormatting>
  <conditionalFormatting sqref="Q45">
    <cfRule type="cellIs" dxfId="273" priority="37" operator="lessThan">
      <formula>0</formula>
    </cfRule>
    <cfRule type="cellIs" dxfId="272" priority="38" operator="greaterThan">
      <formula>0</formula>
    </cfRule>
  </conditionalFormatting>
  <conditionalFormatting sqref="I53">
    <cfRule type="cellIs" dxfId="271" priority="35" operator="lessThan">
      <formula>0</formula>
    </cfRule>
    <cfRule type="cellIs" dxfId="270" priority="36" operator="greaterThan">
      <formula>0</formula>
    </cfRule>
  </conditionalFormatting>
  <conditionalFormatting sqref="N53">
    <cfRule type="cellIs" dxfId="269" priority="33" operator="lessThan">
      <formula>0</formula>
    </cfRule>
    <cfRule type="cellIs" dxfId="268" priority="34" operator="greaterThan">
      <formula>0</formula>
    </cfRule>
  </conditionalFormatting>
  <conditionalFormatting sqref="R53">
    <cfRule type="cellIs" dxfId="267" priority="31" operator="lessThan">
      <formula>0</formula>
    </cfRule>
    <cfRule type="cellIs" dxfId="266" priority="32" operator="greaterThan">
      <formula>0</formula>
    </cfRule>
  </conditionalFormatting>
  <conditionalFormatting sqref="H53">
    <cfRule type="cellIs" dxfId="265" priority="29" operator="lessThan">
      <formula>0</formula>
    </cfRule>
    <cfRule type="cellIs" dxfId="264" priority="30" operator="greaterThan">
      <formula>0</formula>
    </cfRule>
  </conditionalFormatting>
  <conditionalFormatting sqref="M53">
    <cfRule type="cellIs" dxfId="263" priority="27" operator="lessThan">
      <formula>0</formula>
    </cfRule>
    <cfRule type="cellIs" dxfId="262" priority="28" operator="greaterThan">
      <formula>0</formula>
    </cfRule>
  </conditionalFormatting>
  <conditionalFormatting sqref="Q53">
    <cfRule type="cellIs" dxfId="261" priority="25" operator="lessThan">
      <formula>0</formula>
    </cfRule>
    <cfRule type="cellIs" dxfId="260" priority="26" operator="greaterThan">
      <formula>0</formula>
    </cfRule>
  </conditionalFormatting>
  <conditionalFormatting sqref="I60">
    <cfRule type="cellIs" dxfId="259" priority="23" operator="lessThan">
      <formula>0</formula>
    </cfRule>
    <cfRule type="cellIs" dxfId="258" priority="24" operator="greaterThan">
      <formula>0</formula>
    </cfRule>
  </conditionalFormatting>
  <conditionalFormatting sqref="N60">
    <cfRule type="cellIs" dxfId="257" priority="21" operator="lessThan">
      <formula>0</formula>
    </cfRule>
    <cfRule type="cellIs" dxfId="256" priority="22" operator="greaterThan">
      <formula>0</formula>
    </cfRule>
  </conditionalFormatting>
  <conditionalFormatting sqref="R60">
    <cfRule type="cellIs" dxfId="255" priority="19" operator="lessThan">
      <formula>0</formula>
    </cfRule>
    <cfRule type="cellIs" dxfId="254" priority="20" operator="greaterThan">
      <formula>0</formula>
    </cfRule>
  </conditionalFormatting>
  <conditionalFormatting sqref="H60">
    <cfRule type="cellIs" dxfId="253" priority="17" operator="lessThan">
      <formula>0</formula>
    </cfRule>
    <cfRule type="cellIs" dxfId="252" priority="18" operator="greaterThan">
      <formula>0</formula>
    </cfRule>
  </conditionalFormatting>
  <conditionalFormatting sqref="M60">
    <cfRule type="cellIs" dxfId="251" priority="15" operator="lessThan">
      <formula>0</formula>
    </cfRule>
    <cfRule type="cellIs" dxfId="250" priority="16" operator="greaterThan">
      <formula>0</formula>
    </cfRule>
  </conditionalFormatting>
  <conditionalFormatting sqref="Q60">
    <cfRule type="cellIs" dxfId="249" priority="13" operator="lessThan">
      <formula>0</formula>
    </cfRule>
    <cfRule type="cellIs" dxfId="248" priority="14" operator="greaterThan">
      <formula>0</formula>
    </cfRule>
  </conditionalFormatting>
  <conditionalFormatting sqref="I66">
    <cfRule type="cellIs" dxfId="247" priority="11" operator="lessThan">
      <formula>0</formula>
    </cfRule>
    <cfRule type="cellIs" dxfId="246" priority="12" operator="greaterThan">
      <formula>0</formula>
    </cfRule>
  </conditionalFormatting>
  <conditionalFormatting sqref="N66">
    <cfRule type="cellIs" dxfId="245" priority="9" operator="lessThan">
      <formula>0</formula>
    </cfRule>
    <cfRule type="cellIs" dxfId="244" priority="10" operator="greaterThan">
      <formula>0</formula>
    </cfRule>
  </conditionalFormatting>
  <conditionalFormatting sqref="R66">
    <cfRule type="cellIs" dxfId="243" priority="7" operator="lessThan">
      <formula>0</formula>
    </cfRule>
    <cfRule type="cellIs" dxfId="242" priority="8" operator="greaterThan">
      <formula>0</formula>
    </cfRule>
  </conditionalFormatting>
  <conditionalFormatting sqref="H66">
    <cfRule type="cellIs" dxfId="241" priority="5" operator="lessThan">
      <formula>0</formula>
    </cfRule>
    <cfRule type="cellIs" dxfId="240" priority="6" operator="greaterThan">
      <formula>0</formula>
    </cfRule>
  </conditionalFormatting>
  <conditionalFormatting sqref="M66">
    <cfRule type="cellIs" dxfId="239" priority="3" operator="lessThan">
      <formula>0</formula>
    </cfRule>
    <cfRule type="cellIs" dxfId="238" priority="4" operator="greaterThan">
      <formula>0</formula>
    </cfRule>
  </conditionalFormatting>
  <conditionalFormatting sqref="Q66">
    <cfRule type="cellIs" dxfId="237" priority="1" operator="lessThan">
      <formula>0</formula>
    </cfRule>
    <cfRule type="cellIs" dxfId="236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10" activePane="bottomRight" state="frozen"/>
      <selection activeCell="K54" sqref="K54"/>
      <selection pane="topRight" activeCell="K54" sqref="K54"/>
      <selection pane="bottomLeft" activeCell="K54" sqref="K54"/>
      <selection pane="bottomRight" activeCell="K54" sqref="K5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44038</v>
      </c>
      <c r="K1" s="249">
        <f>G19</f>
        <v>37.950138000000003</v>
      </c>
      <c r="L1" s="249">
        <f>K10</f>
        <v>33.100629645161284</v>
      </c>
      <c r="M1" s="249">
        <f>K1-L1</f>
        <v>4.8495083548387186</v>
      </c>
      <c r="N1" s="273">
        <f>M1/K1*100</f>
        <v>12.778631674115962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37.950138000000003</v>
      </c>
      <c r="P3" s="249">
        <v>0.105769</v>
      </c>
      <c r="Q3" s="249">
        <f>O1-P3</f>
        <v>-0.105769</v>
      </c>
      <c r="R3" s="249">
        <f>F19-J10</f>
        <v>4.6066216387483934</v>
      </c>
      <c r="S3" s="249">
        <f>F19-J10</f>
        <v>4.6066216387483934</v>
      </c>
      <c r="T3" s="110">
        <f>S3/F19*100</f>
        <v>12.611587517553449</v>
      </c>
    </row>
    <row r="4" spans="1:20" s="110" customFormat="1" ht="12" customHeight="1" x14ac:dyDescent="0.2">
      <c r="F4" s="110">
        <f>G19/20*31</f>
        <v>58.822713900000004</v>
      </c>
      <c r="G4" s="110">
        <v>13.2800040955377</v>
      </c>
      <c r="H4" s="270">
        <f>G4*F4/100</f>
        <v>7.8116588150264246</v>
      </c>
      <c r="I4" s="268">
        <f>F4-H4</f>
        <v>51.011055084973577</v>
      </c>
      <c r="J4" s="270">
        <f>I4/31*20</f>
        <v>32.910358119337793</v>
      </c>
      <c r="K4" s="270">
        <f>J4-K10</f>
        <v>-0.19027152582349061</v>
      </c>
      <c r="L4" s="268">
        <f>G19/27*31</f>
        <v>43.572380666666668</v>
      </c>
      <c r="M4" s="271"/>
      <c r="N4" s="249">
        <f>F19-J10</f>
        <v>4.6066216387483934</v>
      </c>
      <c r="O4" s="249">
        <f>N4/F19*100</f>
        <v>12.611587517553449</v>
      </c>
      <c r="Q4" s="249"/>
      <c r="R4" s="110">
        <f>R3/F19*100</f>
        <v>12.611587517553449</v>
      </c>
      <c r="S4" s="249">
        <f>G19-K10</f>
        <v>4.8495083548387186</v>
      </c>
      <c r="T4" s="110">
        <f>S4/G19*100</f>
        <v>12.778631674115962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4.8495083548387186</v>
      </c>
      <c r="O5" s="274">
        <f>N5/G19*100</f>
        <v>12.778631674115962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3" t="s">
        <v>179</v>
      </c>
      <c r="I8" s="114" t="s">
        <v>180</v>
      </c>
      <c r="J8" s="318"/>
      <c r="K8" s="328"/>
      <c r="L8" s="328"/>
      <c r="M8" s="283" t="s">
        <v>179</v>
      </c>
      <c r="N8" s="114" t="s">
        <v>180</v>
      </c>
      <c r="O8" s="318"/>
      <c r="P8" s="328"/>
      <c r="Q8" s="283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36.526897445199999</v>
      </c>
      <c r="G10" s="128">
        <f>SUMIFS(G18:G5005,$A18:$A5005,$A10,$C18:$C5005,$C10)</f>
        <v>37.950138000000003</v>
      </c>
      <c r="H10" s="128">
        <f>G10-F10</f>
        <v>1.4232405548000031</v>
      </c>
      <c r="I10" s="129">
        <f>IFERROR(G10/F10-1,"")</f>
        <v>3.8964178573754893E-2</v>
      </c>
      <c r="J10" s="130">
        <f t="shared" ref="J10" si="1">SUM(J11:J18)</f>
        <v>31.920275806451606</v>
      </c>
      <c r="K10" s="128">
        <f t="shared" ref="K10" si="2">SUM(K11:K18)</f>
        <v>33.100629645161284</v>
      </c>
      <c r="L10" s="128"/>
      <c r="M10" s="250">
        <f>K10-J10</f>
        <v>1.1803538387096779</v>
      </c>
      <c r="N10" s="129">
        <f>IFERROR(K10/J10-1,"")</f>
        <v>3.6978184207014486E-2</v>
      </c>
      <c r="O10" s="128">
        <f>SUMIFS(O18:O5005,$A18:$A5005,$A10,$C18:$C5005,$C10)</f>
        <v>87.927876870000006</v>
      </c>
      <c r="P10" s="128">
        <f>SUMIFS(P18:P5005,$A18:$A5005,$A10,$C18:$C5005,$C10)</f>
        <v>87.927876870000006</v>
      </c>
      <c r="Q10" s="131">
        <f>P10-O10</f>
        <v>0</v>
      </c>
      <c r="R10" s="132">
        <f t="shared" ref="R10:R19" si="3">IFERROR(P10/O10-1,"")</f>
        <v>0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2.0651845161290323</v>
      </c>
      <c r="K11" s="142">
        <f>SUMIFS(K19:K5006,$A19:$A5006,$A11,$C19:$C5006,$C11)</f>
        <v>2.0271726451612904</v>
      </c>
      <c r="L11" s="142"/>
      <c r="M11" s="142">
        <f t="shared" ref="M11:M68" si="4">K11-J11</f>
        <v>-3.8011870967741945E-2</v>
      </c>
      <c r="N11" s="143">
        <f t="shared" ref="N11:N68" si="5">IFERROR(K11/J11-1,"")</f>
        <v>-1.8406041044211952E-2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0.6258174193548387</v>
      </c>
      <c r="K14" s="142">
        <f>SUMIFS(K19:K5006,$A19:$A5006,$A14,$C19:$C5006,$C14)</f>
        <v>0.6172964193548387</v>
      </c>
      <c r="L14" s="142"/>
      <c r="M14" s="142">
        <f t="shared" si="4"/>
        <v>-8.5210000000000008E-3</v>
      </c>
      <c r="N14" s="143">
        <f t="shared" si="5"/>
        <v>-1.3615792300547325E-2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7.7807941935483784</v>
      </c>
      <c r="K15" s="142">
        <f>SUMIFS(K19:K5006,$A19:$A5006,$A15,$C19:$C5006,$C15)</f>
        <v>8.9701674516128946</v>
      </c>
      <c r="L15" s="142"/>
      <c r="M15" s="142">
        <f t="shared" si="4"/>
        <v>1.1893732580645162</v>
      </c>
      <c r="N15" s="143">
        <f t="shared" si="5"/>
        <v>0.15286013592940328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0.38454387096774201</v>
      </c>
      <c r="K16" s="142">
        <f>SUMIFS(K19:K5006,$A19:$A5006,$A16,$C19:$C5006,$C16)</f>
        <v>0.35967235483870974</v>
      </c>
      <c r="L16" s="142"/>
      <c r="M16" s="142">
        <f t="shared" si="4"/>
        <v>-2.4871516129032267E-2</v>
      </c>
      <c r="N16" s="143">
        <f t="shared" si="5"/>
        <v>-6.4677967864734565E-2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11.329469032258064</v>
      </c>
      <c r="K17" s="142">
        <f>SUMIFS(K19:K5006,$A19:$A5006,$A17,$C19:$C5006,$C17)</f>
        <v>11.362617999999999</v>
      </c>
      <c r="L17" s="142"/>
      <c r="M17" s="142">
        <f t="shared" si="4"/>
        <v>3.3148967741935209E-2</v>
      </c>
      <c r="N17" s="143">
        <f t="shared" si="5"/>
        <v>2.9259065581583865E-3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9.7344667741935496</v>
      </c>
      <c r="K18" s="154">
        <f>SUMIFS(K19:K5006,$A19:$A5006,$A18,$C19:$C5006,$C18)</f>
        <v>9.7637027741935487</v>
      </c>
      <c r="L18" s="154"/>
      <c r="M18" s="154">
        <f t="shared" si="4"/>
        <v>2.9235999999999152E-2</v>
      </c>
      <c r="N18" s="155">
        <f t="shared" si="5"/>
        <v>3.0033488919500861E-3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36.526897445199999</v>
      </c>
      <c r="G19" s="210">
        <v>37.950138000000003</v>
      </c>
      <c r="H19" s="269">
        <f>G19-F19</f>
        <v>1.4232405548000031</v>
      </c>
      <c r="I19" s="164">
        <f>IFERROR(G19/F19-1,"")</f>
        <v>3.8964178573754893E-2</v>
      </c>
      <c r="J19" s="165">
        <f>SUM(J20,J29,J35,J41,J47,J55,J62,J63)</f>
        <v>31.920275806451606</v>
      </c>
      <c r="K19" s="163">
        <f>SUM(K20,K29,K35,K41,K47,K55,K62,K63)</f>
        <v>33.100629645161284</v>
      </c>
      <c r="L19" s="163"/>
      <c r="M19" s="163">
        <f t="shared" si="4"/>
        <v>1.1803538387096779</v>
      </c>
      <c r="N19" s="164">
        <f t="shared" si="5"/>
        <v>3.6978184207014486E-2</v>
      </c>
      <c r="O19" s="210">
        <v>87.927876870000006</v>
      </c>
      <c r="P19" s="210">
        <f>O19</f>
        <v>87.927876870000006</v>
      </c>
      <c r="Q19" s="166">
        <f t="shared" ref="Q19" si="7">P19-O19</f>
        <v>0</v>
      </c>
      <c r="R19" s="167">
        <f t="shared" si="3"/>
        <v>0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2.0651845161290323</v>
      </c>
      <c r="K20" s="173">
        <f>SUM(K21:K28)</f>
        <v>2.0271726451612904</v>
      </c>
      <c r="L20" s="173"/>
      <c r="M20" s="251">
        <f t="shared" si="4"/>
        <v>-3.8011870967741945E-2</v>
      </c>
      <c r="N20" s="174">
        <f t="shared" si="5"/>
        <v>-1.8406041044211952E-2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0.958468/31*30</f>
        <v>0.9275496774193549</v>
      </c>
      <c r="K24" s="262">
        <f>J24-0.005221</f>
        <v>0.92232867741935487</v>
      </c>
      <c r="L24" s="185"/>
      <c r="M24" s="252">
        <f>K24-J24</f>
        <v>-5.2210000000000312E-3</v>
      </c>
      <c r="N24" s="186">
        <f>IFERROR(K24/J24-1,"")</f>
        <v>-5.6288090299658755E-3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0.35886/31*30</f>
        <v>0.34728387096774194</v>
      </c>
      <c r="K25" s="262">
        <v>0.31290200000000001</v>
      </c>
      <c r="L25" s="185"/>
      <c r="M25" s="252">
        <f t="shared" ref="M25:M27" si="10">K25-J25</f>
        <v>-3.4381870967741923E-2</v>
      </c>
      <c r="N25" s="186">
        <f t="shared" ref="N25:N27" si="11">IFERROR(K25/J25-1,"")</f>
        <v>-9.900221070426718E-2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0.080084/31*30</f>
        <v>7.7500645161290321E-2</v>
      </c>
      <c r="K26" s="262">
        <f>J26+0.002445</f>
        <v>7.9945645161290324E-2</v>
      </c>
      <c r="L26" s="185"/>
      <c r="M26" s="252">
        <f t="shared" si="10"/>
        <v>2.4450000000000027E-3</v>
      </c>
      <c r="N26" s="186">
        <f t="shared" si="11"/>
        <v>3.1548124469307215E-2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0.736612/31*30</f>
        <v>0.71285032258064518</v>
      </c>
      <c r="K28" s="190">
        <f>J28-0.000854</f>
        <v>0.71199632258064516</v>
      </c>
      <c r="L28" s="190"/>
      <c r="M28" s="185">
        <f t="shared" si="4"/>
        <v>-8.5400000000002141E-4</v>
      </c>
      <c r="N28" s="186">
        <f t="shared" si="5"/>
        <v>-1.1980074539468255E-3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0.6258174193548387</v>
      </c>
      <c r="K41" s="251">
        <f t="shared" si="15"/>
        <v>0.6172964193548387</v>
      </c>
      <c r="L41" s="173"/>
      <c r="M41" s="173">
        <f t="shared" si="4"/>
        <v>-8.5210000000000008E-3</v>
      </c>
      <c r="N41" s="174">
        <f t="shared" si="5"/>
        <v>-1.3615792300547325E-2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0.646678/31*30</f>
        <v>0.6258174193548387</v>
      </c>
      <c r="K46" s="185">
        <f>J46-0.008521</f>
        <v>0.6172964193548387</v>
      </c>
      <c r="L46" s="185"/>
      <c r="M46" s="185">
        <f t="shared" si="4"/>
        <v>-8.5210000000000008E-3</v>
      </c>
      <c r="N46" s="186">
        <f t="shared" si="5"/>
        <v>-1.3615792300547325E-2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7.7807941935483784</v>
      </c>
      <c r="K47" s="251">
        <f>SUM(K48:K54)</f>
        <v>8.9701674516128946</v>
      </c>
      <c r="L47" s="173"/>
      <c r="M47" s="251">
        <f t="shared" si="4"/>
        <v>1.1893732580645162</v>
      </c>
      <c r="N47" s="174">
        <f t="shared" si="5"/>
        <v>0.15286013592940328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0.141065/31*30</f>
        <v>0.13651451612903226</v>
      </c>
      <c r="K51" s="256">
        <f>J51+0.09119</f>
        <v>0.22770451612903225</v>
      </c>
      <c r="L51" s="190"/>
      <c r="M51" s="252">
        <f>K51-J51</f>
        <v>9.1189999999999993E-2</v>
      </c>
      <c r="N51" s="186">
        <f t="shared" si="5"/>
        <v>0.6679875707416203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0.282325/31*30</f>
        <v>0.27321774193548387</v>
      </c>
      <c r="K52" s="190">
        <v>0.16017999999999999</v>
      </c>
      <c r="L52" s="190"/>
      <c r="M52" s="252">
        <f t="shared" ref="M52:M53" si="16">K52-J52</f>
        <v>-0.11303774193548388</v>
      </c>
      <c r="N52" s="186">
        <f t="shared" si="5"/>
        <v>-0.41372767791257126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7.61676399999999/31*30</f>
        <v>7.371061935483862</v>
      </c>
      <c r="K54" s="185">
        <f>J54+1.211221</f>
        <v>8.5822829354838621</v>
      </c>
      <c r="L54" s="185"/>
      <c r="M54" s="252">
        <f t="shared" si="4"/>
        <v>1.2112210000000001</v>
      </c>
      <c r="N54" s="186">
        <f t="shared" si="5"/>
        <v>0.16432109926647787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0.38454387096774201</v>
      </c>
      <c r="K55" s="173">
        <f t="shared" si="18"/>
        <v>0.35967235483870974</v>
      </c>
      <c r="L55" s="173"/>
      <c r="M55" s="251">
        <f t="shared" si="4"/>
        <v>-2.4871516129032267E-2</v>
      </c>
      <c r="N55" s="174">
        <f t="shared" si="5"/>
        <v>-6.4677967864734565E-2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0.107988/31*30</f>
        <v>0.10450451612903225</v>
      </c>
      <c r="K59" s="262">
        <v>7.8218999999999997E-2</v>
      </c>
      <c r="L59" s="190"/>
      <c r="M59" s="185">
        <f>K59-J59</f>
        <v>-2.6285516129032252E-2</v>
      </c>
      <c r="N59" s="186">
        <f>IFERROR(K59/J59-1,"")</f>
        <v>-0.25152516946327363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0.289374/31*30</f>
        <v>0.28003935483870973</v>
      </c>
      <c r="K61" s="185">
        <f>J61+0.001414</f>
        <v>0.28145335483870976</v>
      </c>
      <c r="L61" s="185"/>
      <c r="M61" s="185">
        <f t="shared" si="4"/>
        <v>1.4140000000000263E-3</v>
      </c>
      <c r="N61" s="186">
        <f t="shared" si="5"/>
        <v>5.0492903071228667E-3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11.707118/31*30</f>
        <v>11.329469032258064</v>
      </c>
      <c r="K62" s="261">
        <v>11.362617999999999</v>
      </c>
      <c r="L62" s="193"/>
      <c r="M62" s="253">
        <f t="shared" si="4"/>
        <v>3.3148967741935209E-2</v>
      </c>
      <c r="N62" s="194">
        <f t="shared" si="5"/>
        <v>2.9259065581583865E-3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9.7344667741935496</v>
      </c>
      <c r="K63" s="173">
        <f>SUM(K64:K68)</f>
        <v>9.7637027741935487</v>
      </c>
      <c r="L63" s="173"/>
      <c r="M63" s="173">
        <f t="shared" si="4"/>
        <v>2.9235999999999152E-2</v>
      </c>
      <c r="N63" s="174">
        <f t="shared" si="5"/>
        <v>3.0033488919500861E-3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10.058949/31*30</f>
        <v>9.7344667741935496</v>
      </c>
      <c r="K64" s="211">
        <f>J64+0.029236</f>
        <v>9.7637027741935487</v>
      </c>
      <c r="L64" s="185"/>
      <c r="M64" s="252">
        <f t="shared" si="4"/>
        <v>2.9235999999999152E-2</v>
      </c>
      <c r="N64" s="186">
        <f t="shared" si="5"/>
        <v>3.0033488919500861E-3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13314140.146627568</v>
      </c>
      <c r="L74" s="133">
        <f>J74-K74</f>
        <v>-768543.14662756771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31920.275806451602</v>
      </c>
      <c r="L83" s="267">
        <f>L84+L85+L86+L87+L88+L89</f>
        <v>33100.62964516128</v>
      </c>
      <c r="M83" s="267">
        <f>L83-K83</f>
        <v>1180.3538387096778</v>
      </c>
      <c r="N83" s="266">
        <f>M83/K83</f>
        <v>3.6978184207014569E-2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2065.1845161290321</v>
      </c>
      <c r="L84" s="267">
        <f>K20*1000</f>
        <v>2027.1726451612903</v>
      </c>
      <c r="M84" s="267">
        <f t="shared" ref="M84:M89" si="19">L84-K84</f>
        <v>-38.011870967741743</v>
      </c>
      <c r="N84" s="266">
        <f t="shared" ref="N84:N89" si="20">M84/K84</f>
        <v>-1.8406041044211844E-2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625.81741935483865</v>
      </c>
      <c r="L85" s="267">
        <f>K46*1000</f>
        <v>617.29641935483869</v>
      </c>
      <c r="M85" s="267">
        <f t="shared" si="19"/>
        <v>-8.5209999999999582</v>
      </c>
      <c r="N85" s="266">
        <f t="shared" si="20"/>
        <v>-1.3615792300547245E-2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7780.7941935483786</v>
      </c>
      <c r="L86" s="267">
        <f>K47*1000</f>
        <v>8970.1674516128951</v>
      </c>
      <c r="M86" s="267">
        <f t="shared" si="19"/>
        <v>1189.3732580645164</v>
      </c>
      <c r="N86" s="266">
        <f t="shared" si="20"/>
        <v>0.15286013592940323</v>
      </c>
    </row>
    <row r="87" spans="5:20" x14ac:dyDescent="0.25">
      <c r="J87" s="133" t="s">
        <v>189</v>
      </c>
      <c r="K87" s="267">
        <f>J55*1000</f>
        <v>384.54387096774201</v>
      </c>
      <c r="L87" s="267">
        <f>K55*1000</f>
        <v>359.67235483870974</v>
      </c>
      <c r="M87" s="267">
        <f t="shared" si="19"/>
        <v>-24.871516129032273</v>
      </c>
      <c r="N87" s="266">
        <f t="shared" si="20"/>
        <v>-6.467796786473462E-2</v>
      </c>
    </row>
    <row r="88" spans="5:20" x14ac:dyDescent="0.25">
      <c r="E88" s="133">
        <v>9.8273639999999993</v>
      </c>
      <c r="J88" s="133" t="s">
        <v>190</v>
      </c>
      <c r="K88" s="267">
        <f>J62*1000</f>
        <v>11329.469032258065</v>
      </c>
      <c r="L88" s="267">
        <f>K62*1000</f>
        <v>11362.617999999999</v>
      </c>
      <c r="M88" s="267">
        <f t="shared" si="19"/>
        <v>33.14896774193403</v>
      </c>
      <c r="N88" s="266">
        <f t="shared" si="20"/>
        <v>2.9259065581581931E-3</v>
      </c>
    </row>
    <row r="89" spans="5:20" x14ac:dyDescent="0.25">
      <c r="E89" s="133">
        <v>11.487494999999999</v>
      </c>
      <c r="J89" s="133" t="s">
        <v>191</v>
      </c>
      <c r="K89" s="267">
        <f>J64*1000</f>
        <v>9734.46677419355</v>
      </c>
      <c r="L89" s="267">
        <f>K64*1000</f>
        <v>9763.702774193549</v>
      </c>
      <c r="M89" s="267">
        <f t="shared" si="19"/>
        <v>29.235999999998967</v>
      </c>
      <c r="N89" s="266">
        <f t="shared" si="20"/>
        <v>3.0033488919500697E-3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A6:A8"/>
    <mergeCell ref="B6:B8"/>
    <mergeCell ref="C6:C8"/>
    <mergeCell ref="D6:D8"/>
    <mergeCell ref="E6:E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F71:H71"/>
    <mergeCell ref="F74:H74"/>
    <mergeCell ref="J6:N6"/>
    <mergeCell ref="O6:R6"/>
    <mergeCell ref="S6:S8"/>
  </mergeCells>
  <conditionalFormatting sqref="I10:I26 I28:I32 I34:I38 I40:I44 I46:I52 I54:I59 I61:I65 I67:I68">
    <cfRule type="cellIs" dxfId="235" priority="95" operator="lessThan">
      <formula>0</formula>
    </cfRule>
    <cfRule type="cellIs" dxfId="234" priority="96" operator="greaterThan">
      <formula>0</formula>
    </cfRule>
  </conditionalFormatting>
  <conditionalFormatting sqref="N10:N26 N28:N32 N34:N38 N40:N44 N46:N52 N54:N59 N61:N65 N67:N68">
    <cfRule type="cellIs" dxfId="233" priority="93" operator="lessThan">
      <formula>0</formula>
    </cfRule>
    <cfRule type="cellIs" dxfId="232" priority="94" operator="greaterThan">
      <formula>0</formula>
    </cfRule>
  </conditionalFormatting>
  <conditionalFormatting sqref="R10:R26 R28:R32 R34:R38 R40:R44 R46:R52 R54:R59 R61:R65 R67:R68">
    <cfRule type="cellIs" dxfId="231" priority="91" operator="lessThan">
      <formula>0</formula>
    </cfRule>
    <cfRule type="cellIs" dxfId="230" priority="92" operator="greaterThan">
      <formula>0</formula>
    </cfRule>
  </conditionalFormatting>
  <conditionalFormatting sqref="H10:H26 H28:H32 H34:H38 H40:H44 H46:H52 H54:H59 H61:H65 H67:H68">
    <cfRule type="cellIs" dxfId="229" priority="89" operator="lessThan">
      <formula>0</formula>
    </cfRule>
    <cfRule type="cellIs" dxfId="228" priority="90" operator="greaterThan">
      <formula>0</formula>
    </cfRule>
  </conditionalFormatting>
  <conditionalFormatting sqref="M10:M26 M28:M32 M34:M38 M40:M44 M46:M52 M54:M59 M61:M65 M67:M68">
    <cfRule type="cellIs" dxfId="227" priority="87" operator="lessThan">
      <formula>0</formula>
    </cfRule>
    <cfRule type="cellIs" dxfId="226" priority="88" operator="greaterThan">
      <formula>0</formula>
    </cfRule>
  </conditionalFormatting>
  <conditionalFormatting sqref="Q10:Q26 Q28:Q32 Q34:Q38 Q40:Q44 Q46:Q52 Q54:Q59 Q61:Q65 Q67:Q68">
    <cfRule type="cellIs" dxfId="225" priority="85" operator="lessThan">
      <formula>0</formula>
    </cfRule>
    <cfRule type="cellIs" dxfId="224" priority="86" operator="greaterThan">
      <formula>0</formula>
    </cfRule>
  </conditionalFormatting>
  <conditionalFormatting sqref="I27">
    <cfRule type="cellIs" dxfId="223" priority="83" operator="lessThan">
      <formula>0</formula>
    </cfRule>
    <cfRule type="cellIs" dxfId="222" priority="84" operator="greaterThan">
      <formula>0</formula>
    </cfRule>
  </conditionalFormatting>
  <conditionalFormatting sqref="N27">
    <cfRule type="cellIs" dxfId="221" priority="81" operator="lessThan">
      <formula>0</formula>
    </cfRule>
    <cfRule type="cellIs" dxfId="220" priority="82" operator="greaterThan">
      <formula>0</formula>
    </cfRule>
  </conditionalFormatting>
  <conditionalFormatting sqref="R27">
    <cfRule type="cellIs" dxfId="219" priority="79" operator="lessThan">
      <formula>0</formula>
    </cfRule>
    <cfRule type="cellIs" dxfId="218" priority="80" operator="greaterThan">
      <formula>0</formula>
    </cfRule>
  </conditionalFormatting>
  <conditionalFormatting sqref="H27">
    <cfRule type="cellIs" dxfId="217" priority="77" operator="lessThan">
      <formula>0</formula>
    </cfRule>
    <cfRule type="cellIs" dxfId="216" priority="78" operator="greaterThan">
      <formula>0</formula>
    </cfRule>
  </conditionalFormatting>
  <conditionalFormatting sqref="M27">
    <cfRule type="cellIs" dxfId="215" priority="75" operator="lessThan">
      <formula>0</formula>
    </cfRule>
    <cfRule type="cellIs" dxfId="214" priority="76" operator="greaterThan">
      <formula>0</formula>
    </cfRule>
  </conditionalFormatting>
  <conditionalFormatting sqref="Q27">
    <cfRule type="cellIs" dxfId="213" priority="73" operator="lessThan">
      <formula>0</formula>
    </cfRule>
    <cfRule type="cellIs" dxfId="212" priority="74" operator="greaterThan">
      <formula>0</formula>
    </cfRule>
  </conditionalFormatting>
  <conditionalFormatting sqref="I33">
    <cfRule type="cellIs" dxfId="211" priority="71" operator="lessThan">
      <formula>0</formula>
    </cfRule>
    <cfRule type="cellIs" dxfId="210" priority="72" operator="greaterThan">
      <formula>0</formula>
    </cfRule>
  </conditionalFormatting>
  <conditionalFormatting sqref="N33">
    <cfRule type="cellIs" dxfId="209" priority="69" operator="lessThan">
      <formula>0</formula>
    </cfRule>
    <cfRule type="cellIs" dxfId="208" priority="70" operator="greaterThan">
      <formula>0</formula>
    </cfRule>
  </conditionalFormatting>
  <conditionalFormatting sqref="R33">
    <cfRule type="cellIs" dxfId="207" priority="67" operator="lessThan">
      <formula>0</formula>
    </cfRule>
    <cfRule type="cellIs" dxfId="206" priority="68" operator="greaterThan">
      <formula>0</formula>
    </cfRule>
  </conditionalFormatting>
  <conditionalFormatting sqref="H33">
    <cfRule type="cellIs" dxfId="205" priority="65" operator="lessThan">
      <formula>0</formula>
    </cfRule>
    <cfRule type="cellIs" dxfId="204" priority="66" operator="greaterThan">
      <formula>0</formula>
    </cfRule>
  </conditionalFormatting>
  <conditionalFormatting sqref="M33">
    <cfRule type="cellIs" dxfId="203" priority="63" operator="lessThan">
      <formula>0</formula>
    </cfRule>
    <cfRule type="cellIs" dxfId="202" priority="64" operator="greaterThan">
      <formula>0</formula>
    </cfRule>
  </conditionalFormatting>
  <conditionalFormatting sqref="Q33">
    <cfRule type="cellIs" dxfId="201" priority="61" operator="lessThan">
      <formula>0</formula>
    </cfRule>
    <cfRule type="cellIs" dxfId="200" priority="62" operator="greaterThan">
      <formula>0</formula>
    </cfRule>
  </conditionalFormatting>
  <conditionalFormatting sqref="I39">
    <cfRule type="cellIs" dxfId="199" priority="59" operator="lessThan">
      <formula>0</formula>
    </cfRule>
    <cfRule type="cellIs" dxfId="198" priority="60" operator="greaterThan">
      <formula>0</formula>
    </cfRule>
  </conditionalFormatting>
  <conditionalFormatting sqref="N39">
    <cfRule type="cellIs" dxfId="197" priority="57" operator="lessThan">
      <formula>0</formula>
    </cfRule>
    <cfRule type="cellIs" dxfId="196" priority="58" operator="greaterThan">
      <formula>0</formula>
    </cfRule>
  </conditionalFormatting>
  <conditionalFormatting sqref="R39">
    <cfRule type="cellIs" dxfId="195" priority="55" operator="lessThan">
      <formula>0</formula>
    </cfRule>
    <cfRule type="cellIs" dxfId="194" priority="56" operator="greaterThan">
      <formula>0</formula>
    </cfRule>
  </conditionalFormatting>
  <conditionalFormatting sqref="H39">
    <cfRule type="cellIs" dxfId="193" priority="53" operator="lessThan">
      <formula>0</formula>
    </cfRule>
    <cfRule type="cellIs" dxfId="192" priority="54" operator="greaterThan">
      <formula>0</formula>
    </cfRule>
  </conditionalFormatting>
  <conditionalFormatting sqref="M39">
    <cfRule type="cellIs" dxfId="191" priority="51" operator="lessThan">
      <formula>0</formula>
    </cfRule>
    <cfRule type="cellIs" dxfId="190" priority="52" operator="greaterThan">
      <formula>0</formula>
    </cfRule>
  </conditionalFormatting>
  <conditionalFormatting sqref="Q39">
    <cfRule type="cellIs" dxfId="189" priority="49" operator="lessThan">
      <formula>0</formula>
    </cfRule>
    <cfRule type="cellIs" dxfId="188" priority="50" operator="greaterThan">
      <formula>0</formula>
    </cfRule>
  </conditionalFormatting>
  <conditionalFormatting sqref="I45">
    <cfRule type="cellIs" dxfId="187" priority="47" operator="lessThan">
      <formula>0</formula>
    </cfRule>
    <cfRule type="cellIs" dxfId="186" priority="48" operator="greaterThan">
      <formula>0</formula>
    </cfRule>
  </conditionalFormatting>
  <conditionalFormatting sqref="N45">
    <cfRule type="cellIs" dxfId="185" priority="45" operator="lessThan">
      <formula>0</formula>
    </cfRule>
    <cfRule type="cellIs" dxfId="184" priority="46" operator="greaterThan">
      <formula>0</formula>
    </cfRule>
  </conditionalFormatting>
  <conditionalFormatting sqref="R45">
    <cfRule type="cellIs" dxfId="183" priority="43" operator="lessThan">
      <formula>0</formula>
    </cfRule>
    <cfRule type="cellIs" dxfId="182" priority="44" operator="greaterThan">
      <formula>0</formula>
    </cfRule>
  </conditionalFormatting>
  <conditionalFormatting sqref="H45">
    <cfRule type="cellIs" dxfId="181" priority="41" operator="lessThan">
      <formula>0</formula>
    </cfRule>
    <cfRule type="cellIs" dxfId="180" priority="42" operator="greaterThan">
      <formula>0</formula>
    </cfRule>
  </conditionalFormatting>
  <conditionalFormatting sqref="M45">
    <cfRule type="cellIs" dxfId="179" priority="39" operator="lessThan">
      <formula>0</formula>
    </cfRule>
    <cfRule type="cellIs" dxfId="178" priority="40" operator="greaterThan">
      <formula>0</formula>
    </cfRule>
  </conditionalFormatting>
  <conditionalFormatting sqref="Q45">
    <cfRule type="cellIs" dxfId="177" priority="37" operator="lessThan">
      <formula>0</formula>
    </cfRule>
    <cfRule type="cellIs" dxfId="176" priority="38" operator="greaterThan">
      <formula>0</formula>
    </cfRule>
  </conditionalFormatting>
  <conditionalFormatting sqref="I53">
    <cfRule type="cellIs" dxfId="175" priority="35" operator="lessThan">
      <formula>0</formula>
    </cfRule>
    <cfRule type="cellIs" dxfId="174" priority="36" operator="greaterThan">
      <formula>0</formula>
    </cfRule>
  </conditionalFormatting>
  <conditionalFormatting sqref="N53">
    <cfRule type="cellIs" dxfId="173" priority="33" operator="lessThan">
      <formula>0</formula>
    </cfRule>
    <cfRule type="cellIs" dxfId="172" priority="34" operator="greaterThan">
      <formula>0</formula>
    </cfRule>
  </conditionalFormatting>
  <conditionalFormatting sqref="R53">
    <cfRule type="cellIs" dxfId="171" priority="31" operator="lessThan">
      <formula>0</formula>
    </cfRule>
    <cfRule type="cellIs" dxfId="170" priority="32" operator="greaterThan">
      <formula>0</formula>
    </cfRule>
  </conditionalFormatting>
  <conditionalFormatting sqref="H53">
    <cfRule type="cellIs" dxfId="169" priority="29" operator="lessThan">
      <formula>0</formula>
    </cfRule>
    <cfRule type="cellIs" dxfId="168" priority="30" operator="greaterThan">
      <formula>0</formula>
    </cfRule>
  </conditionalFormatting>
  <conditionalFormatting sqref="M53">
    <cfRule type="cellIs" dxfId="167" priority="27" operator="lessThan">
      <formula>0</formula>
    </cfRule>
    <cfRule type="cellIs" dxfId="166" priority="28" operator="greaterThan">
      <formula>0</formula>
    </cfRule>
  </conditionalFormatting>
  <conditionalFormatting sqref="Q53">
    <cfRule type="cellIs" dxfId="165" priority="25" operator="lessThan">
      <formula>0</formula>
    </cfRule>
    <cfRule type="cellIs" dxfId="164" priority="26" operator="greaterThan">
      <formula>0</formula>
    </cfRule>
  </conditionalFormatting>
  <conditionalFormatting sqref="I60">
    <cfRule type="cellIs" dxfId="163" priority="23" operator="lessThan">
      <formula>0</formula>
    </cfRule>
    <cfRule type="cellIs" dxfId="162" priority="24" operator="greaterThan">
      <formula>0</formula>
    </cfRule>
  </conditionalFormatting>
  <conditionalFormatting sqref="N60">
    <cfRule type="cellIs" dxfId="161" priority="21" operator="lessThan">
      <formula>0</formula>
    </cfRule>
    <cfRule type="cellIs" dxfId="160" priority="22" operator="greaterThan">
      <formula>0</formula>
    </cfRule>
  </conditionalFormatting>
  <conditionalFormatting sqref="R60">
    <cfRule type="cellIs" dxfId="159" priority="19" operator="lessThan">
      <formula>0</formula>
    </cfRule>
    <cfRule type="cellIs" dxfId="158" priority="20" operator="greaterThan">
      <formula>0</formula>
    </cfRule>
  </conditionalFormatting>
  <conditionalFormatting sqref="H60">
    <cfRule type="cellIs" dxfId="157" priority="17" operator="lessThan">
      <formula>0</formula>
    </cfRule>
    <cfRule type="cellIs" dxfId="156" priority="18" operator="greaterThan">
      <formula>0</formula>
    </cfRule>
  </conditionalFormatting>
  <conditionalFormatting sqref="M60">
    <cfRule type="cellIs" dxfId="155" priority="15" operator="lessThan">
      <formula>0</formula>
    </cfRule>
    <cfRule type="cellIs" dxfId="154" priority="16" operator="greaterThan">
      <formula>0</formula>
    </cfRule>
  </conditionalFormatting>
  <conditionalFormatting sqref="Q60">
    <cfRule type="cellIs" dxfId="153" priority="13" operator="lessThan">
      <formula>0</formula>
    </cfRule>
    <cfRule type="cellIs" dxfId="152" priority="14" operator="greaterThan">
      <formula>0</formula>
    </cfRule>
  </conditionalFormatting>
  <conditionalFormatting sqref="I66">
    <cfRule type="cellIs" dxfId="151" priority="11" operator="lessThan">
      <formula>0</formula>
    </cfRule>
    <cfRule type="cellIs" dxfId="150" priority="12" operator="greaterThan">
      <formula>0</formula>
    </cfRule>
  </conditionalFormatting>
  <conditionalFormatting sqref="N66">
    <cfRule type="cellIs" dxfId="149" priority="9" operator="lessThan">
      <formula>0</formula>
    </cfRule>
    <cfRule type="cellIs" dxfId="148" priority="10" operator="greaterThan">
      <formula>0</formula>
    </cfRule>
  </conditionalFormatting>
  <conditionalFormatting sqref="R66">
    <cfRule type="cellIs" dxfId="147" priority="7" operator="lessThan">
      <formula>0</formula>
    </cfRule>
    <cfRule type="cellIs" dxfId="146" priority="8" operator="greaterThan">
      <formula>0</formula>
    </cfRule>
  </conditionalFormatting>
  <conditionalFormatting sqref="H66">
    <cfRule type="cellIs" dxfId="145" priority="5" operator="lessThan">
      <formula>0</formula>
    </cfRule>
    <cfRule type="cellIs" dxfId="144" priority="6" operator="greaterThan">
      <formula>0</formula>
    </cfRule>
  </conditionalFormatting>
  <conditionalFormatting sqref="M66">
    <cfRule type="cellIs" dxfId="143" priority="3" operator="lessThan">
      <formula>0</formula>
    </cfRule>
    <cfRule type="cellIs" dxfId="142" priority="4" operator="greaterThan">
      <formula>0</formula>
    </cfRule>
  </conditionalFormatting>
  <conditionalFormatting sqref="Q66">
    <cfRule type="cellIs" dxfId="141" priority="1" operator="lessThan">
      <formula>0</formula>
    </cfRule>
    <cfRule type="cellIs" dxfId="140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F10" activePane="bottomRight" state="frozen"/>
      <selection activeCell="K54" sqref="K54"/>
      <selection pane="topRight" activeCell="K54" sqref="K54"/>
      <selection pane="bottomLeft" activeCell="K54" sqref="K54"/>
      <selection pane="bottomRight" activeCell="K54" sqref="K5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44038</v>
      </c>
      <c r="K1" s="249">
        <f>G19</f>
        <v>39.243670000000002</v>
      </c>
      <c r="L1" s="249">
        <f>K10</f>
        <v>33.524214000000001</v>
      </c>
      <c r="M1" s="249">
        <f>K1-L1</f>
        <v>5.719456000000001</v>
      </c>
      <c r="N1" s="273">
        <f>M1/K1*100</f>
        <v>14.574212860316074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39.243670000000002</v>
      </c>
      <c r="P3" s="249">
        <v>0.105769</v>
      </c>
      <c r="Q3" s="249">
        <f>O1-P3</f>
        <v>-0.105769</v>
      </c>
      <c r="R3" s="249">
        <f>F19-J10</f>
        <v>4.7144520000000156</v>
      </c>
      <c r="S3" s="249">
        <f>F19-J10</f>
        <v>4.7144520000000156</v>
      </c>
      <c r="T3" s="110">
        <f>S3/F19*100</f>
        <v>12.505596672907146</v>
      </c>
    </row>
    <row r="4" spans="1:20" s="110" customFormat="1" ht="12" customHeight="1" x14ac:dyDescent="0.2">
      <c r="F4" s="110">
        <f>G19/20*31</f>
        <v>60.827688500000001</v>
      </c>
      <c r="G4" s="110">
        <v>13.2800040955377</v>
      </c>
      <c r="H4" s="270">
        <f>G4*F4/100</f>
        <v>8.0779195240209152</v>
      </c>
      <c r="I4" s="268">
        <f>F4-H4</f>
        <v>52.749768975979087</v>
      </c>
      <c r="J4" s="270">
        <f>I4/31*20</f>
        <v>34.0321090167607</v>
      </c>
      <c r="K4" s="270">
        <f>J4-K10</f>
        <v>0.50789501676069904</v>
      </c>
      <c r="L4" s="268">
        <f>G19/27*31</f>
        <v>45.05754703703704</v>
      </c>
      <c r="M4" s="271"/>
      <c r="N4" s="249">
        <f>F19-J10</f>
        <v>4.7144520000000156</v>
      </c>
      <c r="O4" s="249">
        <f>N4/F19*100</f>
        <v>12.505596672907146</v>
      </c>
      <c r="Q4" s="249"/>
      <c r="R4" s="110">
        <f>R3/F19*100</f>
        <v>12.505596672907146</v>
      </c>
      <c r="S4" s="249">
        <f>G19-K10</f>
        <v>5.719456000000001</v>
      </c>
      <c r="T4" s="110">
        <f>S4/G19*100</f>
        <v>14.574212860316074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5.719456000000001</v>
      </c>
      <c r="O5" s="274">
        <f>N5/G19*100</f>
        <v>14.574212860316074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4" t="s">
        <v>179</v>
      </c>
      <c r="I8" s="114" t="s">
        <v>180</v>
      </c>
      <c r="J8" s="318"/>
      <c r="K8" s="328"/>
      <c r="L8" s="328"/>
      <c r="M8" s="284" t="s">
        <v>179</v>
      </c>
      <c r="N8" s="114" t="s">
        <v>180</v>
      </c>
      <c r="O8" s="318"/>
      <c r="P8" s="328"/>
      <c r="Q8" s="284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37.698737000000001</v>
      </c>
      <c r="G10" s="128">
        <f>SUMIFS(G18:G5005,$A18:$A5005,$A10,$C18:$C5005,$C10)</f>
        <v>39.243670000000002</v>
      </c>
      <c r="H10" s="128">
        <f>G10-F10</f>
        <v>1.5449330000000003</v>
      </c>
      <c r="I10" s="129">
        <f>IFERROR(G10/F10-1,"")</f>
        <v>4.0981028091206406E-2</v>
      </c>
      <c r="J10" s="285">
        <f t="shared" ref="J10" si="1">SUM(J11:J18)</f>
        <v>32.984284999999986</v>
      </c>
      <c r="K10" s="128">
        <f t="shared" ref="K10" si="2">SUM(K11:K18)</f>
        <v>33.524214000000001</v>
      </c>
      <c r="L10" s="128"/>
      <c r="M10" s="250">
        <f>K10-J10</f>
        <v>0.53992900000001498</v>
      </c>
      <c r="N10" s="129">
        <f>IFERROR(K10/J10-1,"")</f>
        <v>1.6369280098083472E-2</v>
      </c>
      <c r="O10" s="128">
        <f>SUMIFS(O18:O5005,$A18:$A5005,$A10,$C18:$C5005,$C10)</f>
        <v>87.927876870000006</v>
      </c>
      <c r="P10" s="128">
        <f>SUMIFS(P18:P5005,$A18:$A5005,$A10,$C18:$C5005,$C10)</f>
        <v>88.280557565777883</v>
      </c>
      <c r="Q10" s="131">
        <f>P10-O10</f>
        <v>0.35268069577787742</v>
      </c>
      <c r="R10" s="132">
        <f t="shared" ref="R10:R19" si="3">IFERROR(P10/O10-1,"")</f>
        <v>4.0110225372473884E-3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2.1340240000000001</v>
      </c>
      <c r="K11" s="142">
        <f>SUMIFS(K19:K5006,$A19:$A5006,$A11,$C19:$C5006,$C11)</f>
        <v>1.559949</v>
      </c>
      <c r="L11" s="142"/>
      <c r="M11" s="142">
        <f t="shared" ref="M11:M68" si="4">K11-J11</f>
        <v>-0.57407500000000011</v>
      </c>
      <c r="N11" s="143">
        <f t="shared" ref="N11:N68" si="5">IFERROR(K11/J11-1,"")</f>
        <v>-0.26901056407987922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0.64667799999999998</v>
      </c>
      <c r="K14" s="142">
        <f>SUMIFS(K19:K5006,$A19:$A5006,$A14,$C19:$C5006,$C14)</f>
        <v>0.37108099999999999</v>
      </c>
      <c r="L14" s="142"/>
      <c r="M14" s="142">
        <f t="shared" si="4"/>
        <v>-0.27559699999999998</v>
      </c>
      <c r="N14" s="143">
        <f t="shared" si="5"/>
        <v>-0.42617345881567026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8.0401539999999905</v>
      </c>
      <c r="K15" s="142">
        <f>SUMIFS(K19:K5006,$A19:$A5006,$A15,$C19:$C5006,$C15)</f>
        <v>8.4593809999999987</v>
      </c>
      <c r="L15" s="142"/>
      <c r="M15" s="142">
        <f t="shared" si="4"/>
        <v>0.41922700000000823</v>
      </c>
      <c r="N15" s="143">
        <f t="shared" si="5"/>
        <v>5.2141662958198109E-2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0.39736199999999999</v>
      </c>
      <c r="K16" s="142">
        <f>SUMIFS(K19:K5006,$A19:$A5006,$A16,$C19:$C5006,$C16)</f>
        <v>0.87153800000000003</v>
      </c>
      <c r="L16" s="142"/>
      <c r="M16" s="142">
        <f t="shared" si="4"/>
        <v>0.47417600000000004</v>
      </c>
      <c r="N16" s="143">
        <f t="shared" si="5"/>
        <v>1.193309878649695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11.707117999999999</v>
      </c>
      <c r="K17" s="142">
        <f>SUMIFS(K19:K5006,$A19:$A5006,$A17,$C19:$C5006,$C17)</f>
        <v>12.192546999999999</v>
      </c>
      <c r="L17" s="142"/>
      <c r="M17" s="142">
        <f t="shared" si="4"/>
        <v>0.48542899999999989</v>
      </c>
      <c r="N17" s="143">
        <f t="shared" si="5"/>
        <v>4.1464432151448349E-2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10.058949</v>
      </c>
      <c r="K18" s="154">
        <f>SUMIFS(K19:K5006,$A19:$A5006,$A18,$C19:$C5006,$C18)</f>
        <v>10.069718</v>
      </c>
      <c r="L18" s="154"/>
      <c r="M18" s="154">
        <f t="shared" si="4"/>
        <v>1.0768999999999807E-2</v>
      </c>
      <c r="N18" s="155">
        <f t="shared" si="5"/>
        <v>1.0705889849924599E-3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37.698737000000001</v>
      </c>
      <c r="G19" s="210">
        <v>39.243670000000002</v>
      </c>
      <c r="H19" s="269">
        <f>G19-F19</f>
        <v>1.5449330000000003</v>
      </c>
      <c r="I19" s="164">
        <f>IFERROR(G19/F19-1,"")</f>
        <v>4.0981028091206406E-2</v>
      </c>
      <c r="J19" s="165">
        <f>SUM(J20,J29,J35,J41,J47,J55,J62,J63)</f>
        <v>32.984284999999986</v>
      </c>
      <c r="K19" s="163">
        <f>SUM(K20,K29,K35,K41,K47,K55,K62,K63)</f>
        <v>33.524214000000001</v>
      </c>
      <c r="L19" s="163"/>
      <c r="M19" s="163">
        <f t="shared" si="4"/>
        <v>0.53992900000001498</v>
      </c>
      <c r="N19" s="164">
        <f t="shared" si="5"/>
        <v>1.6369280098083472E-2</v>
      </c>
      <c r="O19" s="210">
        <v>87.927876870000006</v>
      </c>
      <c r="P19" s="210">
        <v>88.280557565777883</v>
      </c>
      <c r="Q19" s="166">
        <f t="shared" ref="Q19" si="7">P19-O19</f>
        <v>0.35268069577787742</v>
      </c>
      <c r="R19" s="167">
        <f t="shared" si="3"/>
        <v>4.0110225372473884E-3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2.1340240000000001</v>
      </c>
      <c r="K20" s="173">
        <f>SUM(K21:K28)</f>
        <v>1.559949</v>
      </c>
      <c r="L20" s="173"/>
      <c r="M20" s="251">
        <f t="shared" si="4"/>
        <v>-0.57407500000000011</v>
      </c>
      <c r="N20" s="174">
        <f t="shared" si="5"/>
        <v>-0.26901056407987922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0.958468</f>
        <v>0.95846799999999999</v>
      </c>
      <c r="K24" s="262">
        <v>1.011404</v>
      </c>
      <c r="L24" s="185"/>
      <c r="M24" s="252">
        <f>K24-J24</f>
        <v>5.2935999999999983E-2</v>
      </c>
      <c r="N24" s="186">
        <f>IFERROR(K24/J24-1,"")</f>
        <v>5.5229804229249169E-2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0.35886</f>
        <v>0.35886000000000001</v>
      </c>
      <c r="K25" s="262">
        <v>0.34611199999999998</v>
      </c>
      <c r="L25" s="185"/>
      <c r="M25" s="252">
        <f t="shared" ref="M25:M27" si="10">K25-J25</f>
        <v>-1.2748000000000037E-2</v>
      </c>
      <c r="N25" s="186">
        <f t="shared" ref="N25:N27" si="11">IFERROR(K25/J25-1,"")</f>
        <v>-3.5523602519088371E-2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0.080084</f>
        <v>8.0084000000000002E-2</v>
      </c>
      <c r="K26" s="262">
        <v>7.6314000000000007E-2</v>
      </c>
      <c r="L26" s="185"/>
      <c r="M26" s="252">
        <f t="shared" si="10"/>
        <v>-3.7699999999999956E-3</v>
      </c>
      <c r="N26" s="186">
        <f t="shared" si="11"/>
        <v>-4.7075570650816578E-2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0.736612</f>
        <v>0.73661200000000004</v>
      </c>
      <c r="K28" s="190">
        <v>0.12611900000000009</v>
      </c>
      <c r="L28" s="190"/>
      <c r="M28" s="185">
        <f t="shared" si="4"/>
        <v>-0.61049299999999995</v>
      </c>
      <c r="N28" s="186">
        <f t="shared" si="5"/>
        <v>-0.82878503201142517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0.64667799999999998</v>
      </c>
      <c r="K41" s="251">
        <f t="shared" si="15"/>
        <v>0.37108099999999999</v>
      </c>
      <c r="L41" s="173"/>
      <c r="M41" s="173">
        <f t="shared" si="4"/>
        <v>-0.27559699999999998</v>
      </c>
      <c r="N41" s="174">
        <f t="shared" si="5"/>
        <v>-0.42617345881567026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0.646678</f>
        <v>0.64667799999999998</v>
      </c>
      <c r="K46" s="185">
        <v>0.37108099999999999</v>
      </c>
      <c r="L46" s="185"/>
      <c r="M46" s="185">
        <f t="shared" si="4"/>
        <v>-0.27559699999999998</v>
      </c>
      <c r="N46" s="186">
        <f t="shared" si="5"/>
        <v>-0.42617345881567026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8.0401539999999905</v>
      </c>
      <c r="K47" s="251">
        <f>SUM(K48:K54)</f>
        <v>8.4593809999999987</v>
      </c>
      <c r="L47" s="173"/>
      <c r="M47" s="251">
        <f t="shared" si="4"/>
        <v>0.41922700000000823</v>
      </c>
      <c r="N47" s="174">
        <f t="shared" si="5"/>
        <v>5.2141662958198109E-2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0.141065</f>
        <v>0.141065</v>
      </c>
      <c r="K51" s="256">
        <v>0.21319500000000002</v>
      </c>
      <c r="L51" s="190"/>
      <c r="M51" s="252">
        <f>K51-J51</f>
        <v>7.2130000000000027E-2</v>
      </c>
      <c r="N51" s="186">
        <f t="shared" si="5"/>
        <v>0.51132456668911508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0.282325</f>
        <v>0.28232499999999999</v>
      </c>
      <c r="K52" s="190">
        <v>0.16155</v>
      </c>
      <c r="L52" s="190"/>
      <c r="M52" s="252">
        <f t="shared" ref="M52:M53" si="16">K52-J52</f>
        <v>-0.12077499999999999</v>
      </c>
      <c r="N52" s="186">
        <f t="shared" si="5"/>
        <v>-0.42778712476755509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7.61676399999999</f>
        <v>7.6167639999999901</v>
      </c>
      <c r="K54" s="185">
        <v>8.0846359999999979</v>
      </c>
      <c r="L54" s="185"/>
      <c r="M54" s="252">
        <f t="shared" si="4"/>
        <v>0.46787200000000784</v>
      </c>
      <c r="N54" s="186">
        <f t="shared" si="5"/>
        <v>6.1426611091010441E-2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0.39736199999999999</v>
      </c>
      <c r="K55" s="173">
        <f t="shared" si="18"/>
        <v>0.87153800000000003</v>
      </c>
      <c r="L55" s="173"/>
      <c r="M55" s="251">
        <f t="shared" si="4"/>
        <v>0.47417600000000004</v>
      </c>
      <c r="N55" s="174">
        <f t="shared" si="5"/>
        <v>1.193309878649695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0.107988</f>
        <v>0.107988</v>
      </c>
      <c r="K59" s="262">
        <v>0.108353</v>
      </c>
      <c r="L59" s="190"/>
      <c r="M59" s="185">
        <f>K59-J59</f>
        <v>3.6500000000000421E-4</v>
      </c>
      <c r="N59" s="186">
        <f>IFERROR(K59/J59-1,"")</f>
        <v>3.3800051857613145E-3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0.289374</f>
        <v>0.28937400000000002</v>
      </c>
      <c r="K61" s="185">
        <v>0.763185</v>
      </c>
      <c r="L61" s="185"/>
      <c r="M61" s="185">
        <f t="shared" si="4"/>
        <v>0.47381099999999998</v>
      </c>
      <c r="N61" s="186">
        <f t="shared" si="5"/>
        <v>1.6373654854962778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11.707118</f>
        <v>11.707117999999999</v>
      </c>
      <c r="K62" s="261">
        <v>12.192546999999999</v>
      </c>
      <c r="L62" s="193"/>
      <c r="M62" s="253">
        <f t="shared" si="4"/>
        <v>0.48542899999999989</v>
      </c>
      <c r="N62" s="194">
        <f t="shared" si="5"/>
        <v>4.1464432151448349E-2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10.058949</v>
      </c>
      <c r="K63" s="173">
        <f>SUM(K64:K68)</f>
        <v>10.069718</v>
      </c>
      <c r="L63" s="173"/>
      <c r="M63" s="173">
        <f t="shared" si="4"/>
        <v>1.0768999999999807E-2</v>
      </c>
      <c r="N63" s="174">
        <f t="shared" si="5"/>
        <v>1.0705889849924599E-3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10.058949</f>
        <v>10.058949</v>
      </c>
      <c r="K64" s="211">
        <v>10.069718</v>
      </c>
      <c r="L64" s="185"/>
      <c r="M64" s="252">
        <f t="shared" si="4"/>
        <v>1.0768999999999807E-2</v>
      </c>
      <c r="N64" s="186">
        <f t="shared" si="5"/>
        <v>1.0705889849924599E-3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0" spans="1:20" x14ac:dyDescent="0.25">
      <c r="K70" s="133">
        <f>7.3*K64/100</f>
        <v>0.73508941399999994</v>
      </c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13731433.636363637</v>
      </c>
      <c r="L74" s="133">
        <f>J74-K74</f>
        <v>-1185836.6363636367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32984.284999999989</v>
      </c>
      <c r="L83" s="267">
        <f>L84+L85+L86+L87+L88+L89</f>
        <v>33524.214</v>
      </c>
      <c r="M83" s="267">
        <f>L83-K83</f>
        <v>539.929000000011</v>
      </c>
      <c r="N83" s="266">
        <f>M83/K83</f>
        <v>1.6369280098083409E-2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2134.0240000000003</v>
      </c>
      <c r="L84" s="267">
        <f>K20*1000</f>
        <v>1559.9490000000001</v>
      </c>
      <c r="M84" s="267">
        <f t="shared" ref="M84:M89" si="19">L84-K84</f>
        <v>-574.07500000000027</v>
      </c>
      <c r="N84" s="266">
        <f t="shared" ref="N84:N89" si="20">M84/K84</f>
        <v>-0.26901056407987922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646.678</v>
      </c>
      <c r="L85" s="267">
        <f>K46*1000</f>
        <v>371.08100000000002</v>
      </c>
      <c r="M85" s="267">
        <f t="shared" si="19"/>
        <v>-275.59699999999998</v>
      </c>
      <c r="N85" s="266">
        <f t="shared" si="20"/>
        <v>-0.4261734588156702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8040.1539999999904</v>
      </c>
      <c r="L86" s="267">
        <f>K47*1000</f>
        <v>8459.3809999999994</v>
      </c>
      <c r="M86" s="267">
        <f t="shared" si="19"/>
        <v>419.22700000000896</v>
      </c>
      <c r="N86" s="266">
        <f t="shared" si="20"/>
        <v>5.2141662958198248E-2</v>
      </c>
    </row>
    <row r="87" spans="5:20" x14ac:dyDescent="0.25">
      <c r="J87" s="133" t="s">
        <v>189</v>
      </c>
      <c r="K87" s="267">
        <f>J55*1000</f>
        <v>397.36199999999997</v>
      </c>
      <c r="L87" s="267">
        <f>K55*1000</f>
        <v>871.53800000000001</v>
      </c>
      <c r="M87" s="267">
        <f t="shared" si="19"/>
        <v>474.17600000000004</v>
      </c>
      <c r="N87" s="266">
        <f t="shared" si="20"/>
        <v>1.193309878649695</v>
      </c>
    </row>
    <row r="88" spans="5:20" x14ac:dyDescent="0.25">
      <c r="E88" s="133">
        <v>9.8273639999999993</v>
      </c>
      <c r="J88" s="133" t="s">
        <v>190</v>
      </c>
      <c r="K88" s="267">
        <f>J62*1000</f>
        <v>11707.117999999999</v>
      </c>
      <c r="L88" s="267">
        <f>K62*1000</f>
        <v>12192.546999999999</v>
      </c>
      <c r="M88" s="267">
        <f t="shared" si="19"/>
        <v>485.42900000000009</v>
      </c>
      <c r="N88" s="266">
        <f t="shared" si="20"/>
        <v>4.1464432151448391E-2</v>
      </c>
    </row>
    <row r="89" spans="5:20" x14ac:dyDescent="0.25">
      <c r="E89" s="133">
        <v>11.487494999999999</v>
      </c>
      <c r="J89" s="133" t="s">
        <v>191</v>
      </c>
      <c r="K89" s="267">
        <f>J64*1000</f>
        <v>10058.949000000001</v>
      </c>
      <c r="L89" s="267">
        <f>K64*1000</f>
        <v>10069.718000000001</v>
      </c>
      <c r="M89" s="267">
        <f t="shared" si="19"/>
        <v>10.769000000000233</v>
      </c>
      <c r="N89" s="266">
        <f t="shared" si="20"/>
        <v>1.0705889849923916E-3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139" priority="95" operator="lessThan">
      <formula>0</formula>
    </cfRule>
    <cfRule type="cellIs" dxfId="138" priority="96" operator="greaterThan">
      <formula>0</formula>
    </cfRule>
  </conditionalFormatting>
  <conditionalFormatting sqref="N10:N26 N28:N32 N34:N38 N40:N44 N46:N52 N54:N59 N61:N65 N67:N68">
    <cfRule type="cellIs" dxfId="137" priority="93" operator="lessThan">
      <formula>0</formula>
    </cfRule>
    <cfRule type="cellIs" dxfId="136" priority="94" operator="greaterThan">
      <formula>0</formula>
    </cfRule>
  </conditionalFormatting>
  <conditionalFormatting sqref="R10:R26 R28:R32 R34:R38 R40:R44 R46:R52 R54:R59 R61:R65 R67:R68">
    <cfRule type="cellIs" dxfId="135" priority="91" operator="lessThan">
      <formula>0</formula>
    </cfRule>
    <cfRule type="cellIs" dxfId="134" priority="92" operator="greaterThan">
      <formula>0</formula>
    </cfRule>
  </conditionalFormatting>
  <conditionalFormatting sqref="H10:H26 H28:H32 H34:H38 H40:H44 H46:H52 H54:H59 H61:H65 H67:H68">
    <cfRule type="cellIs" dxfId="133" priority="89" operator="lessThan">
      <formula>0</formula>
    </cfRule>
    <cfRule type="cellIs" dxfId="132" priority="90" operator="greaterThan">
      <formula>0</formula>
    </cfRule>
  </conditionalFormatting>
  <conditionalFormatting sqref="M10:M26 M28:M32 M34:M38 M40:M44 M46:M52 M54:M59 M61:M65 M67:M68">
    <cfRule type="cellIs" dxfId="131" priority="87" operator="lessThan">
      <formula>0</formula>
    </cfRule>
    <cfRule type="cellIs" dxfId="130" priority="88" operator="greaterThan">
      <formula>0</formula>
    </cfRule>
  </conditionalFormatting>
  <conditionalFormatting sqref="Q10:Q26 Q28:Q32 Q34:Q38 Q40:Q44 Q46:Q52 Q54:Q59 Q61:Q65 Q67:Q68">
    <cfRule type="cellIs" dxfId="129" priority="85" operator="lessThan">
      <formula>0</formula>
    </cfRule>
    <cfRule type="cellIs" dxfId="128" priority="86" operator="greaterThan">
      <formula>0</formula>
    </cfRule>
  </conditionalFormatting>
  <conditionalFormatting sqref="I27">
    <cfRule type="cellIs" dxfId="127" priority="83" operator="lessThan">
      <formula>0</formula>
    </cfRule>
    <cfRule type="cellIs" dxfId="126" priority="84" operator="greaterThan">
      <formula>0</formula>
    </cfRule>
  </conditionalFormatting>
  <conditionalFormatting sqref="N27">
    <cfRule type="cellIs" dxfId="125" priority="81" operator="lessThan">
      <formula>0</formula>
    </cfRule>
    <cfRule type="cellIs" dxfId="124" priority="82" operator="greaterThan">
      <formula>0</formula>
    </cfRule>
  </conditionalFormatting>
  <conditionalFormatting sqref="R27">
    <cfRule type="cellIs" dxfId="123" priority="79" operator="lessThan">
      <formula>0</formula>
    </cfRule>
    <cfRule type="cellIs" dxfId="122" priority="80" operator="greaterThan">
      <formula>0</formula>
    </cfRule>
  </conditionalFormatting>
  <conditionalFormatting sqref="H27">
    <cfRule type="cellIs" dxfId="121" priority="77" operator="lessThan">
      <formula>0</formula>
    </cfRule>
    <cfRule type="cellIs" dxfId="120" priority="78" operator="greaterThan">
      <formula>0</formula>
    </cfRule>
  </conditionalFormatting>
  <conditionalFormatting sqref="M27">
    <cfRule type="cellIs" dxfId="119" priority="75" operator="lessThan">
      <formula>0</formula>
    </cfRule>
    <cfRule type="cellIs" dxfId="118" priority="76" operator="greaterThan">
      <formula>0</formula>
    </cfRule>
  </conditionalFormatting>
  <conditionalFormatting sqref="Q27">
    <cfRule type="cellIs" dxfId="117" priority="73" operator="lessThan">
      <formula>0</formula>
    </cfRule>
    <cfRule type="cellIs" dxfId="116" priority="74" operator="greaterThan">
      <formula>0</formula>
    </cfRule>
  </conditionalFormatting>
  <conditionalFormatting sqref="I33">
    <cfRule type="cellIs" dxfId="115" priority="71" operator="lessThan">
      <formula>0</formula>
    </cfRule>
    <cfRule type="cellIs" dxfId="114" priority="72" operator="greaterThan">
      <formula>0</formula>
    </cfRule>
  </conditionalFormatting>
  <conditionalFormatting sqref="N33">
    <cfRule type="cellIs" dxfId="113" priority="69" operator="lessThan">
      <formula>0</formula>
    </cfRule>
    <cfRule type="cellIs" dxfId="112" priority="70" operator="greaterThan">
      <formula>0</formula>
    </cfRule>
  </conditionalFormatting>
  <conditionalFormatting sqref="R33">
    <cfRule type="cellIs" dxfId="111" priority="67" operator="lessThan">
      <formula>0</formula>
    </cfRule>
    <cfRule type="cellIs" dxfId="110" priority="68" operator="greaterThan">
      <formula>0</formula>
    </cfRule>
  </conditionalFormatting>
  <conditionalFormatting sqref="H33">
    <cfRule type="cellIs" dxfId="109" priority="65" operator="lessThan">
      <formula>0</formula>
    </cfRule>
    <cfRule type="cellIs" dxfId="108" priority="66" operator="greaterThan">
      <formula>0</formula>
    </cfRule>
  </conditionalFormatting>
  <conditionalFormatting sqref="M33">
    <cfRule type="cellIs" dxfId="107" priority="63" operator="lessThan">
      <formula>0</formula>
    </cfRule>
    <cfRule type="cellIs" dxfId="106" priority="64" operator="greaterThan">
      <formula>0</formula>
    </cfRule>
  </conditionalFormatting>
  <conditionalFormatting sqref="Q33">
    <cfRule type="cellIs" dxfId="105" priority="61" operator="lessThan">
      <formula>0</formula>
    </cfRule>
    <cfRule type="cellIs" dxfId="104" priority="62" operator="greaterThan">
      <formula>0</formula>
    </cfRule>
  </conditionalFormatting>
  <conditionalFormatting sqref="I39">
    <cfRule type="cellIs" dxfId="103" priority="59" operator="lessThan">
      <formula>0</formula>
    </cfRule>
    <cfRule type="cellIs" dxfId="102" priority="60" operator="greaterThan">
      <formula>0</formula>
    </cfRule>
  </conditionalFormatting>
  <conditionalFormatting sqref="N39">
    <cfRule type="cellIs" dxfId="101" priority="57" operator="lessThan">
      <formula>0</formula>
    </cfRule>
    <cfRule type="cellIs" dxfId="100" priority="58" operator="greaterThan">
      <formula>0</formula>
    </cfRule>
  </conditionalFormatting>
  <conditionalFormatting sqref="R39">
    <cfRule type="cellIs" dxfId="99" priority="55" operator="lessThan">
      <formula>0</formula>
    </cfRule>
    <cfRule type="cellIs" dxfId="98" priority="56" operator="greaterThan">
      <formula>0</formula>
    </cfRule>
  </conditionalFormatting>
  <conditionalFormatting sqref="H39">
    <cfRule type="cellIs" dxfId="97" priority="53" operator="lessThan">
      <formula>0</formula>
    </cfRule>
    <cfRule type="cellIs" dxfId="96" priority="54" operator="greaterThan">
      <formula>0</formula>
    </cfRule>
  </conditionalFormatting>
  <conditionalFormatting sqref="M39">
    <cfRule type="cellIs" dxfId="95" priority="51" operator="lessThan">
      <formula>0</formula>
    </cfRule>
    <cfRule type="cellIs" dxfId="94" priority="52" operator="greaterThan">
      <formula>0</formula>
    </cfRule>
  </conditionalFormatting>
  <conditionalFormatting sqref="Q39">
    <cfRule type="cellIs" dxfId="93" priority="49" operator="lessThan">
      <formula>0</formula>
    </cfRule>
    <cfRule type="cellIs" dxfId="92" priority="50" operator="greaterThan">
      <formula>0</formula>
    </cfRule>
  </conditionalFormatting>
  <conditionalFormatting sqref="I45">
    <cfRule type="cellIs" dxfId="91" priority="47" operator="lessThan">
      <formula>0</formula>
    </cfRule>
    <cfRule type="cellIs" dxfId="90" priority="48" operator="greaterThan">
      <formula>0</formula>
    </cfRule>
  </conditionalFormatting>
  <conditionalFormatting sqref="N45">
    <cfRule type="cellIs" dxfId="89" priority="45" operator="lessThan">
      <formula>0</formula>
    </cfRule>
    <cfRule type="cellIs" dxfId="88" priority="46" operator="greaterThan">
      <formula>0</formula>
    </cfRule>
  </conditionalFormatting>
  <conditionalFormatting sqref="R45">
    <cfRule type="cellIs" dxfId="87" priority="43" operator="lessThan">
      <formula>0</formula>
    </cfRule>
    <cfRule type="cellIs" dxfId="86" priority="44" operator="greaterThan">
      <formula>0</formula>
    </cfRule>
  </conditionalFormatting>
  <conditionalFormatting sqref="H45">
    <cfRule type="cellIs" dxfId="85" priority="41" operator="lessThan">
      <formula>0</formula>
    </cfRule>
    <cfRule type="cellIs" dxfId="84" priority="42" operator="greaterThan">
      <formula>0</formula>
    </cfRule>
  </conditionalFormatting>
  <conditionalFormatting sqref="M45">
    <cfRule type="cellIs" dxfId="83" priority="39" operator="lessThan">
      <formula>0</formula>
    </cfRule>
    <cfRule type="cellIs" dxfId="82" priority="40" operator="greaterThan">
      <formula>0</formula>
    </cfRule>
  </conditionalFormatting>
  <conditionalFormatting sqref="Q45">
    <cfRule type="cellIs" dxfId="81" priority="37" operator="lessThan">
      <formula>0</formula>
    </cfRule>
    <cfRule type="cellIs" dxfId="80" priority="38" operator="greaterThan">
      <formula>0</formula>
    </cfRule>
  </conditionalFormatting>
  <conditionalFormatting sqref="I53">
    <cfRule type="cellIs" dxfId="79" priority="35" operator="lessThan">
      <formula>0</formula>
    </cfRule>
    <cfRule type="cellIs" dxfId="78" priority="36" operator="greaterThan">
      <formula>0</formula>
    </cfRule>
  </conditionalFormatting>
  <conditionalFormatting sqref="N53">
    <cfRule type="cellIs" dxfId="77" priority="33" operator="lessThan">
      <formula>0</formula>
    </cfRule>
    <cfRule type="cellIs" dxfId="76" priority="34" operator="greaterThan">
      <formula>0</formula>
    </cfRule>
  </conditionalFormatting>
  <conditionalFormatting sqref="R53">
    <cfRule type="cellIs" dxfId="75" priority="31" operator="lessThan">
      <formula>0</formula>
    </cfRule>
    <cfRule type="cellIs" dxfId="74" priority="32" operator="greaterThan">
      <formula>0</formula>
    </cfRule>
  </conditionalFormatting>
  <conditionalFormatting sqref="H53">
    <cfRule type="cellIs" dxfId="73" priority="29" operator="lessThan">
      <formula>0</formula>
    </cfRule>
    <cfRule type="cellIs" dxfId="72" priority="30" operator="greaterThan">
      <formula>0</formula>
    </cfRule>
  </conditionalFormatting>
  <conditionalFormatting sqref="M53">
    <cfRule type="cellIs" dxfId="71" priority="27" operator="lessThan">
      <formula>0</formula>
    </cfRule>
    <cfRule type="cellIs" dxfId="70" priority="28" operator="greaterThan">
      <formula>0</formula>
    </cfRule>
  </conditionalFormatting>
  <conditionalFormatting sqref="Q53">
    <cfRule type="cellIs" dxfId="69" priority="25" operator="lessThan">
      <formula>0</formula>
    </cfRule>
    <cfRule type="cellIs" dxfId="68" priority="26" operator="greaterThan">
      <formula>0</formula>
    </cfRule>
  </conditionalFormatting>
  <conditionalFormatting sqref="I60">
    <cfRule type="cellIs" dxfId="67" priority="23" operator="lessThan">
      <formula>0</formula>
    </cfRule>
    <cfRule type="cellIs" dxfId="66" priority="24" operator="greaterThan">
      <formula>0</formula>
    </cfRule>
  </conditionalFormatting>
  <conditionalFormatting sqref="N60">
    <cfRule type="cellIs" dxfId="65" priority="21" operator="lessThan">
      <formula>0</formula>
    </cfRule>
    <cfRule type="cellIs" dxfId="64" priority="22" operator="greaterThan">
      <formula>0</formula>
    </cfRule>
  </conditionalFormatting>
  <conditionalFormatting sqref="R60">
    <cfRule type="cellIs" dxfId="63" priority="19" operator="lessThan">
      <formula>0</formula>
    </cfRule>
    <cfRule type="cellIs" dxfId="62" priority="20" operator="greaterThan">
      <formula>0</formula>
    </cfRule>
  </conditionalFormatting>
  <conditionalFormatting sqref="H60">
    <cfRule type="cellIs" dxfId="61" priority="17" operator="lessThan">
      <formula>0</formula>
    </cfRule>
    <cfRule type="cellIs" dxfId="60" priority="18" operator="greaterThan">
      <formula>0</formula>
    </cfRule>
  </conditionalFormatting>
  <conditionalFormatting sqref="M60">
    <cfRule type="cellIs" dxfId="59" priority="15" operator="lessThan">
      <formula>0</formula>
    </cfRule>
    <cfRule type="cellIs" dxfId="58" priority="16" operator="greaterThan">
      <formula>0</formula>
    </cfRule>
  </conditionalFormatting>
  <conditionalFormatting sqref="Q60">
    <cfRule type="cellIs" dxfId="57" priority="13" operator="lessThan">
      <formula>0</formula>
    </cfRule>
    <cfRule type="cellIs" dxfId="56" priority="14" operator="greaterThan">
      <formula>0</formula>
    </cfRule>
  </conditionalFormatting>
  <conditionalFormatting sqref="I66">
    <cfRule type="cellIs" dxfId="55" priority="11" operator="lessThan">
      <formula>0</formula>
    </cfRule>
    <cfRule type="cellIs" dxfId="54" priority="12" operator="greaterThan">
      <formula>0</formula>
    </cfRule>
  </conditionalFormatting>
  <conditionalFormatting sqref="N66">
    <cfRule type="cellIs" dxfId="53" priority="9" operator="lessThan">
      <formula>0</formula>
    </cfRule>
    <cfRule type="cellIs" dxfId="52" priority="10" operator="greaterThan">
      <formula>0</formula>
    </cfRule>
  </conditionalFormatting>
  <conditionalFormatting sqref="R66">
    <cfRule type="cellIs" dxfId="51" priority="7" operator="lessThan">
      <formula>0</formula>
    </cfRule>
    <cfRule type="cellIs" dxfId="50" priority="8" operator="greaterThan">
      <formula>0</formula>
    </cfRule>
  </conditionalFormatting>
  <conditionalFormatting sqref="H66">
    <cfRule type="cellIs" dxfId="49" priority="5" operator="lessThan">
      <formula>0</formula>
    </cfRule>
    <cfRule type="cellIs" dxfId="48" priority="6" operator="greaterThan">
      <formula>0</formula>
    </cfRule>
  </conditionalFormatting>
  <conditionalFormatting sqref="M66">
    <cfRule type="cellIs" dxfId="47" priority="3" operator="lessThan">
      <formula>0</formula>
    </cfRule>
    <cfRule type="cellIs" dxfId="46" priority="4" operator="greaterThan">
      <formula>0</formula>
    </cfRule>
  </conditionalFormatting>
  <conditionalFormatting sqref="Q66">
    <cfRule type="cellIs" dxfId="45" priority="1" operator="lessThan">
      <formula>0</formula>
    </cfRule>
    <cfRule type="cellIs" dxfId="44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zoomScale="85" zoomScaleNormal="85" workbookViewId="0">
      <pane xSplit="5" ySplit="9" topLeftCell="J10" activePane="bottomRight" state="frozen"/>
      <selection pane="topRight" activeCell="E1" sqref="E1"/>
      <selection pane="bottomLeft" activeCell="A9" sqref="A9"/>
      <selection pane="bottomRight" activeCell="O14" sqref="O14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6384" width="9.140625" style="133"/>
  </cols>
  <sheetData>
    <row r="1" spans="1:18" s="110" customFormat="1" ht="15.75" x14ac:dyDescent="0.25">
      <c r="A1" s="109" t="s">
        <v>170</v>
      </c>
      <c r="C1" s="111">
        <v>43932</v>
      </c>
    </row>
    <row r="2" spans="1:18" s="110" customFormat="1" ht="12.75" x14ac:dyDescent="0.2"/>
    <row r="3" spans="1:18" s="110" customFormat="1" ht="15.75" x14ac:dyDescent="0.25">
      <c r="A3" s="112" t="s">
        <v>171</v>
      </c>
      <c r="B3" s="112"/>
    </row>
    <row r="4" spans="1:18" s="110" customFormat="1" ht="12" customHeight="1" x14ac:dyDescent="0.2"/>
    <row r="5" spans="1:18" s="110" customFormat="1" ht="12" customHeight="1" thickBot="1" x14ac:dyDescent="0.25"/>
    <row r="6" spans="1:18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</row>
    <row r="7" spans="1:18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</row>
    <row r="8" spans="1:18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113" t="s">
        <v>179</v>
      </c>
      <c r="I8" s="114" t="s">
        <v>180</v>
      </c>
      <c r="J8" s="318"/>
      <c r="K8" s="328"/>
      <c r="L8" s="328"/>
      <c r="M8" s="113" t="s">
        <v>179</v>
      </c>
      <c r="N8" s="114" t="s">
        <v>180</v>
      </c>
      <c r="O8" s="318"/>
      <c r="P8" s="328"/>
      <c r="Q8" s="113" t="s">
        <v>179</v>
      </c>
      <c r="R8" s="114" t="s">
        <v>180</v>
      </c>
    </row>
    <row r="9" spans="1:18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</row>
    <row r="10" spans="1:18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>SUM(J11:J18)</f>
        <v>0</v>
      </c>
      <c r="K10" s="128">
        <f t="shared" ref="K10" si="2">SUM(K11:K18)</f>
        <v>0</v>
      </c>
      <c r="L10" s="128"/>
      <c r="M10" s="128">
        <f>K10-J10</f>
        <v>0</v>
      </c>
      <c r="N10" s="129" t="str">
        <f>IFERROR(K10/J10-1,"")</f>
        <v/>
      </c>
      <c r="O10" s="128">
        <f t="shared" ref="O10:P10" si="3">SUMIFS(O18:O4992,$A18:$A4992,$A10,$C18:$C4992,$C10)</f>
        <v>0</v>
      </c>
      <c r="P10" s="128">
        <f t="shared" si="3"/>
        <v>0</v>
      </c>
      <c r="Q10" s="131">
        <f t="shared" ref="Q10:Q19" si="4">P10-O10</f>
        <v>0</v>
      </c>
      <c r="R10" s="132" t="str">
        <f t="shared" ref="R10:R19" si="5">IFERROR(P10/O10-1,"")</f>
        <v/>
      </c>
    </row>
    <row r="11" spans="1:18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/>
      <c r="M11" s="142">
        <f t="shared" ref="M11:M55" si="6">K11-J11</f>
        <v>0</v>
      </c>
      <c r="N11" s="143" t="str">
        <f t="shared" ref="N11:N55" si="7">IFERROR(K11/J11-1,"")</f>
        <v/>
      </c>
      <c r="O11" s="139"/>
      <c r="P11" s="139"/>
      <c r="Q11" s="229"/>
      <c r="R11" s="232"/>
    </row>
    <row r="12" spans="1:18" x14ac:dyDescent="0.25">
      <c r="A12" s="134" t="s">
        <v>13</v>
      </c>
      <c r="B12" s="135" t="s">
        <v>182</v>
      </c>
      <c r="C12" s="135" t="str">
        <f t="shared" ref="C12:C18" si="8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/>
      <c r="M12" s="142">
        <f t="shared" si="6"/>
        <v>0</v>
      </c>
      <c r="N12" s="143" t="str">
        <f t="shared" si="7"/>
        <v/>
      </c>
      <c r="O12" s="139"/>
      <c r="P12" s="139"/>
      <c r="Q12" s="229"/>
      <c r="R12" s="232"/>
    </row>
    <row r="13" spans="1:18" x14ac:dyDescent="0.25">
      <c r="A13" s="134" t="s">
        <v>15</v>
      </c>
      <c r="B13" s="135" t="s">
        <v>182</v>
      </c>
      <c r="C13" s="135" t="str">
        <f t="shared" si="8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/>
      <c r="M13" s="142">
        <f t="shared" si="6"/>
        <v>0</v>
      </c>
      <c r="N13" s="143" t="str">
        <f t="shared" si="7"/>
        <v/>
      </c>
      <c r="O13" s="139"/>
      <c r="P13" s="139"/>
      <c r="Q13" s="229"/>
      <c r="R13" s="232"/>
    </row>
    <row r="14" spans="1:18" x14ac:dyDescent="0.25">
      <c r="A14" s="134" t="s">
        <v>17</v>
      </c>
      <c r="B14" s="135" t="s">
        <v>182</v>
      </c>
      <c r="C14" s="135" t="str">
        <f t="shared" si="8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/>
      <c r="M14" s="142">
        <f t="shared" si="6"/>
        <v>0</v>
      </c>
      <c r="N14" s="143" t="str">
        <f t="shared" si="7"/>
        <v/>
      </c>
      <c r="O14" s="139"/>
      <c r="P14" s="139"/>
      <c r="Q14" s="229"/>
      <c r="R14" s="232"/>
    </row>
    <row r="15" spans="1:18" x14ac:dyDescent="0.25">
      <c r="A15" s="134" t="s">
        <v>19</v>
      </c>
      <c r="B15" s="135" t="s">
        <v>182</v>
      </c>
      <c r="C15" s="135" t="str">
        <f t="shared" si="8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/>
      <c r="M15" s="142">
        <f t="shared" si="6"/>
        <v>0</v>
      </c>
      <c r="N15" s="143" t="str">
        <f t="shared" si="7"/>
        <v/>
      </c>
      <c r="O15" s="139"/>
      <c r="P15" s="139"/>
      <c r="Q15" s="229"/>
      <c r="R15" s="232"/>
    </row>
    <row r="16" spans="1:18" ht="30" x14ac:dyDescent="0.25">
      <c r="A16" s="134" t="s">
        <v>21</v>
      </c>
      <c r="B16" s="135" t="s">
        <v>182</v>
      </c>
      <c r="C16" s="135" t="str">
        <f t="shared" si="8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/>
      <c r="M16" s="142">
        <f t="shared" si="6"/>
        <v>0</v>
      </c>
      <c r="N16" s="143" t="str">
        <f t="shared" si="7"/>
        <v/>
      </c>
      <c r="O16" s="139"/>
      <c r="P16" s="139"/>
      <c r="Q16" s="229"/>
      <c r="R16" s="232"/>
    </row>
    <row r="17" spans="1:18" x14ac:dyDescent="0.25">
      <c r="A17" s="134" t="s">
        <v>23</v>
      </c>
      <c r="B17" s="135" t="s">
        <v>182</v>
      </c>
      <c r="C17" s="135" t="str">
        <f t="shared" si="8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/>
      <c r="M17" s="142">
        <f t="shared" si="6"/>
        <v>0</v>
      </c>
      <c r="N17" s="143" t="str">
        <f t="shared" si="7"/>
        <v/>
      </c>
      <c r="O17" s="139"/>
      <c r="P17" s="139"/>
      <c r="Q17" s="229"/>
      <c r="R17" s="232"/>
    </row>
    <row r="18" spans="1:18" x14ac:dyDescent="0.25">
      <c r="A18" s="146" t="s">
        <v>25</v>
      </c>
      <c r="B18" s="147" t="s">
        <v>182</v>
      </c>
      <c r="C18" s="147" t="str">
        <f t="shared" si="8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/>
      <c r="M18" s="154">
        <f t="shared" si="6"/>
        <v>0</v>
      </c>
      <c r="N18" s="155" t="str">
        <f t="shared" si="7"/>
        <v/>
      </c>
      <c r="O18" s="151"/>
      <c r="P18" s="151"/>
      <c r="Q18" s="235"/>
      <c r="R18" s="236"/>
    </row>
    <row r="19" spans="1:18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/>
      <c r="M19" s="163">
        <f t="shared" si="6"/>
        <v>0</v>
      </c>
      <c r="N19" s="164" t="str">
        <f t="shared" si="7"/>
        <v/>
      </c>
      <c r="O19" s="210"/>
      <c r="P19" s="210"/>
      <c r="Q19" s="166">
        <f t="shared" si="4"/>
        <v>0</v>
      </c>
      <c r="R19" s="167" t="str">
        <f t="shared" si="5"/>
        <v/>
      </c>
    </row>
    <row r="20" spans="1:18" x14ac:dyDescent="0.25">
      <c r="A20" s="168" t="s">
        <v>10</v>
      </c>
      <c r="B20" s="169" t="str">
        <f>B19</f>
        <v>субъект РФ 1</v>
      </c>
      <c r="C20" s="169" t="str">
        <f t="shared" ref="C20:D35" si="9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/>
      <c r="M20" s="173">
        <f t="shared" si="6"/>
        <v>0</v>
      </c>
      <c r="N20" s="174" t="str">
        <f t="shared" si="7"/>
        <v/>
      </c>
      <c r="O20" s="139"/>
      <c r="P20" s="139"/>
      <c r="Q20" s="229"/>
      <c r="R20" s="232"/>
    </row>
    <row r="21" spans="1:18" x14ac:dyDescent="0.25">
      <c r="A21" s="177"/>
      <c r="B21" s="178" t="str">
        <f t="shared" ref="B21:D36" si="10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211"/>
      <c r="K21" s="185"/>
      <c r="L21" s="185" t="s">
        <v>195</v>
      </c>
      <c r="M21" s="185">
        <f t="shared" si="6"/>
        <v>0</v>
      </c>
      <c r="N21" s="186" t="str">
        <f t="shared" si="7"/>
        <v/>
      </c>
      <c r="O21" s="182"/>
      <c r="P21" s="182"/>
      <c r="Q21" s="230"/>
      <c r="R21" s="233"/>
    </row>
    <row r="22" spans="1:18" x14ac:dyDescent="0.25">
      <c r="A22" s="177"/>
      <c r="B22" s="178" t="str">
        <f t="shared" si="10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 t="s">
        <v>197</v>
      </c>
      <c r="M22" s="185">
        <f t="shared" si="6"/>
        <v>0</v>
      </c>
      <c r="N22" s="186" t="str">
        <f t="shared" si="7"/>
        <v/>
      </c>
      <c r="O22" s="182"/>
      <c r="P22" s="182"/>
      <c r="Q22" s="230"/>
      <c r="R22" s="233"/>
    </row>
    <row r="23" spans="1:18" x14ac:dyDescent="0.25">
      <c r="A23" s="177"/>
      <c r="B23" s="178" t="str">
        <f t="shared" si="10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 t="s">
        <v>199</v>
      </c>
      <c r="M23" s="185">
        <f t="shared" si="6"/>
        <v>0</v>
      </c>
      <c r="N23" s="186" t="str">
        <f t="shared" si="7"/>
        <v/>
      </c>
      <c r="O23" s="182"/>
      <c r="P23" s="182"/>
      <c r="Q23" s="230"/>
      <c r="R23" s="233"/>
    </row>
    <row r="24" spans="1:18" x14ac:dyDescent="0.25">
      <c r="A24" s="177"/>
      <c r="B24" s="178" t="str">
        <f t="shared" si="10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200</v>
      </c>
      <c r="F24" s="181"/>
      <c r="G24" s="182"/>
      <c r="H24" s="182"/>
      <c r="I24" s="183"/>
      <c r="J24" s="189"/>
      <c r="K24" s="190"/>
      <c r="L24" s="190"/>
      <c r="M24" s="185">
        <f t="shared" si="6"/>
        <v>0</v>
      </c>
      <c r="N24" s="186" t="str">
        <f t="shared" si="7"/>
        <v/>
      </c>
      <c r="O24" s="182"/>
      <c r="P24" s="182"/>
      <c r="Q24" s="230"/>
      <c r="R24" s="233"/>
    </row>
    <row r="25" spans="1:18" x14ac:dyDescent="0.25">
      <c r="A25" s="168" t="s">
        <v>13</v>
      </c>
      <c r="B25" s="169" t="str">
        <f t="shared" si="10"/>
        <v>субъект РФ 1</v>
      </c>
      <c r="C25" s="169" t="str">
        <f t="shared" si="9"/>
        <v>ДЗО 1</v>
      </c>
      <c r="D25" s="170" t="str">
        <f t="shared" si="9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1">SUM(J26:J29)</f>
        <v>0</v>
      </c>
      <c r="K25" s="173">
        <f t="shared" si="11"/>
        <v>0</v>
      </c>
      <c r="L25" s="173"/>
      <c r="M25" s="173">
        <f t="shared" si="6"/>
        <v>0</v>
      </c>
      <c r="N25" s="174" t="str">
        <f t="shared" si="7"/>
        <v/>
      </c>
      <c r="O25" s="139"/>
      <c r="P25" s="139"/>
      <c r="Q25" s="229"/>
      <c r="R25" s="232"/>
    </row>
    <row r="26" spans="1:18" x14ac:dyDescent="0.25">
      <c r="A26" s="177"/>
      <c r="B26" s="178" t="str">
        <f t="shared" si="10"/>
        <v>субъект РФ 1</v>
      </c>
      <c r="C26" s="178" t="str">
        <f t="shared" si="9"/>
        <v>ДЗО 1</v>
      </c>
      <c r="D26" s="179" t="str">
        <f t="shared" si="9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/>
      <c r="M26" s="185">
        <f t="shared" si="6"/>
        <v>0</v>
      </c>
      <c r="N26" s="186" t="str">
        <f t="shared" si="7"/>
        <v/>
      </c>
      <c r="O26" s="182"/>
      <c r="P26" s="182"/>
      <c r="Q26" s="230"/>
      <c r="R26" s="233"/>
    </row>
    <row r="27" spans="1:18" x14ac:dyDescent="0.25">
      <c r="A27" s="177"/>
      <c r="B27" s="178" t="str">
        <f t="shared" si="10"/>
        <v>субъект РФ 1</v>
      </c>
      <c r="C27" s="178" t="str">
        <f t="shared" si="9"/>
        <v>ДЗО 1</v>
      </c>
      <c r="D27" s="179" t="str">
        <f t="shared" si="9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/>
      <c r="M27" s="185">
        <f t="shared" si="6"/>
        <v>0</v>
      </c>
      <c r="N27" s="186" t="str">
        <f t="shared" si="7"/>
        <v/>
      </c>
      <c r="O27" s="182"/>
      <c r="P27" s="182"/>
      <c r="Q27" s="230"/>
      <c r="R27" s="233"/>
    </row>
    <row r="28" spans="1:18" x14ac:dyDescent="0.25">
      <c r="A28" s="177"/>
      <c r="B28" s="178" t="str">
        <f t="shared" si="10"/>
        <v>субъект РФ 1</v>
      </c>
      <c r="C28" s="178" t="str">
        <f t="shared" si="9"/>
        <v>ДЗО 1</v>
      </c>
      <c r="D28" s="179" t="str">
        <f t="shared" si="9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/>
      <c r="M28" s="185">
        <f t="shared" si="6"/>
        <v>0</v>
      </c>
      <c r="N28" s="186" t="str">
        <f t="shared" si="7"/>
        <v/>
      </c>
      <c r="O28" s="182"/>
      <c r="P28" s="182"/>
      <c r="Q28" s="230"/>
      <c r="R28" s="233"/>
    </row>
    <row r="29" spans="1:18" x14ac:dyDescent="0.25">
      <c r="A29" s="177"/>
      <c r="B29" s="178" t="str">
        <f t="shared" si="10"/>
        <v>субъект РФ 1</v>
      </c>
      <c r="C29" s="178" t="str">
        <f t="shared" si="9"/>
        <v>ДЗО 1</v>
      </c>
      <c r="D29" s="179" t="str">
        <f t="shared" si="9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/>
      <c r="M29" s="185">
        <f t="shared" si="6"/>
        <v>0</v>
      </c>
      <c r="N29" s="186" t="str">
        <f t="shared" si="7"/>
        <v/>
      </c>
      <c r="O29" s="182"/>
      <c r="P29" s="182"/>
      <c r="Q29" s="230"/>
      <c r="R29" s="233"/>
    </row>
    <row r="30" spans="1:18" x14ac:dyDescent="0.25">
      <c r="A30" s="168" t="s">
        <v>15</v>
      </c>
      <c r="B30" s="169" t="str">
        <f t="shared" si="10"/>
        <v>субъект РФ 1</v>
      </c>
      <c r="C30" s="169" t="str">
        <f t="shared" si="9"/>
        <v>ДЗО 1</v>
      </c>
      <c r="D30" s="170" t="str">
        <f t="shared" si="9"/>
        <v>филиал 1</v>
      </c>
      <c r="E30" s="171" t="s">
        <v>186</v>
      </c>
      <c r="F30" s="212"/>
      <c r="G30" s="139"/>
      <c r="H30" s="139"/>
      <c r="I30" s="140"/>
      <c r="J30" s="172">
        <f t="shared" ref="J30:K30" si="12">SUM(J31:J34)</f>
        <v>0</v>
      </c>
      <c r="K30" s="173">
        <f t="shared" si="12"/>
        <v>0</v>
      </c>
      <c r="L30" s="173"/>
      <c r="M30" s="173">
        <f t="shared" si="6"/>
        <v>0</v>
      </c>
      <c r="N30" s="174" t="str">
        <f t="shared" si="7"/>
        <v/>
      </c>
      <c r="O30" s="139"/>
      <c r="P30" s="139"/>
      <c r="Q30" s="229"/>
      <c r="R30" s="232"/>
    </row>
    <row r="31" spans="1:18" x14ac:dyDescent="0.25">
      <c r="A31" s="177"/>
      <c r="B31" s="178" t="str">
        <f t="shared" si="10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194</v>
      </c>
      <c r="F31" s="181"/>
      <c r="G31" s="182"/>
      <c r="H31" s="182"/>
      <c r="I31" s="183"/>
      <c r="J31" s="211"/>
      <c r="K31" s="185"/>
      <c r="L31" s="185"/>
      <c r="M31" s="185">
        <f t="shared" si="6"/>
        <v>0</v>
      </c>
      <c r="N31" s="186" t="str">
        <f t="shared" si="7"/>
        <v/>
      </c>
      <c r="O31" s="182"/>
      <c r="P31" s="182"/>
      <c r="Q31" s="230"/>
      <c r="R31" s="233"/>
    </row>
    <row r="32" spans="1:18" x14ac:dyDescent="0.25">
      <c r="A32" s="177"/>
      <c r="B32" s="178" t="str">
        <f t="shared" si="10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/>
      <c r="M32" s="185">
        <f t="shared" si="6"/>
        <v>0</v>
      </c>
      <c r="N32" s="186" t="str">
        <f t="shared" si="7"/>
        <v/>
      </c>
      <c r="O32" s="182"/>
      <c r="P32" s="182"/>
      <c r="Q32" s="230"/>
      <c r="R32" s="233"/>
    </row>
    <row r="33" spans="1:18" x14ac:dyDescent="0.25">
      <c r="A33" s="177"/>
      <c r="B33" s="178" t="str">
        <f t="shared" si="10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90"/>
      <c r="M33" s="185">
        <f t="shared" si="6"/>
        <v>0</v>
      </c>
      <c r="N33" s="186" t="str">
        <f t="shared" si="7"/>
        <v/>
      </c>
      <c r="O33" s="182"/>
      <c r="P33" s="182"/>
      <c r="Q33" s="230"/>
      <c r="R33" s="233"/>
    </row>
    <row r="34" spans="1:18" x14ac:dyDescent="0.25">
      <c r="A34" s="177"/>
      <c r="B34" s="178" t="str">
        <f t="shared" si="10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/>
      <c r="M34" s="185">
        <f t="shared" si="6"/>
        <v>0</v>
      </c>
      <c r="N34" s="186" t="str">
        <f t="shared" si="7"/>
        <v/>
      </c>
      <c r="O34" s="182"/>
      <c r="P34" s="182"/>
      <c r="Q34" s="230"/>
      <c r="R34" s="233"/>
    </row>
    <row r="35" spans="1:18" x14ac:dyDescent="0.25">
      <c r="A35" s="168" t="s">
        <v>17</v>
      </c>
      <c r="B35" s="169" t="str">
        <f t="shared" si="10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3">SUM(J36:J39)</f>
        <v>0</v>
      </c>
      <c r="K35" s="173">
        <f t="shared" si="13"/>
        <v>0</v>
      </c>
      <c r="L35" s="173"/>
      <c r="M35" s="173">
        <f t="shared" si="6"/>
        <v>0</v>
      </c>
      <c r="N35" s="174" t="str">
        <f t="shared" si="7"/>
        <v/>
      </c>
      <c r="O35" s="139"/>
      <c r="P35" s="139"/>
      <c r="Q35" s="229"/>
      <c r="R35" s="232"/>
    </row>
    <row r="36" spans="1:18" x14ac:dyDescent="0.25">
      <c r="A36" s="177"/>
      <c r="B36" s="178" t="str">
        <f t="shared" si="10"/>
        <v>субъект РФ 1</v>
      </c>
      <c r="C36" s="178" t="str">
        <f t="shared" si="10"/>
        <v>ДЗО 1</v>
      </c>
      <c r="D36" s="179" t="str">
        <f t="shared" si="10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6"/>
        <v>0</v>
      </c>
      <c r="N36" s="186" t="str">
        <f t="shared" si="7"/>
        <v/>
      </c>
      <c r="O36" s="182"/>
      <c r="P36" s="182"/>
      <c r="Q36" s="230"/>
      <c r="R36" s="233"/>
    </row>
    <row r="37" spans="1:18" x14ac:dyDescent="0.25">
      <c r="A37" s="177"/>
      <c r="B37" s="178" t="str">
        <f t="shared" ref="B37:D52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6"/>
        <v>0</v>
      </c>
      <c r="N37" s="186" t="str">
        <f t="shared" si="7"/>
        <v/>
      </c>
      <c r="O37" s="182"/>
      <c r="P37" s="182"/>
      <c r="Q37" s="230"/>
      <c r="R37" s="233"/>
    </row>
    <row r="38" spans="1:18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6"/>
        <v>0</v>
      </c>
      <c r="N38" s="186" t="str">
        <f t="shared" si="7"/>
        <v/>
      </c>
      <c r="O38" s="182"/>
      <c r="P38" s="182"/>
      <c r="Q38" s="230"/>
      <c r="R38" s="233"/>
    </row>
    <row r="39" spans="1:18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/>
      <c r="M39" s="185">
        <f t="shared" si="6"/>
        <v>0</v>
      </c>
      <c r="N39" s="186" t="str">
        <f t="shared" si="7"/>
        <v/>
      </c>
      <c r="O39" s="182"/>
      <c r="P39" s="182"/>
      <c r="Q39" s="230"/>
      <c r="R39" s="233"/>
    </row>
    <row r="40" spans="1:18" x14ac:dyDescent="0.25">
      <c r="A40" s="168" t="s">
        <v>19</v>
      </c>
      <c r="B40" s="169" t="str">
        <f t="shared" si="14"/>
        <v>субъект РФ 1</v>
      </c>
      <c r="C40" s="169" t="str">
        <f t="shared" si="14"/>
        <v>ДЗО 1</v>
      </c>
      <c r="D40" s="170" t="str">
        <f t="shared" si="14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15">SUM(J41:J44)</f>
        <v>0</v>
      </c>
      <c r="K40" s="173">
        <f t="shared" si="15"/>
        <v>0</v>
      </c>
      <c r="L40" s="173"/>
      <c r="M40" s="173">
        <f t="shared" si="6"/>
        <v>0</v>
      </c>
      <c r="N40" s="174" t="str">
        <f t="shared" si="7"/>
        <v/>
      </c>
      <c r="O40" s="139"/>
      <c r="P40" s="139"/>
      <c r="Q40" s="229"/>
      <c r="R40" s="232"/>
    </row>
    <row r="41" spans="1:18" x14ac:dyDescent="0.25">
      <c r="A41" s="177"/>
      <c r="B41" s="178" t="str">
        <f t="shared" si="14"/>
        <v>субъект РФ 1</v>
      </c>
      <c r="C41" s="178" t="str">
        <f t="shared" si="14"/>
        <v>ДЗО 1</v>
      </c>
      <c r="D41" s="179" t="str">
        <f t="shared" si="14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90"/>
      <c r="M41" s="185">
        <f t="shared" si="6"/>
        <v>0</v>
      </c>
      <c r="N41" s="186" t="str">
        <f t="shared" si="7"/>
        <v/>
      </c>
      <c r="O41" s="182"/>
      <c r="P41" s="182"/>
      <c r="Q41" s="230"/>
      <c r="R41" s="233"/>
    </row>
    <row r="42" spans="1:18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90"/>
      <c r="M42" s="185">
        <f t="shared" si="6"/>
        <v>0</v>
      </c>
      <c r="N42" s="186" t="str">
        <f t="shared" si="7"/>
        <v/>
      </c>
      <c r="O42" s="182"/>
      <c r="P42" s="182"/>
      <c r="Q42" s="230"/>
      <c r="R42" s="233"/>
    </row>
    <row r="43" spans="1:18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90"/>
      <c r="M43" s="185">
        <f t="shared" si="6"/>
        <v>0</v>
      </c>
      <c r="N43" s="186" t="str">
        <f t="shared" si="7"/>
        <v/>
      </c>
      <c r="O43" s="182"/>
      <c r="P43" s="182"/>
      <c r="Q43" s="230"/>
      <c r="R43" s="233"/>
    </row>
    <row r="44" spans="1:18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/>
      <c r="M44" s="185">
        <f t="shared" si="6"/>
        <v>0</v>
      </c>
      <c r="N44" s="186" t="str">
        <f t="shared" si="7"/>
        <v/>
      </c>
      <c r="O44" s="182"/>
      <c r="P44" s="182"/>
      <c r="Q44" s="230"/>
      <c r="R44" s="233"/>
    </row>
    <row r="45" spans="1:18" ht="30" x14ac:dyDescent="0.25">
      <c r="A45" s="168" t="s">
        <v>21</v>
      </c>
      <c r="B45" s="169" t="str">
        <f t="shared" si="14"/>
        <v>субъект РФ 1</v>
      </c>
      <c r="C45" s="169" t="str">
        <f t="shared" si="14"/>
        <v>ДЗО 1</v>
      </c>
      <c r="D45" s="170" t="str">
        <f t="shared" si="14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16">SUM(J46:J49)</f>
        <v>0</v>
      </c>
      <c r="K45" s="173">
        <f t="shared" si="16"/>
        <v>0</v>
      </c>
      <c r="L45" s="173"/>
      <c r="M45" s="173">
        <f t="shared" si="6"/>
        <v>0</v>
      </c>
      <c r="N45" s="174" t="str">
        <f t="shared" si="7"/>
        <v/>
      </c>
      <c r="O45" s="139"/>
      <c r="P45" s="139"/>
      <c r="Q45" s="229"/>
      <c r="R45" s="232"/>
    </row>
    <row r="46" spans="1:18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/>
      <c r="M46" s="185">
        <f t="shared" si="6"/>
        <v>0</v>
      </c>
      <c r="N46" s="186" t="str">
        <f t="shared" si="7"/>
        <v/>
      </c>
      <c r="O46" s="182"/>
      <c r="P46" s="182"/>
      <c r="Q46" s="230"/>
      <c r="R46" s="233"/>
    </row>
    <row r="47" spans="1:18" x14ac:dyDescent="0.25">
      <c r="A47" s="177"/>
      <c r="B47" s="178" t="str">
        <f t="shared" si="14"/>
        <v>субъект РФ 1</v>
      </c>
      <c r="C47" s="178" t="str">
        <f t="shared" si="14"/>
        <v>ДЗО 1</v>
      </c>
      <c r="D47" s="179" t="str">
        <f t="shared" si="14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/>
      <c r="M47" s="185">
        <f t="shared" si="6"/>
        <v>0</v>
      </c>
      <c r="N47" s="186" t="str">
        <f t="shared" si="7"/>
        <v/>
      </c>
      <c r="O47" s="182"/>
      <c r="P47" s="182"/>
      <c r="Q47" s="230"/>
      <c r="R47" s="233"/>
    </row>
    <row r="48" spans="1:18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90"/>
      <c r="M48" s="185">
        <f t="shared" si="6"/>
        <v>0</v>
      </c>
      <c r="N48" s="186" t="str">
        <f t="shared" si="7"/>
        <v/>
      </c>
      <c r="O48" s="182"/>
      <c r="P48" s="182"/>
      <c r="Q48" s="230"/>
      <c r="R48" s="233"/>
    </row>
    <row r="49" spans="1:18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/>
      <c r="M49" s="185">
        <f t="shared" si="6"/>
        <v>0</v>
      </c>
      <c r="N49" s="186" t="str">
        <f t="shared" si="7"/>
        <v/>
      </c>
      <c r="O49" s="182"/>
      <c r="P49" s="182"/>
      <c r="Q49" s="230"/>
      <c r="R49" s="233"/>
    </row>
    <row r="50" spans="1:18" x14ac:dyDescent="0.25">
      <c r="A50" s="168" t="s">
        <v>23</v>
      </c>
      <c r="B50" s="169" t="str">
        <f t="shared" si="14"/>
        <v>субъект РФ 1</v>
      </c>
      <c r="C50" s="169" t="str">
        <f t="shared" si="14"/>
        <v>ДЗО 1</v>
      </c>
      <c r="D50" s="170" t="str">
        <f t="shared" si="14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/>
      <c r="M50" s="193">
        <f t="shared" si="6"/>
        <v>0</v>
      </c>
      <c r="N50" s="194" t="str">
        <f t="shared" si="7"/>
        <v/>
      </c>
      <c r="O50" s="139"/>
      <c r="P50" s="139"/>
      <c r="Q50" s="229"/>
      <c r="R50" s="232"/>
    </row>
    <row r="51" spans="1:18" x14ac:dyDescent="0.25">
      <c r="A51" s="168" t="s">
        <v>25</v>
      </c>
      <c r="B51" s="169" t="str">
        <f t="shared" si="14"/>
        <v>субъект РФ 1</v>
      </c>
      <c r="C51" s="169" t="str">
        <f t="shared" si="14"/>
        <v>ДЗО 1</v>
      </c>
      <c r="D51" s="170" t="str">
        <f t="shared" si="14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/>
      <c r="M51" s="173">
        <f t="shared" si="6"/>
        <v>0</v>
      </c>
      <c r="N51" s="174" t="str">
        <f t="shared" si="7"/>
        <v/>
      </c>
      <c r="O51" s="139"/>
      <c r="P51" s="139"/>
      <c r="Q51" s="229"/>
      <c r="R51" s="232"/>
    </row>
    <row r="52" spans="1:18" x14ac:dyDescent="0.25">
      <c r="A52" s="177"/>
      <c r="B52" s="178" t="str">
        <f t="shared" si="14"/>
        <v>субъект РФ 1</v>
      </c>
      <c r="C52" s="178" t="str">
        <f t="shared" si="14"/>
        <v>ДЗО 1</v>
      </c>
      <c r="D52" s="179" t="str">
        <f t="shared" si="14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/>
      <c r="M52" s="185">
        <f t="shared" si="6"/>
        <v>0</v>
      </c>
      <c r="N52" s="186" t="str">
        <f t="shared" si="7"/>
        <v/>
      </c>
      <c r="O52" s="182"/>
      <c r="P52" s="182"/>
      <c r="Q52" s="230"/>
      <c r="R52" s="233"/>
    </row>
    <row r="53" spans="1:18" x14ac:dyDescent="0.25">
      <c r="A53" s="177"/>
      <c r="B53" s="178" t="str">
        <f t="shared" ref="B53:D55" si="17">B52</f>
        <v>субъект РФ 1</v>
      </c>
      <c r="C53" s="178" t="str">
        <f t="shared" si="17"/>
        <v>ДЗО 1</v>
      </c>
      <c r="D53" s="179" t="str">
        <f t="shared" si="17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/>
      <c r="M53" s="185">
        <f t="shared" si="6"/>
        <v>0</v>
      </c>
      <c r="N53" s="186" t="str">
        <f t="shared" si="7"/>
        <v/>
      </c>
      <c r="O53" s="182"/>
      <c r="P53" s="182"/>
      <c r="Q53" s="230"/>
      <c r="R53" s="233"/>
    </row>
    <row r="54" spans="1:18" x14ac:dyDescent="0.25">
      <c r="A54" s="177"/>
      <c r="B54" s="178" t="str">
        <f t="shared" si="17"/>
        <v>субъект РФ 1</v>
      </c>
      <c r="C54" s="178" t="str">
        <f t="shared" si="17"/>
        <v>ДЗО 1</v>
      </c>
      <c r="D54" s="179" t="str">
        <f t="shared" si="17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/>
      <c r="M54" s="185">
        <f t="shared" si="6"/>
        <v>0</v>
      </c>
      <c r="N54" s="186" t="str">
        <f t="shared" si="7"/>
        <v/>
      </c>
      <c r="O54" s="182"/>
      <c r="P54" s="182"/>
      <c r="Q54" s="230"/>
      <c r="R54" s="233"/>
    </row>
    <row r="55" spans="1:18" ht="15.75" thickBot="1" x14ac:dyDescent="0.3">
      <c r="A55" s="197"/>
      <c r="B55" s="198" t="str">
        <f t="shared" si="17"/>
        <v>субъект РФ 1</v>
      </c>
      <c r="C55" s="198" t="str">
        <f t="shared" si="17"/>
        <v>ДЗО 1</v>
      </c>
      <c r="D55" s="199" t="str">
        <f t="shared" si="17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/>
      <c r="M55" s="205">
        <f t="shared" si="6"/>
        <v>0</v>
      </c>
      <c r="N55" s="206" t="str">
        <f t="shared" si="7"/>
        <v/>
      </c>
      <c r="O55" s="202"/>
      <c r="P55" s="202"/>
      <c r="Q55" s="231"/>
      <c r="R55" s="234"/>
    </row>
  </sheetData>
  <autoFilter ref="A9:E55"/>
  <mergeCells count="18"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M7:N7"/>
    <mergeCell ref="O7:O8"/>
    <mergeCell ref="F6:I6"/>
    <mergeCell ref="A6:A8"/>
    <mergeCell ref="B6:B8"/>
    <mergeCell ref="C6:C8"/>
    <mergeCell ref="D6:D8"/>
    <mergeCell ref="E6:E8"/>
  </mergeCells>
  <conditionalFormatting sqref="I10:I5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N10:N55">
    <cfRule type="cellIs" dxfId="41" priority="13" operator="lessThan">
      <formula>0</formula>
    </cfRule>
    <cfRule type="cellIs" dxfId="40" priority="14" operator="greaterThan">
      <formula>0</formula>
    </cfRule>
  </conditionalFormatting>
  <conditionalFormatting sqref="H10:H55">
    <cfRule type="cellIs" dxfId="39" priority="9" operator="lessThan">
      <formula>0</formula>
    </cfRule>
    <cfRule type="cellIs" dxfId="38" priority="10" operator="greaterThan">
      <formula>0</formula>
    </cfRule>
  </conditionalFormatting>
  <conditionalFormatting sqref="M10:M55">
    <cfRule type="cellIs" dxfId="37" priority="7" operator="lessThan">
      <formula>0</formula>
    </cfRule>
    <cfRule type="cellIs" dxfId="36" priority="8" operator="greaterThan">
      <formula>0</formula>
    </cfRule>
  </conditionalFormatting>
  <conditionalFormatting sqref="R10:R55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Q10:Q55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pane xSplit="5" ySplit="9" topLeftCell="M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29" t="s">
        <v>174</v>
      </c>
      <c r="G6" s="320"/>
      <c r="H6" s="320"/>
      <c r="I6" s="330"/>
      <c r="J6" s="329" t="s">
        <v>175</v>
      </c>
      <c r="K6" s="320"/>
      <c r="L6" s="320"/>
      <c r="M6" s="330"/>
      <c r="N6" s="329" t="s">
        <v>211</v>
      </c>
      <c r="O6" s="320"/>
      <c r="P6" s="320"/>
      <c r="Q6" s="320"/>
      <c r="R6" s="320"/>
      <c r="S6" s="320"/>
      <c r="T6" s="320"/>
      <c r="U6" s="330"/>
    </row>
    <row r="7" spans="1:21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15" t="s">
        <v>177</v>
      </c>
      <c r="M7" s="316"/>
      <c r="N7" s="332" t="s">
        <v>212</v>
      </c>
      <c r="O7" s="331"/>
      <c r="P7" s="315" t="s">
        <v>176</v>
      </c>
      <c r="Q7" s="331"/>
      <c r="R7" s="315" t="s">
        <v>213</v>
      </c>
      <c r="S7" s="331"/>
      <c r="T7" s="315" t="s">
        <v>214</v>
      </c>
      <c r="U7" s="316"/>
    </row>
    <row r="8" spans="1:21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113" t="s">
        <v>179</v>
      </c>
      <c r="I8" s="114" t="s">
        <v>180</v>
      </c>
      <c r="J8" s="318"/>
      <c r="K8" s="328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" si="1">SUMIFS(F18:F4992,$A18:$A4992,$A10,$C18:$C4992,$C10)</f>
        <v>0</v>
      </c>
      <c r="G10" s="128">
        <f>SUMIFS(G18:G4992,$A18:$A4992,$A10,$C18:$C4992,$C10)</f>
        <v>0</v>
      </c>
      <c r="H10" s="128">
        <f>G10-F10</f>
        <v>0</v>
      </c>
      <c r="I10" s="129" t="str">
        <f>IFERROR(G10/F10-1,"")</f>
        <v/>
      </c>
      <c r="J10" s="130">
        <f t="shared" ref="J10" si="2">SUM(J11:J18)</f>
        <v>0</v>
      </c>
      <c r="K10" s="128">
        <f t="shared" ref="K10" si="3">SUM(K11:K18)</f>
        <v>0</v>
      </c>
      <c r="L10" s="128">
        <f>K10-J10</f>
        <v>0</v>
      </c>
      <c r="M10" s="129" t="str">
        <f>IFERROR(K10/J10-1,"")</f>
        <v/>
      </c>
      <c r="N10" s="130">
        <f t="shared" ref="N10:Q10" si="4">SUM(N11:N18)</f>
        <v>0</v>
      </c>
      <c r="O10" s="128">
        <f t="shared" ref="O10:P10" si="5">SUM(O11:O18)</f>
        <v>0</v>
      </c>
      <c r="P10" s="128">
        <f t="shared" si="5"/>
        <v>0</v>
      </c>
      <c r="Q10" s="128">
        <f t="shared" si="4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6">K11-J11</f>
        <v>0</v>
      </c>
      <c r="M11" s="143" t="str">
        <f t="shared" ref="M11:M55" si="7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8">O11-N11</f>
        <v>0</v>
      </c>
      <c r="S11" s="219" t="str">
        <f t="shared" ref="S11:S55" si="9">IFERROR(O11/N11-1,"")</f>
        <v/>
      </c>
      <c r="T11" s="144">
        <f t="shared" ref="T11:T55" si="10">Q11-P11</f>
        <v>0</v>
      </c>
      <c r="U11" s="145" t="str">
        <f t="shared" ref="U11:U55" si="11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2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6"/>
        <v>0</v>
      </c>
      <c r="M12" s="143" t="str">
        <f t="shared" si="7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8"/>
        <v>0</v>
      </c>
      <c r="S12" s="219" t="str">
        <f t="shared" si="9"/>
        <v/>
      </c>
      <c r="T12" s="144">
        <f t="shared" si="10"/>
        <v>0</v>
      </c>
      <c r="U12" s="145" t="str">
        <f t="shared" si="11"/>
        <v/>
      </c>
    </row>
    <row r="13" spans="1:21" x14ac:dyDescent="0.25">
      <c r="A13" s="134" t="s">
        <v>15</v>
      </c>
      <c r="B13" s="135" t="s">
        <v>182</v>
      </c>
      <c r="C13" s="135" t="str">
        <f t="shared" si="12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6"/>
        <v>0</v>
      </c>
      <c r="M13" s="143" t="str">
        <f t="shared" si="7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8"/>
        <v>0</v>
      </c>
      <c r="S13" s="219" t="str">
        <f t="shared" si="9"/>
        <v/>
      </c>
      <c r="T13" s="144">
        <f t="shared" si="10"/>
        <v>0</v>
      </c>
      <c r="U13" s="145" t="str">
        <f t="shared" si="11"/>
        <v/>
      </c>
    </row>
    <row r="14" spans="1:21" x14ac:dyDescent="0.25">
      <c r="A14" s="134" t="s">
        <v>17</v>
      </c>
      <c r="B14" s="135" t="s">
        <v>182</v>
      </c>
      <c r="C14" s="135" t="str">
        <f t="shared" si="12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6"/>
        <v>0</v>
      </c>
      <c r="M14" s="143" t="str">
        <f t="shared" si="7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8"/>
        <v>0</v>
      </c>
      <c r="S14" s="219" t="str">
        <f t="shared" si="9"/>
        <v/>
      </c>
      <c r="T14" s="144">
        <f t="shared" si="10"/>
        <v>0</v>
      </c>
      <c r="U14" s="145" t="str">
        <f t="shared" si="11"/>
        <v/>
      </c>
    </row>
    <row r="15" spans="1:21" x14ac:dyDescent="0.25">
      <c r="A15" s="134" t="s">
        <v>19</v>
      </c>
      <c r="B15" s="135" t="s">
        <v>182</v>
      </c>
      <c r="C15" s="135" t="str">
        <f t="shared" si="12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6"/>
        <v>0</v>
      </c>
      <c r="M15" s="143" t="str">
        <f t="shared" si="7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8"/>
        <v>0</v>
      </c>
      <c r="S15" s="219" t="str">
        <f t="shared" si="9"/>
        <v/>
      </c>
      <c r="T15" s="144">
        <f t="shared" si="10"/>
        <v>0</v>
      </c>
      <c r="U15" s="145" t="str">
        <f t="shared" si="11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2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6"/>
        <v>0</v>
      </c>
      <c r="M16" s="143" t="str">
        <f t="shared" si="7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8"/>
        <v>0</v>
      </c>
      <c r="S16" s="219" t="str">
        <f t="shared" si="9"/>
        <v/>
      </c>
      <c r="T16" s="144">
        <f t="shared" si="10"/>
        <v>0</v>
      </c>
      <c r="U16" s="145" t="str">
        <f t="shared" si="11"/>
        <v/>
      </c>
    </row>
    <row r="17" spans="1:21" x14ac:dyDescent="0.25">
      <c r="A17" s="134" t="s">
        <v>23</v>
      </c>
      <c r="B17" s="135" t="s">
        <v>182</v>
      </c>
      <c r="C17" s="135" t="str">
        <f t="shared" si="12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6"/>
        <v>0</v>
      </c>
      <c r="M17" s="143" t="str">
        <f t="shared" si="7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8"/>
        <v>0</v>
      </c>
      <c r="S17" s="219" t="str">
        <f t="shared" si="9"/>
        <v/>
      </c>
      <c r="T17" s="144">
        <f t="shared" si="10"/>
        <v>0</v>
      </c>
      <c r="U17" s="145" t="str">
        <f t="shared" si="11"/>
        <v/>
      </c>
    </row>
    <row r="18" spans="1:21" x14ac:dyDescent="0.25">
      <c r="A18" s="146" t="s">
        <v>25</v>
      </c>
      <c r="B18" s="147" t="s">
        <v>182</v>
      </c>
      <c r="C18" s="147" t="str">
        <f t="shared" si="12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6"/>
        <v>0</v>
      </c>
      <c r="M18" s="155" t="str">
        <f t="shared" si="7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8"/>
        <v>0</v>
      </c>
      <c r="S18" s="220" t="str">
        <f t="shared" si="9"/>
        <v/>
      </c>
      <c r="T18" s="156">
        <f t="shared" si="10"/>
        <v>0</v>
      </c>
      <c r="U18" s="157" t="str">
        <f t="shared" si="11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6"/>
        <v>0</v>
      </c>
      <c r="M19" s="164" t="str">
        <f t="shared" si="7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8"/>
        <v>0</v>
      </c>
      <c r="S19" s="221" t="str">
        <f t="shared" si="9"/>
        <v/>
      </c>
      <c r="T19" s="166">
        <f t="shared" si="10"/>
        <v>0</v>
      </c>
      <c r="U19" s="167" t="str">
        <f t="shared" si="11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3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6"/>
        <v>0</v>
      </c>
      <c r="M20" s="174" t="str">
        <f t="shared" si="7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8"/>
        <v>0</v>
      </c>
      <c r="S20" s="222" t="str">
        <f t="shared" si="9"/>
        <v/>
      </c>
      <c r="T20" s="175">
        <f t="shared" si="10"/>
        <v>0</v>
      </c>
      <c r="U20" s="176" t="str">
        <f t="shared" si="11"/>
        <v/>
      </c>
    </row>
    <row r="21" spans="1:21" x14ac:dyDescent="0.25">
      <c r="A21" s="177"/>
      <c r="B21" s="178" t="str">
        <f t="shared" ref="B21:D36" si="14">B20</f>
        <v>субъект РФ 1</v>
      </c>
      <c r="C21" s="178" t="str">
        <f t="shared" si="13"/>
        <v>ДЗО 1</v>
      </c>
      <c r="D21" s="179" t="str">
        <f t="shared" si="13"/>
        <v>филиал 1</v>
      </c>
      <c r="E21" s="191" t="s">
        <v>194</v>
      </c>
      <c r="F21" s="181"/>
      <c r="G21" s="182"/>
      <c r="H21" s="182"/>
      <c r="I21" s="183"/>
      <c r="J21" s="184"/>
      <c r="K21" s="185"/>
      <c r="L21" s="185">
        <f t="shared" si="6"/>
        <v>0</v>
      </c>
      <c r="M21" s="186" t="str">
        <f t="shared" si="7"/>
        <v/>
      </c>
      <c r="N21" s="184"/>
      <c r="O21" s="185"/>
      <c r="P21" s="185"/>
      <c r="Q21" s="185"/>
      <c r="R21" s="187">
        <f t="shared" si="8"/>
        <v>0</v>
      </c>
      <c r="S21" s="223" t="str">
        <f t="shared" si="9"/>
        <v/>
      </c>
      <c r="T21" s="187">
        <f t="shared" si="10"/>
        <v>0</v>
      </c>
      <c r="U21" s="188" t="str">
        <f t="shared" si="11"/>
        <v/>
      </c>
    </row>
    <row r="22" spans="1:21" x14ac:dyDescent="0.25">
      <c r="A22" s="177"/>
      <c r="B22" s="178" t="str">
        <f t="shared" si="14"/>
        <v>субъект РФ 1</v>
      </c>
      <c r="C22" s="178" t="str">
        <f t="shared" si="13"/>
        <v>ДЗО 1</v>
      </c>
      <c r="D22" s="179" t="str">
        <f t="shared" si="13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6"/>
        <v>0</v>
      </c>
      <c r="M22" s="186" t="str">
        <f t="shared" si="7"/>
        <v/>
      </c>
      <c r="N22" s="184"/>
      <c r="O22" s="185"/>
      <c r="P22" s="185"/>
      <c r="Q22" s="185"/>
      <c r="R22" s="187">
        <f t="shared" si="8"/>
        <v>0</v>
      </c>
      <c r="S22" s="223" t="str">
        <f t="shared" si="9"/>
        <v/>
      </c>
      <c r="T22" s="187">
        <f t="shared" si="10"/>
        <v>0</v>
      </c>
      <c r="U22" s="188" t="str">
        <f t="shared" si="11"/>
        <v/>
      </c>
    </row>
    <row r="23" spans="1:21" x14ac:dyDescent="0.25">
      <c r="A23" s="177"/>
      <c r="B23" s="178" t="str">
        <f t="shared" si="14"/>
        <v>субъект РФ 1</v>
      </c>
      <c r="C23" s="178" t="str">
        <f t="shared" si="13"/>
        <v>ДЗО 1</v>
      </c>
      <c r="D23" s="179" t="str">
        <f t="shared" si="13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6"/>
        <v>0</v>
      </c>
      <c r="M23" s="186" t="str">
        <f t="shared" si="7"/>
        <v/>
      </c>
      <c r="N23" s="184"/>
      <c r="O23" s="185"/>
      <c r="P23" s="185"/>
      <c r="Q23" s="185"/>
      <c r="R23" s="187">
        <f t="shared" si="8"/>
        <v>0</v>
      </c>
      <c r="S23" s="223" t="str">
        <f t="shared" si="9"/>
        <v/>
      </c>
      <c r="T23" s="187">
        <f t="shared" si="10"/>
        <v>0</v>
      </c>
      <c r="U23" s="188" t="str">
        <f t="shared" si="11"/>
        <v/>
      </c>
    </row>
    <row r="24" spans="1:21" x14ac:dyDescent="0.25">
      <c r="A24" s="177"/>
      <c r="B24" s="178" t="str">
        <f t="shared" si="14"/>
        <v>субъект РФ 1</v>
      </c>
      <c r="C24" s="178" t="str">
        <f t="shared" si="13"/>
        <v>ДЗО 1</v>
      </c>
      <c r="D24" s="179" t="str">
        <f t="shared" si="13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6"/>
        <v>0</v>
      </c>
      <c r="M24" s="186" t="str">
        <f t="shared" si="7"/>
        <v/>
      </c>
      <c r="N24" s="189"/>
      <c r="O24" s="190"/>
      <c r="P24" s="190"/>
      <c r="Q24" s="190"/>
      <c r="R24" s="187">
        <f t="shared" si="8"/>
        <v>0</v>
      </c>
      <c r="S24" s="223" t="str">
        <f t="shared" si="9"/>
        <v/>
      </c>
      <c r="T24" s="187">
        <f t="shared" si="10"/>
        <v>0</v>
      </c>
      <c r="U24" s="188" t="str">
        <f t="shared" si="11"/>
        <v/>
      </c>
    </row>
    <row r="25" spans="1:21" x14ac:dyDescent="0.25">
      <c r="A25" s="168" t="s">
        <v>13</v>
      </c>
      <c r="B25" s="169" t="str">
        <f t="shared" si="14"/>
        <v>субъект РФ 1</v>
      </c>
      <c r="C25" s="169" t="str">
        <f t="shared" si="13"/>
        <v>ДЗО 1</v>
      </c>
      <c r="D25" s="170" t="str">
        <f t="shared" si="13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5">SUM(J26:J29)</f>
        <v>0</v>
      </c>
      <c r="K25" s="173">
        <f t="shared" si="15"/>
        <v>0</v>
      </c>
      <c r="L25" s="173">
        <f t="shared" si="6"/>
        <v>0</v>
      </c>
      <c r="M25" s="174" t="str">
        <f t="shared" si="7"/>
        <v/>
      </c>
      <c r="N25" s="172">
        <f t="shared" ref="N25:Q25" si="16">SUM(N26:N29)</f>
        <v>0</v>
      </c>
      <c r="O25" s="173">
        <f t="shared" si="16"/>
        <v>0</v>
      </c>
      <c r="P25" s="173">
        <f t="shared" si="16"/>
        <v>0</v>
      </c>
      <c r="Q25" s="173">
        <f t="shared" si="16"/>
        <v>0</v>
      </c>
      <c r="R25" s="175">
        <f t="shared" si="8"/>
        <v>0</v>
      </c>
      <c r="S25" s="222" t="str">
        <f t="shared" si="9"/>
        <v/>
      </c>
      <c r="T25" s="175">
        <f t="shared" si="10"/>
        <v>0</v>
      </c>
      <c r="U25" s="176" t="str">
        <f t="shared" si="11"/>
        <v/>
      </c>
    </row>
    <row r="26" spans="1:21" x14ac:dyDescent="0.25">
      <c r="A26" s="177"/>
      <c r="B26" s="178" t="str">
        <f t="shared" si="14"/>
        <v>субъект РФ 1</v>
      </c>
      <c r="C26" s="178" t="str">
        <f t="shared" si="13"/>
        <v>ДЗО 1</v>
      </c>
      <c r="D26" s="179" t="str">
        <f t="shared" si="13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6"/>
        <v>0</v>
      </c>
      <c r="M26" s="186" t="str">
        <f t="shared" si="7"/>
        <v/>
      </c>
      <c r="N26" s="184"/>
      <c r="O26" s="185"/>
      <c r="P26" s="185"/>
      <c r="Q26" s="185"/>
      <c r="R26" s="187">
        <f t="shared" si="8"/>
        <v>0</v>
      </c>
      <c r="S26" s="223" t="str">
        <f t="shared" si="9"/>
        <v/>
      </c>
      <c r="T26" s="187">
        <f t="shared" si="10"/>
        <v>0</v>
      </c>
      <c r="U26" s="188" t="str">
        <f t="shared" si="11"/>
        <v/>
      </c>
    </row>
    <row r="27" spans="1:21" x14ac:dyDescent="0.25">
      <c r="A27" s="177"/>
      <c r="B27" s="178" t="str">
        <f t="shared" si="14"/>
        <v>субъект РФ 1</v>
      </c>
      <c r="C27" s="178" t="str">
        <f t="shared" si="13"/>
        <v>ДЗО 1</v>
      </c>
      <c r="D27" s="179" t="str">
        <f t="shared" si="13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6"/>
        <v>0</v>
      </c>
      <c r="M27" s="186" t="str">
        <f t="shared" si="7"/>
        <v/>
      </c>
      <c r="N27" s="184"/>
      <c r="O27" s="185"/>
      <c r="P27" s="185"/>
      <c r="Q27" s="185"/>
      <c r="R27" s="187">
        <f t="shared" si="8"/>
        <v>0</v>
      </c>
      <c r="S27" s="223" t="str">
        <f t="shared" si="9"/>
        <v/>
      </c>
      <c r="T27" s="187">
        <f t="shared" si="10"/>
        <v>0</v>
      </c>
      <c r="U27" s="188" t="str">
        <f t="shared" si="11"/>
        <v/>
      </c>
    </row>
    <row r="28" spans="1:21" x14ac:dyDescent="0.25">
      <c r="A28" s="177"/>
      <c r="B28" s="178" t="str">
        <f t="shared" si="14"/>
        <v>субъект РФ 1</v>
      </c>
      <c r="C28" s="178" t="str">
        <f t="shared" si="13"/>
        <v>ДЗО 1</v>
      </c>
      <c r="D28" s="179" t="str">
        <f t="shared" si="13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6"/>
        <v>0</v>
      </c>
      <c r="M28" s="186" t="str">
        <f t="shared" si="7"/>
        <v/>
      </c>
      <c r="N28" s="184"/>
      <c r="O28" s="185"/>
      <c r="P28" s="185"/>
      <c r="Q28" s="185"/>
      <c r="R28" s="187">
        <f t="shared" si="8"/>
        <v>0</v>
      </c>
      <c r="S28" s="223" t="str">
        <f t="shared" si="9"/>
        <v/>
      </c>
      <c r="T28" s="187">
        <f t="shared" si="10"/>
        <v>0</v>
      </c>
      <c r="U28" s="188" t="str">
        <f t="shared" si="11"/>
        <v/>
      </c>
    </row>
    <row r="29" spans="1:21" x14ac:dyDescent="0.25">
      <c r="A29" s="177"/>
      <c r="B29" s="178" t="str">
        <f t="shared" si="14"/>
        <v>субъект РФ 1</v>
      </c>
      <c r="C29" s="178" t="str">
        <f t="shared" si="13"/>
        <v>ДЗО 1</v>
      </c>
      <c r="D29" s="179" t="str">
        <f t="shared" si="13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6"/>
        <v>0</v>
      </c>
      <c r="M29" s="186" t="str">
        <f t="shared" si="7"/>
        <v/>
      </c>
      <c r="N29" s="184"/>
      <c r="O29" s="185"/>
      <c r="P29" s="185"/>
      <c r="Q29" s="185"/>
      <c r="R29" s="187">
        <f t="shared" si="8"/>
        <v>0</v>
      </c>
      <c r="S29" s="223" t="str">
        <f t="shared" si="9"/>
        <v/>
      </c>
      <c r="T29" s="187">
        <f t="shared" si="10"/>
        <v>0</v>
      </c>
      <c r="U29" s="188" t="str">
        <f t="shared" si="11"/>
        <v/>
      </c>
    </row>
    <row r="30" spans="1:21" x14ac:dyDescent="0.25">
      <c r="A30" s="168" t="s">
        <v>15</v>
      </c>
      <c r="B30" s="169" t="str">
        <f t="shared" si="14"/>
        <v>субъект РФ 1</v>
      </c>
      <c r="C30" s="169" t="str">
        <f t="shared" si="13"/>
        <v>ДЗО 1</v>
      </c>
      <c r="D30" s="170" t="str">
        <f t="shared" si="13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7">SUM(J31:J34)</f>
        <v>0</v>
      </c>
      <c r="K30" s="173">
        <f t="shared" si="17"/>
        <v>0</v>
      </c>
      <c r="L30" s="173">
        <f t="shared" si="6"/>
        <v>0</v>
      </c>
      <c r="M30" s="174" t="str">
        <f t="shared" si="7"/>
        <v/>
      </c>
      <c r="N30" s="172">
        <f t="shared" ref="N30:Q30" si="18">SUM(N31:N34)</f>
        <v>0</v>
      </c>
      <c r="O30" s="173">
        <f t="shared" si="18"/>
        <v>0</v>
      </c>
      <c r="P30" s="173">
        <f t="shared" si="18"/>
        <v>0</v>
      </c>
      <c r="Q30" s="173">
        <f t="shared" si="18"/>
        <v>0</v>
      </c>
      <c r="R30" s="175">
        <f t="shared" si="8"/>
        <v>0</v>
      </c>
      <c r="S30" s="222" t="str">
        <f t="shared" si="9"/>
        <v/>
      </c>
      <c r="T30" s="175">
        <f t="shared" si="10"/>
        <v>0</v>
      </c>
      <c r="U30" s="176" t="str">
        <f t="shared" si="11"/>
        <v/>
      </c>
    </row>
    <row r="31" spans="1:21" x14ac:dyDescent="0.25">
      <c r="A31" s="177"/>
      <c r="B31" s="178" t="str">
        <f t="shared" si="14"/>
        <v>субъект РФ 1</v>
      </c>
      <c r="C31" s="178" t="str">
        <f t="shared" si="13"/>
        <v>ДЗО 1</v>
      </c>
      <c r="D31" s="179" t="str">
        <f t="shared" si="13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6"/>
        <v>0</v>
      </c>
      <c r="M31" s="186" t="str">
        <f t="shared" si="7"/>
        <v/>
      </c>
      <c r="N31" s="184"/>
      <c r="O31" s="185"/>
      <c r="P31" s="185"/>
      <c r="Q31" s="185"/>
      <c r="R31" s="187">
        <f t="shared" si="8"/>
        <v>0</v>
      </c>
      <c r="S31" s="223" t="str">
        <f t="shared" si="9"/>
        <v/>
      </c>
      <c r="T31" s="187">
        <f t="shared" si="10"/>
        <v>0</v>
      </c>
      <c r="U31" s="188" t="str">
        <f t="shared" si="11"/>
        <v/>
      </c>
    </row>
    <row r="32" spans="1:21" x14ac:dyDescent="0.25">
      <c r="A32" s="177"/>
      <c r="B32" s="178" t="str">
        <f t="shared" si="14"/>
        <v>субъект РФ 1</v>
      </c>
      <c r="C32" s="178" t="str">
        <f t="shared" si="13"/>
        <v>ДЗО 1</v>
      </c>
      <c r="D32" s="179" t="str">
        <f t="shared" si="13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6"/>
        <v>0</v>
      </c>
      <c r="M32" s="186" t="str">
        <f t="shared" si="7"/>
        <v/>
      </c>
      <c r="N32" s="184"/>
      <c r="O32" s="185"/>
      <c r="P32" s="185"/>
      <c r="Q32" s="185"/>
      <c r="R32" s="187">
        <f t="shared" si="8"/>
        <v>0</v>
      </c>
      <c r="S32" s="223" t="str">
        <f t="shared" si="9"/>
        <v/>
      </c>
      <c r="T32" s="187">
        <f t="shared" si="10"/>
        <v>0</v>
      </c>
      <c r="U32" s="188" t="str">
        <f t="shared" si="11"/>
        <v/>
      </c>
    </row>
    <row r="33" spans="1:21" x14ac:dyDescent="0.25">
      <c r="A33" s="177"/>
      <c r="B33" s="178" t="str">
        <f t="shared" si="14"/>
        <v>субъект РФ 1</v>
      </c>
      <c r="C33" s="178" t="str">
        <f t="shared" si="13"/>
        <v>ДЗО 1</v>
      </c>
      <c r="D33" s="179" t="str">
        <f t="shared" si="13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6"/>
        <v>0</v>
      </c>
      <c r="M33" s="186" t="str">
        <f t="shared" si="7"/>
        <v/>
      </c>
      <c r="N33" s="189"/>
      <c r="O33" s="190"/>
      <c r="P33" s="190"/>
      <c r="Q33" s="190"/>
      <c r="R33" s="187">
        <f t="shared" si="8"/>
        <v>0</v>
      </c>
      <c r="S33" s="223" t="str">
        <f t="shared" si="9"/>
        <v/>
      </c>
      <c r="T33" s="187">
        <f t="shared" si="10"/>
        <v>0</v>
      </c>
      <c r="U33" s="188" t="str">
        <f t="shared" si="11"/>
        <v/>
      </c>
    </row>
    <row r="34" spans="1:21" x14ac:dyDescent="0.25">
      <c r="A34" s="177"/>
      <c r="B34" s="178" t="str">
        <f t="shared" si="14"/>
        <v>субъект РФ 1</v>
      </c>
      <c r="C34" s="178" t="str">
        <f t="shared" si="13"/>
        <v>ДЗО 1</v>
      </c>
      <c r="D34" s="179" t="str">
        <f t="shared" si="13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6"/>
        <v>0</v>
      </c>
      <c r="M34" s="186" t="str">
        <f t="shared" si="7"/>
        <v/>
      </c>
      <c r="N34" s="184"/>
      <c r="O34" s="185"/>
      <c r="P34" s="185"/>
      <c r="Q34" s="185"/>
      <c r="R34" s="187">
        <f t="shared" si="8"/>
        <v>0</v>
      </c>
      <c r="S34" s="223" t="str">
        <f t="shared" si="9"/>
        <v/>
      </c>
      <c r="T34" s="187">
        <f t="shared" si="10"/>
        <v>0</v>
      </c>
      <c r="U34" s="188" t="str">
        <f t="shared" si="11"/>
        <v/>
      </c>
    </row>
    <row r="35" spans="1:21" x14ac:dyDescent="0.25">
      <c r="A35" s="168" t="s">
        <v>17</v>
      </c>
      <c r="B35" s="169" t="str">
        <f t="shared" si="14"/>
        <v>субъект РФ 1</v>
      </c>
      <c r="C35" s="169" t="str">
        <f t="shared" si="13"/>
        <v>ДЗО 1</v>
      </c>
      <c r="D35" s="170" t="str">
        <f t="shared" si="13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9">SUM(J36:J39)</f>
        <v>0</v>
      </c>
      <c r="K35" s="173">
        <f t="shared" si="19"/>
        <v>0</v>
      </c>
      <c r="L35" s="173">
        <f t="shared" si="6"/>
        <v>0</v>
      </c>
      <c r="M35" s="174" t="str">
        <f t="shared" si="7"/>
        <v/>
      </c>
      <c r="N35" s="172">
        <f t="shared" ref="N35:Q35" si="20">SUM(N36:N39)</f>
        <v>0</v>
      </c>
      <c r="O35" s="173">
        <f t="shared" si="20"/>
        <v>0</v>
      </c>
      <c r="P35" s="173">
        <f t="shared" si="20"/>
        <v>0</v>
      </c>
      <c r="Q35" s="173">
        <f t="shared" si="20"/>
        <v>0</v>
      </c>
      <c r="R35" s="175">
        <f t="shared" si="8"/>
        <v>0</v>
      </c>
      <c r="S35" s="222" t="str">
        <f t="shared" si="9"/>
        <v/>
      </c>
      <c r="T35" s="175">
        <f t="shared" si="10"/>
        <v>0</v>
      </c>
      <c r="U35" s="176" t="str">
        <f t="shared" si="11"/>
        <v/>
      </c>
    </row>
    <row r="36" spans="1:21" x14ac:dyDescent="0.25">
      <c r="A36" s="177"/>
      <c r="B36" s="178" t="str">
        <f t="shared" si="14"/>
        <v>субъект РФ 1</v>
      </c>
      <c r="C36" s="178" t="str">
        <f t="shared" si="14"/>
        <v>ДЗО 1</v>
      </c>
      <c r="D36" s="179" t="str">
        <f t="shared" si="14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6"/>
        <v>0</v>
      </c>
      <c r="M36" s="186" t="str">
        <f t="shared" si="7"/>
        <v/>
      </c>
      <c r="N36" s="184"/>
      <c r="O36" s="185"/>
      <c r="P36" s="185"/>
      <c r="Q36" s="185"/>
      <c r="R36" s="187">
        <f t="shared" si="8"/>
        <v>0</v>
      </c>
      <c r="S36" s="223" t="str">
        <f t="shared" si="9"/>
        <v/>
      </c>
      <c r="T36" s="187">
        <f t="shared" si="10"/>
        <v>0</v>
      </c>
      <c r="U36" s="188" t="str">
        <f t="shared" si="11"/>
        <v/>
      </c>
    </row>
    <row r="37" spans="1:21" x14ac:dyDescent="0.25">
      <c r="A37" s="177"/>
      <c r="B37" s="178" t="str">
        <f t="shared" ref="B37:D52" si="21">B36</f>
        <v>субъект РФ 1</v>
      </c>
      <c r="C37" s="178" t="str">
        <f t="shared" si="21"/>
        <v>ДЗО 1</v>
      </c>
      <c r="D37" s="179" t="str">
        <f t="shared" si="21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6"/>
        <v>0</v>
      </c>
      <c r="M37" s="186" t="str">
        <f t="shared" si="7"/>
        <v/>
      </c>
      <c r="N37" s="184"/>
      <c r="O37" s="185"/>
      <c r="P37" s="185"/>
      <c r="Q37" s="185"/>
      <c r="R37" s="187">
        <f t="shared" si="8"/>
        <v>0</v>
      </c>
      <c r="S37" s="223" t="str">
        <f t="shared" si="9"/>
        <v/>
      </c>
      <c r="T37" s="187">
        <f t="shared" si="10"/>
        <v>0</v>
      </c>
      <c r="U37" s="188" t="str">
        <f t="shared" si="11"/>
        <v/>
      </c>
    </row>
    <row r="38" spans="1:21" x14ac:dyDescent="0.25">
      <c r="A38" s="177"/>
      <c r="B38" s="178" t="str">
        <f t="shared" si="21"/>
        <v>субъект РФ 1</v>
      </c>
      <c r="C38" s="178" t="str">
        <f t="shared" si="21"/>
        <v>ДЗО 1</v>
      </c>
      <c r="D38" s="179" t="str">
        <f t="shared" si="21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6"/>
        <v>0</v>
      </c>
      <c r="M38" s="186" t="str">
        <f t="shared" si="7"/>
        <v/>
      </c>
      <c r="N38" s="189"/>
      <c r="O38" s="190"/>
      <c r="P38" s="190"/>
      <c r="Q38" s="190"/>
      <c r="R38" s="187">
        <f t="shared" si="8"/>
        <v>0</v>
      </c>
      <c r="S38" s="223" t="str">
        <f t="shared" si="9"/>
        <v/>
      </c>
      <c r="T38" s="187">
        <f t="shared" si="10"/>
        <v>0</v>
      </c>
      <c r="U38" s="188" t="str">
        <f t="shared" si="11"/>
        <v/>
      </c>
    </row>
    <row r="39" spans="1:21" x14ac:dyDescent="0.25">
      <c r="A39" s="177"/>
      <c r="B39" s="178" t="str">
        <f t="shared" si="21"/>
        <v>субъект РФ 1</v>
      </c>
      <c r="C39" s="178" t="str">
        <f t="shared" si="21"/>
        <v>ДЗО 1</v>
      </c>
      <c r="D39" s="179" t="str">
        <f t="shared" si="21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6"/>
        <v>0</v>
      </c>
      <c r="M39" s="186" t="str">
        <f t="shared" si="7"/>
        <v/>
      </c>
      <c r="N39" s="184"/>
      <c r="O39" s="185"/>
      <c r="P39" s="185"/>
      <c r="Q39" s="185"/>
      <c r="R39" s="187">
        <f t="shared" si="8"/>
        <v>0</v>
      </c>
      <c r="S39" s="223" t="str">
        <f t="shared" si="9"/>
        <v/>
      </c>
      <c r="T39" s="187">
        <f t="shared" si="10"/>
        <v>0</v>
      </c>
      <c r="U39" s="188" t="str">
        <f t="shared" si="11"/>
        <v/>
      </c>
    </row>
    <row r="40" spans="1:21" x14ac:dyDescent="0.25">
      <c r="A40" s="168" t="s">
        <v>19</v>
      </c>
      <c r="B40" s="169" t="str">
        <f t="shared" si="21"/>
        <v>субъект РФ 1</v>
      </c>
      <c r="C40" s="169" t="str">
        <f t="shared" si="21"/>
        <v>ДЗО 1</v>
      </c>
      <c r="D40" s="170" t="str">
        <f t="shared" si="21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2">SUM(J41:J44)</f>
        <v>0</v>
      </c>
      <c r="K40" s="173">
        <f t="shared" si="22"/>
        <v>0</v>
      </c>
      <c r="L40" s="173">
        <f t="shared" si="6"/>
        <v>0</v>
      </c>
      <c r="M40" s="174" t="str">
        <f t="shared" si="7"/>
        <v/>
      </c>
      <c r="N40" s="172">
        <f t="shared" ref="N40:Q40" si="23">SUM(N41:N44)</f>
        <v>0</v>
      </c>
      <c r="O40" s="173">
        <f t="shared" si="23"/>
        <v>0</v>
      </c>
      <c r="P40" s="173">
        <f t="shared" si="23"/>
        <v>0</v>
      </c>
      <c r="Q40" s="173">
        <f t="shared" si="23"/>
        <v>0</v>
      </c>
      <c r="R40" s="175">
        <f t="shared" si="8"/>
        <v>0</v>
      </c>
      <c r="S40" s="222" t="str">
        <f t="shared" si="9"/>
        <v/>
      </c>
      <c r="T40" s="175">
        <f t="shared" si="10"/>
        <v>0</v>
      </c>
      <c r="U40" s="176" t="str">
        <f t="shared" si="11"/>
        <v/>
      </c>
    </row>
    <row r="41" spans="1:21" x14ac:dyDescent="0.25">
      <c r="A41" s="177"/>
      <c r="B41" s="178" t="str">
        <f t="shared" si="21"/>
        <v>субъект РФ 1</v>
      </c>
      <c r="C41" s="178" t="str">
        <f t="shared" si="21"/>
        <v>ДЗО 1</v>
      </c>
      <c r="D41" s="179" t="str">
        <f t="shared" si="21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6"/>
        <v>0</v>
      </c>
      <c r="M41" s="186" t="str">
        <f t="shared" si="7"/>
        <v/>
      </c>
      <c r="N41" s="189"/>
      <c r="O41" s="190"/>
      <c r="P41" s="190"/>
      <c r="Q41" s="190"/>
      <c r="R41" s="187">
        <f t="shared" si="8"/>
        <v>0</v>
      </c>
      <c r="S41" s="223" t="str">
        <f t="shared" si="9"/>
        <v/>
      </c>
      <c r="T41" s="187">
        <f t="shared" si="10"/>
        <v>0</v>
      </c>
      <c r="U41" s="188" t="str">
        <f t="shared" si="11"/>
        <v/>
      </c>
    </row>
    <row r="42" spans="1:21" x14ac:dyDescent="0.25">
      <c r="A42" s="177"/>
      <c r="B42" s="178" t="str">
        <f t="shared" si="21"/>
        <v>субъект РФ 1</v>
      </c>
      <c r="C42" s="178" t="str">
        <f t="shared" si="21"/>
        <v>ДЗО 1</v>
      </c>
      <c r="D42" s="179" t="str">
        <f t="shared" si="21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6"/>
        <v>0</v>
      </c>
      <c r="M42" s="186" t="str">
        <f t="shared" si="7"/>
        <v/>
      </c>
      <c r="N42" s="189"/>
      <c r="O42" s="190"/>
      <c r="P42" s="190"/>
      <c r="Q42" s="190"/>
      <c r="R42" s="187">
        <f t="shared" si="8"/>
        <v>0</v>
      </c>
      <c r="S42" s="223" t="str">
        <f t="shared" si="9"/>
        <v/>
      </c>
      <c r="T42" s="187">
        <f t="shared" si="10"/>
        <v>0</v>
      </c>
      <c r="U42" s="188" t="str">
        <f t="shared" si="11"/>
        <v/>
      </c>
    </row>
    <row r="43" spans="1:21" x14ac:dyDescent="0.25">
      <c r="A43" s="177"/>
      <c r="B43" s="178" t="str">
        <f t="shared" si="21"/>
        <v>субъект РФ 1</v>
      </c>
      <c r="C43" s="178" t="str">
        <f t="shared" si="21"/>
        <v>ДЗО 1</v>
      </c>
      <c r="D43" s="179" t="str">
        <f t="shared" si="21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6"/>
        <v>0</v>
      </c>
      <c r="M43" s="186" t="str">
        <f t="shared" si="7"/>
        <v/>
      </c>
      <c r="N43" s="189"/>
      <c r="O43" s="190"/>
      <c r="P43" s="190"/>
      <c r="Q43" s="190"/>
      <c r="R43" s="187">
        <f t="shared" si="8"/>
        <v>0</v>
      </c>
      <c r="S43" s="223" t="str">
        <f t="shared" si="9"/>
        <v/>
      </c>
      <c r="T43" s="187">
        <f t="shared" si="10"/>
        <v>0</v>
      </c>
      <c r="U43" s="188" t="str">
        <f t="shared" si="11"/>
        <v/>
      </c>
    </row>
    <row r="44" spans="1:21" x14ac:dyDescent="0.25">
      <c r="A44" s="177"/>
      <c r="B44" s="178" t="str">
        <f t="shared" si="21"/>
        <v>субъект РФ 1</v>
      </c>
      <c r="C44" s="178" t="str">
        <f t="shared" si="21"/>
        <v>ДЗО 1</v>
      </c>
      <c r="D44" s="179" t="str">
        <f t="shared" si="21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6"/>
        <v>0</v>
      </c>
      <c r="M44" s="186" t="str">
        <f t="shared" si="7"/>
        <v/>
      </c>
      <c r="N44" s="184"/>
      <c r="O44" s="185"/>
      <c r="P44" s="185"/>
      <c r="Q44" s="185"/>
      <c r="R44" s="187">
        <f t="shared" si="8"/>
        <v>0</v>
      </c>
      <c r="S44" s="223" t="str">
        <f t="shared" si="9"/>
        <v/>
      </c>
      <c r="T44" s="187">
        <f t="shared" si="10"/>
        <v>0</v>
      </c>
      <c r="U44" s="188" t="str">
        <f t="shared" si="11"/>
        <v/>
      </c>
    </row>
    <row r="45" spans="1:21" ht="30" x14ac:dyDescent="0.25">
      <c r="A45" s="168" t="s">
        <v>21</v>
      </c>
      <c r="B45" s="169" t="str">
        <f t="shared" si="21"/>
        <v>субъект РФ 1</v>
      </c>
      <c r="C45" s="169" t="str">
        <f t="shared" si="21"/>
        <v>ДЗО 1</v>
      </c>
      <c r="D45" s="170" t="str">
        <f t="shared" si="21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4">SUM(J46:J49)</f>
        <v>0</v>
      </c>
      <c r="K45" s="173">
        <f t="shared" si="24"/>
        <v>0</v>
      </c>
      <c r="L45" s="173">
        <f t="shared" si="6"/>
        <v>0</v>
      </c>
      <c r="M45" s="174" t="str">
        <f t="shared" si="7"/>
        <v/>
      </c>
      <c r="N45" s="172">
        <f t="shared" ref="N45:Q45" si="25">SUM(N46:N49)</f>
        <v>0</v>
      </c>
      <c r="O45" s="173">
        <f t="shared" si="25"/>
        <v>0</v>
      </c>
      <c r="P45" s="173">
        <f t="shared" si="25"/>
        <v>0</v>
      </c>
      <c r="Q45" s="173">
        <f t="shared" si="25"/>
        <v>0</v>
      </c>
      <c r="R45" s="175">
        <f t="shared" si="8"/>
        <v>0</v>
      </c>
      <c r="S45" s="222" t="str">
        <f t="shared" si="9"/>
        <v/>
      </c>
      <c r="T45" s="175">
        <f t="shared" si="10"/>
        <v>0</v>
      </c>
      <c r="U45" s="176" t="str">
        <f t="shared" si="11"/>
        <v/>
      </c>
    </row>
    <row r="46" spans="1:21" x14ac:dyDescent="0.25">
      <c r="A46" s="177"/>
      <c r="B46" s="178" t="str">
        <f t="shared" si="21"/>
        <v>субъект РФ 1</v>
      </c>
      <c r="C46" s="178" t="str">
        <f t="shared" si="21"/>
        <v>ДЗО 1</v>
      </c>
      <c r="D46" s="179" t="str">
        <f t="shared" si="21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6"/>
        <v>0</v>
      </c>
      <c r="M46" s="186" t="str">
        <f t="shared" si="7"/>
        <v/>
      </c>
      <c r="N46" s="184"/>
      <c r="O46" s="185"/>
      <c r="P46" s="185"/>
      <c r="Q46" s="185"/>
      <c r="R46" s="187">
        <f t="shared" si="8"/>
        <v>0</v>
      </c>
      <c r="S46" s="223" t="str">
        <f t="shared" si="9"/>
        <v/>
      </c>
      <c r="T46" s="187">
        <f t="shared" si="10"/>
        <v>0</v>
      </c>
      <c r="U46" s="188" t="str">
        <f t="shared" si="11"/>
        <v/>
      </c>
    </row>
    <row r="47" spans="1:21" x14ac:dyDescent="0.25">
      <c r="A47" s="177"/>
      <c r="B47" s="178" t="str">
        <f t="shared" si="21"/>
        <v>субъект РФ 1</v>
      </c>
      <c r="C47" s="178" t="str">
        <f t="shared" si="21"/>
        <v>ДЗО 1</v>
      </c>
      <c r="D47" s="179" t="str">
        <f t="shared" si="21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6"/>
        <v>0</v>
      </c>
      <c r="M47" s="186" t="str">
        <f t="shared" si="7"/>
        <v/>
      </c>
      <c r="N47" s="184"/>
      <c r="O47" s="185"/>
      <c r="P47" s="185"/>
      <c r="Q47" s="185"/>
      <c r="R47" s="187">
        <f t="shared" si="8"/>
        <v>0</v>
      </c>
      <c r="S47" s="223" t="str">
        <f t="shared" si="9"/>
        <v/>
      </c>
      <c r="T47" s="187">
        <f t="shared" si="10"/>
        <v>0</v>
      </c>
      <c r="U47" s="188" t="str">
        <f t="shared" si="11"/>
        <v/>
      </c>
    </row>
    <row r="48" spans="1:21" x14ac:dyDescent="0.25">
      <c r="A48" s="177"/>
      <c r="B48" s="178" t="str">
        <f t="shared" si="21"/>
        <v>субъект РФ 1</v>
      </c>
      <c r="C48" s="178" t="str">
        <f t="shared" si="21"/>
        <v>ДЗО 1</v>
      </c>
      <c r="D48" s="179" t="str">
        <f t="shared" si="21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6"/>
        <v>0</v>
      </c>
      <c r="M48" s="186" t="str">
        <f t="shared" si="7"/>
        <v/>
      </c>
      <c r="N48" s="189"/>
      <c r="O48" s="190"/>
      <c r="P48" s="190"/>
      <c r="Q48" s="190"/>
      <c r="R48" s="187">
        <f t="shared" si="8"/>
        <v>0</v>
      </c>
      <c r="S48" s="223" t="str">
        <f t="shared" si="9"/>
        <v/>
      </c>
      <c r="T48" s="187">
        <f t="shared" si="10"/>
        <v>0</v>
      </c>
      <c r="U48" s="188" t="str">
        <f t="shared" si="11"/>
        <v/>
      </c>
    </row>
    <row r="49" spans="1:21" x14ac:dyDescent="0.25">
      <c r="A49" s="177"/>
      <c r="B49" s="178" t="str">
        <f t="shared" si="21"/>
        <v>субъект РФ 1</v>
      </c>
      <c r="C49" s="178" t="str">
        <f t="shared" si="21"/>
        <v>ДЗО 1</v>
      </c>
      <c r="D49" s="179" t="str">
        <f t="shared" si="21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6"/>
        <v>0</v>
      </c>
      <c r="M49" s="186" t="str">
        <f t="shared" si="7"/>
        <v/>
      </c>
      <c r="N49" s="184"/>
      <c r="O49" s="185"/>
      <c r="P49" s="185"/>
      <c r="Q49" s="185"/>
      <c r="R49" s="187">
        <f t="shared" si="8"/>
        <v>0</v>
      </c>
      <c r="S49" s="223" t="str">
        <f t="shared" si="9"/>
        <v/>
      </c>
      <c r="T49" s="187">
        <f t="shared" si="10"/>
        <v>0</v>
      </c>
      <c r="U49" s="188" t="str">
        <f t="shared" si="11"/>
        <v/>
      </c>
    </row>
    <row r="50" spans="1:21" x14ac:dyDescent="0.25">
      <c r="A50" s="168" t="s">
        <v>23</v>
      </c>
      <c r="B50" s="169" t="str">
        <f t="shared" si="21"/>
        <v>субъект РФ 1</v>
      </c>
      <c r="C50" s="169" t="str">
        <f t="shared" si="21"/>
        <v>ДЗО 1</v>
      </c>
      <c r="D50" s="170" t="str">
        <f t="shared" si="21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6"/>
        <v>0</v>
      </c>
      <c r="M50" s="194" t="str">
        <f t="shared" si="7"/>
        <v/>
      </c>
      <c r="N50" s="192"/>
      <c r="O50" s="193"/>
      <c r="P50" s="193"/>
      <c r="Q50" s="193"/>
      <c r="R50" s="195">
        <f t="shared" si="8"/>
        <v>0</v>
      </c>
      <c r="S50" s="224" t="str">
        <f t="shared" si="9"/>
        <v/>
      </c>
      <c r="T50" s="195">
        <f t="shared" si="10"/>
        <v>0</v>
      </c>
      <c r="U50" s="196" t="str">
        <f t="shared" si="11"/>
        <v/>
      </c>
    </row>
    <row r="51" spans="1:21" x14ac:dyDescent="0.25">
      <c r="A51" s="168" t="s">
        <v>25</v>
      </c>
      <c r="B51" s="169" t="str">
        <f t="shared" si="21"/>
        <v>субъект РФ 1</v>
      </c>
      <c r="C51" s="169" t="str">
        <f t="shared" si="21"/>
        <v>ДЗО 1</v>
      </c>
      <c r="D51" s="170" t="str">
        <f t="shared" si="21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6"/>
        <v>0</v>
      </c>
      <c r="M51" s="174" t="str">
        <f t="shared" si="7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8"/>
        <v>0</v>
      </c>
      <c r="S51" s="222" t="str">
        <f t="shared" si="9"/>
        <v/>
      </c>
      <c r="T51" s="175">
        <f t="shared" si="10"/>
        <v>0</v>
      </c>
      <c r="U51" s="176" t="str">
        <f t="shared" si="11"/>
        <v/>
      </c>
    </row>
    <row r="52" spans="1:21" x14ac:dyDescent="0.25">
      <c r="A52" s="177"/>
      <c r="B52" s="178" t="str">
        <f t="shared" si="21"/>
        <v>субъект РФ 1</v>
      </c>
      <c r="C52" s="178" t="str">
        <f t="shared" si="21"/>
        <v>ДЗО 1</v>
      </c>
      <c r="D52" s="179" t="str">
        <f t="shared" si="21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6"/>
        <v>0</v>
      </c>
      <c r="M52" s="186" t="str">
        <f t="shared" si="7"/>
        <v/>
      </c>
      <c r="N52" s="184"/>
      <c r="O52" s="185"/>
      <c r="P52" s="185"/>
      <c r="Q52" s="185"/>
      <c r="R52" s="187">
        <f t="shared" si="8"/>
        <v>0</v>
      </c>
      <c r="S52" s="223" t="str">
        <f t="shared" si="9"/>
        <v/>
      </c>
      <c r="T52" s="187">
        <f t="shared" si="10"/>
        <v>0</v>
      </c>
      <c r="U52" s="188" t="str">
        <f t="shared" si="11"/>
        <v/>
      </c>
    </row>
    <row r="53" spans="1:21" x14ac:dyDescent="0.25">
      <c r="A53" s="177"/>
      <c r="B53" s="178" t="str">
        <f t="shared" ref="B53:D55" si="26">B52</f>
        <v>субъект РФ 1</v>
      </c>
      <c r="C53" s="178" t="str">
        <f t="shared" si="26"/>
        <v>ДЗО 1</v>
      </c>
      <c r="D53" s="179" t="str">
        <f t="shared" si="26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6"/>
        <v>0</v>
      </c>
      <c r="M53" s="186" t="str">
        <f t="shared" si="7"/>
        <v/>
      </c>
      <c r="N53" s="184"/>
      <c r="O53" s="185"/>
      <c r="P53" s="185"/>
      <c r="Q53" s="185"/>
      <c r="R53" s="187">
        <f t="shared" si="8"/>
        <v>0</v>
      </c>
      <c r="S53" s="223" t="str">
        <f t="shared" si="9"/>
        <v/>
      </c>
      <c r="T53" s="187">
        <f t="shared" si="10"/>
        <v>0</v>
      </c>
      <c r="U53" s="188" t="str">
        <f t="shared" si="11"/>
        <v/>
      </c>
    </row>
    <row r="54" spans="1:21" x14ac:dyDescent="0.25">
      <c r="A54" s="177"/>
      <c r="B54" s="178" t="str">
        <f t="shared" si="26"/>
        <v>субъект РФ 1</v>
      </c>
      <c r="C54" s="178" t="str">
        <f t="shared" si="26"/>
        <v>ДЗО 1</v>
      </c>
      <c r="D54" s="179" t="str">
        <f t="shared" si="26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6"/>
        <v>0</v>
      </c>
      <c r="M54" s="186" t="str">
        <f t="shared" si="7"/>
        <v/>
      </c>
      <c r="N54" s="184"/>
      <c r="O54" s="185"/>
      <c r="P54" s="185"/>
      <c r="Q54" s="185"/>
      <c r="R54" s="187">
        <f t="shared" si="8"/>
        <v>0</v>
      </c>
      <c r="S54" s="223" t="str">
        <f t="shared" si="9"/>
        <v/>
      </c>
      <c r="T54" s="187">
        <f t="shared" si="10"/>
        <v>0</v>
      </c>
      <c r="U54" s="188" t="str">
        <f t="shared" si="11"/>
        <v/>
      </c>
    </row>
    <row r="55" spans="1:21" ht="15.75" thickBot="1" x14ac:dyDescent="0.3">
      <c r="A55" s="197"/>
      <c r="B55" s="198" t="str">
        <f t="shared" si="26"/>
        <v>субъект РФ 1</v>
      </c>
      <c r="C55" s="198" t="str">
        <f t="shared" si="26"/>
        <v>ДЗО 1</v>
      </c>
      <c r="D55" s="199" t="str">
        <f t="shared" si="26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6"/>
        <v>0</v>
      </c>
      <c r="M55" s="206" t="str">
        <f t="shared" si="7"/>
        <v/>
      </c>
      <c r="N55" s="204"/>
      <c r="O55" s="205"/>
      <c r="P55" s="205"/>
      <c r="Q55" s="205"/>
      <c r="R55" s="207">
        <f t="shared" si="8"/>
        <v>0</v>
      </c>
      <c r="S55" s="225" t="str">
        <f t="shared" si="9"/>
        <v/>
      </c>
      <c r="T55" s="207">
        <f t="shared" si="10"/>
        <v>0</v>
      </c>
      <c r="U55" s="208" t="str">
        <f t="shared" si="11"/>
        <v/>
      </c>
    </row>
  </sheetData>
  <autoFilter ref="A9:U55"/>
  <mergeCells count="18"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  <mergeCell ref="A6:A8"/>
    <mergeCell ref="B6:B8"/>
    <mergeCell ref="C6:C8"/>
    <mergeCell ref="D6:D8"/>
    <mergeCell ref="E6:E8"/>
  </mergeCells>
  <conditionalFormatting sqref="I10:I55">
    <cfRule type="cellIs" dxfId="31" priority="15" operator="lessThan">
      <formula>0</formula>
    </cfRule>
    <cfRule type="cellIs" dxfId="30" priority="16" operator="greaterThan">
      <formula>0</formula>
    </cfRule>
  </conditionalFormatting>
  <conditionalFormatting sqref="M10:M55">
    <cfRule type="cellIs" dxfId="29" priority="13" operator="lessThan">
      <formula>0</formula>
    </cfRule>
    <cfRule type="cellIs" dxfId="28" priority="14" operator="greaterThan">
      <formula>0</formula>
    </cfRule>
  </conditionalFormatting>
  <conditionalFormatting sqref="U10:U55">
    <cfRule type="cellIs" dxfId="27" priority="11" operator="lessThan">
      <formula>0</formula>
    </cfRule>
    <cfRule type="cellIs" dxfId="26" priority="12" operator="greaterThan">
      <formula>0</formula>
    </cfRule>
  </conditionalFormatting>
  <conditionalFormatting sqref="H10:H55">
    <cfRule type="cellIs" dxfId="25" priority="9" operator="lessThan">
      <formula>0</formula>
    </cfRule>
    <cfRule type="cellIs" dxfId="24" priority="10" operator="greaterThan">
      <formula>0</formula>
    </cfRule>
  </conditionalFormatting>
  <conditionalFormatting sqref="L10:L55"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R10:R55">
    <cfRule type="cellIs" dxfId="21" priority="5" operator="lessThan">
      <formula>0</formula>
    </cfRule>
    <cfRule type="cellIs" dxfId="20" priority="6" operator="greaterThan">
      <formula>0</formula>
    </cfRule>
  </conditionalFormatting>
  <conditionalFormatting sqref="S10:S55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T10:T55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pane xSplit="5" ySplit="9" topLeftCell="F10" activePane="bottomRight" state="frozen"/>
      <selection activeCell="R10" sqref="R10"/>
      <selection pane="topRight" activeCell="R10" sqref="R10"/>
      <selection pane="bottomLeft" activeCell="R10" sqref="R10"/>
      <selection pane="bottomRight" activeCell="R10" sqref="R1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33.28515625" style="133" customWidth="1"/>
    <col min="4" max="4" width="33.85546875" style="133" customWidth="1"/>
    <col min="5" max="5" width="52.5703125" style="133" customWidth="1"/>
    <col min="6" max="7" width="16.7109375" style="133" customWidth="1"/>
    <col min="8" max="9" width="17.140625" style="133" customWidth="1"/>
    <col min="10" max="11" width="16.7109375" style="133" customWidth="1"/>
    <col min="12" max="12" width="17.140625" style="133" customWidth="1"/>
    <col min="13" max="13" width="20" style="133" customWidth="1"/>
    <col min="14" max="17" width="16.7109375" style="133" customWidth="1"/>
    <col min="18" max="18" width="17.140625" style="133" customWidth="1"/>
    <col min="19" max="19" width="19" style="133" customWidth="1"/>
    <col min="20" max="21" width="17.140625" style="133" customWidth="1"/>
    <col min="22" max="16384" width="9.140625" style="133"/>
  </cols>
  <sheetData>
    <row r="1" spans="1:21" s="110" customFormat="1" ht="15.75" x14ac:dyDescent="0.25">
      <c r="A1" s="109" t="s">
        <v>208</v>
      </c>
      <c r="C1" s="111" t="s">
        <v>209</v>
      </c>
    </row>
    <row r="2" spans="1:21" s="110" customFormat="1" ht="12.75" x14ac:dyDescent="0.2"/>
    <row r="3" spans="1:21" s="110" customFormat="1" ht="15.75" x14ac:dyDescent="0.25">
      <c r="A3" s="112" t="s">
        <v>210</v>
      </c>
      <c r="B3" s="112"/>
    </row>
    <row r="4" spans="1:21" s="110" customFormat="1" ht="12" customHeight="1" x14ac:dyDescent="0.2"/>
    <row r="5" spans="1:21" s="110" customFormat="1" ht="12" customHeight="1" thickBot="1" x14ac:dyDescent="0.25"/>
    <row r="6" spans="1:21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29" t="s">
        <v>174</v>
      </c>
      <c r="G6" s="320"/>
      <c r="H6" s="320"/>
      <c r="I6" s="330"/>
      <c r="J6" s="329" t="s">
        <v>175</v>
      </c>
      <c r="K6" s="320"/>
      <c r="L6" s="320"/>
      <c r="M6" s="330"/>
      <c r="N6" s="329" t="s">
        <v>211</v>
      </c>
      <c r="O6" s="320"/>
      <c r="P6" s="320"/>
      <c r="Q6" s="320"/>
      <c r="R6" s="320"/>
      <c r="S6" s="320"/>
      <c r="T6" s="320"/>
      <c r="U6" s="330"/>
    </row>
    <row r="7" spans="1:21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15" t="s">
        <v>177</v>
      </c>
      <c r="M7" s="316"/>
      <c r="N7" s="332" t="s">
        <v>212</v>
      </c>
      <c r="O7" s="331"/>
      <c r="P7" s="315" t="s">
        <v>176</v>
      </c>
      <c r="Q7" s="331"/>
      <c r="R7" s="315" t="s">
        <v>213</v>
      </c>
      <c r="S7" s="331"/>
      <c r="T7" s="315" t="s">
        <v>214</v>
      </c>
      <c r="U7" s="316"/>
    </row>
    <row r="8" spans="1:21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113" t="s">
        <v>179</v>
      </c>
      <c r="I8" s="114" t="s">
        <v>180</v>
      </c>
      <c r="J8" s="318"/>
      <c r="K8" s="328"/>
      <c r="L8" s="113" t="s">
        <v>179</v>
      </c>
      <c r="M8" s="114" t="s">
        <v>180</v>
      </c>
      <c r="N8" s="213">
        <v>2019</v>
      </c>
      <c r="O8" s="214">
        <v>2020</v>
      </c>
      <c r="P8" s="214">
        <v>2019</v>
      </c>
      <c r="Q8" s="214">
        <v>2020</v>
      </c>
      <c r="R8" s="215" t="s">
        <v>179</v>
      </c>
      <c r="S8" s="215" t="s">
        <v>180</v>
      </c>
      <c r="T8" s="215" t="s">
        <v>179</v>
      </c>
      <c r="U8" s="216" t="s">
        <v>180</v>
      </c>
    </row>
    <row r="9" spans="1:21" s="110" customFormat="1" ht="13.5" thickBot="1" x14ac:dyDescent="0.25">
      <c r="A9" s="115">
        <v>1</v>
      </c>
      <c r="B9" s="116">
        <f>A9+1</f>
        <v>2</v>
      </c>
      <c r="C9" s="116">
        <f t="shared" ref="C9:Q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 t="s">
        <v>223</v>
      </c>
      <c r="M9" s="121" t="s">
        <v>224</v>
      </c>
      <c r="N9" s="119">
        <v>14</v>
      </c>
      <c r="O9" s="120">
        <f t="shared" si="0"/>
        <v>15</v>
      </c>
      <c r="P9" s="120">
        <f t="shared" si="0"/>
        <v>16</v>
      </c>
      <c r="Q9" s="120">
        <f t="shared" si="0"/>
        <v>17</v>
      </c>
      <c r="R9" s="122" t="s">
        <v>225</v>
      </c>
      <c r="S9" s="122" t="s">
        <v>226</v>
      </c>
      <c r="T9" s="122" t="s">
        <v>228</v>
      </c>
      <c r="U9" s="122" t="s">
        <v>227</v>
      </c>
    </row>
    <row r="10" spans="1:21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217">
        <f t="shared" ref="F10:G10" si="1">SUMIFS(F18:F4992,$A18:$A4992,$A10,$C18:$C4992,$C10)</f>
        <v>0</v>
      </c>
      <c r="G10" s="128">
        <f t="shared" si="1"/>
        <v>0</v>
      </c>
      <c r="H10" s="128">
        <f>G10-F10</f>
        <v>0</v>
      </c>
      <c r="I10" s="129" t="str">
        <f>IFERROR(G10/F10-1,"")</f>
        <v/>
      </c>
      <c r="J10" s="130">
        <f t="shared" ref="J10:K10" si="2">SUM(J11:J18)</f>
        <v>0</v>
      </c>
      <c r="K10" s="128">
        <f t="shared" si="2"/>
        <v>0</v>
      </c>
      <c r="L10" s="128">
        <f>K10-J10</f>
        <v>0</v>
      </c>
      <c r="M10" s="129" t="str">
        <f>IFERROR(K10/J10-1,"")</f>
        <v/>
      </c>
      <c r="N10" s="130">
        <f t="shared" ref="N10:Q10" si="3">SUM(N11:N18)</f>
        <v>0</v>
      </c>
      <c r="O10" s="128">
        <f t="shared" si="3"/>
        <v>0</v>
      </c>
      <c r="P10" s="128">
        <f t="shared" si="3"/>
        <v>0</v>
      </c>
      <c r="Q10" s="128">
        <f t="shared" si="3"/>
        <v>0</v>
      </c>
      <c r="R10" s="131">
        <f>O10-N10</f>
        <v>0</v>
      </c>
      <c r="S10" s="218" t="str">
        <f>IFERROR(O10/N10-1,"")</f>
        <v/>
      </c>
      <c r="T10" s="131">
        <f>Q10-P10</f>
        <v>0</v>
      </c>
      <c r="U10" s="132" t="str">
        <f>IFERROR(Q10/P10-1,"")</f>
        <v/>
      </c>
    </row>
    <row r="11" spans="1:21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SUMIFS(J19:J4993,$A19:$A4993,$A11,$C19:$C4993,$C11)</f>
        <v>0</v>
      </c>
      <c r="K11" s="142">
        <f>SUMIFS(K19:K4993,$A19:$A4993,$A11,$C19:$C4993,$C11)</f>
        <v>0</v>
      </c>
      <c r="L11" s="142">
        <f t="shared" ref="L11:L55" si="4">K11-J11</f>
        <v>0</v>
      </c>
      <c r="M11" s="143" t="str">
        <f t="shared" ref="M11:M55" si="5">IFERROR(K11/J11-1,"")</f>
        <v/>
      </c>
      <c r="N11" s="141">
        <f>SUMIFS(N19:N4993,$A19:$A4993,$A11,$C19:$C4993,$C11)</f>
        <v>0</v>
      </c>
      <c r="O11" s="142">
        <f>SUMIFS(O19:O4993,$A19:$A4993,$A11,$C19:$C4993,$C11)</f>
        <v>0</v>
      </c>
      <c r="P11" s="142">
        <f>SUMIFS(P19:P4993,$A19:$A4993,$A11,$C19:$C4993,$C11)</f>
        <v>0</v>
      </c>
      <c r="Q11" s="142">
        <f>SUMIFS(Q19:Q4993,$A19:$A4993,$A11,$C19:$C4993,$C11)</f>
        <v>0</v>
      </c>
      <c r="R11" s="144">
        <f t="shared" ref="R11:R55" si="6">O11-N11</f>
        <v>0</v>
      </c>
      <c r="S11" s="219" t="str">
        <f t="shared" ref="S11:S55" si="7">IFERROR(O11/N11-1,"")</f>
        <v/>
      </c>
      <c r="T11" s="144">
        <f t="shared" ref="T11:T55" si="8">Q11-P11</f>
        <v>0</v>
      </c>
      <c r="U11" s="145" t="str">
        <f t="shared" ref="U11:U55" si="9">IFERROR(Q11/P11-1,"")</f>
        <v/>
      </c>
    </row>
    <row r="12" spans="1:21" x14ac:dyDescent="0.25">
      <c r="A12" s="134" t="s">
        <v>13</v>
      </c>
      <c r="B12" s="135" t="s">
        <v>182</v>
      </c>
      <c r="C12" s="135" t="str">
        <f t="shared" ref="C12:C18" si="10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SUMIFS(J19:J4993,$A19:$A4993,$A12,$C19:$C4993,$C12)</f>
        <v>0</v>
      </c>
      <c r="K12" s="142">
        <f>SUMIFS(K19:K4993,$A19:$A4993,$A12,$C19:$C4993,$C12)</f>
        <v>0</v>
      </c>
      <c r="L12" s="142">
        <f t="shared" si="4"/>
        <v>0</v>
      </c>
      <c r="M12" s="143" t="str">
        <f t="shared" si="5"/>
        <v/>
      </c>
      <c r="N12" s="141">
        <f>SUMIFS(N19:N4993,$A19:$A4993,$A12,$C19:$C4993,$C12)</f>
        <v>0</v>
      </c>
      <c r="O12" s="142">
        <f>SUMIFS(O19:O4993,$A19:$A4993,$A12,$C19:$C4993,$C12)</f>
        <v>0</v>
      </c>
      <c r="P12" s="142">
        <f>SUMIFS(P19:P4993,$A19:$A4993,$A12,$C19:$C4993,$C12)</f>
        <v>0</v>
      </c>
      <c r="Q12" s="142">
        <f>SUMIFS(Q19:Q4993,$A19:$A4993,$A12,$C19:$C4993,$C12)</f>
        <v>0</v>
      </c>
      <c r="R12" s="144">
        <f t="shared" si="6"/>
        <v>0</v>
      </c>
      <c r="S12" s="219" t="str">
        <f t="shared" si="7"/>
        <v/>
      </c>
      <c r="T12" s="144">
        <f t="shared" si="8"/>
        <v>0</v>
      </c>
      <c r="U12" s="145" t="str">
        <f t="shared" si="9"/>
        <v/>
      </c>
    </row>
    <row r="13" spans="1:21" x14ac:dyDescent="0.25">
      <c r="A13" s="134" t="s">
        <v>15</v>
      </c>
      <c r="B13" s="135" t="s">
        <v>182</v>
      </c>
      <c r="C13" s="135" t="str">
        <f t="shared" si="10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SUMIFS(J19:J4993,$A19:$A4993,$A13,$C19:$C4993,$C13)</f>
        <v>0</v>
      </c>
      <c r="K13" s="142">
        <f>SUMIFS(K19:K4993,$A19:$A4993,$A13,$C19:$C4993,$C13)</f>
        <v>0</v>
      </c>
      <c r="L13" s="142">
        <f t="shared" si="4"/>
        <v>0</v>
      </c>
      <c r="M13" s="143" t="str">
        <f t="shared" si="5"/>
        <v/>
      </c>
      <c r="N13" s="141">
        <f>SUMIFS(N19:N4993,$A19:$A4993,$A13,$C19:$C4993,$C13)</f>
        <v>0</v>
      </c>
      <c r="O13" s="142">
        <f>SUMIFS(O19:O4993,$A19:$A4993,$A13,$C19:$C4993,$C13)</f>
        <v>0</v>
      </c>
      <c r="P13" s="142">
        <f>SUMIFS(P19:P4993,$A19:$A4993,$A13,$C19:$C4993,$C13)</f>
        <v>0</v>
      </c>
      <c r="Q13" s="142">
        <f>SUMIFS(Q19:Q4993,$A19:$A4993,$A13,$C19:$C4993,$C13)</f>
        <v>0</v>
      </c>
      <c r="R13" s="144">
        <f t="shared" si="6"/>
        <v>0</v>
      </c>
      <c r="S13" s="219" t="str">
        <f t="shared" si="7"/>
        <v/>
      </c>
      <c r="T13" s="144">
        <f t="shared" si="8"/>
        <v>0</v>
      </c>
      <c r="U13" s="145" t="str">
        <f t="shared" si="9"/>
        <v/>
      </c>
    </row>
    <row r="14" spans="1:21" x14ac:dyDescent="0.25">
      <c r="A14" s="134" t="s">
        <v>17</v>
      </c>
      <c r="B14" s="135" t="s">
        <v>182</v>
      </c>
      <c r="C14" s="135" t="str">
        <f t="shared" si="10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SUMIFS(J19:J4993,$A19:$A4993,$A14,$C19:$C4993,$C14)</f>
        <v>0</v>
      </c>
      <c r="K14" s="142">
        <f>SUMIFS(K19:K4993,$A19:$A4993,$A14,$C19:$C4993,$C14)</f>
        <v>0</v>
      </c>
      <c r="L14" s="142">
        <f t="shared" si="4"/>
        <v>0</v>
      </c>
      <c r="M14" s="143" t="str">
        <f t="shared" si="5"/>
        <v/>
      </c>
      <c r="N14" s="141">
        <f>SUMIFS(N19:N4993,$A19:$A4993,$A14,$C19:$C4993,$C14)</f>
        <v>0</v>
      </c>
      <c r="O14" s="142">
        <f>SUMIFS(O19:O4993,$A19:$A4993,$A14,$C19:$C4993,$C14)</f>
        <v>0</v>
      </c>
      <c r="P14" s="142">
        <f>SUMIFS(P19:P4993,$A19:$A4993,$A14,$C19:$C4993,$C14)</f>
        <v>0</v>
      </c>
      <c r="Q14" s="142">
        <f>SUMIFS(Q19:Q4993,$A19:$A4993,$A14,$C19:$C4993,$C14)</f>
        <v>0</v>
      </c>
      <c r="R14" s="144">
        <f t="shared" si="6"/>
        <v>0</v>
      </c>
      <c r="S14" s="219" t="str">
        <f t="shared" si="7"/>
        <v/>
      </c>
      <c r="T14" s="144">
        <f t="shared" si="8"/>
        <v>0</v>
      </c>
      <c r="U14" s="145" t="str">
        <f t="shared" si="9"/>
        <v/>
      </c>
    </row>
    <row r="15" spans="1:21" x14ac:dyDescent="0.25">
      <c r="A15" s="134" t="s">
        <v>19</v>
      </c>
      <c r="B15" s="135" t="s">
        <v>182</v>
      </c>
      <c r="C15" s="135" t="str">
        <f t="shared" si="10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SUMIFS(J19:J4993,$A19:$A4993,$A15,$C19:$C4993,$C15)</f>
        <v>0</v>
      </c>
      <c r="K15" s="142">
        <f>SUMIFS(K19:K4993,$A19:$A4993,$A15,$C19:$C4993,$C15)</f>
        <v>0</v>
      </c>
      <c r="L15" s="142">
        <f t="shared" si="4"/>
        <v>0</v>
      </c>
      <c r="M15" s="143" t="str">
        <f t="shared" si="5"/>
        <v/>
      </c>
      <c r="N15" s="141">
        <f>SUMIFS(N19:N4993,$A19:$A4993,$A15,$C19:$C4993,$C15)</f>
        <v>0</v>
      </c>
      <c r="O15" s="142">
        <f>SUMIFS(O19:O4993,$A19:$A4993,$A15,$C19:$C4993,$C15)</f>
        <v>0</v>
      </c>
      <c r="P15" s="142">
        <f>SUMIFS(P19:P4993,$A19:$A4993,$A15,$C19:$C4993,$C15)</f>
        <v>0</v>
      </c>
      <c r="Q15" s="142">
        <f>SUMIFS(Q19:Q4993,$A19:$A4993,$A15,$C19:$C4993,$C15)</f>
        <v>0</v>
      </c>
      <c r="R15" s="144">
        <f t="shared" si="6"/>
        <v>0</v>
      </c>
      <c r="S15" s="219" t="str">
        <f t="shared" si="7"/>
        <v/>
      </c>
      <c r="T15" s="144">
        <f t="shared" si="8"/>
        <v>0</v>
      </c>
      <c r="U15" s="145" t="str">
        <f t="shared" si="9"/>
        <v/>
      </c>
    </row>
    <row r="16" spans="1:21" ht="30" x14ac:dyDescent="0.25">
      <c r="A16" s="134" t="s">
        <v>21</v>
      </c>
      <c r="B16" s="135" t="s">
        <v>182</v>
      </c>
      <c r="C16" s="135" t="str">
        <f t="shared" si="10"/>
        <v>ДЗО 1</v>
      </c>
      <c r="D16" s="136" t="s">
        <v>182</v>
      </c>
      <c r="E16" s="137" t="s">
        <v>189</v>
      </c>
      <c r="F16" s="226"/>
      <c r="G16" s="139"/>
      <c r="H16" s="139"/>
      <c r="I16" s="140"/>
      <c r="J16" s="141">
        <f>SUMIFS(J19:J4993,$A19:$A4993,$A16,$C19:$C4993,$C16)</f>
        <v>0</v>
      </c>
      <c r="K16" s="142">
        <f>SUMIFS(K19:K4993,$A19:$A4993,$A16,$C19:$C4993,$C16)</f>
        <v>0</v>
      </c>
      <c r="L16" s="142">
        <f t="shared" si="4"/>
        <v>0</v>
      </c>
      <c r="M16" s="143" t="str">
        <f t="shared" si="5"/>
        <v/>
      </c>
      <c r="N16" s="141">
        <f>SUMIFS(N19:N4993,$A19:$A4993,$A16,$C19:$C4993,$C16)</f>
        <v>0</v>
      </c>
      <c r="O16" s="142">
        <f>SUMIFS(O19:O4993,$A19:$A4993,$A16,$C19:$C4993,$C16)</f>
        <v>0</v>
      </c>
      <c r="P16" s="142">
        <f>SUMIFS(P19:P4993,$A19:$A4993,$A16,$C19:$C4993,$C16)</f>
        <v>0</v>
      </c>
      <c r="Q16" s="142">
        <f>SUMIFS(Q19:Q4993,$A19:$A4993,$A16,$C19:$C4993,$C16)</f>
        <v>0</v>
      </c>
      <c r="R16" s="144">
        <f t="shared" si="6"/>
        <v>0</v>
      </c>
      <c r="S16" s="219" t="str">
        <f t="shared" si="7"/>
        <v/>
      </c>
      <c r="T16" s="144">
        <f t="shared" si="8"/>
        <v>0</v>
      </c>
      <c r="U16" s="145" t="str">
        <f t="shared" si="9"/>
        <v/>
      </c>
    </row>
    <row r="17" spans="1:21" x14ac:dyDescent="0.25">
      <c r="A17" s="134" t="s">
        <v>23</v>
      </c>
      <c r="B17" s="135" t="s">
        <v>182</v>
      </c>
      <c r="C17" s="135" t="str">
        <f t="shared" si="10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SUMIFS(J19:J4993,$A19:$A4993,$A17,$C19:$C4993,$C17)</f>
        <v>0</v>
      </c>
      <c r="K17" s="142">
        <f>SUMIFS(K19:K4993,$A19:$A4993,$A17,$C19:$C4993,$C17)</f>
        <v>0</v>
      </c>
      <c r="L17" s="142">
        <f t="shared" si="4"/>
        <v>0</v>
      </c>
      <c r="M17" s="143" t="str">
        <f t="shared" si="5"/>
        <v/>
      </c>
      <c r="N17" s="141">
        <f>SUMIFS(N19:N4993,$A19:$A4993,$A17,$C19:$C4993,$C17)</f>
        <v>0</v>
      </c>
      <c r="O17" s="142">
        <f>SUMIFS(O19:O4993,$A19:$A4993,$A17,$C19:$C4993,$C17)</f>
        <v>0</v>
      </c>
      <c r="P17" s="142">
        <f>SUMIFS(P19:P4993,$A19:$A4993,$A17,$C19:$C4993,$C17)</f>
        <v>0</v>
      </c>
      <c r="Q17" s="142">
        <f>SUMIFS(Q19:Q4993,$A19:$A4993,$A17,$C19:$C4993,$C17)</f>
        <v>0</v>
      </c>
      <c r="R17" s="144">
        <f t="shared" si="6"/>
        <v>0</v>
      </c>
      <c r="S17" s="219" t="str">
        <f t="shared" si="7"/>
        <v/>
      </c>
      <c r="T17" s="144">
        <f t="shared" si="8"/>
        <v>0</v>
      </c>
      <c r="U17" s="145" t="str">
        <f t="shared" si="9"/>
        <v/>
      </c>
    </row>
    <row r="18" spans="1:21" x14ac:dyDescent="0.25">
      <c r="A18" s="146" t="s">
        <v>25</v>
      </c>
      <c r="B18" s="147" t="s">
        <v>182</v>
      </c>
      <c r="C18" s="147" t="str">
        <f t="shared" si="10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SUMIFS(J19:J4993,$A19:$A4993,$A18,$C19:$C4993,$C18)</f>
        <v>0</v>
      </c>
      <c r="K18" s="154">
        <f>SUMIFS(K19:K4993,$A19:$A4993,$A18,$C19:$C4993,$C18)</f>
        <v>0</v>
      </c>
      <c r="L18" s="154">
        <f t="shared" si="4"/>
        <v>0</v>
      </c>
      <c r="M18" s="155" t="str">
        <f t="shared" si="5"/>
        <v/>
      </c>
      <c r="N18" s="153">
        <f>SUMIFS(N19:N4993,$A19:$A4993,$A18,$C19:$C4993,$C18)</f>
        <v>0</v>
      </c>
      <c r="O18" s="154">
        <f>SUMIFS(O19:O4993,$A19:$A4993,$A18,$C19:$C4993,$C18)</f>
        <v>0</v>
      </c>
      <c r="P18" s="154">
        <f>SUMIFS(P19:P4993,$A19:$A4993,$A18,$C19:$C4993,$C18)</f>
        <v>0</v>
      </c>
      <c r="Q18" s="154">
        <f>SUMIFS(Q19:Q4993,$A19:$A4993,$A18,$C19:$C4993,$C18)</f>
        <v>0</v>
      </c>
      <c r="R18" s="156">
        <f t="shared" si="6"/>
        <v>0</v>
      </c>
      <c r="S18" s="220" t="str">
        <f t="shared" si="7"/>
        <v/>
      </c>
      <c r="T18" s="156">
        <f t="shared" si="8"/>
        <v>0</v>
      </c>
      <c r="U18" s="157" t="str">
        <f t="shared" si="9"/>
        <v/>
      </c>
    </row>
    <row r="19" spans="1:21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/>
      <c r="G19" s="210"/>
      <c r="H19" s="163">
        <f>G19-F19</f>
        <v>0</v>
      </c>
      <c r="I19" s="164" t="str">
        <f>IFERROR(G19/F19-1,"")</f>
        <v/>
      </c>
      <c r="J19" s="165">
        <f>SUM(J20,J25,J30,J35,J40,J45,J50,J51)</f>
        <v>0</v>
      </c>
      <c r="K19" s="163">
        <f>SUM(K20,K25,K30,K35,K40,K45,K50,K51)</f>
        <v>0</v>
      </c>
      <c r="L19" s="163">
        <f t="shared" si="4"/>
        <v>0</v>
      </c>
      <c r="M19" s="164" t="str">
        <f t="shared" si="5"/>
        <v/>
      </c>
      <c r="N19" s="165">
        <f>SUM(N20,N25,N30,N35,N40,N45,N50,N51)</f>
        <v>0</v>
      </c>
      <c r="O19" s="163">
        <f>SUM(O20,O25,O30,O35,O40,O45,O50,O51)</f>
        <v>0</v>
      </c>
      <c r="P19" s="163">
        <f>SUM(P20,P25,P30,P35,P40,P45,P50,P51)</f>
        <v>0</v>
      </c>
      <c r="Q19" s="163">
        <f>SUM(Q20,Q25,Q30,Q35,Q40,Q45,Q50,Q51)</f>
        <v>0</v>
      </c>
      <c r="R19" s="166">
        <f t="shared" si="6"/>
        <v>0</v>
      </c>
      <c r="S19" s="221" t="str">
        <f t="shared" si="7"/>
        <v/>
      </c>
      <c r="T19" s="166">
        <f t="shared" si="8"/>
        <v>0</v>
      </c>
      <c r="U19" s="167" t="str">
        <f t="shared" si="9"/>
        <v/>
      </c>
    </row>
    <row r="20" spans="1:21" x14ac:dyDescent="0.25">
      <c r="A20" s="168" t="s">
        <v>10</v>
      </c>
      <c r="B20" s="169" t="str">
        <f>B19</f>
        <v>субъект РФ 1</v>
      </c>
      <c r="C20" s="169" t="str">
        <f t="shared" ref="C20:D35" si="11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SUM(J21:J24)</f>
        <v>0</v>
      </c>
      <c r="K20" s="173">
        <f>SUM(K21:K24)</f>
        <v>0</v>
      </c>
      <c r="L20" s="173">
        <f t="shared" si="4"/>
        <v>0</v>
      </c>
      <c r="M20" s="174" t="str">
        <f t="shared" si="5"/>
        <v/>
      </c>
      <c r="N20" s="172">
        <f>SUM(N21:N24)</f>
        <v>0</v>
      </c>
      <c r="O20" s="173">
        <f>SUM(O21:O24)</f>
        <v>0</v>
      </c>
      <c r="P20" s="173">
        <f>SUM(P21:P24)</f>
        <v>0</v>
      </c>
      <c r="Q20" s="173">
        <f>SUM(Q21:Q24)</f>
        <v>0</v>
      </c>
      <c r="R20" s="175">
        <f t="shared" si="6"/>
        <v>0</v>
      </c>
      <c r="S20" s="222" t="str">
        <f t="shared" si="7"/>
        <v/>
      </c>
      <c r="T20" s="175">
        <f t="shared" si="8"/>
        <v>0</v>
      </c>
      <c r="U20" s="176" t="str">
        <f t="shared" si="9"/>
        <v/>
      </c>
    </row>
    <row r="21" spans="1:21" x14ac:dyDescent="0.25">
      <c r="A21" s="177"/>
      <c r="B21" s="178" t="str">
        <f t="shared" ref="B21:D36" si="12">B20</f>
        <v>субъект РФ 1</v>
      </c>
      <c r="C21" s="178" t="str">
        <f t="shared" si="11"/>
        <v>ДЗО 1</v>
      </c>
      <c r="D21" s="179" t="str">
        <f t="shared" si="11"/>
        <v>филиал 1</v>
      </c>
      <c r="E21" s="191" t="s">
        <v>194</v>
      </c>
      <c r="F21" s="181"/>
      <c r="G21" s="182"/>
      <c r="H21" s="182"/>
      <c r="I21" s="183"/>
      <c r="J21" s="211"/>
      <c r="K21" s="185"/>
      <c r="L21" s="185">
        <f t="shared" si="4"/>
        <v>0</v>
      </c>
      <c r="M21" s="186" t="str">
        <f t="shared" si="5"/>
        <v/>
      </c>
      <c r="N21" s="184"/>
      <c r="O21" s="185"/>
      <c r="P21" s="185"/>
      <c r="Q21" s="185"/>
      <c r="R21" s="187">
        <f t="shared" si="6"/>
        <v>0</v>
      </c>
      <c r="S21" s="223" t="str">
        <f t="shared" si="7"/>
        <v/>
      </c>
      <c r="T21" s="187">
        <f t="shared" si="8"/>
        <v>0</v>
      </c>
      <c r="U21" s="188" t="str">
        <f t="shared" si="9"/>
        <v/>
      </c>
    </row>
    <row r="22" spans="1:21" x14ac:dyDescent="0.25">
      <c r="A22" s="177"/>
      <c r="B22" s="178" t="str">
        <f t="shared" si="12"/>
        <v>субъект РФ 1</v>
      </c>
      <c r="C22" s="178" t="str">
        <f t="shared" si="11"/>
        <v>ДЗО 1</v>
      </c>
      <c r="D22" s="179" t="str">
        <f t="shared" si="11"/>
        <v>филиал 1</v>
      </c>
      <c r="E22" s="191" t="s">
        <v>196</v>
      </c>
      <c r="F22" s="181"/>
      <c r="G22" s="182"/>
      <c r="H22" s="182"/>
      <c r="I22" s="183"/>
      <c r="J22" s="184"/>
      <c r="K22" s="185"/>
      <c r="L22" s="185">
        <f t="shared" si="4"/>
        <v>0</v>
      </c>
      <c r="M22" s="186" t="str">
        <f t="shared" si="5"/>
        <v/>
      </c>
      <c r="N22" s="184"/>
      <c r="O22" s="185"/>
      <c r="P22" s="185"/>
      <c r="Q22" s="185"/>
      <c r="R22" s="187">
        <f t="shared" si="6"/>
        <v>0</v>
      </c>
      <c r="S22" s="223" t="str">
        <f t="shared" si="7"/>
        <v/>
      </c>
      <c r="T22" s="187">
        <f t="shared" si="8"/>
        <v>0</v>
      </c>
      <c r="U22" s="188" t="str">
        <f t="shared" si="9"/>
        <v/>
      </c>
    </row>
    <row r="23" spans="1:21" x14ac:dyDescent="0.25">
      <c r="A23" s="177"/>
      <c r="B23" s="178" t="str">
        <f t="shared" si="12"/>
        <v>субъект РФ 1</v>
      </c>
      <c r="C23" s="178" t="str">
        <f t="shared" si="11"/>
        <v>ДЗО 1</v>
      </c>
      <c r="D23" s="179" t="str">
        <f t="shared" si="11"/>
        <v>филиал 1</v>
      </c>
      <c r="E23" s="191" t="s">
        <v>198</v>
      </c>
      <c r="F23" s="181"/>
      <c r="G23" s="182"/>
      <c r="H23" s="182"/>
      <c r="I23" s="183"/>
      <c r="J23" s="184"/>
      <c r="K23" s="185"/>
      <c r="L23" s="185">
        <f t="shared" si="4"/>
        <v>0</v>
      </c>
      <c r="M23" s="186" t="str">
        <f t="shared" si="5"/>
        <v/>
      </c>
      <c r="N23" s="184"/>
      <c r="O23" s="185"/>
      <c r="P23" s="185"/>
      <c r="Q23" s="185"/>
      <c r="R23" s="187">
        <f t="shared" si="6"/>
        <v>0</v>
      </c>
      <c r="S23" s="223" t="str">
        <f t="shared" si="7"/>
        <v/>
      </c>
      <c r="T23" s="187">
        <f t="shared" si="8"/>
        <v>0</v>
      </c>
      <c r="U23" s="188" t="str">
        <f t="shared" si="9"/>
        <v/>
      </c>
    </row>
    <row r="24" spans="1:21" x14ac:dyDescent="0.25">
      <c r="A24" s="177"/>
      <c r="B24" s="178" t="str">
        <f t="shared" si="12"/>
        <v>субъект РФ 1</v>
      </c>
      <c r="C24" s="178" t="str">
        <f t="shared" si="11"/>
        <v>ДЗО 1</v>
      </c>
      <c r="D24" s="179" t="str">
        <f t="shared" si="11"/>
        <v>филиал 1</v>
      </c>
      <c r="E24" s="191" t="s">
        <v>200</v>
      </c>
      <c r="F24" s="181"/>
      <c r="G24" s="182"/>
      <c r="H24" s="182"/>
      <c r="I24" s="183"/>
      <c r="J24" s="189"/>
      <c r="K24" s="190"/>
      <c r="L24" s="185">
        <f t="shared" si="4"/>
        <v>0</v>
      </c>
      <c r="M24" s="186" t="str">
        <f t="shared" si="5"/>
        <v/>
      </c>
      <c r="N24" s="189"/>
      <c r="O24" s="190"/>
      <c r="P24" s="190"/>
      <c r="Q24" s="190"/>
      <c r="R24" s="187">
        <f t="shared" si="6"/>
        <v>0</v>
      </c>
      <c r="S24" s="223" t="str">
        <f t="shared" si="7"/>
        <v/>
      </c>
      <c r="T24" s="187">
        <f t="shared" si="8"/>
        <v>0</v>
      </c>
      <c r="U24" s="188" t="str">
        <f t="shared" si="9"/>
        <v/>
      </c>
    </row>
    <row r="25" spans="1:21" x14ac:dyDescent="0.25">
      <c r="A25" s="168" t="s">
        <v>13</v>
      </c>
      <c r="B25" s="169" t="str">
        <f t="shared" si="12"/>
        <v>субъект РФ 1</v>
      </c>
      <c r="C25" s="169" t="str">
        <f t="shared" si="11"/>
        <v>ДЗО 1</v>
      </c>
      <c r="D25" s="170" t="str">
        <f t="shared" si="11"/>
        <v>филиал 1</v>
      </c>
      <c r="E25" s="171" t="s">
        <v>201</v>
      </c>
      <c r="F25" s="138"/>
      <c r="G25" s="139"/>
      <c r="H25" s="139"/>
      <c r="I25" s="140"/>
      <c r="J25" s="172">
        <f t="shared" ref="J25:K25" si="13">SUM(J26:J29)</f>
        <v>0</v>
      </c>
      <c r="K25" s="173">
        <f t="shared" si="13"/>
        <v>0</v>
      </c>
      <c r="L25" s="173">
        <f t="shared" si="4"/>
        <v>0</v>
      </c>
      <c r="M25" s="174" t="str">
        <f t="shared" si="5"/>
        <v/>
      </c>
      <c r="N25" s="172">
        <f t="shared" ref="N25:Q25" si="14">SUM(N26:N29)</f>
        <v>0</v>
      </c>
      <c r="O25" s="173">
        <f t="shared" si="14"/>
        <v>0</v>
      </c>
      <c r="P25" s="173">
        <f t="shared" si="14"/>
        <v>0</v>
      </c>
      <c r="Q25" s="173">
        <f t="shared" si="14"/>
        <v>0</v>
      </c>
      <c r="R25" s="175">
        <f t="shared" si="6"/>
        <v>0</v>
      </c>
      <c r="S25" s="222" t="str">
        <f t="shared" si="7"/>
        <v/>
      </c>
      <c r="T25" s="175">
        <f t="shared" si="8"/>
        <v>0</v>
      </c>
      <c r="U25" s="176" t="str">
        <f t="shared" si="9"/>
        <v/>
      </c>
    </row>
    <row r="26" spans="1:21" x14ac:dyDescent="0.25">
      <c r="A26" s="177"/>
      <c r="B26" s="178" t="str">
        <f t="shared" si="12"/>
        <v>субъект РФ 1</v>
      </c>
      <c r="C26" s="178" t="str">
        <f t="shared" si="11"/>
        <v>ДЗО 1</v>
      </c>
      <c r="D26" s="179" t="str">
        <f t="shared" si="11"/>
        <v>филиал 1</v>
      </c>
      <c r="E26" s="191" t="s">
        <v>194</v>
      </c>
      <c r="F26" s="181"/>
      <c r="G26" s="182"/>
      <c r="H26" s="182"/>
      <c r="I26" s="183"/>
      <c r="J26" s="184"/>
      <c r="K26" s="185"/>
      <c r="L26" s="185">
        <f t="shared" si="4"/>
        <v>0</v>
      </c>
      <c r="M26" s="186" t="str">
        <f t="shared" si="5"/>
        <v/>
      </c>
      <c r="N26" s="184"/>
      <c r="O26" s="185"/>
      <c r="P26" s="185"/>
      <c r="Q26" s="185"/>
      <c r="R26" s="187">
        <f t="shared" si="6"/>
        <v>0</v>
      </c>
      <c r="S26" s="223" t="str">
        <f t="shared" si="7"/>
        <v/>
      </c>
      <c r="T26" s="187">
        <f t="shared" si="8"/>
        <v>0</v>
      </c>
      <c r="U26" s="188" t="str">
        <f t="shared" si="9"/>
        <v/>
      </c>
    </row>
    <row r="27" spans="1:21" x14ac:dyDescent="0.25">
      <c r="A27" s="177"/>
      <c r="B27" s="178" t="str">
        <f t="shared" si="12"/>
        <v>субъект РФ 1</v>
      </c>
      <c r="C27" s="178" t="str">
        <f t="shared" si="11"/>
        <v>ДЗО 1</v>
      </c>
      <c r="D27" s="179" t="str">
        <f t="shared" si="11"/>
        <v>филиал 1</v>
      </c>
      <c r="E27" s="191" t="s">
        <v>196</v>
      </c>
      <c r="F27" s="181"/>
      <c r="G27" s="182"/>
      <c r="H27" s="182"/>
      <c r="I27" s="183"/>
      <c r="J27" s="184"/>
      <c r="K27" s="185"/>
      <c r="L27" s="185">
        <f t="shared" si="4"/>
        <v>0</v>
      </c>
      <c r="M27" s="186" t="str">
        <f t="shared" si="5"/>
        <v/>
      </c>
      <c r="N27" s="184"/>
      <c r="O27" s="185"/>
      <c r="P27" s="185"/>
      <c r="Q27" s="185"/>
      <c r="R27" s="187">
        <f t="shared" si="6"/>
        <v>0</v>
      </c>
      <c r="S27" s="223" t="str">
        <f t="shared" si="7"/>
        <v/>
      </c>
      <c r="T27" s="187">
        <f t="shared" si="8"/>
        <v>0</v>
      </c>
      <c r="U27" s="188" t="str">
        <f t="shared" si="9"/>
        <v/>
      </c>
    </row>
    <row r="28" spans="1:21" x14ac:dyDescent="0.25">
      <c r="A28" s="177"/>
      <c r="B28" s="178" t="str">
        <f t="shared" si="12"/>
        <v>субъект РФ 1</v>
      </c>
      <c r="C28" s="178" t="str">
        <f t="shared" si="11"/>
        <v>ДЗО 1</v>
      </c>
      <c r="D28" s="179" t="str">
        <f t="shared" si="11"/>
        <v>филиал 1</v>
      </c>
      <c r="E28" s="191" t="s">
        <v>198</v>
      </c>
      <c r="F28" s="181"/>
      <c r="G28" s="182"/>
      <c r="H28" s="182"/>
      <c r="I28" s="183"/>
      <c r="J28" s="184"/>
      <c r="K28" s="185"/>
      <c r="L28" s="185">
        <f t="shared" si="4"/>
        <v>0</v>
      </c>
      <c r="M28" s="186" t="str">
        <f t="shared" si="5"/>
        <v/>
      </c>
      <c r="N28" s="184"/>
      <c r="O28" s="185"/>
      <c r="P28" s="185"/>
      <c r="Q28" s="185"/>
      <c r="R28" s="187">
        <f t="shared" si="6"/>
        <v>0</v>
      </c>
      <c r="S28" s="223" t="str">
        <f t="shared" si="7"/>
        <v/>
      </c>
      <c r="T28" s="187">
        <f t="shared" si="8"/>
        <v>0</v>
      </c>
      <c r="U28" s="188" t="str">
        <f t="shared" si="9"/>
        <v/>
      </c>
    </row>
    <row r="29" spans="1:21" x14ac:dyDescent="0.25">
      <c r="A29" s="177"/>
      <c r="B29" s="178" t="str">
        <f t="shared" si="12"/>
        <v>субъект РФ 1</v>
      </c>
      <c r="C29" s="178" t="str">
        <f t="shared" si="11"/>
        <v>ДЗО 1</v>
      </c>
      <c r="D29" s="179" t="str">
        <f t="shared" si="11"/>
        <v>филиал 1</v>
      </c>
      <c r="E29" s="191" t="s">
        <v>200</v>
      </c>
      <c r="F29" s="181"/>
      <c r="G29" s="182"/>
      <c r="H29" s="182"/>
      <c r="I29" s="183"/>
      <c r="J29" s="184"/>
      <c r="K29" s="185"/>
      <c r="L29" s="185">
        <f t="shared" si="4"/>
        <v>0</v>
      </c>
      <c r="M29" s="186" t="str">
        <f t="shared" si="5"/>
        <v/>
      </c>
      <c r="N29" s="184"/>
      <c r="O29" s="185"/>
      <c r="P29" s="185"/>
      <c r="Q29" s="185"/>
      <c r="R29" s="187">
        <f t="shared" si="6"/>
        <v>0</v>
      </c>
      <c r="S29" s="223" t="str">
        <f t="shared" si="7"/>
        <v/>
      </c>
      <c r="T29" s="187">
        <f t="shared" si="8"/>
        <v>0</v>
      </c>
      <c r="U29" s="188" t="str">
        <f t="shared" si="9"/>
        <v/>
      </c>
    </row>
    <row r="30" spans="1:21" x14ac:dyDescent="0.25">
      <c r="A30" s="168" t="s">
        <v>15</v>
      </c>
      <c r="B30" s="169" t="str">
        <f t="shared" si="12"/>
        <v>субъект РФ 1</v>
      </c>
      <c r="C30" s="169" t="str">
        <f t="shared" si="11"/>
        <v>ДЗО 1</v>
      </c>
      <c r="D30" s="170" t="str">
        <f t="shared" si="11"/>
        <v>филиал 1</v>
      </c>
      <c r="E30" s="171" t="s">
        <v>186</v>
      </c>
      <c r="F30" s="138"/>
      <c r="G30" s="139"/>
      <c r="H30" s="139"/>
      <c r="I30" s="140"/>
      <c r="J30" s="172">
        <f t="shared" ref="J30:K30" si="15">SUM(J31:J34)</f>
        <v>0</v>
      </c>
      <c r="K30" s="173">
        <f t="shared" si="15"/>
        <v>0</v>
      </c>
      <c r="L30" s="173">
        <f t="shared" si="4"/>
        <v>0</v>
      </c>
      <c r="M30" s="174" t="str">
        <f t="shared" si="5"/>
        <v/>
      </c>
      <c r="N30" s="172">
        <f t="shared" ref="N30:Q30" si="16">SUM(N31:N34)</f>
        <v>0</v>
      </c>
      <c r="O30" s="173">
        <f t="shared" si="16"/>
        <v>0</v>
      </c>
      <c r="P30" s="173">
        <f t="shared" si="16"/>
        <v>0</v>
      </c>
      <c r="Q30" s="173">
        <f t="shared" si="16"/>
        <v>0</v>
      </c>
      <c r="R30" s="175">
        <f t="shared" si="6"/>
        <v>0</v>
      </c>
      <c r="S30" s="222" t="str">
        <f t="shared" si="7"/>
        <v/>
      </c>
      <c r="T30" s="175">
        <f t="shared" si="8"/>
        <v>0</v>
      </c>
      <c r="U30" s="176" t="str">
        <f t="shared" si="9"/>
        <v/>
      </c>
    </row>
    <row r="31" spans="1:21" x14ac:dyDescent="0.25">
      <c r="A31" s="177"/>
      <c r="B31" s="178" t="str">
        <f t="shared" si="12"/>
        <v>субъект РФ 1</v>
      </c>
      <c r="C31" s="178" t="str">
        <f t="shared" si="11"/>
        <v>ДЗО 1</v>
      </c>
      <c r="D31" s="179" t="str">
        <f t="shared" si="11"/>
        <v>филиал 1</v>
      </c>
      <c r="E31" s="191" t="s">
        <v>194</v>
      </c>
      <c r="F31" s="181"/>
      <c r="G31" s="182"/>
      <c r="H31" s="182"/>
      <c r="I31" s="183"/>
      <c r="J31" s="184"/>
      <c r="K31" s="185"/>
      <c r="L31" s="185">
        <f t="shared" si="4"/>
        <v>0</v>
      </c>
      <c r="M31" s="186" t="str">
        <f t="shared" si="5"/>
        <v/>
      </c>
      <c r="N31" s="184"/>
      <c r="O31" s="185"/>
      <c r="P31" s="185"/>
      <c r="Q31" s="185"/>
      <c r="R31" s="187">
        <f t="shared" si="6"/>
        <v>0</v>
      </c>
      <c r="S31" s="223" t="str">
        <f t="shared" si="7"/>
        <v/>
      </c>
      <c r="T31" s="187">
        <f t="shared" si="8"/>
        <v>0</v>
      </c>
      <c r="U31" s="188" t="str">
        <f t="shared" si="9"/>
        <v/>
      </c>
    </row>
    <row r="32" spans="1:21" x14ac:dyDescent="0.25">
      <c r="A32" s="177"/>
      <c r="B32" s="178" t="str">
        <f t="shared" si="12"/>
        <v>субъект РФ 1</v>
      </c>
      <c r="C32" s="178" t="str">
        <f t="shared" si="11"/>
        <v>ДЗО 1</v>
      </c>
      <c r="D32" s="179" t="str">
        <f t="shared" si="11"/>
        <v>филиал 1</v>
      </c>
      <c r="E32" s="191" t="s">
        <v>196</v>
      </c>
      <c r="F32" s="181"/>
      <c r="G32" s="182"/>
      <c r="H32" s="182"/>
      <c r="I32" s="183"/>
      <c r="J32" s="184"/>
      <c r="K32" s="185"/>
      <c r="L32" s="185">
        <f t="shared" si="4"/>
        <v>0</v>
      </c>
      <c r="M32" s="186" t="str">
        <f t="shared" si="5"/>
        <v/>
      </c>
      <c r="N32" s="184"/>
      <c r="O32" s="185"/>
      <c r="P32" s="185"/>
      <c r="Q32" s="185"/>
      <c r="R32" s="187">
        <f t="shared" si="6"/>
        <v>0</v>
      </c>
      <c r="S32" s="223" t="str">
        <f t="shared" si="7"/>
        <v/>
      </c>
      <c r="T32" s="187">
        <f t="shared" si="8"/>
        <v>0</v>
      </c>
      <c r="U32" s="188" t="str">
        <f t="shared" si="9"/>
        <v/>
      </c>
    </row>
    <row r="33" spans="1:21" x14ac:dyDescent="0.25">
      <c r="A33" s="177"/>
      <c r="B33" s="178" t="str">
        <f t="shared" si="12"/>
        <v>субъект РФ 1</v>
      </c>
      <c r="C33" s="178" t="str">
        <f t="shared" si="11"/>
        <v>ДЗО 1</v>
      </c>
      <c r="D33" s="179" t="str">
        <f t="shared" si="11"/>
        <v>филиал 1</v>
      </c>
      <c r="E33" s="191" t="s">
        <v>198</v>
      </c>
      <c r="F33" s="181"/>
      <c r="G33" s="182"/>
      <c r="H33" s="182"/>
      <c r="I33" s="183"/>
      <c r="J33" s="189"/>
      <c r="K33" s="190"/>
      <c r="L33" s="185">
        <f t="shared" si="4"/>
        <v>0</v>
      </c>
      <c r="M33" s="186" t="str">
        <f t="shared" si="5"/>
        <v/>
      </c>
      <c r="N33" s="189"/>
      <c r="O33" s="190"/>
      <c r="P33" s="190"/>
      <c r="Q33" s="190"/>
      <c r="R33" s="187">
        <f t="shared" si="6"/>
        <v>0</v>
      </c>
      <c r="S33" s="223" t="str">
        <f t="shared" si="7"/>
        <v/>
      </c>
      <c r="T33" s="187">
        <f t="shared" si="8"/>
        <v>0</v>
      </c>
      <c r="U33" s="188" t="str">
        <f t="shared" si="9"/>
        <v/>
      </c>
    </row>
    <row r="34" spans="1:21" x14ac:dyDescent="0.25">
      <c r="A34" s="177"/>
      <c r="B34" s="178" t="str">
        <f t="shared" si="12"/>
        <v>субъект РФ 1</v>
      </c>
      <c r="C34" s="178" t="str">
        <f t="shared" si="11"/>
        <v>ДЗО 1</v>
      </c>
      <c r="D34" s="179" t="str">
        <f t="shared" si="11"/>
        <v>филиал 1</v>
      </c>
      <c r="E34" s="191" t="s">
        <v>200</v>
      </c>
      <c r="F34" s="181"/>
      <c r="G34" s="182"/>
      <c r="H34" s="182"/>
      <c r="I34" s="183"/>
      <c r="J34" s="184"/>
      <c r="K34" s="185"/>
      <c r="L34" s="185">
        <f t="shared" si="4"/>
        <v>0</v>
      </c>
      <c r="M34" s="186" t="str">
        <f t="shared" si="5"/>
        <v/>
      </c>
      <c r="N34" s="184"/>
      <c r="O34" s="185"/>
      <c r="P34" s="185"/>
      <c r="Q34" s="185"/>
      <c r="R34" s="187">
        <f t="shared" si="6"/>
        <v>0</v>
      </c>
      <c r="S34" s="223" t="str">
        <f t="shared" si="7"/>
        <v/>
      </c>
      <c r="T34" s="187">
        <f t="shared" si="8"/>
        <v>0</v>
      </c>
      <c r="U34" s="188" t="str">
        <f t="shared" si="9"/>
        <v/>
      </c>
    </row>
    <row r="35" spans="1:21" x14ac:dyDescent="0.25">
      <c r="A35" s="168" t="s">
        <v>17</v>
      </c>
      <c r="B35" s="169" t="str">
        <f t="shared" si="12"/>
        <v>субъект РФ 1</v>
      </c>
      <c r="C35" s="169" t="str">
        <f t="shared" si="11"/>
        <v>ДЗО 1</v>
      </c>
      <c r="D35" s="170" t="str">
        <f t="shared" si="11"/>
        <v>филиал 1</v>
      </c>
      <c r="E35" s="171" t="s">
        <v>187</v>
      </c>
      <c r="F35" s="138"/>
      <c r="G35" s="139"/>
      <c r="H35" s="139"/>
      <c r="I35" s="140"/>
      <c r="J35" s="172">
        <f t="shared" ref="J35:K35" si="17">SUM(J36:J39)</f>
        <v>0</v>
      </c>
      <c r="K35" s="173">
        <f t="shared" si="17"/>
        <v>0</v>
      </c>
      <c r="L35" s="173">
        <f t="shared" si="4"/>
        <v>0</v>
      </c>
      <c r="M35" s="174" t="str">
        <f t="shared" si="5"/>
        <v/>
      </c>
      <c r="N35" s="172">
        <f t="shared" ref="N35:Q35" si="18">SUM(N36:N39)</f>
        <v>0</v>
      </c>
      <c r="O35" s="173">
        <f t="shared" si="18"/>
        <v>0</v>
      </c>
      <c r="P35" s="173">
        <f t="shared" si="18"/>
        <v>0</v>
      </c>
      <c r="Q35" s="173">
        <f t="shared" si="18"/>
        <v>0</v>
      </c>
      <c r="R35" s="175">
        <f t="shared" si="6"/>
        <v>0</v>
      </c>
      <c r="S35" s="222" t="str">
        <f t="shared" si="7"/>
        <v/>
      </c>
      <c r="T35" s="175">
        <f t="shared" si="8"/>
        <v>0</v>
      </c>
      <c r="U35" s="176" t="str">
        <f t="shared" si="9"/>
        <v/>
      </c>
    </row>
    <row r="36" spans="1:21" x14ac:dyDescent="0.25">
      <c r="A36" s="177"/>
      <c r="B36" s="178" t="str">
        <f t="shared" si="12"/>
        <v>субъект РФ 1</v>
      </c>
      <c r="C36" s="178" t="str">
        <f t="shared" si="12"/>
        <v>ДЗО 1</v>
      </c>
      <c r="D36" s="179" t="str">
        <f t="shared" si="12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>
        <f t="shared" si="4"/>
        <v>0</v>
      </c>
      <c r="M36" s="186" t="str">
        <f t="shared" si="5"/>
        <v/>
      </c>
      <c r="N36" s="184"/>
      <c r="O36" s="185"/>
      <c r="P36" s="185"/>
      <c r="Q36" s="185"/>
      <c r="R36" s="187">
        <f t="shared" si="6"/>
        <v>0</v>
      </c>
      <c r="S36" s="223" t="str">
        <f t="shared" si="7"/>
        <v/>
      </c>
      <c r="T36" s="187">
        <f t="shared" si="8"/>
        <v>0</v>
      </c>
      <c r="U36" s="188" t="str">
        <f t="shared" si="9"/>
        <v/>
      </c>
    </row>
    <row r="37" spans="1:21" x14ac:dyDescent="0.25">
      <c r="A37" s="177"/>
      <c r="B37" s="178" t="str">
        <f t="shared" ref="B37:D52" si="19">B36</f>
        <v>субъект РФ 1</v>
      </c>
      <c r="C37" s="178" t="str">
        <f t="shared" si="19"/>
        <v>ДЗО 1</v>
      </c>
      <c r="D37" s="179" t="str">
        <f t="shared" si="19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>
        <f t="shared" si="4"/>
        <v>0</v>
      </c>
      <c r="M37" s="186" t="str">
        <f t="shared" si="5"/>
        <v/>
      </c>
      <c r="N37" s="184"/>
      <c r="O37" s="185"/>
      <c r="P37" s="185"/>
      <c r="Q37" s="185"/>
      <c r="R37" s="187">
        <f t="shared" si="6"/>
        <v>0</v>
      </c>
      <c r="S37" s="223" t="str">
        <f t="shared" si="7"/>
        <v/>
      </c>
      <c r="T37" s="187">
        <f t="shared" si="8"/>
        <v>0</v>
      </c>
      <c r="U37" s="188" t="str">
        <f t="shared" si="9"/>
        <v/>
      </c>
    </row>
    <row r="38" spans="1:21" x14ac:dyDescent="0.25">
      <c r="A38" s="177"/>
      <c r="B38" s="178" t="str">
        <f t="shared" si="19"/>
        <v>субъект РФ 1</v>
      </c>
      <c r="C38" s="178" t="str">
        <f t="shared" si="19"/>
        <v>ДЗО 1</v>
      </c>
      <c r="D38" s="179" t="str">
        <f t="shared" si="19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85">
        <f t="shared" si="4"/>
        <v>0</v>
      </c>
      <c r="M38" s="186" t="str">
        <f t="shared" si="5"/>
        <v/>
      </c>
      <c r="N38" s="189"/>
      <c r="O38" s="190"/>
      <c r="P38" s="190"/>
      <c r="Q38" s="190"/>
      <c r="R38" s="187">
        <f t="shared" si="6"/>
        <v>0</v>
      </c>
      <c r="S38" s="223" t="str">
        <f t="shared" si="7"/>
        <v/>
      </c>
      <c r="T38" s="187">
        <f t="shared" si="8"/>
        <v>0</v>
      </c>
      <c r="U38" s="188" t="str">
        <f t="shared" si="9"/>
        <v/>
      </c>
    </row>
    <row r="39" spans="1:21" x14ac:dyDescent="0.25">
      <c r="A39" s="177"/>
      <c r="B39" s="178" t="str">
        <f t="shared" si="19"/>
        <v>субъект РФ 1</v>
      </c>
      <c r="C39" s="178" t="str">
        <f t="shared" si="19"/>
        <v>ДЗО 1</v>
      </c>
      <c r="D39" s="179" t="str">
        <f t="shared" si="19"/>
        <v>филиал 1</v>
      </c>
      <c r="E39" s="191" t="s">
        <v>200</v>
      </c>
      <c r="F39" s="181"/>
      <c r="G39" s="182"/>
      <c r="H39" s="182"/>
      <c r="I39" s="183"/>
      <c r="J39" s="184"/>
      <c r="K39" s="185"/>
      <c r="L39" s="185">
        <f t="shared" si="4"/>
        <v>0</v>
      </c>
      <c r="M39" s="186" t="str">
        <f t="shared" si="5"/>
        <v/>
      </c>
      <c r="N39" s="184"/>
      <c r="O39" s="185"/>
      <c r="P39" s="185"/>
      <c r="Q39" s="185"/>
      <c r="R39" s="187">
        <f t="shared" si="6"/>
        <v>0</v>
      </c>
      <c r="S39" s="223" t="str">
        <f t="shared" si="7"/>
        <v/>
      </c>
      <c r="T39" s="187">
        <f t="shared" si="8"/>
        <v>0</v>
      </c>
      <c r="U39" s="188" t="str">
        <f t="shared" si="9"/>
        <v/>
      </c>
    </row>
    <row r="40" spans="1:21" x14ac:dyDescent="0.25">
      <c r="A40" s="168" t="s">
        <v>19</v>
      </c>
      <c r="B40" s="169" t="str">
        <f t="shared" si="19"/>
        <v>субъект РФ 1</v>
      </c>
      <c r="C40" s="169" t="str">
        <f t="shared" si="19"/>
        <v>ДЗО 1</v>
      </c>
      <c r="D40" s="170" t="str">
        <f t="shared" si="19"/>
        <v>филиал 1</v>
      </c>
      <c r="E40" s="171" t="s">
        <v>188</v>
      </c>
      <c r="F40" s="138"/>
      <c r="G40" s="139"/>
      <c r="H40" s="139"/>
      <c r="I40" s="140"/>
      <c r="J40" s="172">
        <f t="shared" ref="J40:K40" si="20">SUM(J41:J44)</f>
        <v>0</v>
      </c>
      <c r="K40" s="173">
        <f t="shared" si="20"/>
        <v>0</v>
      </c>
      <c r="L40" s="173">
        <f t="shared" si="4"/>
        <v>0</v>
      </c>
      <c r="M40" s="174" t="str">
        <f t="shared" si="5"/>
        <v/>
      </c>
      <c r="N40" s="172">
        <f t="shared" ref="N40:Q40" si="21">SUM(N41:N44)</f>
        <v>0</v>
      </c>
      <c r="O40" s="173">
        <f t="shared" si="21"/>
        <v>0</v>
      </c>
      <c r="P40" s="173">
        <f t="shared" si="21"/>
        <v>0</v>
      </c>
      <c r="Q40" s="173">
        <f t="shared" si="21"/>
        <v>0</v>
      </c>
      <c r="R40" s="175">
        <f t="shared" si="6"/>
        <v>0</v>
      </c>
      <c r="S40" s="222" t="str">
        <f t="shared" si="7"/>
        <v/>
      </c>
      <c r="T40" s="175">
        <f t="shared" si="8"/>
        <v>0</v>
      </c>
      <c r="U40" s="176" t="str">
        <f t="shared" si="9"/>
        <v/>
      </c>
    </row>
    <row r="41" spans="1:21" x14ac:dyDescent="0.25">
      <c r="A41" s="177"/>
      <c r="B41" s="178" t="str">
        <f t="shared" si="19"/>
        <v>субъект РФ 1</v>
      </c>
      <c r="C41" s="178" t="str">
        <f t="shared" si="19"/>
        <v>ДЗО 1</v>
      </c>
      <c r="D41" s="179" t="str">
        <f t="shared" si="19"/>
        <v>филиал 1</v>
      </c>
      <c r="E41" s="191" t="s">
        <v>194</v>
      </c>
      <c r="F41" s="181"/>
      <c r="G41" s="182"/>
      <c r="H41" s="182"/>
      <c r="I41" s="183"/>
      <c r="J41" s="189"/>
      <c r="K41" s="190"/>
      <c r="L41" s="185">
        <f t="shared" si="4"/>
        <v>0</v>
      </c>
      <c r="M41" s="186" t="str">
        <f t="shared" si="5"/>
        <v/>
      </c>
      <c r="N41" s="189"/>
      <c r="O41" s="190"/>
      <c r="P41" s="190"/>
      <c r="Q41" s="190"/>
      <c r="R41" s="187">
        <f t="shared" si="6"/>
        <v>0</v>
      </c>
      <c r="S41" s="223" t="str">
        <f t="shared" si="7"/>
        <v/>
      </c>
      <c r="T41" s="187">
        <f t="shared" si="8"/>
        <v>0</v>
      </c>
      <c r="U41" s="188" t="str">
        <f t="shared" si="9"/>
        <v/>
      </c>
    </row>
    <row r="42" spans="1:21" x14ac:dyDescent="0.25">
      <c r="A42" s="177"/>
      <c r="B42" s="178" t="str">
        <f t="shared" si="19"/>
        <v>субъект РФ 1</v>
      </c>
      <c r="C42" s="178" t="str">
        <f t="shared" si="19"/>
        <v>ДЗО 1</v>
      </c>
      <c r="D42" s="179" t="str">
        <f t="shared" si="19"/>
        <v>филиал 1</v>
      </c>
      <c r="E42" s="191" t="s">
        <v>196</v>
      </c>
      <c r="F42" s="181"/>
      <c r="G42" s="182"/>
      <c r="H42" s="182"/>
      <c r="I42" s="183"/>
      <c r="J42" s="189"/>
      <c r="K42" s="190"/>
      <c r="L42" s="185">
        <f t="shared" si="4"/>
        <v>0</v>
      </c>
      <c r="M42" s="186" t="str">
        <f t="shared" si="5"/>
        <v/>
      </c>
      <c r="N42" s="189"/>
      <c r="O42" s="190"/>
      <c r="P42" s="190"/>
      <c r="Q42" s="190"/>
      <c r="R42" s="187">
        <f t="shared" si="6"/>
        <v>0</v>
      </c>
      <c r="S42" s="223" t="str">
        <f t="shared" si="7"/>
        <v/>
      </c>
      <c r="T42" s="187">
        <f t="shared" si="8"/>
        <v>0</v>
      </c>
      <c r="U42" s="188" t="str">
        <f t="shared" si="9"/>
        <v/>
      </c>
    </row>
    <row r="43" spans="1:21" x14ac:dyDescent="0.25">
      <c r="A43" s="177"/>
      <c r="B43" s="178" t="str">
        <f t="shared" si="19"/>
        <v>субъект РФ 1</v>
      </c>
      <c r="C43" s="178" t="str">
        <f t="shared" si="19"/>
        <v>ДЗО 1</v>
      </c>
      <c r="D43" s="179" t="str">
        <f t="shared" si="19"/>
        <v>филиал 1</v>
      </c>
      <c r="E43" s="191" t="s">
        <v>198</v>
      </c>
      <c r="F43" s="181"/>
      <c r="G43" s="182"/>
      <c r="H43" s="182"/>
      <c r="I43" s="183"/>
      <c r="J43" s="189"/>
      <c r="K43" s="190"/>
      <c r="L43" s="185">
        <f t="shared" si="4"/>
        <v>0</v>
      </c>
      <c r="M43" s="186" t="str">
        <f t="shared" si="5"/>
        <v/>
      </c>
      <c r="N43" s="189"/>
      <c r="O43" s="190"/>
      <c r="P43" s="190"/>
      <c r="Q43" s="190"/>
      <c r="R43" s="187">
        <f t="shared" si="6"/>
        <v>0</v>
      </c>
      <c r="S43" s="223" t="str">
        <f t="shared" si="7"/>
        <v/>
      </c>
      <c r="T43" s="187">
        <f t="shared" si="8"/>
        <v>0</v>
      </c>
      <c r="U43" s="188" t="str">
        <f t="shared" si="9"/>
        <v/>
      </c>
    </row>
    <row r="44" spans="1:21" x14ac:dyDescent="0.25">
      <c r="A44" s="177"/>
      <c r="B44" s="178" t="str">
        <f t="shared" si="19"/>
        <v>субъект РФ 1</v>
      </c>
      <c r="C44" s="178" t="str">
        <f t="shared" si="19"/>
        <v>ДЗО 1</v>
      </c>
      <c r="D44" s="179" t="str">
        <f t="shared" si="19"/>
        <v>филиал 1</v>
      </c>
      <c r="E44" s="191" t="s">
        <v>200</v>
      </c>
      <c r="F44" s="181"/>
      <c r="G44" s="182"/>
      <c r="H44" s="182"/>
      <c r="I44" s="183"/>
      <c r="J44" s="184"/>
      <c r="K44" s="185"/>
      <c r="L44" s="185">
        <f t="shared" si="4"/>
        <v>0</v>
      </c>
      <c r="M44" s="186" t="str">
        <f t="shared" si="5"/>
        <v/>
      </c>
      <c r="N44" s="184"/>
      <c r="O44" s="185"/>
      <c r="P44" s="185"/>
      <c r="Q44" s="185"/>
      <c r="R44" s="187">
        <f t="shared" si="6"/>
        <v>0</v>
      </c>
      <c r="S44" s="223" t="str">
        <f t="shared" si="7"/>
        <v/>
      </c>
      <c r="T44" s="187">
        <f t="shared" si="8"/>
        <v>0</v>
      </c>
      <c r="U44" s="188" t="str">
        <f t="shared" si="9"/>
        <v/>
      </c>
    </row>
    <row r="45" spans="1:21" ht="30" x14ac:dyDescent="0.25">
      <c r="A45" s="168" t="s">
        <v>21</v>
      </c>
      <c r="B45" s="169" t="str">
        <f t="shared" si="19"/>
        <v>субъект РФ 1</v>
      </c>
      <c r="C45" s="169" t="str">
        <f t="shared" si="19"/>
        <v>ДЗО 1</v>
      </c>
      <c r="D45" s="170" t="str">
        <f t="shared" si="19"/>
        <v>филиал 1</v>
      </c>
      <c r="E45" s="171" t="s">
        <v>189</v>
      </c>
      <c r="F45" s="138"/>
      <c r="G45" s="139"/>
      <c r="H45" s="139"/>
      <c r="I45" s="140"/>
      <c r="J45" s="172">
        <f t="shared" ref="J45:K45" si="22">SUM(J46:J49)</f>
        <v>0</v>
      </c>
      <c r="K45" s="173">
        <f t="shared" si="22"/>
        <v>0</v>
      </c>
      <c r="L45" s="173">
        <f t="shared" si="4"/>
        <v>0</v>
      </c>
      <c r="M45" s="174" t="str">
        <f t="shared" si="5"/>
        <v/>
      </c>
      <c r="N45" s="172">
        <f t="shared" ref="N45:Q45" si="23">SUM(N46:N49)</f>
        <v>0</v>
      </c>
      <c r="O45" s="173">
        <f t="shared" si="23"/>
        <v>0</v>
      </c>
      <c r="P45" s="173">
        <f t="shared" si="23"/>
        <v>0</v>
      </c>
      <c r="Q45" s="173">
        <f t="shared" si="23"/>
        <v>0</v>
      </c>
      <c r="R45" s="175">
        <f t="shared" si="6"/>
        <v>0</v>
      </c>
      <c r="S45" s="222" t="str">
        <f t="shared" si="7"/>
        <v/>
      </c>
      <c r="T45" s="175">
        <f t="shared" si="8"/>
        <v>0</v>
      </c>
      <c r="U45" s="176" t="str">
        <f t="shared" si="9"/>
        <v/>
      </c>
    </row>
    <row r="46" spans="1:21" x14ac:dyDescent="0.25">
      <c r="A46" s="177"/>
      <c r="B46" s="178" t="str">
        <f t="shared" si="19"/>
        <v>субъект РФ 1</v>
      </c>
      <c r="C46" s="178" t="str">
        <f t="shared" si="19"/>
        <v>ДЗО 1</v>
      </c>
      <c r="D46" s="179" t="str">
        <f t="shared" si="19"/>
        <v>филиал 1</v>
      </c>
      <c r="E46" s="191" t="s">
        <v>194</v>
      </c>
      <c r="F46" s="181"/>
      <c r="G46" s="182"/>
      <c r="H46" s="182"/>
      <c r="I46" s="183"/>
      <c r="J46" s="184"/>
      <c r="K46" s="185"/>
      <c r="L46" s="185">
        <f t="shared" si="4"/>
        <v>0</v>
      </c>
      <c r="M46" s="186" t="str">
        <f t="shared" si="5"/>
        <v/>
      </c>
      <c r="N46" s="184"/>
      <c r="O46" s="185"/>
      <c r="P46" s="185"/>
      <c r="Q46" s="185"/>
      <c r="R46" s="187">
        <f t="shared" si="6"/>
        <v>0</v>
      </c>
      <c r="S46" s="223" t="str">
        <f t="shared" si="7"/>
        <v/>
      </c>
      <c r="T46" s="187">
        <f t="shared" si="8"/>
        <v>0</v>
      </c>
      <c r="U46" s="188" t="str">
        <f t="shared" si="9"/>
        <v/>
      </c>
    </row>
    <row r="47" spans="1:21" x14ac:dyDescent="0.25">
      <c r="A47" s="177"/>
      <c r="B47" s="178" t="str">
        <f t="shared" si="19"/>
        <v>субъект РФ 1</v>
      </c>
      <c r="C47" s="178" t="str">
        <f t="shared" si="19"/>
        <v>ДЗО 1</v>
      </c>
      <c r="D47" s="179" t="str">
        <f t="shared" si="19"/>
        <v>филиал 1</v>
      </c>
      <c r="E47" s="191" t="s">
        <v>196</v>
      </c>
      <c r="F47" s="181"/>
      <c r="G47" s="182"/>
      <c r="H47" s="182"/>
      <c r="I47" s="183"/>
      <c r="J47" s="184"/>
      <c r="K47" s="185"/>
      <c r="L47" s="185">
        <f t="shared" si="4"/>
        <v>0</v>
      </c>
      <c r="M47" s="186" t="str">
        <f t="shared" si="5"/>
        <v/>
      </c>
      <c r="N47" s="184"/>
      <c r="O47" s="185"/>
      <c r="P47" s="185"/>
      <c r="Q47" s="185"/>
      <c r="R47" s="187">
        <f t="shared" si="6"/>
        <v>0</v>
      </c>
      <c r="S47" s="223" t="str">
        <f t="shared" si="7"/>
        <v/>
      </c>
      <c r="T47" s="187">
        <f t="shared" si="8"/>
        <v>0</v>
      </c>
      <c r="U47" s="188" t="str">
        <f t="shared" si="9"/>
        <v/>
      </c>
    </row>
    <row r="48" spans="1:21" x14ac:dyDescent="0.25">
      <c r="A48" s="177"/>
      <c r="B48" s="178" t="str">
        <f t="shared" si="19"/>
        <v>субъект РФ 1</v>
      </c>
      <c r="C48" s="178" t="str">
        <f t="shared" si="19"/>
        <v>ДЗО 1</v>
      </c>
      <c r="D48" s="179" t="str">
        <f t="shared" si="19"/>
        <v>филиал 1</v>
      </c>
      <c r="E48" s="191" t="s">
        <v>198</v>
      </c>
      <c r="F48" s="181"/>
      <c r="G48" s="182"/>
      <c r="H48" s="182"/>
      <c r="I48" s="183"/>
      <c r="J48" s="189"/>
      <c r="K48" s="190"/>
      <c r="L48" s="185">
        <f t="shared" si="4"/>
        <v>0</v>
      </c>
      <c r="M48" s="186" t="str">
        <f t="shared" si="5"/>
        <v/>
      </c>
      <c r="N48" s="189"/>
      <c r="O48" s="190"/>
      <c r="P48" s="190"/>
      <c r="Q48" s="190"/>
      <c r="R48" s="187">
        <f t="shared" si="6"/>
        <v>0</v>
      </c>
      <c r="S48" s="223" t="str">
        <f t="shared" si="7"/>
        <v/>
      </c>
      <c r="T48" s="187">
        <f t="shared" si="8"/>
        <v>0</v>
      </c>
      <c r="U48" s="188" t="str">
        <f t="shared" si="9"/>
        <v/>
      </c>
    </row>
    <row r="49" spans="1:21" x14ac:dyDescent="0.25">
      <c r="A49" s="177"/>
      <c r="B49" s="178" t="str">
        <f t="shared" si="19"/>
        <v>субъект РФ 1</v>
      </c>
      <c r="C49" s="178" t="str">
        <f t="shared" si="19"/>
        <v>ДЗО 1</v>
      </c>
      <c r="D49" s="179" t="str">
        <f t="shared" si="19"/>
        <v>филиал 1</v>
      </c>
      <c r="E49" s="191" t="s">
        <v>200</v>
      </c>
      <c r="F49" s="181"/>
      <c r="G49" s="182"/>
      <c r="H49" s="182"/>
      <c r="I49" s="183"/>
      <c r="J49" s="184"/>
      <c r="K49" s="185"/>
      <c r="L49" s="185">
        <f t="shared" si="4"/>
        <v>0</v>
      </c>
      <c r="M49" s="186" t="str">
        <f t="shared" si="5"/>
        <v/>
      </c>
      <c r="N49" s="184"/>
      <c r="O49" s="185"/>
      <c r="P49" s="185"/>
      <c r="Q49" s="185"/>
      <c r="R49" s="187">
        <f t="shared" si="6"/>
        <v>0</v>
      </c>
      <c r="S49" s="223" t="str">
        <f t="shared" si="7"/>
        <v/>
      </c>
      <c r="T49" s="187">
        <f t="shared" si="8"/>
        <v>0</v>
      </c>
      <c r="U49" s="188" t="str">
        <f t="shared" si="9"/>
        <v/>
      </c>
    </row>
    <row r="50" spans="1:21" x14ac:dyDescent="0.25">
      <c r="A50" s="168" t="s">
        <v>23</v>
      </c>
      <c r="B50" s="169" t="str">
        <f t="shared" si="19"/>
        <v>субъект РФ 1</v>
      </c>
      <c r="C50" s="169" t="str">
        <f t="shared" si="19"/>
        <v>ДЗО 1</v>
      </c>
      <c r="D50" s="170" t="str">
        <f t="shared" si="19"/>
        <v>филиал 1</v>
      </c>
      <c r="E50" s="171" t="s">
        <v>190</v>
      </c>
      <c r="F50" s="138"/>
      <c r="G50" s="139"/>
      <c r="H50" s="139"/>
      <c r="I50" s="140"/>
      <c r="J50" s="192"/>
      <c r="K50" s="193"/>
      <c r="L50" s="193">
        <f t="shared" si="4"/>
        <v>0</v>
      </c>
      <c r="M50" s="194" t="str">
        <f t="shared" si="5"/>
        <v/>
      </c>
      <c r="N50" s="192"/>
      <c r="O50" s="193"/>
      <c r="P50" s="193"/>
      <c r="Q50" s="193"/>
      <c r="R50" s="195">
        <f t="shared" si="6"/>
        <v>0</v>
      </c>
      <c r="S50" s="224" t="str">
        <f t="shared" si="7"/>
        <v/>
      </c>
      <c r="T50" s="195">
        <f t="shared" si="8"/>
        <v>0</v>
      </c>
      <c r="U50" s="196" t="str">
        <f t="shared" si="9"/>
        <v/>
      </c>
    </row>
    <row r="51" spans="1:21" x14ac:dyDescent="0.25">
      <c r="A51" s="168" t="s">
        <v>25</v>
      </c>
      <c r="B51" s="169" t="str">
        <f t="shared" si="19"/>
        <v>субъект РФ 1</v>
      </c>
      <c r="C51" s="169" t="str">
        <f t="shared" si="19"/>
        <v>ДЗО 1</v>
      </c>
      <c r="D51" s="170" t="str">
        <f t="shared" si="19"/>
        <v>филиал 1</v>
      </c>
      <c r="E51" s="171" t="s">
        <v>191</v>
      </c>
      <c r="F51" s="138"/>
      <c r="G51" s="139"/>
      <c r="H51" s="139"/>
      <c r="I51" s="140"/>
      <c r="J51" s="172">
        <f>SUM(J52:J55)</f>
        <v>0</v>
      </c>
      <c r="K51" s="173">
        <f>SUM(K52:K55)</f>
        <v>0</v>
      </c>
      <c r="L51" s="173">
        <f t="shared" si="4"/>
        <v>0</v>
      </c>
      <c r="M51" s="174" t="str">
        <f t="shared" si="5"/>
        <v/>
      </c>
      <c r="N51" s="172">
        <f>SUM(N52:N55)</f>
        <v>0</v>
      </c>
      <c r="O51" s="173">
        <f>SUM(O52:O55)</f>
        <v>0</v>
      </c>
      <c r="P51" s="173">
        <f>SUM(P52:P55)</f>
        <v>0</v>
      </c>
      <c r="Q51" s="173">
        <f>SUM(Q52:Q55)</f>
        <v>0</v>
      </c>
      <c r="R51" s="175">
        <f t="shared" si="6"/>
        <v>0</v>
      </c>
      <c r="S51" s="222" t="str">
        <f t="shared" si="7"/>
        <v/>
      </c>
      <c r="T51" s="175">
        <f t="shared" si="8"/>
        <v>0</v>
      </c>
      <c r="U51" s="176" t="str">
        <f t="shared" si="9"/>
        <v/>
      </c>
    </row>
    <row r="52" spans="1:21" x14ac:dyDescent="0.25">
      <c r="A52" s="177"/>
      <c r="B52" s="178" t="str">
        <f t="shared" si="19"/>
        <v>субъект РФ 1</v>
      </c>
      <c r="C52" s="178" t="str">
        <f t="shared" si="19"/>
        <v>ДЗО 1</v>
      </c>
      <c r="D52" s="179" t="str">
        <f t="shared" si="19"/>
        <v>филиал 1</v>
      </c>
      <c r="E52" s="191" t="s">
        <v>202</v>
      </c>
      <c r="F52" s="181"/>
      <c r="G52" s="182"/>
      <c r="H52" s="182"/>
      <c r="I52" s="183"/>
      <c r="J52" s="184"/>
      <c r="K52" s="185"/>
      <c r="L52" s="185">
        <f t="shared" si="4"/>
        <v>0</v>
      </c>
      <c r="M52" s="186" t="str">
        <f t="shared" si="5"/>
        <v/>
      </c>
      <c r="N52" s="184"/>
      <c r="O52" s="185"/>
      <c r="P52" s="185"/>
      <c r="Q52" s="185"/>
      <c r="R52" s="187">
        <f t="shared" si="6"/>
        <v>0</v>
      </c>
      <c r="S52" s="223" t="str">
        <f t="shared" si="7"/>
        <v/>
      </c>
      <c r="T52" s="187">
        <f t="shared" si="8"/>
        <v>0</v>
      </c>
      <c r="U52" s="188" t="str">
        <f t="shared" si="9"/>
        <v/>
      </c>
    </row>
    <row r="53" spans="1:21" x14ac:dyDescent="0.25">
      <c r="A53" s="177"/>
      <c r="B53" s="178" t="str">
        <f t="shared" ref="B53:D55" si="24">B52</f>
        <v>субъект РФ 1</v>
      </c>
      <c r="C53" s="178" t="str">
        <f t="shared" si="24"/>
        <v>ДЗО 1</v>
      </c>
      <c r="D53" s="179" t="str">
        <f t="shared" si="24"/>
        <v>филиал 1</v>
      </c>
      <c r="E53" s="191" t="s">
        <v>203</v>
      </c>
      <c r="F53" s="181"/>
      <c r="G53" s="182"/>
      <c r="H53" s="182"/>
      <c r="I53" s="183"/>
      <c r="J53" s="184"/>
      <c r="K53" s="185"/>
      <c r="L53" s="185">
        <f t="shared" si="4"/>
        <v>0</v>
      </c>
      <c r="M53" s="186" t="str">
        <f t="shared" si="5"/>
        <v/>
      </c>
      <c r="N53" s="184"/>
      <c r="O53" s="185"/>
      <c r="P53" s="185"/>
      <c r="Q53" s="185"/>
      <c r="R53" s="187">
        <f t="shared" si="6"/>
        <v>0</v>
      </c>
      <c r="S53" s="223" t="str">
        <f t="shared" si="7"/>
        <v/>
      </c>
      <c r="T53" s="187">
        <f t="shared" si="8"/>
        <v>0</v>
      </c>
      <c r="U53" s="188" t="str">
        <f t="shared" si="9"/>
        <v/>
      </c>
    </row>
    <row r="54" spans="1:21" x14ac:dyDescent="0.25">
      <c r="A54" s="177"/>
      <c r="B54" s="178" t="str">
        <f t="shared" si="24"/>
        <v>субъект РФ 1</v>
      </c>
      <c r="C54" s="178" t="str">
        <f t="shared" si="24"/>
        <v>ДЗО 1</v>
      </c>
      <c r="D54" s="179" t="str">
        <f t="shared" si="24"/>
        <v>филиал 1</v>
      </c>
      <c r="E54" s="191" t="s">
        <v>204</v>
      </c>
      <c r="F54" s="181"/>
      <c r="G54" s="182"/>
      <c r="H54" s="182"/>
      <c r="I54" s="183"/>
      <c r="J54" s="184"/>
      <c r="K54" s="185"/>
      <c r="L54" s="185">
        <f t="shared" si="4"/>
        <v>0</v>
      </c>
      <c r="M54" s="186" t="str">
        <f t="shared" si="5"/>
        <v/>
      </c>
      <c r="N54" s="184"/>
      <c r="O54" s="185"/>
      <c r="P54" s="185"/>
      <c r="Q54" s="185"/>
      <c r="R54" s="187">
        <f t="shared" si="6"/>
        <v>0</v>
      </c>
      <c r="S54" s="223" t="str">
        <f t="shared" si="7"/>
        <v/>
      </c>
      <c r="T54" s="187">
        <f t="shared" si="8"/>
        <v>0</v>
      </c>
      <c r="U54" s="188" t="str">
        <f t="shared" si="9"/>
        <v/>
      </c>
    </row>
    <row r="55" spans="1:21" ht="15.75" thickBot="1" x14ac:dyDescent="0.3">
      <c r="A55" s="197"/>
      <c r="B55" s="198" t="str">
        <f t="shared" si="24"/>
        <v>субъект РФ 1</v>
      </c>
      <c r="C55" s="198" t="str">
        <f t="shared" si="24"/>
        <v>ДЗО 1</v>
      </c>
      <c r="D55" s="199" t="str">
        <f t="shared" si="24"/>
        <v>филиал 1</v>
      </c>
      <c r="E55" s="200" t="s">
        <v>205</v>
      </c>
      <c r="F55" s="201"/>
      <c r="G55" s="202"/>
      <c r="H55" s="202"/>
      <c r="I55" s="203"/>
      <c r="J55" s="204"/>
      <c r="K55" s="205"/>
      <c r="L55" s="205">
        <f t="shared" si="4"/>
        <v>0</v>
      </c>
      <c r="M55" s="206" t="str">
        <f t="shared" si="5"/>
        <v/>
      </c>
      <c r="N55" s="204"/>
      <c r="O55" s="205"/>
      <c r="P55" s="205"/>
      <c r="Q55" s="205"/>
      <c r="R55" s="207">
        <f t="shared" si="6"/>
        <v>0</v>
      </c>
      <c r="S55" s="225" t="str">
        <f t="shared" si="7"/>
        <v/>
      </c>
      <c r="T55" s="207">
        <f t="shared" si="8"/>
        <v>0</v>
      </c>
      <c r="U55" s="208" t="str">
        <f t="shared" si="9"/>
        <v/>
      </c>
    </row>
  </sheetData>
  <autoFilter ref="A9:U55"/>
  <mergeCells count="18">
    <mergeCell ref="J6:M6"/>
    <mergeCell ref="N6:U6"/>
    <mergeCell ref="F7:F8"/>
    <mergeCell ref="G7:G8"/>
    <mergeCell ref="H7:I7"/>
    <mergeCell ref="J7:J8"/>
    <mergeCell ref="K7:K8"/>
    <mergeCell ref="L7:M7"/>
    <mergeCell ref="R7:S7"/>
    <mergeCell ref="T7:U7"/>
    <mergeCell ref="F6:I6"/>
    <mergeCell ref="N7:O7"/>
    <mergeCell ref="P7:Q7"/>
    <mergeCell ref="A6:A8"/>
    <mergeCell ref="B6:B8"/>
    <mergeCell ref="C6:C8"/>
    <mergeCell ref="D6:D8"/>
    <mergeCell ref="E6:E8"/>
  </mergeCells>
  <conditionalFormatting sqref="I10:I5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10:M55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U10:U5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:H5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L10:L5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R10:R5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10:S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T10:T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10" activePane="bottomRight" state="frozen"/>
      <selection activeCell="K55" sqref="K55"/>
      <selection pane="topRight" activeCell="K55" sqref="K55"/>
      <selection pane="bottomLeft" activeCell="K55" sqref="K55"/>
      <selection pane="bottomRight" activeCell="K55" sqref="K55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44017</v>
      </c>
      <c r="K1" s="249">
        <f>G19</f>
        <v>5.7118969115213911</v>
      </c>
      <c r="L1" s="249">
        <f>K10</f>
        <v>5.0675486129032254</v>
      </c>
      <c r="M1" s="249">
        <f>K1-L1</f>
        <v>0.64434829861816567</v>
      </c>
      <c r="N1" s="273">
        <f>M1/K1*100</f>
        <v>11.280811061531228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171</v>
      </c>
      <c r="B3" s="112"/>
      <c r="L3" s="268">
        <f>G19</f>
        <v>5.7118969115213911</v>
      </c>
      <c r="P3" s="249">
        <v>0.105769</v>
      </c>
      <c r="Q3" s="249">
        <f>O1-P3</f>
        <v>-0.105769</v>
      </c>
      <c r="R3" s="249">
        <f>F19-J10</f>
        <v>0.79112987881935393</v>
      </c>
      <c r="S3" s="249">
        <f>F19-J10</f>
        <v>0.79112987881935393</v>
      </c>
      <c r="T3" s="110">
        <f>S3/F19*100</f>
        <v>12.897187372293054</v>
      </c>
    </row>
    <row r="4" spans="1:20" s="110" customFormat="1" ht="12" customHeight="1" x14ac:dyDescent="0.2">
      <c r="F4" s="110">
        <f>G19/20*31</f>
        <v>8.8534402128581569</v>
      </c>
      <c r="G4" s="110">
        <v>13.2800040955377</v>
      </c>
      <c r="H4" s="270">
        <f>G4*F4/100</f>
        <v>1.175737222863545</v>
      </c>
      <c r="I4" s="268">
        <f>F4-H4</f>
        <v>7.6777029899946116</v>
      </c>
      <c r="J4" s="270">
        <f>I4/31*20</f>
        <v>4.9533567677384589</v>
      </c>
      <c r="K4" s="270">
        <f>J4-K10</f>
        <v>-0.11419184516476655</v>
      </c>
      <c r="L4" s="268">
        <f>G19/27*31</f>
        <v>6.558103861376412</v>
      </c>
      <c r="M4" s="271"/>
      <c r="N4" s="249">
        <f>F19-J10</f>
        <v>0.79112987881935393</v>
      </c>
      <c r="O4" s="249">
        <f>N4/F19*100</f>
        <v>12.897187372293054</v>
      </c>
      <c r="Q4" s="249"/>
      <c r="R4" s="110">
        <f>R3/F19*100</f>
        <v>12.897187372293054</v>
      </c>
      <c r="S4" s="249">
        <f>G19-K10</f>
        <v>0.64434829861816567</v>
      </c>
      <c r="T4" s="110">
        <f>S4/G19*100</f>
        <v>11.280811061531228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0.64434829861816567</v>
      </c>
      <c r="O5" s="274">
        <f>N5/G19*100</f>
        <v>11.280811061531228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113" t="s">
        <v>179</v>
      </c>
      <c r="I8" s="114" t="s">
        <v>180</v>
      </c>
      <c r="J8" s="318"/>
      <c r="K8" s="328"/>
      <c r="L8" s="328"/>
      <c r="M8" s="113" t="s">
        <v>179</v>
      </c>
      <c r="N8" s="114" t="s">
        <v>180</v>
      </c>
      <c r="O8" s="318"/>
      <c r="P8" s="328"/>
      <c r="Q8" s="113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6.1341272013999992</v>
      </c>
      <c r="G10" s="128">
        <f>SUMIFS(G18:G5005,$A18:$A5005,$A10,$C18:$C5005,$C10)</f>
        <v>5.7118969115213911</v>
      </c>
      <c r="H10" s="128">
        <f>G10-F10</f>
        <v>-0.42223028987860811</v>
      </c>
      <c r="I10" s="129">
        <f>IFERROR(G10/F10-1,"")</f>
        <v>-6.8832985690652437E-2</v>
      </c>
      <c r="J10" s="130">
        <f t="shared" ref="J10" si="1">SUM(J11:J18)</f>
        <v>5.3429973225806453</v>
      </c>
      <c r="K10" s="128">
        <f t="shared" ref="K10" si="2">SUM(K11:K18)</f>
        <v>5.0675486129032254</v>
      </c>
      <c r="L10" s="128"/>
      <c r="M10" s="250">
        <f>K10-J10</f>
        <v>-0.27544870967741986</v>
      </c>
      <c r="N10" s="129">
        <f>IFERROR(K10/J10-1,"")</f>
        <v>-5.15532187361043E-2</v>
      </c>
      <c r="O10" s="128">
        <f>SUMIFS(O18:O5005,$A18:$A5005,$A10,$C18:$C5005,$C10)</f>
        <v>88.370399520000007</v>
      </c>
      <c r="P10" s="128">
        <f>SUMIFS(P18:P5005,$A18:$A5005,$A10,$C18:$C5005,$C10)</f>
        <v>85.806518520000012</v>
      </c>
      <c r="Q10" s="131">
        <f>P10-O10</f>
        <v>-2.563880999999995</v>
      </c>
      <c r="R10" s="132">
        <f t="shared" ref="R10:R19" si="3">IFERROR(P10/O10-1,"")</f>
        <v>-2.90128936151266E-2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0.36297370967741938</v>
      </c>
      <c r="K11" s="142">
        <f>SUMIFS(K19:K5006,$A19:$A5006,$A11,$C19:$C5006,$C11)</f>
        <v>0.37428170967741936</v>
      </c>
      <c r="L11" s="142"/>
      <c r="M11" s="142">
        <f t="shared" ref="M11:M68" si="4">K11-J11</f>
        <v>1.1307999999999985E-2</v>
      </c>
      <c r="N11" s="143">
        <f t="shared" ref="N11:N68" si="5">IFERROR(K11/J11-1,"")</f>
        <v>3.1153771467497204E-2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0.11599112903225807</v>
      </c>
      <c r="K14" s="142">
        <f>SUMIFS(K19:K5006,$A19:$A5006,$A14,$C19:$C5006,$C14)</f>
        <v>0.11237012903225807</v>
      </c>
      <c r="L14" s="142"/>
      <c r="M14" s="142">
        <f t="shared" si="4"/>
        <v>-3.6209999999999992E-3</v>
      </c>
      <c r="N14" s="143">
        <f t="shared" si="5"/>
        <v>-3.1217904595039925E-2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1.3003819999999984</v>
      </c>
      <c r="K15" s="142">
        <f>SUMIFS(K19:K5006,$A19:$A5006,$A15,$C19:$C5006,$C15)</f>
        <v>1.0247392903225789</v>
      </c>
      <c r="L15" s="142"/>
      <c r="M15" s="142">
        <f t="shared" si="4"/>
        <v>-0.27564270967741944</v>
      </c>
      <c r="N15" s="143">
        <f t="shared" si="5"/>
        <v>-0.21197056686221416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6.7482903225806454E-2</v>
      </c>
      <c r="K16" s="142">
        <f>SUMIFS(K19:K5006,$A19:$A5006,$A16,$C19:$C5006,$C16)</f>
        <v>6.2292903225806454E-2</v>
      </c>
      <c r="L16" s="142"/>
      <c r="M16" s="142">
        <f t="shared" si="4"/>
        <v>-5.1900000000000002E-3</v>
      </c>
      <c r="N16" s="143">
        <f t="shared" si="5"/>
        <v>-7.6908368666854687E-2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1.9104045161290322</v>
      </c>
      <c r="K17" s="142">
        <f>SUMIFS(K19:K5006,$A19:$A5006,$A17,$C19:$C5006,$C17)</f>
        <v>1.9201455161290322</v>
      </c>
      <c r="L17" s="142"/>
      <c r="M17" s="142">
        <f t="shared" si="4"/>
        <v>9.7409999999999997E-3</v>
      </c>
      <c r="N17" s="143">
        <f t="shared" si="5"/>
        <v>5.0989201071078849E-3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1.5857630645161307</v>
      </c>
      <c r="K18" s="154">
        <f>SUMIFS(K19:K5006,$A19:$A5006,$A18,$C19:$C5006,$C18)</f>
        <v>1.5737190645161308</v>
      </c>
      <c r="L18" s="154"/>
      <c r="M18" s="154">
        <f t="shared" si="4"/>
        <v>-1.2043999999999944E-2</v>
      </c>
      <c r="N18" s="155">
        <f t="shared" si="5"/>
        <v>-7.5950816799198462E-3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6.1341272013999992</v>
      </c>
      <c r="G19" s="210">
        <v>5.7118969115213911</v>
      </c>
      <c r="H19" s="269">
        <f>G19-F19</f>
        <v>-0.42223028987860811</v>
      </c>
      <c r="I19" s="164">
        <f>IFERROR(G19/F19-1,"")</f>
        <v>-6.8832985690652437E-2</v>
      </c>
      <c r="J19" s="165">
        <f>SUM(J20,J29,J35,J41,J47,J55,J62,J63)</f>
        <v>5.3429973225806453</v>
      </c>
      <c r="K19" s="163">
        <f>SUM(K20,K29,K35,K41,K47,K55,K62,K63)</f>
        <v>5.0675486129032254</v>
      </c>
      <c r="L19" s="163"/>
      <c r="M19" s="163">
        <f t="shared" si="4"/>
        <v>-0.27544870967741986</v>
      </c>
      <c r="N19" s="164">
        <f t="shared" si="5"/>
        <v>-5.15532187361043E-2</v>
      </c>
      <c r="O19" s="210">
        <v>88.370399520000007</v>
      </c>
      <c r="P19" s="210">
        <f>O19-2.563881</f>
        <v>85.806518520000012</v>
      </c>
      <c r="Q19" s="166">
        <f t="shared" ref="Q19" si="7">P19-O19</f>
        <v>-2.563880999999995</v>
      </c>
      <c r="R19" s="167">
        <f t="shared" si="3"/>
        <v>-2.90128936151266E-2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0.36297370967741938</v>
      </c>
      <c r="K20" s="173">
        <f>SUM(K21:K28)</f>
        <v>0.37428170967741936</v>
      </c>
      <c r="L20" s="173"/>
      <c r="M20" s="251">
        <f t="shared" si="4"/>
        <v>1.1307999999999985E-2</v>
      </c>
      <c r="N20" s="174">
        <f t="shared" si="5"/>
        <v>3.1153771467497204E-2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C68" si="9">B20</f>
        <v>субъект РФ 1</v>
      </c>
      <c r="C21" s="178" t="str">
        <f t="shared" si="9"/>
        <v>ДЗО 1</v>
      </c>
      <c r="D21" s="179" t="str">
        <f t="shared" ref="D21:D68" si="10">D20</f>
        <v>филиал 1</v>
      </c>
      <c r="E21" s="180" t="s">
        <v>194</v>
      </c>
      <c r="F21" s="181"/>
      <c r="G21" s="182">
        <f>G19/5*31</f>
        <v>35.413760851432627</v>
      </c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10"/>
        <v>филиал 1</v>
      </c>
      <c r="E22" s="180" t="s">
        <v>196</v>
      </c>
      <c r="F22" s="181"/>
      <c r="G22" s="182">
        <f>'[1]5 июля '!$E$52</f>
        <v>37.751148999999998</v>
      </c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10"/>
        <v>филиал 1</v>
      </c>
      <c r="E23" s="180" t="s">
        <v>198</v>
      </c>
      <c r="F23" s="181"/>
      <c r="G23" s="182">
        <f>G22-G21</f>
        <v>2.3373881485673706</v>
      </c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10"/>
        <v>филиал 1</v>
      </c>
      <c r="E24" s="180" t="s">
        <v>233</v>
      </c>
      <c r="F24" s="181"/>
      <c r="G24" s="182"/>
      <c r="H24" s="182"/>
      <c r="I24" s="183"/>
      <c r="J24" s="258">
        <f>1.008336/31*5</f>
        <v>0.1626348387096774</v>
      </c>
      <c r="K24" s="262">
        <f>J24+0.002329</f>
        <v>0.1649638387096774</v>
      </c>
      <c r="L24" s="185"/>
      <c r="M24" s="252">
        <f>K24-J24</f>
        <v>2.3289999999999977E-3</v>
      </c>
      <c r="N24" s="186">
        <f>IFERROR(K24/J24-1,"")</f>
        <v>1.4320424937719123E-2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0.205531/31*5</f>
        <v>3.3150161290322583E-2</v>
      </c>
      <c r="K25" s="272">
        <f>J25+0.001456</f>
        <v>3.4606161290322582E-2</v>
      </c>
      <c r="L25" s="185"/>
      <c r="M25" s="252">
        <f t="shared" ref="M25:M26" si="11">K25-J25</f>
        <v>1.455999999999999E-3</v>
      </c>
      <c r="N25" s="186">
        <f t="shared" ref="N25:N26" si="12">IFERROR(K25/J25-1,"")</f>
        <v>4.3921354929426615E-2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0.077075/31*5</f>
        <v>1.2431451612903226E-2</v>
      </c>
      <c r="K26" s="262">
        <f>J26+0.001527</f>
        <v>1.3958451612903227E-2</v>
      </c>
      <c r="L26" s="185"/>
      <c r="M26" s="252">
        <f t="shared" si="11"/>
        <v>1.5270000000000006E-3</v>
      </c>
      <c r="N26" s="186">
        <f t="shared" si="12"/>
        <v>0.12283360363282525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ref="M27" si="13">K27-J27</f>
        <v>0</v>
      </c>
      <c r="N27" s="186" t="str">
        <f t="shared" ref="N27" si="14">IFERROR(K27/J27-1,"")</f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0.959495/31*5</f>
        <v>0.15475725806451612</v>
      </c>
      <c r="K28" s="190">
        <f>J28+0.005996</f>
        <v>0.16075325806451612</v>
      </c>
      <c r="L28" s="190"/>
      <c r="M28" s="185">
        <f t="shared" si="4"/>
        <v>5.9960000000000013E-3</v>
      </c>
      <c r="N28" s="186">
        <f t="shared" si="5"/>
        <v>3.8744547913225125E-2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10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5">SUM(J30:J34)</f>
        <v>0</v>
      </c>
      <c r="K29" s="173">
        <f t="shared" si="15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10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10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10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10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ref="M33" si="16">K33-J33</f>
        <v>0</v>
      </c>
      <c r="N33" s="186" t="str">
        <f t="shared" ref="N33" si="17">IFERROR(K33/J33-1,"")</f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10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10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8">SUM(J36:J40)</f>
        <v>0</v>
      </c>
      <c r="K35" s="173">
        <f t="shared" si="18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10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si="9"/>
        <v>субъект РФ 1</v>
      </c>
      <c r="C37" s="178" t="str">
        <f t="shared" si="9"/>
        <v>ДЗО 1</v>
      </c>
      <c r="D37" s="179" t="str">
        <f t="shared" si="10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9"/>
        <v>субъект РФ 1</v>
      </c>
      <c r="C38" s="178" t="str">
        <f t="shared" si="9"/>
        <v>ДЗО 1</v>
      </c>
      <c r="D38" s="179" t="str">
        <f t="shared" si="10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9"/>
        <v>субъект РФ 1</v>
      </c>
      <c r="C39" s="178" t="str">
        <f t="shared" si="9"/>
        <v>ДЗО 1</v>
      </c>
      <c r="D39" s="179" t="str">
        <f t="shared" si="10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ref="M39" si="19">K39-J39</f>
        <v>0</v>
      </c>
      <c r="N39" s="186" t="str">
        <f t="shared" ref="N39" si="20">IFERROR(K39/J39-1,"")</f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9"/>
        <v>субъект РФ 1</v>
      </c>
      <c r="C40" s="178" t="str">
        <f t="shared" si="9"/>
        <v>ДЗО 1</v>
      </c>
      <c r="D40" s="179" t="str">
        <f t="shared" si="10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9"/>
        <v>субъект РФ 1</v>
      </c>
      <c r="C41" s="169" t="str">
        <f t="shared" si="9"/>
        <v>ДЗО 1</v>
      </c>
      <c r="D41" s="170" t="str">
        <f t="shared" si="10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21">SUM(J42:J46)</f>
        <v>0.11599112903225807</v>
      </c>
      <c r="K41" s="251">
        <f t="shared" si="21"/>
        <v>0.11237012903225807</v>
      </c>
      <c r="L41" s="173"/>
      <c r="M41" s="173">
        <f t="shared" si="4"/>
        <v>-3.6209999999999992E-3</v>
      </c>
      <c r="N41" s="174">
        <f t="shared" si="5"/>
        <v>-3.1217904595039925E-2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9"/>
        <v>субъект РФ 1</v>
      </c>
      <c r="C42" s="178" t="str">
        <f t="shared" si="9"/>
        <v>ДЗО 1</v>
      </c>
      <c r="D42" s="179" t="str">
        <f t="shared" si="10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9"/>
        <v>субъект РФ 1</v>
      </c>
      <c r="C43" s="178" t="str">
        <f t="shared" si="9"/>
        <v>ДЗО 1</v>
      </c>
      <c r="D43" s="179" t="str">
        <f t="shared" si="10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9"/>
        <v>субъект РФ 1</v>
      </c>
      <c r="C44" s="178" t="str">
        <f t="shared" si="9"/>
        <v>ДЗО 1</v>
      </c>
      <c r="D44" s="179" t="str">
        <f t="shared" si="10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9"/>
        <v>субъект РФ 1</v>
      </c>
      <c r="C45" s="178" t="str">
        <f t="shared" si="9"/>
        <v>ДЗО 1</v>
      </c>
      <c r="D45" s="179" t="str">
        <f t="shared" si="10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ref="M45" si="22">K45-J45</f>
        <v>0</v>
      </c>
      <c r="N45" s="186" t="str">
        <f t="shared" ref="N45" si="23">IFERROR(K45/J45-1,"")</f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9"/>
        <v>субъект РФ 1</v>
      </c>
      <c r="C46" s="178" t="str">
        <f t="shared" si="9"/>
        <v>ДЗО 1</v>
      </c>
      <c r="D46" s="179" t="str">
        <f t="shared" si="10"/>
        <v>филиал 1</v>
      </c>
      <c r="E46" s="191" t="s">
        <v>230</v>
      </c>
      <c r="F46" s="181"/>
      <c r="G46" s="182"/>
      <c r="H46" s="182"/>
      <c r="I46" s="183"/>
      <c r="J46" s="184">
        <f>0.719145/31*5</f>
        <v>0.11599112903225807</v>
      </c>
      <c r="K46" s="185">
        <f>J46-0.003621</f>
        <v>0.11237012903225807</v>
      </c>
      <c r="L46" s="185"/>
      <c r="M46" s="185">
        <f t="shared" si="4"/>
        <v>-3.6209999999999992E-3</v>
      </c>
      <c r="N46" s="186">
        <f t="shared" si="5"/>
        <v>-3.1217904595039925E-2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9"/>
        <v>субъект РФ 1</v>
      </c>
      <c r="C47" s="169" t="str">
        <f t="shared" si="9"/>
        <v>ДЗО 1</v>
      </c>
      <c r="D47" s="170" t="str">
        <f t="shared" si="10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1.3003819999999984</v>
      </c>
      <c r="K47" s="251">
        <f>SUM(K48:K54)</f>
        <v>1.0247392903225789</v>
      </c>
      <c r="L47" s="173"/>
      <c r="M47" s="251">
        <f t="shared" si="4"/>
        <v>-0.27564270967741944</v>
      </c>
      <c r="N47" s="174">
        <f t="shared" si="5"/>
        <v>-0.21197056686221416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9"/>
        <v>субъект РФ 1</v>
      </c>
      <c r="C48" s="178" t="str">
        <f t="shared" si="9"/>
        <v>ДЗО 1</v>
      </c>
      <c r="D48" s="179" t="str">
        <f t="shared" si="10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9"/>
        <v>субъект РФ 1</v>
      </c>
      <c r="C49" s="178" t="str">
        <f t="shared" si="9"/>
        <v>ДЗО 1</v>
      </c>
      <c r="D49" s="179" t="str">
        <f t="shared" si="10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0.134099/31*5</f>
        <v>2.1628870967741933E-2</v>
      </c>
      <c r="K51" s="256">
        <f>J51+0.001474</f>
        <v>2.3102870967741933E-2</v>
      </c>
      <c r="L51" s="190"/>
      <c r="M51" s="252">
        <f>K51-J51</f>
        <v>1.4739999999999996E-3</v>
      </c>
      <c r="N51" s="186">
        <f t="shared" ref="N51:N52" si="24">IFERROR(K51/J51-1,"")</f>
        <v>6.8149650631250003E-2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0.318796/31*5</f>
        <v>5.1418709677419357E-2</v>
      </c>
      <c r="K52" s="190">
        <v>1.9699999999999999E-4</v>
      </c>
      <c r="L52" s="190"/>
      <c r="M52" s="252">
        <f t="shared" ref="M52" si="25">K52-J52</f>
        <v>-5.1221709677419354E-2</v>
      </c>
      <c r="N52" s="186">
        <f t="shared" si="24"/>
        <v>-0.99616870977051153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ref="M53" si="26">K53-J53</f>
        <v>0</v>
      </c>
      <c r="N53" s="186" t="str">
        <f t="shared" ref="N53" si="27">IFERROR(K53/J53-1,"")</f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7.60947339999999/31*5</f>
        <v>1.227334419354837</v>
      </c>
      <c r="K54" s="185">
        <f>J54-0.225895</f>
        <v>1.001439419354837</v>
      </c>
      <c r="L54" s="185"/>
      <c r="M54" s="252">
        <f t="shared" si="4"/>
        <v>-0.22589499999999996</v>
      </c>
      <c r="N54" s="186">
        <f t="shared" si="5"/>
        <v>-0.18405334066875134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si="9"/>
        <v>субъект РФ 1</v>
      </c>
      <c r="C55" s="169" t="str">
        <f t="shared" si="9"/>
        <v>ДЗО 1</v>
      </c>
      <c r="D55" s="170" t="str">
        <f t="shared" si="10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28">SUM(J56:J61)</f>
        <v>6.7482903225806454E-2</v>
      </c>
      <c r="K55" s="173">
        <f t="shared" si="28"/>
        <v>6.2292903225806454E-2</v>
      </c>
      <c r="L55" s="173"/>
      <c r="M55" s="251">
        <f t="shared" si="4"/>
        <v>-5.1900000000000002E-3</v>
      </c>
      <c r="N55" s="174">
        <f t="shared" si="5"/>
        <v>-7.6908368666854687E-2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9"/>
        <v>субъект РФ 1</v>
      </c>
      <c r="C56" s="178" t="str">
        <f t="shared" si="9"/>
        <v>ДЗО 1</v>
      </c>
      <c r="D56" s="179" t="str">
        <f t="shared" si="10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9"/>
        <v>субъект РФ 1</v>
      </c>
      <c r="C57" s="178" t="str">
        <f t="shared" si="9"/>
        <v>ДЗО 1</v>
      </c>
      <c r="D57" s="179" t="str">
        <f t="shared" si="10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9"/>
        <v>субъект РФ 1</v>
      </c>
      <c r="C58" s="178" t="str">
        <f t="shared" si="9"/>
        <v>ДЗО 1</v>
      </c>
      <c r="D58" s="179" t="str">
        <f t="shared" si="10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0.135985/31*5</f>
        <v>2.1933064516129031E-2</v>
      </c>
      <c r="K59" s="262">
        <f>J59-0.001332</f>
        <v>2.0601064516129031E-2</v>
      </c>
      <c r="L59" s="190"/>
      <c r="M59" s="185">
        <f>K59-J59</f>
        <v>-1.3319999999999999E-3</v>
      </c>
      <c r="N59" s="186">
        <f>IFERROR(K59/J59-1,"")</f>
        <v>-6.0730227598632225E-2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9"/>
        <v>субъект РФ 1</v>
      </c>
      <c r="C61" s="178" t="str">
        <f t="shared" si="9"/>
        <v>ДЗО 1</v>
      </c>
      <c r="D61" s="179" t="str">
        <f t="shared" si="10"/>
        <v>филиал 1</v>
      </c>
      <c r="E61" s="191" t="s">
        <v>230</v>
      </c>
      <c r="F61" s="181"/>
      <c r="G61" s="182"/>
      <c r="H61" s="182"/>
      <c r="I61" s="183"/>
      <c r="J61" s="184">
        <f>0.282409/31*5</f>
        <v>4.5549838709677423E-2</v>
      </c>
      <c r="K61" s="185">
        <f>J61-0.003858</f>
        <v>4.1691838709677423E-2</v>
      </c>
      <c r="L61" s="185"/>
      <c r="M61" s="185">
        <f t="shared" si="4"/>
        <v>-3.8580000000000003E-3</v>
      </c>
      <c r="N61" s="186">
        <f t="shared" si="5"/>
        <v>-8.4698433831782993E-2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9"/>
        <v>субъект РФ 1</v>
      </c>
      <c r="C62" s="169" t="str">
        <f t="shared" si="9"/>
        <v>ДЗО 1</v>
      </c>
      <c r="D62" s="170" t="str">
        <f t="shared" si="10"/>
        <v>филиал 1</v>
      </c>
      <c r="E62" s="171" t="s">
        <v>190</v>
      </c>
      <c r="F62" s="138"/>
      <c r="G62" s="139"/>
      <c r="H62" s="139"/>
      <c r="I62" s="140"/>
      <c r="J62" s="260">
        <f>11.844508/31*5</f>
        <v>1.9104045161290322</v>
      </c>
      <c r="K62" s="261">
        <f>J62+0.009741</f>
        <v>1.9201455161290322</v>
      </c>
      <c r="L62" s="193"/>
      <c r="M62" s="253">
        <f t="shared" si="4"/>
        <v>9.7409999999999997E-3</v>
      </c>
      <c r="N62" s="194">
        <f t="shared" si="5"/>
        <v>5.0989201071078849E-3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9"/>
        <v>субъект РФ 1</v>
      </c>
      <c r="C63" s="169" t="str">
        <f t="shared" si="9"/>
        <v>ДЗО 1</v>
      </c>
      <c r="D63" s="170" t="str">
        <f t="shared" si="10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1.5857630645161307</v>
      </c>
      <c r="K63" s="173">
        <f>SUM(K64:K68)</f>
        <v>1.5737190645161308</v>
      </c>
      <c r="L63" s="173"/>
      <c r="M63" s="173">
        <f t="shared" si="4"/>
        <v>-1.2043999999999944E-2</v>
      </c>
      <c r="N63" s="174">
        <f t="shared" si="5"/>
        <v>-7.5950816799198462E-3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9"/>
        <v>субъект РФ 1</v>
      </c>
      <c r="C64" s="178" t="str">
        <f t="shared" si="9"/>
        <v>ДЗО 1</v>
      </c>
      <c r="D64" s="179" t="str">
        <f t="shared" si="10"/>
        <v>филиал 1</v>
      </c>
      <c r="E64" s="191" t="s">
        <v>239</v>
      </c>
      <c r="F64" s="181"/>
      <c r="G64" s="182"/>
      <c r="H64" s="182"/>
      <c r="I64" s="183"/>
      <c r="J64" s="257">
        <f>9.83173100000001/31*5</f>
        <v>1.5857630645161307</v>
      </c>
      <c r="K64" s="211">
        <f>J64-0.012044</f>
        <v>1.5737190645161308</v>
      </c>
      <c r="L64" s="185"/>
      <c r="M64" s="252">
        <f t="shared" si="4"/>
        <v>-1.2043999999999944E-2</v>
      </c>
      <c r="N64" s="186">
        <f t="shared" si="5"/>
        <v>-7.5950816799198462E-3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9"/>
        <v>субъект РФ 1</v>
      </c>
      <c r="C65" s="178" t="str">
        <f t="shared" si="9"/>
        <v>ДЗО 1</v>
      </c>
      <c r="D65" s="179" t="str">
        <f t="shared" si="10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9"/>
        <v>субъект РФ 1</v>
      </c>
      <c r="C66" s="178" t="str">
        <f t="shared" si="9"/>
        <v>ДЗО 1</v>
      </c>
      <c r="D66" s="179" t="str">
        <f t="shared" si="10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ref="M66" si="29">K66-J66</f>
        <v>0</v>
      </c>
      <c r="N66" s="186" t="str">
        <f t="shared" ref="N66" si="30">IFERROR(K66/J66-1,"")</f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9"/>
        <v>субъект РФ 1</v>
      </c>
      <c r="C67" s="178" t="str">
        <f t="shared" si="9"/>
        <v>ДЗО 1</v>
      </c>
      <c r="D67" s="179" t="str">
        <f t="shared" si="10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9"/>
        <v>субъект РФ 1</v>
      </c>
      <c r="C68" s="198" t="str">
        <f t="shared" si="9"/>
        <v>ДЗО 1</v>
      </c>
      <c r="D68" s="199" t="str">
        <f t="shared" si="10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2145980.5425219964</v>
      </c>
      <c r="L74" s="133">
        <f>J74-K74</f>
        <v>10399616.457478004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5342.9973225806452</v>
      </c>
      <c r="L83" s="267">
        <f>L84+L85+L86+L87+L88+L89</f>
        <v>5067.5486129032251</v>
      </c>
      <c r="M83" s="267">
        <f>L83-K83</f>
        <v>-275.44870967742008</v>
      </c>
      <c r="N83" s="266">
        <f>M83/K83</f>
        <v>-5.1553218736104384E-2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362.97370967741938</v>
      </c>
      <c r="L84" s="267">
        <f>K20*1000</f>
        <v>374.28170967741937</v>
      </c>
      <c r="M84" s="267">
        <f t="shared" ref="M84:M89" si="31">L84-K84</f>
        <v>11.307999999999993</v>
      </c>
      <c r="N84" s="266">
        <f t="shared" ref="N84:N89" si="32">M84/K84</f>
        <v>3.115377146749718E-2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115.99112903225807</v>
      </c>
      <c r="L85" s="267">
        <f>K46*1000</f>
        <v>112.37012903225806</v>
      </c>
      <c r="M85" s="267">
        <f t="shared" si="31"/>
        <v>-3.6210000000000093</v>
      </c>
      <c r="N85" s="266">
        <f t="shared" si="32"/>
        <v>-3.1217904595040022E-2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1300.3819999999985</v>
      </c>
      <c r="L86" s="267">
        <f>K47*1000</f>
        <v>1024.7392903225789</v>
      </c>
      <c r="M86" s="267">
        <f t="shared" si="31"/>
        <v>-275.64270967741959</v>
      </c>
      <c r="N86" s="266">
        <f t="shared" si="32"/>
        <v>-0.21197056686221427</v>
      </c>
    </row>
    <row r="87" spans="5:20" x14ac:dyDescent="0.25">
      <c r="J87" s="133" t="s">
        <v>189</v>
      </c>
      <c r="K87" s="267">
        <f>J55*1000</f>
        <v>67.482903225806453</v>
      </c>
      <c r="L87" s="267">
        <f>K55*1000</f>
        <v>62.292903225806455</v>
      </c>
      <c r="M87" s="267">
        <f t="shared" si="31"/>
        <v>-5.1899999999999977</v>
      </c>
      <c r="N87" s="266">
        <f t="shared" si="32"/>
        <v>-7.6908368666854646E-2</v>
      </c>
    </row>
    <row r="88" spans="5:20" x14ac:dyDescent="0.25">
      <c r="E88" s="133">
        <v>9.8273639999999993</v>
      </c>
      <c r="J88" s="133" t="s">
        <v>190</v>
      </c>
      <c r="K88" s="267">
        <f>J62*1000</f>
        <v>1910.4045161290321</v>
      </c>
      <c r="L88" s="267">
        <f>K62*1000</f>
        <v>1920.1455161290321</v>
      </c>
      <c r="M88" s="267">
        <f t="shared" si="31"/>
        <v>9.7409999999999854</v>
      </c>
      <c r="N88" s="266">
        <f t="shared" si="32"/>
        <v>5.0989201071078606E-3</v>
      </c>
    </row>
    <row r="89" spans="5:20" x14ac:dyDescent="0.25">
      <c r="E89" s="133">
        <v>11.487494999999999</v>
      </c>
      <c r="J89" s="133" t="s">
        <v>191</v>
      </c>
      <c r="K89" s="267">
        <f>J64*1000</f>
        <v>1585.7630645161307</v>
      </c>
      <c r="L89" s="267">
        <f>K64*1000</f>
        <v>1573.7190645161309</v>
      </c>
      <c r="M89" s="267">
        <f t="shared" si="31"/>
        <v>-12.043999999999869</v>
      </c>
      <c r="N89" s="266">
        <f t="shared" si="32"/>
        <v>-7.5950816799197525E-3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M7:N7"/>
    <mergeCell ref="O7:O8"/>
    <mergeCell ref="F6:I6"/>
    <mergeCell ref="S6:S8"/>
    <mergeCell ref="T6:T8"/>
    <mergeCell ref="P7:P8"/>
    <mergeCell ref="Q7:R7"/>
    <mergeCell ref="J6:N6"/>
    <mergeCell ref="O6:R6"/>
    <mergeCell ref="F7:F8"/>
    <mergeCell ref="G7:G8"/>
    <mergeCell ref="H7:I7"/>
    <mergeCell ref="J7:J8"/>
    <mergeCell ref="K7:K8"/>
    <mergeCell ref="L7:L8"/>
    <mergeCell ref="F71:H71"/>
    <mergeCell ref="F74:H74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1291" priority="95" operator="lessThan">
      <formula>0</formula>
    </cfRule>
    <cfRule type="cellIs" dxfId="1290" priority="96" operator="greaterThan">
      <formula>0</formula>
    </cfRule>
  </conditionalFormatting>
  <conditionalFormatting sqref="N10:N26 N28:N32 N34:N38 N40:N44 N46:N52 N54:N59 N61:N65 N67:N68">
    <cfRule type="cellIs" dxfId="1289" priority="93" operator="lessThan">
      <formula>0</formula>
    </cfRule>
    <cfRule type="cellIs" dxfId="1288" priority="94" operator="greaterThan">
      <formula>0</formula>
    </cfRule>
  </conditionalFormatting>
  <conditionalFormatting sqref="R10:R26 R28:R32 R34:R38 R40:R44 R46:R52 R54:R59 R61:R65 R67:R68">
    <cfRule type="cellIs" dxfId="1287" priority="91" operator="lessThan">
      <formula>0</formula>
    </cfRule>
    <cfRule type="cellIs" dxfId="1286" priority="92" operator="greaterThan">
      <formula>0</formula>
    </cfRule>
  </conditionalFormatting>
  <conditionalFormatting sqref="H10:H26 H28:H32 H34:H38 H40:H44 H46:H52 H54:H59 H61:H65 H67:H68">
    <cfRule type="cellIs" dxfId="1285" priority="89" operator="lessThan">
      <formula>0</formula>
    </cfRule>
    <cfRule type="cellIs" dxfId="1284" priority="90" operator="greaterThan">
      <formula>0</formula>
    </cfRule>
  </conditionalFormatting>
  <conditionalFormatting sqref="M10:M26 M28:M32 M34:M38 M40:M44 M46:M52 M54:M59 M61:M65 M67:M68">
    <cfRule type="cellIs" dxfId="1283" priority="87" operator="lessThan">
      <formula>0</formula>
    </cfRule>
    <cfRule type="cellIs" dxfId="1282" priority="88" operator="greaterThan">
      <formula>0</formula>
    </cfRule>
  </conditionalFormatting>
  <conditionalFormatting sqref="Q10:Q26 Q28:Q32 Q34:Q38 Q40:Q44 Q46:Q52 Q54:Q59 Q61:Q65 Q67:Q68">
    <cfRule type="cellIs" dxfId="1281" priority="85" operator="lessThan">
      <formula>0</formula>
    </cfRule>
    <cfRule type="cellIs" dxfId="1280" priority="86" operator="greaterThan">
      <formula>0</formula>
    </cfRule>
  </conditionalFormatting>
  <conditionalFormatting sqref="I27">
    <cfRule type="cellIs" dxfId="1279" priority="83" operator="lessThan">
      <formula>0</formula>
    </cfRule>
    <cfRule type="cellIs" dxfId="1278" priority="84" operator="greaterThan">
      <formula>0</formula>
    </cfRule>
  </conditionalFormatting>
  <conditionalFormatting sqref="N27">
    <cfRule type="cellIs" dxfId="1277" priority="81" operator="lessThan">
      <formula>0</formula>
    </cfRule>
    <cfRule type="cellIs" dxfId="1276" priority="82" operator="greaterThan">
      <formula>0</formula>
    </cfRule>
  </conditionalFormatting>
  <conditionalFormatting sqref="R27">
    <cfRule type="cellIs" dxfId="1275" priority="79" operator="lessThan">
      <formula>0</formula>
    </cfRule>
    <cfRule type="cellIs" dxfId="1274" priority="80" operator="greaterThan">
      <formula>0</formula>
    </cfRule>
  </conditionalFormatting>
  <conditionalFormatting sqref="H27">
    <cfRule type="cellIs" dxfId="1273" priority="77" operator="lessThan">
      <formula>0</formula>
    </cfRule>
    <cfRule type="cellIs" dxfId="1272" priority="78" operator="greaterThan">
      <formula>0</formula>
    </cfRule>
  </conditionalFormatting>
  <conditionalFormatting sqref="M27">
    <cfRule type="cellIs" dxfId="1271" priority="75" operator="lessThan">
      <formula>0</formula>
    </cfRule>
    <cfRule type="cellIs" dxfId="1270" priority="76" operator="greaterThan">
      <formula>0</formula>
    </cfRule>
  </conditionalFormatting>
  <conditionalFormatting sqref="Q27">
    <cfRule type="cellIs" dxfId="1269" priority="73" operator="lessThan">
      <formula>0</formula>
    </cfRule>
    <cfRule type="cellIs" dxfId="1268" priority="74" operator="greaterThan">
      <formula>0</formula>
    </cfRule>
  </conditionalFormatting>
  <conditionalFormatting sqref="I33">
    <cfRule type="cellIs" dxfId="1267" priority="71" operator="lessThan">
      <formula>0</formula>
    </cfRule>
    <cfRule type="cellIs" dxfId="1266" priority="72" operator="greaterThan">
      <formula>0</formula>
    </cfRule>
  </conditionalFormatting>
  <conditionalFormatting sqref="N33">
    <cfRule type="cellIs" dxfId="1265" priority="69" operator="lessThan">
      <formula>0</formula>
    </cfRule>
    <cfRule type="cellIs" dxfId="1264" priority="70" operator="greaterThan">
      <formula>0</formula>
    </cfRule>
  </conditionalFormatting>
  <conditionalFormatting sqref="R33">
    <cfRule type="cellIs" dxfId="1263" priority="67" operator="lessThan">
      <formula>0</formula>
    </cfRule>
    <cfRule type="cellIs" dxfId="1262" priority="68" operator="greaterThan">
      <formula>0</formula>
    </cfRule>
  </conditionalFormatting>
  <conditionalFormatting sqref="H33">
    <cfRule type="cellIs" dxfId="1261" priority="65" operator="lessThan">
      <formula>0</formula>
    </cfRule>
    <cfRule type="cellIs" dxfId="1260" priority="66" operator="greaterThan">
      <formula>0</formula>
    </cfRule>
  </conditionalFormatting>
  <conditionalFormatting sqref="M33">
    <cfRule type="cellIs" dxfId="1259" priority="63" operator="lessThan">
      <formula>0</formula>
    </cfRule>
    <cfRule type="cellIs" dxfId="1258" priority="64" operator="greaterThan">
      <formula>0</formula>
    </cfRule>
  </conditionalFormatting>
  <conditionalFormatting sqref="Q33">
    <cfRule type="cellIs" dxfId="1257" priority="61" operator="lessThan">
      <formula>0</formula>
    </cfRule>
    <cfRule type="cellIs" dxfId="1256" priority="62" operator="greaterThan">
      <formula>0</formula>
    </cfRule>
  </conditionalFormatting>
  <conditionalFormatting sqref="I39">
    <cfRule type="cellIs" dxfId="1255" priority="59" operator="lessThan">
      <formula>0</formula>
    </cfRule>
    <cfRule type="cellIs" dxfId="1254" priority="60" operator="greaterThan">
      <formula>0</formula>
    </cfRule>
  </conditionalFormatting>
  <conditionalFormatting sqref="N39">
    <cfRule type="cellIs" dxfId="1253" priority="57" operator="lessThan">
      <formula>0</formula>
    </cfRule>
    <cfRule type="cellIs" dxfId="1252" priority="58" operator="greaterThan">
      <formula>0</formula>
    </cfRule>
  </conditionalFormatting>
  <conditionalFormatting sqref="R39">
    <cfRule type="cellIs" dxfId="1251" priority="55" operator="lessThan">
      <formula>0</formula>
    </cfRule>
    <cfRule type="cellIs" dxfId="1250" priority="56" operator="greaterThan">
      <formula>0</formula>
    </cfRule>
  </conditionalFormatting>
  <conditionalFormatting sqref="H39">
    <cfRule type="cellIs" dxfId="1249" priority="53" operator="lessThan">
      <formula>0</formula>
    </cfRule>
    <cfRule type="cellIs" dxfId="1248" priority="54" operator="greaterThan">
      <formula>0</formula>
    </cfRule>
  </conditionalFormatting>
  <conditionalFormatting sqref="M39">
    <cfRule type="cellIs" dxfId="1247" priority="51" operator="lessThan">
      <formula>0</formula>
    </cfRule>
    <cfRule type="cellIs" dxfId="1246" priority="52" operator="greaterThan">
      <formula>0</formula>
    </cfRule>
  </conditionalFormatting>
  <conditionalFormatting sqref="Q39">
    <cfRule type="cellIs" dxfId="1245" priority="49" operator="lessThan">
      <formula>0</formula>
    </cfRule>
    <cfRule type="cellIs" dxfId="1244" priority="50" operator="greaterThan">
      <formula>0</formula>
    </cfRule>
  </conditionalFormatting>
  <conditionalFormatting sqref="I45">
    <cfRule type="cellIs" dxfId="1243" priority="47" operator="lessThan">
      <formula>0</formula>
    </cfRule>
    <cfRule type="cellIs" dxfId="1242" priority="48" operator="greaterThan">
      <formula>0</formula>
    </cfRule>
  </conditionalFormatting>
  <conditionalFormatting sqref="N45">
    <cfRule type="cellIs" dxfId="1241" priority="45" operator="lessThan">
      <formula>0</formula>
    </cfRule>
    <cfRule type="cellIs" dxfId="1240" priority="46" operator="greaterThan">
      <formula>0</formula>
    </cfRule>
  </conditionalFormatting>
  <conditionalFormatting sqref="R45">
    <cfRule type="cellIs" dxfId="1239" priority="43" operator="lessThan">
      <formula>0</formula>
    </cfRule>
    <cfRule type="cellIs" dxfId="1238" priority="44" operator="greaterThan">
      <formula>0</formula>
    </cfRule>
  </conditionalFormatting>
  <conditionalFormatting sqref="H45">
    <cfRule type="cellIs" dxfId="1237" priority="41" operator="lessThan">
      <formula>0</formula>
    </cfRule>
    <cfRule type="cellIs" dxfId="1236" priority="42" operator="greaterThan">
      <formula>0</formula>
    </cfRule>
  </conditionalFormatting>
  <conditionalFormatting sqref="M45">
    <cfRule type="cellIs" dxfId="1235" priority="39" operator="lessThan">
      <formula>0</formula>
    </cfRule>
    <cfRule type="cellIs" dxfId="1234" priority="40" operator="greaterThan">
      <formula>0</formula>
    </cfRule>
  </conditionalFormatting>
  <conditionalFormatting sqref="Q45">
    <cfRule type="cellIs" dxfId="1233" priority="37" operator="lessThan">
      <formula>0</formula>
    </cfRule>
    <cfRule type="cellIs" dxfId="1232" priority="38" operator="greaterThan">
      <formula>0</formula>
    </cfRule>
  </conditionalFormatting>
  <conditionalFormatting sqref="I53">
    <cfRule type="cellIs" dxfId="1231" priority="35" operator="lessThan">
      <formula>0</formula>
    </cfRule>
    <cfRule type="cellIs" dxfId="1230" priority="36" operator="greaterThan">
      <formula>0</formula>
    </cfRule>
  </conditionalFormatting>
  <conditionalFormatting sqref="N53">
    <cfRule type="cellIs" dxfId="1229" priority="33" operator="lessThan">
      <formula>0</formula>
    </cfRule>
    <cfRule type="cellIs" dxfId="1228" priority="34" operator="greaterThan">
      <formula>0</formula>
    </cfRule>
  </conditionalFormatting>
  <conditionalFormatting sqref="R53">
    <cfRule type="cellIs" dxfId="1227" priority="31" operator="lessThan">
      <formula>0</formula>
    </cfRule>
    <cfRule type="cellIs" dxfId="1226" priority="32" operator="greaterThan">
      <formula>0</formula>
    </cfRule>
  </conditionalFormatting>
  <conditionalFormatting sqref="H53">
    <cfRule type="cellIs" dxfId="1225" priority="29" operator="lessThan">
      <formula>0</formula>
    </cfRule>
    <cfRule type="cellIs" dxfId="1224" priority="30" operator="greaterThan">
      <formula>0</formula>
    </cfRule>
  </conditionalFormatting>
  <conditionalFormatting sqref="M53">
    <cfRule type="cellIs" dxfId="1223" priority="27" operator="lessThan">
      <formula>0</formula>
    </cfRule>
    <cfRule type="cellIs" dxfId="1222" priority="28" operator="greaterThan">
      <formula>0</formula>
    </cfRule>
  </conditionalFormatting>
  <conditionalFormatting sqref="Q53">
    <cfRule type="cellIs" dxfId="1221" priority="25" operator="lessThan">
      <formula>0</formula>
    </cfRule>
    <cfRule type="cellIs" dxfId="1220" priority="26" operator="greaterThan">
      <formula>0</formula>
    </cfRule>
  </conditionalFormatting>
  <conditionalFormatting sqref="I60">
    <cfRule type="cellIs" dxfId="1219" priority="23" operator="lessThan">
      <formula>0</formula>
    </cfRule>
    <cfRule type="cellIs" dxfId="1218" priority="24" operator="greaterThan">
      <formula>0</formula>
    </cfRule>
  </conditionalFormatting>
  <conditionalFormatting sqref="N60">
    <cfRule type="cellIs" dxfId="1217" priority="21" operator="lessThan">
      <formula>0</formula>
    </cfRule>
    <cfRule type="cellIs" dxfId="1216" priority="22" operator="greaterThan">
      <formula>0</formula>
    </cfRule>
  </conditionalFormatting>
  <conditionalFormatting sqref="R60">
    <cfRule type="cellIs" dxfId="1215" priority="19" operator="lessThan">
      <formula>0</formula>
    </cfRule>
    <cfRule type="cellIs" dxfId="1214" priority="20" operator="greaterThan">
      <formula>0</formula>
    </cfRule>
  </conditionalFormatting>
  <conditionalFormatting sqref="H60">
    <cfRule type="cellIs" dxfId="1213" priority="17" operator="lessThan">
      <formula>0</formula>
    </cfRule>
    <cfRule type="cellIs" dxfId="1212" priority="18" operator="greaterThan">
      <formula>0</formula>
    </cfRule>
  </conditionalFormatting>
  <conditionalFormatting sqref="M60">
    <cfRule type="cellIs" dxfId="1211" priority="15" operator="lessThan">
      <formula>0</formula>
    </cfRule>
    <cfRule type="cellIs" dxfId="1210" priority="16" operator="greaterThan">
      <formula>0</formula>
    </cfRule>
  </conditionalFormatting>
  <conditionalFormatting sqref="Q60">
    <cfRule type="cellIs" dxfId="1209" priority="13" operator="lessThan">
      <formula>0</formula>
    </cfRule>
    <cfRule type="cellIs" dxfId="1208" priority="14" operator="greaterThan">
      <formula>0</formula>
    </cfRule>
  </conditionalFormatting>
  <conditionalFormatting sqref="I66">
    <cfRule type="cellIs" dxfId="1207" priority="11" operator="lessThan">
      <formula>0</formula>
    </cfRule>
    <cfRule type="cellIs" dxfId="1206" priority="12" operator="greaterThan">
      <formula>0</formula>
    </cfRule>
  </conditionalFormatting>
  <conditionalFormatting sqref="N66">
    <cfRule type="cellIs" dxfId="1205" priority="9" operator="lessThan">
      <formula>0</formula>
    </cfRule>
    <cfRule type="cellIs" dxfId="1204" priority="10" operator="greaterThan">
      <formula>0</formula>
    </cfRule>
  </conditionalFormatting>
  <conditionalFormatting sqref="R66">
    <cfRule type="cellIs" dxfId="1203" priority="7" operator="lessThan">
      <formula>0</formula>
    </cfRule>
    <cfRule type="cellIs" dxfId="1202" priority="8" operator="greaterThan">
      <formula>0</formula>
    </cfRule>
  </conditionalFormatting>
  <conditionalFormatting sqref="H66">
    <cfRule type="cellIs" dxfId="1201" priority="5" operator="lessThan">
      <formula>0</formula>
    </cfRule>
    <cfRule type="cellIs" dxfId="1200" priority="6" operator="greaterThan">
      <formula>0</formula>
    </cfRule>
  </conditionalFormatting>
  <conditionalFormatting sqref="M66">
    <cfRule type="cellIs" dxfId="1199" priority="3" operator="lessThan">
      <formula>0</formula>
    </cfRule>
    <cfRule type="cellIs" dxfId="1198" priority="4" operator="greaterThan">
      <formula>0</formula>
    </cfRule>
  </conditionalFormatting>
  <conditionalFormatting sqref="Q66">
    <cfRule type="cellIs" dxfId="1197" priority="1" operator="lessThan">
      <formula>0</formula>
    </cfRule>
    <cfRule type="cellIs" dxfId="1196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10" activePane="bottomRight" state="frozen"/>
      <selection pane="topRight" activeCell="E1" sqref="E1"/>
      <selection pane="bottomLeft" activeCell="A9" sqref="A9"/>
      <selection pane="bottomRight" activeCell="K55" sqref="K55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44024</v>
      </c>
      <c r="K1" s="249">
        <f>G19</f>
        <v>14.305638431284249</v>
      </c>
      <c r="L1" s="249">
        <f>K10</f>
        <v>12.575758670967744</v>
      </c>
      <c r="M1" s="249">
        <f>K1-L1</f>
        <v>1.7298797603165053</v>
      </c>
      <c r="N1" s="273">
        <f>M1/K1*100</f>
        <v>12.092293319349677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171</v>
      </c>
      <c r="B3" s="112"/>
      <c r="L3" s="268">
        <f>G19</f>
        <v>14.305638431284249</v>
      </c>
      <c r="P3" s="249">
        <v>0.105769</v>
      </c>
      <c r="Q3" s="249">
        <f>O1-P3</f>
        <v>-0.105769</v>
      </c>
      <c r="R3" s="249">
        <f>F19-J10</f>
        <v>1.7676123111064488</v>
      </c>
      <c r="S3" s="249">
        <f>F19-J10</f>
        <v>1.7676123111064488</v>
      </c>
      <c r="T3" s="110">
        <f>S3/F19*100</f>
        <v>12.11456258826176</v>
      </c>
    </row>
    <row r="4" spans="1:20" s="110" customFormat="1" ht="12" customHeight="1" x14ac:dyDescent="0.2">
      <c r="F4" s="110">
        <f>G19/20*31</f>
        <v>22.173739568490586</v>
      </c>
      <c r="G4" s="110">
        <v>13.2800040955377</v>
      </c>
      <c r="H4" s="270">
        <f>G4*F4/100</f>
        <v>2.9446735228294134</v>
      </c>
      <c r="I4" s="268">
        <f>F4-H4</f>
        <v>19.22906604566117</v>
      </c>
      <c r="J4" s="270">
        <f>I4/31*20</f>
        <v>12.405849061716886</v>
      </c>
      <c r="K4" s="270">
        <f>J4-K10</f>
        <v>-0.1699096092508583</v>
      </c>
      <c r="L4" s="268">
        <f>G19/27*31</f>
        <v>16.42499227295599</v>
      </c>
      <c r="M4" s="271"/>
      <c r="N4" s="249">
        <f>F19-J10</f>
        <v>1.7676123111064488</v>
      </c>
      <c r="O4" s="249">
        <f>N4/F19*100</f>
        <v>12.11456258826176</v>
      </c>
      <c r="Q4" s="249"/>
      <c r="R4" s="110">
        <f>R3/F19*100</f>
        <v>12.11456258826176</v>
      </c>
      <c r="S4" s="249">
        <f>G19-K10</f>
        <v>1.7298797603165053</v>
      </c>
      <c r="T4" s="110">
        <f>S4/G19*100</f>
        <v>12.092293319349677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1.7298797603165053</v>
      </c>
      <c r="O5" s="274">
        <f>N5/G19*100</f>
        <v>12.092293319349677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75" t="s">
        <v>179</v>
      </c>
      <c r="I8" s="114" t="s">
        <v>180</v>
      </c>
      <c r="J8" s="318"/>
      <c r="K8" s="328"/>
      <c r="L8" s="328"/>
      <c r="M8" s="275" t="s">
        <v>179</v>
      </c>
      <c r="N8" s="114" t="s">
        <v>180</v>
      </c>
      <c r="O8" s="318"/>
      <c r="P8" s="328"/>
      <c r="Q8" s="275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14.5908058853</v>
      </c>
      <c r="G10" s="128">
        <f>SUMIFS(G18:G5005,$A18:$A5005,$A10,$C18:$C5005,$C10)</f>
        <v>14.305638431284249</v>
      </c>
      <c r="H10" s="128">
        <f>G10-F10</f>
        <v>-0.28516745401575072</v>
      </c>
      <c r="I10" s="129">
        <f>IFERROR(G10/F10-1,"")</f>
        <v>-1.9544325122099804E-2</v>
      </c>
      <c r="J10" s="130">
        <f t="shared" ref="J10" si="1">SUM(J11:J18)</f>
        <v>12.823193574193551</v>
      </c>
      <c r="K10" s="128">
        <f t="shared" ref="K10" si="2">SUM(K11:K18)</f>
        <v>12.575758670967744</v>
      </c>
      <c r="L10" s="128"/>
      <c r="M10" s="250">
        <f>K10-J10</f>
        <v>-0.24743490322580719</v>
      </c>
      <c r="N10" s="129">
        <f>IFERROR(K10/J10-1,"")</f>
        <v>-1.9295887704897874E-2</v>
      </c>
      <c r="O10" s="128">
        <f>SUMIFS(O18:O5005,$A18:$A5005,$A10,$C18:$C5005,$C10)</f>
        <v>88.370399520000007</v>
      </c>
      <c r="P10" s="128">
        <f>SUMIFS(P18:P5005,$A18:$A5005,$A10,$C18:$C5005,$C10)</f>
        <v>85.806518520000012</v>
      </c>
      <c r="Q10" s="131">
        <f>P10-O10</f>
        <v>-2.563880999999995</v>
      </c>
      <c r="R10" s="132">
        <f t="shared" ref="R10:R19" si="3">IFERROR(P10/O10-1,"")</f>
        <v>-2.90128936151266E-2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0.8711369032258065</v>
      </c>
      <c r="K11" s="142">
        <f>SUMIFS(K19:K5006,$A19:$A5006,$A11,$C19:$C5006,$C11)</f>
        <v>0.88244490322580649</v>
      </c>
      <c r="L11" s="142"/>
      <c r="M11" s="142">
        <f t="shared" ref="M11:M68" si="4">K11-J11</f>
        <v>1.1307999999999985E-2</v>
      </c>
      <c r="N11" s="143">
        <f t="shared" ref="N11:N68" si="5">IFERROR(K11/J11-1,"")</f>
        <v>1.2980738111457057E-2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0.27837870967741934</v>
      </c>
      <c r="K14" s="142">
        <f>SUMIFS(K19:K5006,$A19:$A5006,$A14,$C19:$C5006,$C14)</f>
        <v>0.27475770967741936</v>
      </c>
      <c r="L14" s="142"/>
      <c r="M14" s="142">
        <f t="shared" si="4"/>
        <v>-3.6209999999999853E-3</v>
      </c>
      <c r="N14" s="143">
        <f t="shared" si="5"/>
        <v>-1.3007460247933311E-2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3.1209167999999963</v>
      </c>
      <c r="K15" s="142">
        <f>SUMIFS(K19:K5006,$A19:$A5006,$A15,$C19:$C5006,$C15)</f>
        <v>2.8732878967741899</v>
      </c>
      <c r="L15" s="142"/>
      <c r="M15" s="142">
        <f t="shared" si="4"/>
        <v>-0.24762890322580633</v>
      </c>
      <c r="N15" s="143">
        <f t="shared" si="5"/>
        <v>-7.9344923012944935E-2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0.16195896774193549</v>
      </c>
      <c r="K16" s="142">
        <f>SUMIFS(K19:K5006,$A19:$A5006,$A16,$C19:$C5006,$C16)</f>
        <v>0.15676896774193549</v>
      </c>
      <c r="L16" s="142"/>
      <c r="M16" s="142">
        <f t="shared" si="4"/>
        <v>-5.1900000000000002E-3</v>
      </c>
      <c r="N16" s="143">
        <f t="shared" si="5"/>
        <v>-3.2045153611189425E-2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4.5849708387096779</v>
      </c>
      <c r="K17" s="142">
        <f>SUMIFS(K19:K5006,$A19:$A5006,$A17,$C19:$C5006,$C17)</f>
        <v>4.5947118387096779</v>
      </c>
      <c r="L17" s="142"/>
      <c r="M17" s="142">
        <f t="shared" si="4"/>
        <v>9.7409999999999997E-3</v>
      </c>
      <c r="N17" s="143">
        <f t="shared" si="5"/>
        <v>2.1245500446283039E-3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3.8058313548387139</v>
      </c>
      <c r="K18" s="154">
        <f>SUMIFS(K19:K5006,$A19:$A5006,$A18,$C19:$C5006,$C18)</f>
        <v>3.793787354838714</v>
      </c>
      <c r="L18" s="154"/>
      <c r="M18" s="154">
        <f t="shared" si="4"/>
        <v>-1.2043999999999944E-2</v>
      </c>
      <c r="N18" s="155">
        <f t="shared" si="5"/>
        <v>-3.1646173666332045E-3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14.5908058853</v>
      </c>
      <c r="G19" s="210">
        <v>14.305638431284249</v>
      </c>
      <c r="H19" s="269">
        <f>G19-F19</f>
        <v>-0.28516745401575072</v>
      </c>
      <c r="I19" s="164">
        <f>IFERROR(G19/F19-1,"")</f>
        <v>-1.9544325122099804E-2</v>
      </c>
      <c r="J19" s="165">
        <f>SUM(J20,J29,J35,J41,J47,J55,J62,J63)</f>
        <v>12.823193574193551</v>
      </c>
      <c r="K19" s="163">
        <f>SUM(K20,K29,K35,K41,K47,K55,K62,K63)</f>
        <v>12.575758670967744</v>
      </c>
      <c r="L19" s="163"/>
      <c r="M19" s="163">
        <f t="shared" si="4"/>
        <v>-0.24743490322580719</v>
      </c>
      <c r="N19" s="164">
        <f t="shared" si="5"/>
        <v>-1.9295887704897874E-2</v>
      </c>
      <c r="O19" s="210">
        <v>88.370399520000007</v>
      </c>
      <c r="P19" s="210">
        <f>O19-2.563881</f>
        <v>85.806518520000012</v>
      </c>
      <c r="Q19" s="166">
        <f t="shared" ref="Q19" si="7">P19-O19</f>
        <v>-2.563880999999995</v>
      </c>
      <c r="R19" s="167">
        <f t="shared" si="3"/>
        <v>-2.90128936151266E-2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0.8711369032258065</v>
      </c>
      <c r="K20" s="173">
        <f>SUM(K21:K28)</f>
        <v>0.88244490322580649</v>
      </c>
      <c r="L20" s="173"/>
      <c r="M20" s="251">
        <f t="shared" si="4"/>
        <v>1.1307999999999985E-2</v>
      </c>
      <c r="N20" s="174">
        <f t="shared" si="5"/>
        <v>1.2980738111457057E-2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>
        <f>G19/5*31</f>
        <v>88.694958273962342</v>
      </c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>
        <f>'[1]5 июля '!$E$52</f>
        <v>37.751148999999998</v>
      </c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>
        <f>G22-G21</f>
        <v>-50.943809273962344</v>
      </c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1.008336/31*12</f>
        <v>0.39032361290322581</v>
      </c>
      <c r="K24" s="262">
        <f>J24+0.002329</f>
        <v>0.39265261290322584</v>
      </c>
      <c r="L24" s="185"/>
      <c r="M24" s="252">
        <f>K24-J24</f>
        <v>2.3290000000000255E-3</v>
      </c>
      <c r="N24" s="186">
        <f>IFERROR(K24/J24-1,"")</f>
        <v>5.966843724049653E-3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0.205531/31*12</f>
        <v>7.9560387096774196E-2</v>
      </c>
      <c r="K25" s="272">
        <f>J25+0.001456</f>
        <v>8.1016387096774195E-2</v>
      </c>
      <c r="L25" s="185"/>
      <c r="M25" s="252">
        <f t="shared" ref="M25:M27" si="10">K25-J25</f>
        <v>1.455999999999999E-3</v>
      </c>
      <c r="N25" s="186">
        <f t="shared" ref="N25:N27" si="11">IFERROR(K25/J25-1,"")</f>
        <v>1.8300564553927812E-2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0.077075/31*12</f>
        <v>2.9835483870967745E-2</v>
      </c>
      <c r="K26" s="262">
        <f>J26+0.001527</f>
        <v>3.1362483870967746E-2</v>
      </c>
      <c r="L26" s="185"/>
      <c r="M26" s="252">
        <f t="shared" si="10"/>
        <v>1.5270000000000006E-3</v>
      </c>
      <c r="N26" s="186">
        <f t="shared" si="11"/>
        <v>5.1180668180343725E-2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0.959495/31*12</f>
        <v>0.37141741935483874</v>
      </c>
      <c r="K28" s="190">
        <f>J28+0.005996</f>
        <v>0.37741341935483874</v>
      </c>
      <c r="L28" s="190"/>
      <c r="M28" s="185">
        <f t="shared" si="4"/>
        <v>5.9960000000000013E-3</v>
      </c>
      <c r="N28" s="186">
        <f t="shared" si="5"/>
        <v>1.6143561630510561E-2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0.27837870967741934</v>
      </c>
      <c r="K41" s="251">
        <f t="shared" si="15"/>
        <v>0.27475770967741936</v>
      </c>
      <c r="L41" s="173"/>
      <c r="M41" s="173">
        <f t="shared" si="4"/>
        <v>-3.6209999999999853E-3</v>
      </c>
      <c r="N41" s="174">
        <f t="shared" si="5"/>
        <v>-1.3007460247933311E-2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184">
        <f>0.719145/31*12</f>
        <v>0.27837870967741934</v>
      </c>
      <c r="K46" s="185">
        <f>J46-0.003621</f>
        <v>0.27475770967741936</v>
      </c>
      <c r="L46" s="185"/>
      <c r="M46" s="185">
        <f t="shared" si="4"/>
        <v>-3.6209999999999853E-3</v>
      </c>
      <c r="N46" s="186">
        <f t="shared" si="5"/>
        <v>-1.3007460247933311E-2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3.1209167999999963</v>
      </c>
      <c r="K47" s="251">
        <f>SUM(K48:K54)</f>
        <v>2.8732878967741899</v>
      </c>
      <c r="L47" s="173"/>
      <c r="M47" s="251">
        <f t="shared" si="4"/>
        <v>-0.24762890322580633</v>
      </c>
      <c r="N47" s="174">
        <f t="shared" si="5"/>
        <v>-7.9344923012944935E-2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0.134099/31*12</f>
        <v>5.190929032258064E-2</v>
      </c>
      <c r="K51" s="256">
        <f>J51+0.001474</f>
        <v>5.3383290322580643E-2</v>
      </c>
      <c r="L51" s="190"/>
      <c r="M51" s="252">
        <f>K51-J51</f>
        <v>1.4740000000000031E-3</v>
      </c>
      <c r="N51" s="186">
        <f t="shared" si="5"/>
        <v>2.8395687763020927E-2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0.318796/31*12</f>
        <v>0.12340490322580647</v>
      </c>
      <c r="K52" s="190">
        <v>1.9699999999999999E-4</v>
      </c>
      <c r="L52" s="190"/>
      <c r="M52" s="252">
        <f t="shared" ref="M52:M53" si="16">K52-J52</f>
        <v>-0.12320790322580646</v>
      </c>
      <c r="N52" s="186">
        <f t="shared" si="5"/>
        <v>-0.99840362907104652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7.60947339999999/31*12</f>
        <v>2.945602606451609</v>
      </c>
      <c r="K54" s="185">
        <f>J54-0.125895</f>
        <v>2.8197076064516091</v>
      </c>
      <c r="L54" s="185"/>
      <c r="M54" s="252">
        <f t="shared" si="4"/>
        <v>-0.12589499999999987</v>
      </c>
      <c r="N54" s="186">
        <f t="shared" si="5"/>
        <v>-4.2739981192391086E-2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0.16195896774193549</v>
      </c>
      <c r="K55" s="173">
        <f t="shared" si="18"/>
        <v>0.15676896774193549</v>
      </c>
      <c r="L55" s="173"/>
      <c r="M55" s="251">
        <f t="shared" si="4"/>
        <v>-5.1900000000000002E-3</v>
      </c>
      <c r="N55" s="174">
        <f t="shared" si="5"/>
        <v>-3.2045153611189425E-2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0.135985/31*12</f>
        <v>5.2639354838709677E-2</v>
      </c>
      <c r="K59" s="262">
        <f>J59-0.001332</f>
        <v>5.1307354838709678E-2</v>
      </c>
      <c r="L59" s="190"/>
      <c r="M59" s="185">
        <f>K59-J59</f>
        <v>-1.3319999999999999E-3</v>
      </c>
      <c r="N59" s="186">
        <f>IFERROR(K59/J59-1,"")</f>
        <v>-2.5304261499430103E-2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0.282409/31*12</f>
        <v>0.10931961290322582</v>
      </c>
      <c r="K61" s="185">
        <f>J61-0.003858</f>
        <v>0.10546161290322582</v>
      </c>
      <c r="L61" s="185"/>
      <c r="M61" s="185">
        <f t="shared" si="4"/>
        <v>-3.8580000000000003E-3</v>
      </c>
      <c r="N61" s="186">
        <f t="shared" si="5"/>
        <v>-3.5291014096576201E-2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11.844508/31*12</f>
        <v>4.5849708387096779</v>
      </c>
      <c r="K62" s="261">
        <f>J62+0.009741</f>
        <v>4.5947118387096779</v>
      </c>
      <c r="L62" s="193"/>
      <c r="M62" s="253">
        <f t="shared" si="4"/>
        <v>9.7409999999999997E-3</v>
      </c>
      <c r="N62" s="194">
        <f t="shared" si="5"/>
        <v>2.1245500446283039E-3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3.8058313548387139</v>
      </c>
      <c r="K63" s="173">
        <f>SUM(K64:K68)</f>
        <v>3.793787354838714</v>
      </c>
      <c r="L63" s="173"/>
      <c r="M63" s="173">
        <f t="shared" si="4"/>
        <v>-1.2043999999999944E-2</v>
      </c>
      <c r="N63" s="174">
        <f t="shared" si="5"/>
        <v>-3.1646173666332045E-3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9.83173100000001/31*12</f>
        <v>3.8058313548387139</v>
      </c>
      <c r="K64" s="211">
        <f>J64-0.012044</f>
        <v>3.793787354838714</v>
      </c>
      <c r="L64" s="185"/>
      <c r="M64" s="252">
        <f t="shared" si="4"/>
        <v>-1.2043999999999944E-2</v>
      </c>
      <c r="N64" s="186">
        <f t="shared" si="5"/>
        <v>-3.1646173666332045E-3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5173346.392961883</v>
      </c>
      <c r="L74" s="133">
        <f>J74-K74</f>
        <v>7372250.607038117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12823.19357419355</v>
      </c>
      <c r="L83" s="267">
        <f>L84+L85+L86+L87+L88+L89</f>
        <v>12575.758670967743</v>
      </c>
      <c r="M83" s="267">
        <f>L83-K83</f>
        <v>-247.43490322580692</v>
      </c>
      <c r="N83" s="266">
        <f>M83/K83</f>
        <v>-1.9295887704897888E-2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871.13690322580646</v>
      </c>
      <c r="L84" s="267">
        <f>K20*1000</f>
        <v>882.44490322580646</v>
      </c>
      <c r="M84" s="267">
        <f t="shared" ref="M84:M89" si="19">L84-K84</f>
        <v>11.307999999999993</v>
      </c>
      <c r="N84" s="266">
        <f t="shared" ref="N84:N89" si="20">M84/K84</f>
        <v>1.2980738111457158E-2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278.37870967741935</v>
      </c>
      <c r="L85" s="267">
        <f>K46*1000</f>
        <v>274.75770967741937</v>
      </c>
      <c r="M85" s="267">
        <f t="shared" si="19"/>
        <v>-3.6209999999999809</v>
      </c>
      <c r="N85" s="266">
        <f t="shared" si="20"/>
        <v>-1.3007460247933242E-2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3120.9167999999963</v>
      </c>
      <c r="L86" s="267">
        <f>K47*1000</f>
        <v>2873.2878967741899</v>
      </c>
      <c r="M86" s="267">
        <f t="shared" si="19"/>
        <v>-247.62890322580643</v>
      </c>
      <c r="N86" s="266">
        <f t="shared" si="20"/>
        <v>-7.9344923012945018E-2</v>
      </c>
    </row>
    <row r="87" spans="5:20" x14ac:dyDescent="0.25">
      <c r="J87" s="133" t="s">
        <v>189</v>
      </c>
      <c r="K87" s="267">
        <f>J55*1000</f>
        <v>161.95896774193548</v>
      </c>
      <c r="L87" s="267">
        <f>K55*1000</f>
        <v>156.76896774193548</v>
      </c>
      <c r="M87" s="267">
        <f t="shared" si="19"/>
        <v>-5.1899999999999977</v>
      </c>
      <c r="N87" s="266">
        <f t="shared" si="20"/>
        <v>-3.2045153611189439E-2</v>
      </c>
    </row>
    <row r="88" spans="5:20" x14ac:dyDescent="0.25">
      <c r="E88" s="133">
        <v>9.8273639999999993</v>
      </c>
      <c r="J88" s="133" t="s">
        <v>190</v>
      </c>
      <c r="K88" s="267">
        <f>J62*1000</f>
        <v>4584.970838709678</v>
      </c>
      <c r="L88" s="267">
        <f>K62*1000</f>
        <v>4594.711838709678</v>
      </c>
      <c r="M88" s="267">
        <f t="shared" si="19"/>
        <v>9.7409999999999854</v>
      </c>
      <c r="N88" s="266">
        <f t="shared" si="20"/>
        <v>2.1245500446282748E-3</v>
      </c>
    </row>
    <row r="89" spans="5:20" x14ac:dyDescent="0.25">
      <c r="E89" s="133">
        <v>11.487494999999999</v>
      </c>
      <c r="J89" s="133" t="s">
        <v>191</v>
      </c>
      <c r="K89" s="267">
        <f>J64*1000</f>
        <v>3805.8313548387141</v>
      </c>
      <c r="L89" s="267">
        <f>K64*1000</f>
        <v>3793.7873548387138</v>
      </c>
      <c r="M89" s="267">
        <f t="shared" si="19"/>
        <v>-12.044000000000324</v>
      </c>
      <c r="N89" s="266">
        <f t="shared" si="20"/>
        <v>-3.1646173666333493E-3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A6:A8"/>
    <mergeCell ref="B6:B8"/>
    <mergeCell ref="C6:C8"/>
    <mergeCell ref="D6:D8"/>
    <mergeCell ref="E6:E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F71:H71"/>
    <mergeCell ref="F74:H74"/>
    <mergeCell ref="J6:N6"/>
    <mergeCell ref="O6:R6"/>
    <mergeCell ref="S6:S8"/>
  </mergeCells>
  <conditionalFormatting sqref="I10:I26 I28:I32 I34:I38 I40:I44 I46:I52 I54:I59 I61:I65 I67:I68">
    <cfRule type="cellIs" dxfId="1195" priority="95" operator="lessThan">
      <formula>0</formula>
    </cfRule>
    <cfRule type="cellIs" dxfId="1194" priority="96" operator="greaterThan">
      <formula>0</formula>
    </cfRule>
  </conditionalFormatting>
  <conditionalFormatting sqref="N10:N26 N28:N32 N34:N38 N40:N44 N46:N52 N54:N59 N61:N65 N67:N68">
    <cfRule type="cellIs" dxfId="1193" priority="93" operator="lessThan">
      <formula>0</formula>
    </cfRule>
    <cfRule type="cellIs" dxfId="1192" priority="94" operator="greaterThan">
      <formula>0</formula>
    </cfRule>
  </conditionalFormatting>
  <conditionalFormatting sqref="R10:R26 R28:R32 R34:R38 R40:R44 R46:R52 R54:R59 R61:R65 R67:R68">
    <cfRule type="cellIs" dxfId="1191" priority="91" operator="lessThan">
      <formula>0</formula>
    </cfRule>
    <cfRule type="cellIs" dxfId="1190" priority="92" operator="greaterThan">
      <formula>0</formula>
    </cfRule>
  </conditionalFormatting>
  <conditionalFormatting sqref="H10:H26 H28:H32 H34:H38 H40:H44 H46:H52 H54:H59 H61:H65 H67:H68">
    <cfRule type="cellIs" dxfId="1189" priority="89" operator="lessThan">
      <formula>0</formula>
    </cfRule>
    <cfRule type="cellIs" dxfId="1188" priority="90" operator="greaterThan">
      <formula>0</formula>
    </cfRule>
  </conditionalFormatting>
  <conditionalFormatting sqref="M10:M26 M28:M32 M34:M38 M40:M44 M46:M52 M54:M59 M61:M65 M67:M68">
    <cfRule type="cellIs" dxfId="1187" priority="87" operator="lessThan">
      <formula>0</formula>
    </cfRule>
    <cfRule type="cellIs" dxfId="1186" priority="88" operator="greaterThan">
      <formula>0</formula>
    </cfRule>
  </conditionalFormatting>
  <conditionalFormatting sqref="Q10:Q26 Q28:Q32 Q34:Q38 Q40:Q44 Q46:Q52 Q54:Q59 Q61:Q65 Q67:Q68">
    <cfRule type="cellIs" dxfId="1185" priority="85" operator="lessThan">
      <formula>0</formula>
    </cfRule>
    <cfRule type="cellIs" dxfId="1184" priority="86" operator="greaterThan">
      <formula>0</formula>
    </cfRule>
  </conditionalFormatting>
  <conditionalFormatting sqref="I27">
    <cfRule type="cellIs" dxfId="1183" priority="83" operator="lessThan">
      <formula>0</formula>
    </cfRule>
    <cfRule type="cellIs" dxfId="1182" priority="84" operator="greaterThan">
      <formula>0</formula>
    </cfRule>
  </conditionalFormatting>
  <conditionalFormatting sqref="N27">
    <cfRule type="cellIs" dxfId="1181" priority="81" operator="lessThan">
      <formula>0</formula>
    </cfRule>
    <cfRule type="cellIs" dxfId="1180" priority="82" operator="greaterThan">
      <formula>0</formula>
    </cfRule>
  </conditionalFormatting>
  <conditionalFormatting sqref="R27">
    <cfRule type="cellIs" dxfId="1179" priority="79" operator="lessThan">
      <formula>0</formula>
    </cfRule>
    <cfRule type="cellIs" dxfId="1178" priority="80" operator="greaterThan">
      <formula>0</formula>
    </cfRule>
  </conditionalFormatting>
  <conditionalFormatting sqref="H27">
    <cfRule type="cellIs" dxfId="1177" priority="77" operator="lessThan">
      <formula>0</formula>
    </cfRule>
    <cfRule type="cellIs" dxfId="1176" priority="78" operator="greaterThan">
      <formula>0</formula>
    </cfRule>
  </conditionalFormatting>
  <conditionalFormatting sqref="M27">
    <cfRule type="cellIs" dxfId="1175" priority="75" operator="lessThan">
      <formula>0</formula>
    </cfRule>
    <cfRule type="cellIs" dxfId="1174" priority="76" operator="greaterThan">
      <formula>0</formula>
    </cfRule>
  </conditionalFormatting>
  <conditionalFormatting sqref="Q27">
    <cfRule type="cellIs" dxfId="1173" priority="73" operator="lessThan">
      <formula>0</formula>
    </cfRule>
    <cfRule type="cellIs" dxfId="1172" priority="74" operator="greaterThan">
      <formula>0</formula>
    </cfRule>
  </conditionalFormatting>
  <conditionalFormatting sqref="I33">
    <cfRule type="cellIs" dxfId="1171" priority="71" operator="lessThan">
      <formula>0</formula>
    </cfRule>
    <cfRule type="cellIs" dxfId="1170" priority="72" operator="greaterThan">
      <formula>0</formula>
    </cfRule>
  </conditionalFormatting>
  <conditionalFormatting sqref="N33">
    <cfRule type="cellIs" dxfId="1169" priority="69" operator="lessThan">
      <formula>0</formula>
    </cfRule>
    <cfRule type="cellIs" dxfId="1168" priority="70" operator="greaterThan">
      <formula>0</formula>
    </cfRule>
  </conditionalFormatting>
  <conditionalFormatting sqref="R33">
    <cfRule type="cellIs" dxfId="1167" priority="67" operator="lessThan">
      <formula>0</formula>
    </cfRule>
    <cfRule type="cellIs" dxfId="1166" priority="68" operator="greaterThan">
      <formula>0</formula>
    </cfRule>
  </conditionalFormatting>
  <conditionalFormatting sqref="H33">
    <cfRule type="cellIs" dxfId="1165" priority="65" operator="lessThan">
      <formula>0</formula>
    </cfRule>
    <cfRule type="cellIs" dxfId="1164" priority="66" operator="greaterThan">
      <formula>0</formula>
    </cfRule>
  </conditionalFormatting>
  <conditionalFormatting sqref="M33">
    <cfRule type="cellIs" dxfId="1163" priority="63" operator="lessThan">
      <formula>0</formula>
    </cfRule>
    <cfRule type="cellIs" dxfId="1162" priority="64" operator="greaterThan">
      <formula>0</formula>
    </cfRule>
  </conditionalFormatting>
  <conditionalFormatting sqref="Q33">
    <cfRule type="cellIs" dxfId="1161" priority="61" operator="lessThan">
      <formula>0</formula>
    </cfRule>
    <cfRule type="cellIs" dxfId="1160" priority="62" operator="greaterThan">
      <formula>0</formula>
    </cfRule>
  </conditionalFormatting>
  <conditionalFormatting sqref="I39">
    <cfRule type="cellIs" dxfId="1159" priority="59" operator="lessThan">
      <formula>0</formula>
    </cfRule>
    <cfRule type="cellIs" dxfId="1158" priority="60" operator="greaterThan">
      <formula>0</formula>
    </cfRule>
  </conditionalFormatting>
  <conditionalFormatting sqref="N39">
    <cfRule type="cellIs" dxfId="1157" priority="57" operator="lessThan">
      <formula>0</formula>
    </cfRule>
    <cfRule type="cellIs" dxfId="1156" priority="58" operator="greaterThan">
      <formula>0</formula>
    </cfRule>
  </conditionalFormatting>
  <conditionalFormatting sqref="R39">
    <cfRule type="cellIs" dxfId="1155" priority="55" operator="lessThan">
      <formula>0</formula>
    </cfRule>
    <cfRule type="cellIs" dxfId="1154" priority="56" operator="greaterThan">
      <formula>0</formula>
    </cfRule>
  </conditionalFormatting>
  <conditionalFormatting sqref="H39">
    <cfRule type="cellIs" dxfId="1153" priority="53" operator="lessThan">
      <formula>0</formula>
    </cfRule>
    <cfRule type="cellIs" dxfId="1152" priority="54" operator="greaterThan">
      <formula>0</formula>
    </cfRule>
  </conditionalFormatting>
  <conditionalFormatting sqref="M39">
    <cfRule type="cellIs" dxfId="1151" priority="51" operator="lessThan">
      <formula>0</formula>
    </cfRule>
    <cfRule type="cellIs" dxfId="1150" priority="52" operator="greaterThan">
      <formula>0</formula>
    </cfRule>
  </conditionalFormatting>
  <conditionalFormatting sqref="Q39">
    <cfRule type="cellIs" dxfId="1149" priority="49" operator="lessThan">
      <formula>0</formula>
    </cfRule>
    <cfRule type="cellIs" dxfId="1148" priority="50" operator="greaterThan">
      <formula>0</formula>
    </cfRule>
  </conditionalFormatting>
  <conditionalFormatting sqref="I45">
    <cfRule type="cellIs" dxfId="1147" priority="47" operator="lessThan">
      <formula>0</formula>
    </cfRule>
    <cfRule type="cellIs" dxfId="1146" priority="48" operator="greaterThan">
      <formula>0</formula>
    </cfRule>
  </conditionalFormatting>
  <conditionalFormatting sqref="N45">
    <cfRule type="cellIs" dxfId="1145" priority="45" operator="lessThan">
      <formula>0</formula>
    </cfRule>
    <cfRule type="cellIs" dxfId="1144" priority="46" operator="greaterThan">
      <formula>0</formula>
    </cfRule>
  </conditionalFormatting>
  <conditionalFormatting sqref="R45">
    <cfRule type="cellIs" dxfId="1143" priority="43" operator="lessThan">
      <formula>0</formula>
    </cfRule>
    <cfRule type="cellIs" dxfId="1142" priority="44" operator="greaterThan">
      <formula>0</formula>
    </cfRule>
  </conditionalFormatting>
  <conditionalFormatting sqref="H45">
    <cfRule type="cellIs" dxfId="1141" priority="41" operator="lessThan">
      <formula>0</formula>
    </cfRule>
    <cfRule type="cellIs" dxfId="1140" priority="42" operator="greaterThan">
      <formula>0</formula>
    </cfRule>
  </conditionalFormatting>
  <conditionalFormatting sqref="M45">
    <cfRule type="cellIs" dxfId="1139" priority="39" operator="lessThan">
      <formula>0</formula>
    </cfRule>
    <cfRule type="cellIs" dxfId="1138" priority="40" operator="greaterThan">
      <formula>0</formula>
    </cfRule>
  </conditionalFormatting>
  <conditionalFormatting sqref="Q45">
    <cfRule type="cellIs" dxfId="1137" priority="37" operator="lessThan">
      <formula>0</formula>
    </cfRule>
    <cfRule type="cellIs" dxfId="1136" priority="38" operator="greaterThan">
      <formula>0</formula>
    </cfRule>
  </conditionalFormatting>
  <conditionalFormatting sqref="I53">
    <cfRule type="cellIs" dxfId="1135" priority="35" operator="lessThan">
      <formula>0</formula>
    </cfRule>
    <cfRule type="cellIs" dxfId="1134" priority="36" operator="greaterThan">
      <formula>0</formula>
    </cfRule>
  </conditionalFormatting>
  <conditionalFormatting sqref="N53">
    <cfRule type="cellIs" dxfId="1133" priority="33" operator="lessThan">
      <formula>0</formula>
    </cfRule>
    <cfRule type="cellIs" dxfId="1132" priority="34" operator="greaterThan">
      <formula>0</formula>
    </cfRule>
  </conditionalFormatting>
  <conditionalFormatting sqref="R53">
    <cfRule type="cellIs" dxfId="1131" priority="31" operator="lessThan">
      <formula>0</formula>
    </cfRule>
    <cfRule type="cellIs" dxfId="1130" priority="32" operator="greaterThan">
      <formula>0</formula>
    </cfRule>
  </conditionalFormatting>
  <conditionalFormatting sqref="H53">
    <cfRule type="cellIs" dxfId="1129" priority="29" operator="lessThan">
      <formula>0</formula>
    </cfRule>
    <cfRule type="cellIs" dxfId="1128" priority="30" operator="greaterThan">
      <formula>0</formula>
    </cfRule>
  </conditionalFormatting>
  <conditionalFormatting sqref="M53">
    <cfRule type="cellIs" dxfId="1127" priority="27" operator="lessThan">
      <formula>0</formula>
    </cfRule>
    <cfRule type="cellIs" dxfId="1126" priority="28" operator="greaterThan">
      <formula>0</formula>
    </cfRule>
  </conditionalFormatting>
  <conditionalFormatting sqref="Q53">
    <cfRule type="cellIs" dxfId="1125" priority="25" operator="lessThan">
      <formula>0</formula>
    </cfRule>
    <cfRule type="cellIs" dxfId="1124" priority="26" operator="greaterThan">
      <formula>0</formula>
    </cfRule>
  </conditionalFormatting>
  <conditionalFormatting sqref="I60">
    <cfRule type="cellIs" dxfId="1123" priority="23" operator="lessThan">
      <formula>0</formula>
    </cfRule>
    <cfRule type="cellIs" dxfId="1122" priority="24" operator="greaterThan">
      <formula>0</formula>
    </cfRule>
  </conditionalFormatting>
  <conditionalFormatting sqref="N60">
    <cfRule type="cellIs" dxfId="1121" priority="21" operator="lessThan">
      <formula>0</formula>
    </cfRule>
    <cfRule type="cellIs" dxfId="1120" priority="22" operator="greaterThan">
      <formula>0</formula>
    </cfRule>
  </conditionalFormatting>
  <conditionalFormatting sqref="R60">
    <cfRule type="cellIs" dxfId="1119" priority="19" operator="lessThan">
      <formula>0</formula>
    </cfRule>
    <cfRule type="cellIs" dxfId="1118" priority="20" operator="greaterThan">
      <formula>0</formula>
    </cfRule>
  </conditionalFormatting>
  <conditionalFormatting sqref="H60">
    <cfRule type="cellIs" dxfId="1117" priority="17" operator="lessThan">
      <formula>0</formula>
    </cfRule>
    <cfRule type="cellIs" dxfId="1116" priority="18" operator="greaterThan">
      <formula>0</formula>
    </cfRule>
  </conditionalFormatting>
  <conditionalFormatting sqref="M60">
    <cfRule type="cellIs" dxfId="1115" priority="15" operator="lessThan">
      <formula>0</formula>
    </cfRule>
    <cfRule type="cellIs" dxfId="1114" priority="16" operator="greaterThan">
      <formula>0</formula>
    </cfRule>
  </conditionalFormatting>
  <conditionalFormatting sqref="Q60">
    <cfRule type="cellIs" dxfId="1113" priority="13" operator="lessThan">
      <formula>0</formula>
    </cfRule>
    <cfRule type="cellIs" dxfId="1112" priority="14" operator="greaterThan">
      <formula>0</formula>
    </cfRule>
  </conditionalFormatting>
  <conditionalFormatting sqref="I66">
    <cfRule type="cellIs" dxfId="1111" priority="11" operator="lessThan">
      <formula>0</formula>
    </cfRule>
    <cfRule type="cellIs" dxfId="1110" priority="12" operator="greaterThan">
      <formula>0</formula>
    </cfRule>
  </conditionalFormatting>
  <conditionalFormatting sqref="N66">
    <cfRule type="cellIs" dxfId="1109" priority="9" operator="lessThan">
      <formula>0</formula>
    </cfRule>
    <cfRule type="cellIs" dxfId="1108" priority="10" operator="greaterThan">
      <formula>0</formula>
    </cfRule>
  </conditionalFormatting>
  <conditionalFormatting sqref="R66">
    <cfRule type="cellIs" dxfId="1107" priority="7" operator="lessThan">
      <formula>0</formula>
    </cfRule>
    <cfRule type="cellIs" dxfId="1106" priority="8" operator="greaterThan">
      <formula>0</formula>
    </cfRule>
  </conditionalFormatting>
  <conditionalFormatting sqref="H66">
    <cfRule type="cellIs" dxfId="1105" priority="5" operator="lessThan">
      <formula>0</formula>
    </cfRule>
    <cfRule type="cellIs" dxfId="1104" priority="6" operator="greaterThan">
      <formula>0</formula>
    </cfRule>
  </conditionalFormatting>
  <conditionalFormatting sqref="M66">
    <cfRule type="cellIs" dxfId="1103" priority="3" operator="lessThan">
      <formula>0</formula>
    </cfRule>
    <cfRule type="cellIs" dxfId="1102" priority="4" operator="greaterThan">
      <formula>0</formula>
    </cfRule>
  </conditionalFormatting>
  <conditionalFormatting sqref="Q66">
    <cfRule type="cellIs" dxfId="1101" priority="1" operator="lessThan">
      <formula>0</formula>
    </cfRule>
    <cfRule type="cellIs" dxfId="1100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K27" sqref="K27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44024</v>
      </c>
      <c r="K1" s="249">
        <f>G19</f>
        <v>23.167198144976975</v>
      </c>
      <c r="L1" s="249">
        <f>K10</f>
        <v>20.422772825806451</v>
      </c>
      <c r="M1" s="249">
        <f>K1-L1</f>
        <v>2.7444253191705243</v>
      </c>
      <c r="N1" s="273">
        <f>M1/K1*100</f>
        <v>11.846168457645623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171</v>
      </c>
      <c r="B3" s="112"/>
      <c r="L3" s="268">
        <f>G19</f>
        <v>23.167198144976975</v>
      </c>
      <c r="P3" s="249">
        <v>0.105769</v>
      </c>
      <c r="Q3" s="249">
        <f>O1-P3</f>
        <v>-0.105769</v>
      </c>
      <c r="R3" s="249">
        <f>F19-J10</f>
        <v>2.7640241610935483</v>
      </c>
      <c r="S3" s="249">
        <f>F19-J10</f>
        <v>2.7640241610935483</v>
      </c>
      <c r="T3" s="110">
        <f>S3/F19*100</f>
        <v>11.982375495854193</v>
      </c>
    </row>
    <row r="4" spans="1:20" s="110" customFormat="1" ht="12" customHeight="1" x14ac:dyDescent="0.2">
      <c r="F4" s="110">
        <f>G19/20*31</f>
        <v>35.909157124714312</v>
      </c>
      <c r="G4" s="110">
        <v>13.2800040955377</v>
      </c>
      <c r="H4" s="270">
        <f>G4*F4/100</f>
        <v>4.768737536835129</v>
      </c>
      <c r="I4" s="268">
        <f>F4-H4</f>
        <v>31.140419587879183</v>
      </c>
      <c r="J4" s="270">
        <f>I4/31*20</f>
        <v>20.090593282502699</v>
      </c>
      <c r="K4" s="270">
        <f>J4-K10</f>
        <v>-0.33217954330375221</v>
      </c>
      <c r="L4" s="268">
        <f>G19/27*31</f>
        <v>26.59937564793653</v>
      </c>
      <c r="M4" s="271"/>
      <c r="N4" s="249">
        <f>F19-J10</f>
        <v>2.7640241610935483</v>
      </c>
      <c r="O4" s="249">
        <f>N4/F19*100</f>
        <v>11.982375495854193</v>
      </c>
      <c r="Q4" s="249"/>
      <c r="R4" s="110">
        <f>R3/F19*100</f>
        <v>11.982375495854193</v>
      </c>
      <c r="S4" s="249">
        <f>G19-K10</f>
        <v>2.7444253191705243</v>
      </c>
      <c r="T4" s="110">
        <f>S4/G19*100</f>
        <v>11.846168457645623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2.7444253191705243</v>
      </c>
      <c r="O5" s="274">
        <f>N5/G19*100</f>
        <v>11.846168457645623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76" t="s">
        <v>179</v>
      </c>
      <c r="I8" s="114" t="s">
        <v>180</v>
      </c>
      <c r="J8" s="318"/>
      <c r="K8" s="328"/>
      <c r="L8" s="328"/>
      <c r="M8" s="276" t="s">
        <v>179</v>
      </c>
      <c r="N8" s="114" t="s">
        <v>180</v>
      </c>
      <c r="O8" s="318"/>
      <c r="P8" s="328"/>
      <c r="Q8" s="276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23.0674139869</v>
      </c>
      <c r="G10" s="128">
        <f>SUMIFS(G18:G5005,$A18:$A5005,$A10,$C18:$C5005,$C10)</f>
        <v>23.167198144976975</v>
      </c>
      <c r="H10" s="128">
        <f>G10-F10</f>
        <v>9.978415807697516E-2</v>
      </c>
      <c r="I10" s="129">
        <f>IFERROR(G10/F10-1,"")</f>
        <v>4.3257626595527565E-3</v>
      </c>
      <c r="J10" s="130">
        <f t="shared" ref="J10" si="1">SUM(J11:J18)</f>
        <v>20.303389825806452</v>
      </c>
      <c r="K10" s="128">
        <f t="shared" ref="K10" si="2">SUM(K11:K18)</f>
        <v>20.422772825806451</v>
      </c>
      <c r="L10" s="128"/>
      <c r="M10" s="250">
        <f>K10-J10</f>
        <v>0.11938299999999913</v>
      </c>
      <c r="N10" s="129">
        <f>IFERROR(K10/J10-1,"")</f>
        <v>5.8799540876794953E-3</v>
      </c>
      <c r="O10" s="128">
        <f>SUMIFS(O18:O5005,$A18:$A5005,$A10,$C18:$C5005,$C10)</f>
        <v>88.370399520000007</v>
      </c>
      <c r="P10" s="128">
        <f>SUMIFS(P18:P5005,$A18:$A5005,$A10,$C18:$C5005,$C10)</f>
        <v>86.806518520000012</v>
      </c>
      <c r="Q10" s="131">
        <f>P10-O10</f>
        <v>-1.563880999999995</v>
      </c>
      <c r="R10" s="132">
        <f t="shared" ref="R10:R19" si="3">IFERROR(P10/O10-1,"")</f>
        <v>-1.7696887289120555E-2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1.3793000967741935</v>
      </c>
      <c r="K11" s="142">
        <f>SUMIFS(K19:K5006,$A19:$A5006,$A11,$C19:$C5006,$C11)</f>
        <v>1.4045690967741935</v>
      </c>
      <c r="L11" s="142"/>
      <c r="M11" s="142">
        <f t="shared" ref="M11:M68" si="4">K11-J11</f>
        <v>2.5268999999999986E-2</v>
      </c>
      <c r="N11" s="143">
        <f t="shared" ref="N11:N68" si="5">IFERROR(K11/J11-1,"")</f>
        <v>1.8320161115842115E-2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0.44076629032258063</v>
      </c>
      <c r="K14" s="142">
        <f>SUMIFS(K19:K5006,$A19:$A5006,$A14,$C19:$C5006,$C14)</f>
        <v>0.43714529032258065</v>
      </c>
      <c r="L14" s="142"/>
      <c r="M14" s="142">
        <f t="shared" si="4"/>
        <v>-3.6209999999999853E-3</v>
      </c>
      <c r="N14" s="143">
        <f t="shared" si="5"/>
        <v>-8.2152380513262901E-3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4.9414515999999935</v>
      </c>
      <c r="K15" s="142">
        <f>SUMIFS(K19:K5006,$A19:$A5006,$A15,$C19:$C5006,$C15)</f>
        <v>5.036679599999994</v>
      </c>
      <c r="L15" s="142"/>
      <c r="M15" s="142">
        <f t="shared" si="4"/>
        <v>9.5228000000000534E-2</v>
      </c>
      <c r="N15" s="143">
        <f t="shared" si="5"/>
        <v>1.9271260291206849E-2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0.25643503225806452</v>
      </c>
      <c r="K16" s="142">
        <f>SUMIFS(K19:K5006,$A19:$A5006,$A16,$C19:$C5006,$C16)</f>
        <v>0.25124503225806455</v>
      </c>
      <c r="L16" s="142"/>
      <c r="M16" s="142">
        <f t="shared" si="4"/>
        <v>-5.1899999999999724E-3</v>
      </c>
      <c r="N16" s="143">
        <f t="shared" si="5"/>
        <v>-2.0239044386014315E-2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7.2595371612903223</v>
      </c>
      <c r="K17" s="142">
        <f>SUMIFS(K19:K5006,$A19:$A5006,$A17,$C19:$C5006,$C17)</f>
        <v>7.2792781612903221</v>
      </c>
      <c r="L17" s="142"/>
      <c r="M17" s="142">
        <f t="shared" si="4"/>
        <v>1.9740999999999786E-2</v>
      </c>
      <c r="N17" s="143">
        <f t="shared" si="5"/>
        <v>2.7193193672543359E-3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6.0258996451612967</v>
      </c>
      <c r="K18" s="154">
        <f>SUMIFS(K19:K5006,$A19:$A5006,$A18,$C19:$C5006,$C18)</f>
        <v>6.0138556451612963</v>
      </c>
      <c r="L18" s="154"/>
      <c r="M18" s="154">
        <f t="shared" si="4"/>
        <v>-1.2044000000000388E-2</v>
      </c>
      <c r="N18" s="155">
        <f t="shared" si="5"/>
        <v>-1.9987057052420765E-3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23.0674139869</v>
      </c>
      <c r="G19" s="210">
        <v>23.167198144976975</v>
      </c>
      <c r="H19" s="269">
        <f>G19-F19</f>
        <v>9.978415807697516E-2</v>
      </c>
      <c r="I19" s="164">
        <f>IFERROR(G19/F19-1,"")</f>
        <v>4.3257626595527565E-3</v>
      </c>
      <c r="J19" s="165">
        <f>SUM(J20,J29,J35,J41,J47,J55,J62,J63)</f>
        <v>20.303389825806452</v>
      </c>
      <c r="K19" s="163">
        <f>SUM(K20,K29,K35,K41,K47,K55,K62,K63)</f>
        <v>20.422772825806451</v>
      </c>
      <c r="L19" s="163"/>
      <c r="M19" s="163">
        <f t="shared" si="4"/>
        <v>0.11938299999999913</v>
      </c>
      <c r="N19" s="164">
        <f t="shared" si="5"/>
        <v>5.8799540876794953E-3</v>
      </c>
      <c r="O19" s="210">
        <v>88.370399520000007</v>
      </c>
      <c r="P19" s="210">
        <f>O19-1.563881</f>
        <v>86.806518520000012</v>
      </c>
      <c r="Q19" s="166">
        <f t="shared" ref="Q19" si="7">P19-O19</f>
        <v>-1.563880999999995</v>
      </c>
      <c r="R19" s="167">
        <f t="shared" si="3"/>
        <v>-1.7696887289120555E-2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1.3793000967741935</v>
      </c>
      <c r="K20" s="173">
        <f>SUM(K21:K28)</f>
        <v>1.4045690967741935</v>
      </c>
      <c r="L20" s="173"/>
      <c r="M20" s="251">
        <f t="shared" si="4"/>
        <v>2.5268999999999986E-2</v>
      </c>
      <c r="N20" s="174">
        <f t="shared" si="5"/>
        <v>1.8320161115842115E-2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1.008336/31*19</f>
        <v>0.6180123870967742</v>
      </c>
      <c r="K24" s="262">
        <f>J24+0.00529</f>
        <v>0.62330238709677421</v>
      </c>
      <c r="L24" s="185"/>
      <c r="M24" s="252">
        <f>K24-J24</f>
        <v>5.2900000000000169E-3</v>
      </c>
      <c r="N24" s="186">
        <f>IFERROR(K24/J24-1,"")</f>
        <v>8.5596989808744972E-3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0.205531/31*19</f>
        <v>0.12597061290322581</v>
      </c>
      <c r="K25" s="272">
        <f>J25+0.007456</f>
        <v>0.1334266129032258</v>
      </c>
      <c r="L25" s="185"/>
      <c r="M25" s="252">
        <f t="shared" ref="M25:M27" si="10">K25-J25</f>
        <v>7.4559999999999904E-3</v>
      </c>
      <c r="N25" s="186">
        <f t="shared" ref="N25:N27" si="11">IFERROR(K25/J25-1,"")</f>
        <v>5.9188407741795235E-2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0.077075/31*19</f>
        <v>4.7239516129032259E-2</v>
      </c>
      <c r="K26" s="262">
        <f>J26+0.006527</f>
        <v>5.3766516129032257E-2</v>
      </c>
      <c r="L26" s="185"/>
      <c r="M26" s="252">
        <f t="shared" si="10"/>
        <v>6.5269999999999981E-3</v>
      </c>
      <c r="N26" s="186">
        <f t="shared" si="11"/>
        <v>0.13816822302268794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0.959495/31*19</f>
        <v>0.58807758064516125</v>
      </c>
      <c r="K28" s="190">
        <f>J28+0.005996</f>
        <v>0.59407358064516125</v>
      </c>
      <c r="L28" s="190"/>
      <c r="M28" s="185">
        <f t="shared" si="4"/>
        <v>5.9960000000000013E-3</v>
      </c>
      <c r="N28" s="186">
        <f t="shared" si="5"/>
        <v>1.0195933661375056E-2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0.44076629032258063</v>
      </c>
      <c r="K41" s="251">
        <f t="shared" si="15"/>
        <v>0.43714529032258065</v>
      </c>
      <c r="L41" s="173"/>
      <c r="M41" s="173">
        <f t="shared" si="4"/>
        <v>-3.6209999999999853E-3</v>
      </c>
      <c r="N41" s="174">
        <f t="shared" si="5"/>
        <v>-8.2152380513262901E-3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184">
        <f>0.719145/31*19</f>
        <v>0.44076629032258063</v>
      </c>
      <c r="K46" s="185">
        <f>J46-0.003621</f>
        <v>0.43714529032258065</v>
      </c>
      <c r="L46" s="185"/>
      <c r="M46" s="185">
        <f t="shared" si="4"/>
        <v>-3.6209999999999853E-3</v>
      </c>
      <c r="N46" s="186">
        <f t="shared" si="5"/>
        <v>-8.2152380513262901E-3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4.9414515999999935</v>
      </c>
      <c r="K47" s="251">
        <f>SUM(K48:K54)</f>
        <v>5.036679599999994</v>
      </c>
      <c r="L47" s="173"/>
      <c r="M47" s="251">
        <f t="shared" si="4"/>
        <v>9.5228000000000534E-2</v>
      </c>
      <c r="N47" s="174">
        <f t="shared" si="5"/>
        <v>1.9271260291206849E-2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0.134099/31*19</f>
        <v>8.2189709677419343E-2</v>
      </c>
      <c r="K51" s="256">
        <f>J51+0.021474</f>
        <v>0.10366370967741934</v>
      </c>
      <c r="L51" s="190"/>
      <c r="M51" s="252">
        <f>K51-J51</f>
        <v>2.1473999999999993E-2</v>
      </c>
      <c r="N51" s="186">
        <f t="shared" si="5"/>
        <v>0.26127358381337262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0.318796/31*19</f>
        <v>0.19539109677419356</v>
      </c>
      <c r="K52" s="190">
        <f>J52-0.052141</f>
        <v>0.14325009677419356</v>
      </c>
      <c r="L52" s="190"/>
      <c r="M52" s="252">
        <f t="shared" ref="M52:M53" si="16">K52-J52</f>
        <v>-5.2140999999999993E-2</v>
      </c>
      <c r="N52" s="186">
        <f t="shared" si="5"/>
        <v>-0.26685453360373668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7.60947339999999/31*19</f>
        <v>4.663870793548381</v>
      </c>
      <c r="K54" s="185">
        <f>J54+0.125895</f>
        <v>4.7897657935483808</v>
      </c>
      <c r="L54" s="185"/>
      <c r="M54" s="252">
        <f t="shared" si="4"/>
        <v>0.12589499999999987</v>
      </c>
      <c r="N54" s="186">
        <f t="shared" si="5"/>
        <v>2.6993672332036533E-2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0.25643503225806452</v>
      </c>
      <c r="K55" s="173">
        <f t="shared" si="18"/>
        <v>0.25124503225806455</v>
      </c>
      <c r="L55" s="173"/>
      <c r="M55" s="251">
        <f t="shared" si="4"/>
        <v>-5.1899999999999724E-3</v>
      </c>
      <c r="N55" s="174">
        <f t="shared" si="5"/>
        <v>-2.0239044386014315E-2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0.135985/31*19</f>
        <v>8.3345645161290324E-2</v>
      </c>
      <c r="K59" s="262">
        <f>J59-0.001332</f>
        <v>8.2013645161290324E-2</v>
      </c>
      <c r="L59" s="190"/>
      <c r="M59" s="185">
        <f>K59-J59</f>
        <v>-1.3319999999999999E-3</v>
      </c>
      <c r="N59" s="186">
        <f>IFERROR(K59/J59-1,"")</f>
        <v>-1.5981638841745305E-2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0.282409/31*19</f>
        <v>0.17308938709677421</v>
      </c>
      <c r="K61" s="185">
        <f>J61-0.003858</f>
        <v>0.16923138709677421</v>
      </c>
      <c r="L61" s="185"/>
      <c r="M61" s="185">
        <f t="shared" si="4"/>
        <v>-3.8580000000000003E-3</v>
      </c>
      <c r="N61" s="186">
        <f t="shared" si="5"/>
        <v>-2.2289061534679688E-2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11.844508/31*19</f>
        <v>7.2595371612903223</v>
      </c>
      <c r="K62" s="261">
        <f>J62+0.019741</f>
        <v>7.2792781612903221</v>
      </c>
      <c r="L62" s="193"/>
      <c r="M62" s="253">
        <f t="shared" si="4"/>
        <v>1.9740999999999786E-2</v>
      </c>
      <c r="N62" s="194">
        <f t="shared" si="5"/>
        <v>2.7193193672543359E-3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6.0258996451612967</v>
      </c>
      <c r="K63" s="173">
        <f>SUM(K64:K68)</f>
        <v>6.0138556451612963</v>
      </c>
      <c r="L63" s="173"/>
      <c r="M63" s="173">
        <f t="shared" si="4"/>
        <v>-1.2044000000000388E-2</v>
      </c>
      <c r="N63" s="174">
        <f t="shared" si="5"/>
        <v>-1.9987057052420765E-3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9.83173100000001/31*19</f>
        <v>6.0258996451612967</v>
      </c>
      <c r="K64" s="211">
        <f>J64-0.012044</f>
        <v>6.0138556451612963</v>
      </c>
      <c r="L64" s="185"/>
      <c r="M64" s="252">
        <f t="shared" si="4"/>
        <v>-1.2044000000000388E-2</v>
      </c>
      <c r="N64" s="186">
        <f t="shared" si="5"/>
        <v>-1.9987057052420765E-3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8200712.2434017677</v>
      </c>
      <c r="L74" s="133">
        <f>J74-K74</f>
        <v>4344884.7565982323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20303.389825806451</v>
      </c>
      <c r="L83" s="267">
        <f>L84+L85+L86+L87+L88+L89</f>
        <v>20422.772825806453</v>
      </c>
      <c r="M83" s="267">
        <f>L83-K83</f>
        <v>119.38300000000163</v>
      </c>
      <c r="N83" s="266">
        <f>M83/K83</f>
        <v>5.87995408767953E-3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1379.3000967741934</v>
      </c>
      <c r="L84" s="267">
        <f>K20*1000</f>
        <v>1404.5690967741934</v>
      </c>
      <c r="M84" s="267">
        <f t="shared" ref="M84:M89" si="19">L84-K84</f>
        <v>25.269000000000005</v>
      </c>
      <c r="N84" s="266">
        <f t="shared" ref="N84:N89" si="20">M84/K84</f>
        <v>1.8320161115842233E-2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440.76629032258063</v>
      </c>
      <c r="L85" s="267">
        <f>K46*1000</f>
        <v>437.14529032258065</v>
      </c>
      <c r="M85" s="267">
        <f t="shared" si="19"/>
        <v>-3.6209999999999809</v>
      </c>
      <c r="N85" s="266">
        <f t="shared" si="20"/>
        <v>-8.2152380513262572E-3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4941.4515999999931</v>
      </c>
      <c r="L86" s="267">
        <f>K47*1000</f>
        <v>5036.679599999994</v>
      </c>
      <c r="M86" s="267">
        <f t="shared" si="19"/>
        <v>95.228000000000975</v>
      </c>
      <c r="N86" s="266">
        <f t="shared" si="20"/>
        <v>1.9271260291206963E-2</v>
      </c>
    </row>
    <row r="87" spans="5:20" x14ac:dyDescent="0.25">
      <c r="J87" s="133" t="s">
        <v>189</v>
      </c>
      <c r="K87" s="267">
        <f>J55*1000</f>
        <v>256.4350322580645</v>
      </c>
      <c r="L87" s="267">
        <f>K55*1000</f>
        <v>251.24503225806455</v>
      </c>
      <c r="M87" s="267">
        <f t="shared" si="19"/>
        <v>-5.1899999999999409</v>
      </c>
      <c r="N87" s="266">
        <f t="shared" si="20"/>
        <v>-2.0239044386014163E-2</v>
      </c>
    </row>
    <row r="88" spans="5:20" x14ac:dyDescent="0.25">
      <c r="E88" s="133">
        <v>9.8273639999999993</v>
      </c>
      <c r="J88" s="133" t="s">
        <v>190</v>
      </c>
      <c r="K88" s="267">
        <f>J62*1000</f>
        <v>7259.5371612903227</v>
      </c>
      <c r="L88" s="267">
        <f>K62*1000</f>
        <v>7279.2781612903218</v>
      </c>
      <c r="M88" s="267">
        <f t="shared" si="19"/>
        <v>19.740999999999076</v>
      </c>
      <c r="N88" s="266">
        <f t="shared" si="20"/>
        <v>2.7193193672542999E-3</v>
      </c>
    </row>
    <row r="89" spans="5:20" x14ac:dyDescent="0.25">
      <c r="E89" s="133">
        <v>11.487494999999999</v>
      </c>
      <c r="J89" s="133" t="s">
        <v>191</v>
      </c>
      <c r="K89" s="267">
        <f>J64*1000</f>
        <v>6025.8996451612966</v>
      </c>
      <c r="L89" s="267">
        <f>K64*1000</f>
        <v>6013.8556451612967</v>
      </c>
      <c r="M89" s="267">
        <f t="shared" si="19"/>
        <v>-12.043999999999869</v>
      </c>
      <c r="N89" s="266">
        <f t="shared" si="20"/>
        <v>-1.99870570524204E-3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1099" priority="95" operator="lessThan">
      <formula>0</formula>
    </cfRule>
    <cfRule type="cellIs" dxfId="1098" priority="96" operator="greaterThan">
      <formula>0</formula>
    </cfRule>
  </conditionalFormatting>
  <conditionalFormatting sqref="N10:N26 N28:N32 N34:N38 N40:N44 N46:N52 N54:N59 N61:N65 N67:N68">
    <cfRule type="cellIs" dxfId="1097" priority="93" operator="lessThan">
      <formula>0</formula>
    </cfRule>
    <cfRule type="cellIs" dxfId="1096" priority="94" operator="greaterThan">
      <formula>0</formula>
    </cfRule>
  </conditionalFormatting>
  <conditionalFormatting sqref="R10:R26 R28:R32 R34:R38 R40:R44 R46:R52 R54:R59 R61:R65 R67:R68">
    <cfRule type="cellIs" dxfId="1095" priority="91" operator="lessThan">
      <formula>0</formula>
    </cfRule>
    <cfRule type="cellIs" dxfId="1094" priority="92" operator="greaterThan">
      <formula>0</formula>
    </cfRule>
  </conditionalFormatting>
  <conditionalFormatting sqref="H10:H26 H28:H32 H34:H38 H40:H44 H46:H52 H54:H59 H61:H65 H67:H68">
    <cfRule type="cellIs" dxfId="1093" priority="89" operator="lessThan">
      <formula>0</formula>
    </cfRule>
    <cfRule type="cellIs" dxfId="1092" priority="90" operator="greaterThan">
      <formula>0</formula>
    </cfRule>
  </conditionalFormatting>
  <conditionalFormatting sqref="M10:M26 M28:M32 M34:M38 M40:M44 M46:M52 M54:M59 M61:M65 M67:M68">
    <cfRule type="cellIs" dxfId="1091" priority="87" operator="lessThan">
      <formula>0</formula>
    </cfRule>
    <cfRule type="cellIs" dxfId="1090" priority="88" operator="greaterThan">
      <formula>0</formula>
    </cfRule>
  </conditionalFormatting>
  <conditionalFormatting sqref="Q10:Q26 Q28:Q32 Q34:Q38 Q40:Q44 Q46:Q52 Q54:Q59 Q61:Q65 Q67:Q68">
    <cfRule type="cellIs" dxfId="1089" priority="85" operator="lessThan">
      <formula>0</formula>
    </cfRule>
    <cfRule type="cellIs" dxfId="1088" priority="86" operator="greaterThan">
      <formula>0</formula>
    </cfRule>
  </conditionalFormatting>
  <conditionalFormatting sqref="I27">
    <cfRule type="cellIs" dxfId="1087" priority="83" operator="lessThan">
      <formula>0</formula>
    </cfRule>
    <cfRule type="cellIs" dxfId="1086" priority="84" operator="greaterThan">
      <formula>0</formula>
    </cfRule>
  </conditionalFormatting>
  <conditionalFormatting sqref="N27">
    <cfRule type="cellIs" dxfId="1085" priority="81" operator="lessThan">
      <formula>0</formula>
    </cfRule>
    <cfRule type="cellIs" dxfId="1084" priority="82" operator="greaterThan">
      <formula>0</formula>
    </cfRule>
  </conditionalFormatting>
  <conditionalFormatting sqref="R27">
    <cfRule type="cellIs" dxfId="1083" priority="79" operator="lessThan">
      <formula>0</formula>
    </cfRule>
    <cfRule type="cellIs" dxfId="1082" priority="80" operator="greaterThan">
      <formula>0</formula>
    </cfRule>
  </conditionalFormatting>
  <conditionalFormatting sqref="H27">
    <cfRule type="cellIs" dxfId="1081" priority="77" operator="lessThan">
      <formula>0</formula>
    </cfRule>
    <cfRule type="cellIs" dxfId="1080" priority="78" operator="greaterThan">
      <formula>0</formula>
    </cfRule>
  </conditionalFormatting>
  <conditionalFormatting sqref="M27">
    <cfRule type="cellIs" dxfId="1079" priority="75" operator="lessThan">
      <formula>0</formula>
    </cfRule>
    <cfRule type="cellIs" dxfId="1078" priority="76" operator="greaterThan">
      <formula>0</formula>
    </cfRule>
  </conditionalFormatting>
  <conditionalFormatting sqref="Q27">
    <cfRule type="cellIs" dxfId="1077" priority="73" operator="lessThan">
      <formula>0</formula>
    </cfRule>
    <cfRule type="cellIs" dxfId="1076" priority="74" operator="greaterThan">
      <formula>0</formula>
    </cfRule>
  </conditionalFormatting>
  <conditionalFormatting sqref="I33">
    <cfRule type="cellIs" dxfId="1075" priority="71" operator="lessThan">
      <formula>0</formula>
    </cfRule>
    <cfRule type="cellIs" dxfId="1074" priority="72" operator="greaterThan">
      <formula>0</formula>
    </cfRule>
  </conditionalFormatting>
  <conditionalFormatting sqref="N33">
    <cfRule type="cellIs" dxfId="1073" priority="69" operator="lessThan">
      <formula>0</formula>
    </cfRule>
    <cfRule type="cellIs" dxfId="1072" priority="70" operator="greaterThan">
      <formula>0</formula>
    </cfRule>
  </conditionalFormatting>
  <conditionalFormatting sqref="R33">
    <cfRule type="cellIs" dxfId="1071" priority="67" operator="lessThan">
      <formula>0</formula>
    </cfRule>
    <cfRule type="cellIs" dxfId="1070" priority="68" operator="greaterThan">
      <formula>0</formula>
    </cfRule>
  </conditionalFormatting>
  <conditionalFormatting sqref="H33">
    <cfRule type="cellIs" dxfId="1069" priority="65" operator="lessThan">
      <formula>0</formula>
    </cfRule>
    <cfRule type="cellIs" dxfId="1068" priority="66" operator="greaterThan">
      <formula>0</formula>
    </cfRule>
  </conditionalFormatting>
  <conditionalFormatting sqref="M33">
    <cfRule type="cellIs" dxfId="1067" priority="63" operator="lessThan">
      <formula>0</formula>
    </cfRule>
    <cfRule type="cellIs" dxfId="1066" priority="64" operator="greaterThan">
      <formula>0</formula>
    </cfRule>
  </conditionalFormatting>
  <conditionalFormatting sqref="Q33">
    <cfRule type="cellIs" dxfId="1065" priority="61" operator="lessThan">
      <formula>0</formula>
    </cfRule>
    <cfRule type="cellIs" dxfId="1064" priority="62" operator="greaterThan">
      <formula>0</formula>
    </cfRule>
  </conditionalFormatting>
  <conditionalFormatting sqref="I39">
    <cfRule type="cellIs" dxfId="1063" priority="59" operator="lessThan">
      <formula>0</formula>
    </cfRule>
    <cfRule type="cellIs" dxfId="1062" priority="60" operator="greaterThan">
      <formula>0</formula>
    </cfRule>
  </conditionalFormatting>
  <conditionalFormatting sqref="N39">
    <cfRule type="cellIs" dxfId="1061" priority="57" operator="lessThan">
      <formula>0</formula>
    </cfRule>
    <cfRule type="cellIs" dxfId="1060" priority="58" operator="greaterThan">
      <formula>0</formula>
    </cfRule>
  </conditionalFormatting>
  <conditionalFormatting sqref="R39">
    <cfRule type="cellIs" dxfId="1059" priority="55" operator="lessThan">
      <formula>0</formula>
    </cfRule>
    <cfRule type="cellIs" dxfId="1058" priority="56" operator="greaterThan">
      <formula>0</formula>
    </cfRule>
  </conditionalFormatting>
  <conditionalFormatting sqref="H39">
    <cfRule type="cellIs" dxfId="1057" priority="53" operator="lessThan">
      <formula>0</formula>
    </cfRule>
    <cfRule type="cellIs" dxfId="1056" priority="54" operator="greaterThan">
      <formula>0</formula>
    </cfRule>
  </conditionalFormatting>
  <conditionalFormatting sqref="M39">
    <cfRule type="cellIs" dxfId="1055" priority="51" operator="lessThan">
      <formula>0</formula>
    </cfRule>
    <cfRule type="cellIs" dxfId="1054" priority="52" operator="greaterThan">
      <formula>0</formula>
    </cfRule>
  </conditionalFormatting>
  <conditionalFormatting sqref="Q39">
    <cfRule type="cellIs" dxfId="1053" priority="49" operator="lessThan">
      <formula>0</formula>
    </cfRule>
    <cfRule type="cellIs" dxfId="1052" priority="50" operator="greaterThan">
      <formula>0</formula>
    </cfRule>
  </conditionalFormatting>
  <conditionalFormatting sqref="I45">
    <cfRule type="cellIs" dxfId="1051" priority="47" operator="lessThan">
      <formula>0</formula>
    </cfRule>
    <cfRule type="cellIs" dxfId="1050" priority="48" operator="greaterThan">
      <formula>0</formula>
    </cfRule>
  </conditionalFormatting>
  <conditionalFormatting sqref="N45">
    <cfRule type="cellIs" dxfId="1049" priority="45" operator="lessThan">
      <formula>0</formula>
    </cfRule>
    <cfRule type="cellIs" dxfId="1048" priority="46" operator="greaterThan">
      <formula>0</formula>
    </cfRule>
  </conditionalFormatting>
  <conditionalFormatting sqref="R45">
    <cfRule type="cellIs" dxfId="1047" priority="43" operator="lessThan">
      <formula>0</formula>
    </cfRule>
    <cfRule type="cellIs" dxfId="1046" priority="44" operator="greaterThan">
      <formula>0</formula>
    </cfRule>
  </conditionalFormatting>
  <conditionalFormatting sqref="H45">
    <cfRule type="cellIs" dxfId="1045" priority="41" operator="lessThan">
      <formula>0</formula>
    </cfRule>
    <cfRule type="cellIs" dxfId="1044" priority="42" operator="greaterThan">
      <formula>0</formula>
    </cfRule>
  </conditionalFormatting>
  <conditionalFormatting sqref="M45">
    <cfRule type="cellIs" dxfId="1043" priority="39" operator="lessThan">
      <formula>0</formula>
    </cfRule>
    <cfRule type="cellIs" dxfId="1042" priority="40" operator="greaterThan">
      <formula>0</formula>
    </cfRule>
  </conditionalFormatting>
  <conditionalFormatting sqref="Q45">
    <cfRule type="cellIs" dxfId="1041" priority="37" operator="lessThan">
      <formula>0</formula>
    </cfRule>
    <cfRule type="cellIs" dxfId="1040" priority="38" operator="greaterThan">
      <formula>0</formula>
    </cfRule>
  </conditionalFormatting>
  <conditionalFormatting sqref="I53">
    <cfRule type="cellIs" dxfId="1039" priority="35" operator="lessThan">
      <formula>0</formula>
    </cfRule>
    <cfRule type="cellIs" dxfId="1038" priority="36" operator="greaterThan">
      <formula>0</formula>
    </cfRule>
  </conditionalFormatting>
  <conditionalFormatting sqref="N53">
    <cfRule type="cellIs" dxfId="1037" priority="33" operator="lessThan">
      <formula>0</formula>
    </cfRule>
    <cfRule type="cellIs" dxfId="1036" priority="34" operator="greaterThan">
      <formula>0</formula>
    </cfRule>
  </conditionalFormatting>
  <conditionalFormatting sqref="R53">
    <cfRule type="cellIs" dxfId="1035" priority="31" operator="lessThan">
      <formula>0</formula>
    </cfRule>
    <cfRule type="cellIs" dxfId="1034" priority="32" operator="greaterThan">
      <formula>0</formula>
    </cfRule>
  </conditionalFormatting>
  <conditionalFormatting sqref="H53">
    <cfRule type="cellIs" dxfId="1033" priority="29" operator="lessThan">
      <formula>0</formula>
    </cfRule>
    <cfRule type="cellIs" dxfId="1032" priority="30" operator="greaterThan">
      <formula>0</formula>
    </cfRule>
  </conditionalFormatting>
  <conditionalFormatting sqref="M53">
    <cfRule type="cellIs" dxfId="1031" priority="27" operator="lessThan">
      <formula>0</formula>
    </cfRule>
    <cfRule type="cellIs" dxfId="1030" priority="28" operator="greaterThan">
      <formula>0</formula>
    </cfRule>
  </conditionalFormatting>
  <conditionalFormatting sqref="Q53">
    <cfRule type="cellIs" dxfId="1029" priority="25" operator="lessThan">
      <formula>0</formula>
    </cfRule>
    <cfRule type="cellIs" dxfId="1028" priority="26" operator="greaterThan">
      <formula>0</formula>
    </cfRule>
  </conditionalFormatting>
  <conditionalFormatting sqref="I60">
    <cfRule type="cellIs" dxfId="1027" priority="23" operator="lessThan">
      <formula>0</formula>
    </cfRule>
    <cfRule type="cellIs" dxfId="1026" priority="24" operator="greaterThan">
      <formula>0</formula>
    </cfRule>
  </conditionalFormatting>
  <conditionalFormatting sqref="N60">
    <cfRule type="cellIs" dxfId="1025" priority="21" operator="lessThan">
      <formula>0</formula>
    </cfRule>
    <cfRule type="cellIs" dxfId="1024" priority="22" operator="greaterThan">
      <formula>0</formula>
    </cfRule>
  </conditionalFormatting>
  <conditionalFormatting sqref="R60">
    <cfRule type="cellIs" dxfId="1023" priority="19" operator="lessThan">
      <formula>0</formula>
    </cfRule>
    <cfRule type="cellIs" dxfId="1022" priority="20" operator="greaterThan">
      <formula>0</formula>
    </cfRule>
  </conditionalFormatting>
  <conditionalFormatting sqref="H60">
    <cfRule type="cellIs" dxfId="1021" priority="17" operator="lessThan">
      <formula>0</formula>
    </cfRule>
    <cfRule type="cellIs" dxfId="1020" priority="18" operator="greaterThan">
      <formula>0</formula>
    </cfRule>
  </conditionalFormatting>
  <conditionalFormatting sqref="M60">
    <cfRule type="cellIs" dxfId="1019" priority="15" operator="lessThan">
      <formula>0</formula>
    </cfRule>
    <cfRule type="cellIs" dxfId="1018" priority="16" operator="greaterThan">
      <formula>0</formula>
    </cfRule>
  </conditionalFormatting>
  <conditionalFormatting sqref="Q60">
    <cfRule type="cellIs" dxfId="1017" priority="13" operator="lessThan">
      <formula>0</formula>
    </cfRule>
    <cfRule type="cellIs" dxfId="1016" priority="14" operator="greaterThan">
      <formula>0</formula>
    </cfRule>
  </conditionalFormatting>
  <conditionalFormatting sqref="I66">
    <cfRule type="cellIs" dxfId="1015" priority="11" operator="lessThan">
      <formula>0</formula>
    </cfRule>
    <cfRule type="cellIs" dxfId="1014" priority="12" operator="greaterThan">
      <formula>0</formula>
    </cfRule>
  </conditionalFormatting>
  <conditionalFormatting sqref="N66">
    <cfRule type="cellIs" dxfId="1013" priority="9" operator="lessThan">
      <formula>0</formula>
    </cfRule>
    <cfRule type="cellIs" dxfId="1012" priority="10" operator="greaterThan">
      <formula>0</formula>
    </cfRule>
  </conditionalFormatting>
  <conditionalFormatting sqref="R66">
    <cfRule type="cellIs" dxfId="1011" priority="7" operator="lessThan">
      <formula>0</formula>
    </cfRule>
    <cfRule type="cellIs" dxfId="1010" priority="8" operator="greaterThan">
      <formula>0</formula>
    </cfRule>
  </conditionalFormatting>
  <conditionalFormatting sqref="H66">
    <cfRule type="cellIs" dxfId="1009" priority="5" operator="lessThan">
      <formula>0</formula>
    </cfRule>
    <cfRule type="cellIs" dxfId="1008" priority="6" operator="greaterThan">
      <formula>0</formula>
    </cfRule>
  </conditionalFormatting>
  <conditionalFormatting sqref="M66">
    <cfRule type="cellIs" dxfId="1007" priority="3" operator="lessThan">
      <formula>0</formula>
    </cfRule>
    <cfRule type="cellIs" dxfId="1006" priority="4" operator="greaterThan">
      <formula>0</formula>
    </cfRule>
  </conditionalFormatting>
  <conditionalFormatting sqref="Q66">
    <cfRule type="cellIs" dxfId="1005" priority="1" operator="lessThan">
      <formula>0</formula>
    </cfRule>
    <cfRule type="cellIs" dxfId="1004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31" activePane="bottomRight" state="frozen"/>
      <selection pane="topRight" activeCell="E1" sqref="E1"/>
      <selection pane="bottomLeft" activeCell="A9" sqref="A9"/>
      <selection pane="bottomRight" activeCell="P20" sqref="P2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44038</v>
      </c>
      <c r="K1" s="249">
        <f>G19</f>
        <v>32.00094227565868</v>
      </c>
      <c r="L1" s="249">
        <f>K10</f>
        <v>27.955280303225805</v>
      </c>
      <c r="M1" s="249">
        <f>K1-L1</f>
        <v>4.0456619724328746</v>
      </c>
      <c r="N1" s="273">
        <f>M1/K1*100</f>
        <v>12.642321396611445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171</v>
      </c>
      <c r="B3" s="112"/>
      <c r="L3" s="268">
        <f>G19</f>
        <v>32.00094227565868</v>
      </c>
      <c r="P3" s="249">
        <v>0.105769</v>
      </c>
      <c r="Q3" s="249">
        <f>O1-P3</f>
        <v>-0.105769</v>
      </c>
      <c r="R3" s="249">
        <f>F19-J10</f>
        <v>4.084364925874187</v>
      </c>
      <c r="S3" s="249">
        <f>F19-J10</f>
        <v>4.084364925874187</v>
      </c>
      <c r="T3" s="110">
        <f>S3/F19*100</f>
        <v>12.908758139550875</v>
      </c>
    </row>
    <row r="4" spans="1:20" s="110" customFormat="1" ht="12" customHeight="1" x14ac:dyDescent="0.2">
      <c r="F4" s="110">
        <f>G19/20*31</f>
        <v>49.601460527270952</v>
      </c>
      <c r="G4" s="110">
        <v>13.2800040955377</v>
      </c>
      <c r="H4" s="270">
        <f>G4*F4/100</f>
        <v>6.587075989468099</v>
      </c>
      <c r="I4" s="268">
        <f>F4-H4</f>
        <v>43.014384537802854</v>
      </c>
      <c r="J4" s="270">
        <f>I4/31*20</f>
        <v>27.75121583084055</v>
      </c>
      <c r="K4" s="270">
        <f>J4-K10</f>
        <v>-0.20406447238525516</v>
      </c>
      <c r="L4" s="268">
        <f>G19/27*31</f>
        <v>36.7418226127933</v>
      </c>
      <c r="M4" s="271"/>
      <c r="N4" s="249">
        <f>F19-J10</f>
        <v>4.084364925874187</v>
      </c>
      <c r="O4" s="249">
        <f>N4/F19*100</f>
        <v>12.908758139550875</v>
      </c>
      <c r="Q4" s="249"/>
      <c r="R4" s="110">
        <f>R3/F19*100</f>
        <v>12.908758139550875</v>
      </c>
      <c r="S4" s="249">
        <f>G19-K10</f>
        <v>4.0456619724328746</v>
      </c>
      <c r="T4" s="110">
        <f>S4/G19*100</f>
        <v>12.642321396611445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4.0456619724328746</v>
      </c>
      <c r="O5" s="274">
        <f>N5/G19*100</f>
        <v>12.642321396611445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77" t="s">
        <v>179</v>
      </c>
      <c r="I8" s="114" t="s">
        <v>180</v>
      </c>
      <c r="J8" s="318"/>
      <c r="K8" s="328"/>
      <c r="L8" s="328"/>
      <c r="M8" s="277" t="s">
        <v>179</v>
      </c>
      <c r="N8" s="114" t="s">
        <v>180</v>
      </c>
      <c r="O8" s="318"/>
      <c r="P8" s="328"/>
      <c r="Q8" s="277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31.640262229099999</v>
      </c>
      <c r="G10" s="128">
        <f>SUMIFS(G18:G5005,$A18:$A5005,$A10,$C18:$C5005,$C10)</f>
        <v>32.00094227565868</v>
      </c>
      <c r="H10" s="128">
        <f>G10-F10</f>
        <v>0.3606800465586808</v>
      </c>
      <c r="I10" s="129">
        <f>IFERROR(G10/F10-1,"")</f>
        <v>1.1399401305434154E-2</v>
      </c>
      <c r="J10" s="130">
        <f t="shared" ref="J10" si="1">SUM(J11:J18)</f>
        <v>27.555897303225812</v>
      </c>
      <c r="K10" s="128">
        <f t="shared" ref="K10" si="2">SUM(K11:K18)</f>
        <v>27.955280303225805</v>
      </c>
      <c r="L10" s="128"/>
      <c r="M10" s="250">
        <f>K10-J10</f>
        <v>0.39938299999999316</v>
      </c>
      <c r="N10" s="129">
        <f>IFERROR(K10/J10-1,"")</f>
        <v>1.4493558152186781E-2</v>
      </c>
      <c r="O10" s="128">
        <f>SUMIFS(O18:O5005,$A18:$A5005,$A10,$C18:$C5005,$C10)</f>
        <v>88.370399520000007</v>
      </c>
      <c r="P10" s="128">
        <f>SUMIFS(P18:P5005,$A18:$A5005,$A10,$C18:$C5005,$C10)</f>
        <v>87.306518520000012</v>
      </c>
      <c r="Q10" s="131">
        <f>P10-O10</f>
        <v>-1.063880999999995</v>
      </c>
      <c r="R10" s="132">
        <f t="shared" ref="R10:R19" si="3">IFERROR(P10/O10-1,"")</f>
        <v>-1.2038884126117533E-2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1.6597745161290323</v>
      </c>
      <c r="K11" s="142">
        <f>SUMIFS(K19:K5006,$A19:$A5006,$A11,$C19:$C5006,$C11)</f>
        <v>1.6850435161290322</v>
      </c>
      <c r="L11" s="142"/>
      <c r="M11" s="142">
        <f t="shared" ref="M11:M68" si="4">K11-J11</f>
        <v>2.5268999999999986E-2</v>
      </c>
      <c r="N11" s="143">
        <f t="shared" ref="N11:N68" si="5">IFERROR(K11/J11-1,"")</f>
        <v>1.5224357136734978E-2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0.60315387096774198</v>
      </c>
      <c r="K14" s="142">
        <f>SUMIFS(K19:K5006,$A19:$A5006,$A14,$C19:$C5006,$C14)</f>
        <v>0.59953287096774199</v>
      </c>
      <c r="L14" s="142"/>
      <c r="M14" s="142">
        <f t="shared" si="4"/>
        <v>-3.6209999999999853E-3</v>
      </c>
      <c r="N14" s="143">
        <f t="shared" si="5"/>
        <v>-6.0034431913538189E-3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6.7619863999999916</v>
      </c>
      <c r="K15" s="142">
        <f>SUMIFS(K19:K5006,$A19:$A5006,$A15,$C19:$C5006,$C15)</f>
        <v>7.0572143999999914</v>
      </c>
      <c r="L15" s="142"/>
      <c r="M15" s="142">
        <f t="shared" si="4"/>
        <v>0.29522799999999982</v>
      </c>
      <c r="N15" s="143">
        <f t="shared" si="5"/>
        <v>4.3659951756188198E-2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0.35091109677419358</v>
      </c>
      <c r="K16" s="142">
        <f>SUMIFS(K19:K5006,$A19:$A5006,$A16,$C19:$C5006,$C16)</f>
        <v>0.3457210967741936</v>
      </c>
      <c r="L16" s="142"/>
      <c r="M16" s="142">
        <f t="shared" si="4"/>
        <v>-5.1899999999999724E-3</v>
      </c>
      <c r="N16" s="143">
        <f t="shared" si="5"/>
        <v>-1.4790070897471974E-2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9.9341034838709685</v>
      </c>
      <c r="K17" s="142">
        <f>SUMIFS(K19:K5006,$A19:$A5006,$A17,$C19:$C5006,$C17)</f>
        <v>10.033844483870968</v>
      </c>
      <c r="L17" s="142"/>
      <c r="M17" s="142">
        <f t="shared" si="4"/>
        <v>9.9740999999999858E-2</v>
      </c>
      <c r="N17" s="143">
        <f t="shared" si="5"/>
        <v>1.0040261827545915E-2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8.2459679354838809</v>
      </c>
      <c r="K18" s="154">
        <f>SUMIFS(K19:K5006,$A19:$A5006,$A18,$C19:$C5006,$C18)</f>
        <v>8.2339239354838814</v>
      </c>
      <c r="L18" s="154"/>
      <c r="M18" s="154">
        <f t="shared" si="4"/>
        <v>-1.20439999999995E-2</v>
      </c>
      <c r="N18" s="155">
        <f t="shared" si="5"/>
        <v>-1.4605926307537098E-3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31.640262229099999</v>
      </c>
      <c r="G19" s="210">
        <v>32.00094227565868</v>
      </c>
      <c r="H19" s="269">
        <f>G19-F19</f>
        <v>0.3606800465586808</v>
      </c>
      <c r="I19" s="164">
        <f>IFERROR(G19/F19-1,"")</f>
        <v>1.1399401305434154E-2</v>
      </c>
      <c r="J19" s="165">
        <f>SUM(J20,J29,J35,J41,J47,J55,J62,J63)</f>
        <v>27.555897303225812</v>
      </c>
      <c r="K19" s="163">
        <f>SUM(K20,K29,K35,K41,K47,K55,K62,K63)</f>
        <v>27.955280303225805</v>
      </c>
      <c r="L19" s="163"/>
      <c r="M19" s="163">
        <f t="shared" si="4"/>
        <v>0.39938299999999316</v>
      </c>
      <c r="N19" s="164">
        <f t="shared" si="5"/>
        <v>1.4493558152186781E-2</v>
      </c>
      <c r="O19" s="210">
        <v>88.370399520000007</v>
      </c>
      <c r="P19" s="210">
        <f>O19-1.063881</f>
        <v>87.306518520000012</v>
      </c>
      <c r="Q19" s="166">
        <f t="shared" ref="Q19" si="7">P19-O19</f>
        <v>-1.063880999999995</v>
      </c>
      <c r="R19" s="167">
        <f t="shared" si="3"/>
        <v>-1.2038884126117533E-2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1.6597745161290323</v>
      </c>
      <c r="K20" s="173">
        <f>SUM(K21:K28)</f>
        <v>1.6850435161290322</v>
      </c>
      <c r="L20" s="173"/>
      <c r="M20" s="251">
        <f t="shared" si="4"/>
        <v>2.5268999999999986E-2</v>
      </c>
      <c r="N20" s="174">
        <f t="shared" si="5"/>
        <v>1.5224357136734978E-2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1.008336/31*19</f>
        <v>0.6180123870967742</v>
      </c>
      <c r="K24" s="262">
        <f>J24+0.00529</f>
        <v>0.62330238709677421</v>
      </c>
      <c r="L24" s="185"/>
      <c r="M24" s="252">
        <f>K24-J24</f>
        <v>5.2900000000000169E-3</v>
      </c>
      <c r="N24" s="186">
        <f>IFERROR(K24/J24-1,"")</f>
        <v>8.5596989808744972E-3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0.205531/31*26</f>
        <v>0.17238083870967741</v>
      </c>
      <c r="K25" s="272">
        <f>J25+0.007456</f>
        <v>0.1798368387096774</v>
      </c>
      <c r="L25" s="185"/>
      <c r="M25" s="252">
        <f t="shared" ref="M25:M27" si="10">K25-J25</f>
        <v>7.4559999999999904E-3</v>
      </c>
      <c r="N25" s="186">
        <f t="shared" ref="N25:N27" si="11">IFERROR(K25/J25-1,"")</f>
        <v>4.3253067195927253E-2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0.077075/31*26</f>
        <v>6.464354838709678E-2</v>
      </c>
      <c r="K26" s="262">
        <f>J26+0.006527</f>
        <v>7.1170548387096785E-2</v>
      </c>
      <c r="L26" s="185"/>
      <c r="M26" s="252">
        <f t="shared" si="10"/>
        <v>6.527000000000005E-3</v>
      </c>
      <c r="N26" s="186">
        <f t="shared" si="11"/>
        <v>0.1009690860550414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0.959495/31*26</f>
        <v>0.80473774193548386</v>
      </c>
      <c r="K28" s="190">
        <f>J28+0.005996</f>
        <v>0.81073374193548386</v>
      </c>
      <c r="L28" s="190"/>
      <c r="M28" s="185">
        <f t="shared" si="4"/>
        <v>5.9960000000000013E-3</v>
      </c>
      <c r="N28" s="186">
        <f t="shared" si="5"/>
        <v>7.4508745986971991E-3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0.60315387096774198</v>
      </c>
      <c r="K41" s="251">
        <f t="shared" si="15"/>
        <v>0.59953287096774199</v>
      </c>
      <c r="L41" s="173"/>
      <c r="M41" s="173">
        <f t="shared" si="4"/>
        <v>-3.6209999999999853E-3</v>
      </c>
      <c r="N41" s="174">
        <f t="shared" si="5"/>
        <v>-6.0034431913538189E-3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184">
        <f>0.719145/31*26</f>
        <v>0.60315387096774198</v>
      </c>
      <c r="K46" s="185">
        <f>J46-0.003621</f>
        <v>0.59953287096774199</v>
      </c>
      <c r="L46" s="185"/>
      <c r="M46" s="185">
        <f t="shared" si="4"/>
        <v>-3.6209999999999853E-3</v>
      </c>
      <c r="N46" s="186">
        <f t="shared" si="5"/>
        <v>-6.0034431913538189E-3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6.7619863999999916</v>
      </c>
      <c r="K47" s="251">
        <f>SUM(K48:K54)</f>
        <v>7.0572143999999914</v>
      </c>
      <c r="L47" s="173"/>
      <c r="M47" s="251">
        <f t="shared" si="4"/>
        <v>0.29522799999999982</v>
      </c>
      <c r="N47" s="174">
        <f t="shared" si="5"/>
        <v>4.3659951756188198E-2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0.134099/31*26</f>
        <v>0.11247012903225806</v>
      </c>
      <c r="K51" s="256">
        <f>J51+0.021474</f>
        <v>0.13394412903225805</v>
      </c>
      <c r="L51" s="190"/>
      <c r="M51" s="252">
        <f>K51-J51</f>
        <v>2.1473999999999993E-2</v>
      </c>
      <c r="N51" s="186">
        <f t="shared" si="5"/>
        <v>0.19093069586361855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0.318796/31*26</f>
        <v>0.26737729032258067</v>
      </c>
      <c r="K52" s="190">
        <f>J52-0.052141</f>
        <v>0.21523629032258068</v>
      </c>
      <c r="L52" s="190"/>
      <c r="M52" s="252">
        <f t="shared" ref="M52:M53" si="16">K52-J52</f>
        <v>-5.2140999999999993E-2</v>
      </c>
      <c r="N52" s="186">
        <f t="shared" si="5"/>
        <v>-0.19500908224888447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7.60947339999999/31*26</f>
        <v>6.3821389806451529</v>
      </c>
      <c r="K54" s="185">
        <f>J54+0.325895</f>
        <v>6.708033980645153</v>
      </c>
      <c r="L54" s="185"/>
      <c r="M54" s="252">
        <f t="shared" si="4"/>
        <v>0.32589500000000005</v>
      </c>
      <c r="N54" s="186">
        <f t="shared" si="5"/>
        <v>5.1063601245339152E-2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0.35091109677419358</v>
      </c>
      <c r="K55" s="173">
        <f t="shared" si="18"/>
        <v>0.3457210967741936</v>
      </c>
      <c r="L55" s="173"/>
      <c r="M55" s="251">
        <f t="shared" si="4"/>
        <v>-5.1899999999999724E-3</v>
      </c>
      <c r="N55" s="174">
        <f t="shared" si="5"/>
        <v>-1.4790070897471974E-2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0.135985/31*26</f>
        <v>0.11405193548387096</v>
      </c>
      <c r="K59" s="262">
        <f>J59-0.001332</f>
        <v>0.11271993548387096</v>
      </c>
      <c r="L59" s="190"/>
      <c r="M59" s="185">
        <f>K59-J59</f>
        <v>-1.3319999999999999E-3</v>
      </c>
      <c r="N59" s="186">
        <f>IFERROR(K59/J59-1,"")</f>
        <v>-1.1678889922813851E-2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0.282409/31*26</f>
        <v>0.23685916129032261</v>
      </c>
      <c r="K61" s="185">
        <f>J61-0.003858</f>
        <v>0.23300116129032261</v>
      </c>
      <c r="L61" s="185"/>
      <c r="M61" s="185">
        <f t="shared" si="4"/>
        <v>-3.8580000000000003E-3</v>
      </c>
      <c r="N61" s="186">
        <f t="shared" si="5"/>
        <v>-1.628816035226599E-2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11.844508/31*26</f>
        <v>9.9341034838709685</v>
      </c>
      <c r="K62" s="261">
        <f>J62+0.099741</f>
        <v>10.033844483870968</v>
      </c>
      <c r="L62" s="193"/>
      <c r="M62" s="253">
        <f t="shared" si="4"/>
        <v>9.9740999999999858E-2</v>
      </c>
      <c r="N62" s="194">
        <f t="shared" si="5"/>
        <v>1.0040261827545915E-2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8.2459679354838809</v>
      </c>
      <c r="K63" s="173">
        <f>SUM(K64:K68)</f>
        <v>8.2339239354838814</v>
      </c>
      <c r="L63" s="173"/>
      <c r="M63" s="173">
        <f t="shared" si="4"/>
        <v>-1.20439999999995E-2</v>
      </c>
      <c r="N63" s="174">
        <f t="shared" si="5"/>
        <v>-1.4605926307537098E-3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9.83173100000001/31*26</f>
        <v>8.2459679354838809</v>
      </c>
      <c r="K64" s="211">
        <f>J64-0.012044</f>
        <v>8.2339239354838814</v>
      </c>
      <c r="L64" s="185"/>
      <c r="M64" s="252">
        <f t="shared" si="4"/>
        <v>-1.20439999999995E-2</v>
      </c>
      <c r="N64" s="186">
        <f t="shared" si="5"/>
        <v>-1.4605926307537098E-3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11228078.093841657</v>
      </c>
      <c r="L74" s="133">
        <f>J74-K74</f>
        <v>1317518.906158343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27555.897303225811</v>
      </c>
      <c r="L83" s="267">
        <f>L84+L85+L86+L87+L88+L89</f>
        <v>27955.280303225809</v>
      </c>
      <c r="M83" s="267">
        <f>L83-K83</f>
        <v>399.38299999999799</v>
      </c>
      <c r="N83" s="266">
        <f>M83/K83</f>
        <v>1.4493558152187063E-2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1659.7745161290322</v>
      </c>
      <c r="L84" s="267">
        <f>K20*1000</f>
        <v>1685.0435161290322</v>
      </c>
      <c r="M84" s="267">
        <f t="shared" ref="M84:M89" si="19">L84-K84</f>
        <v>25.269000000000005</v>
      </c>
      <c r="N84" s="266">
        <f t="shared" ref="N84:N89" si="20">M84/K84</f>
        <v>1.5224357136735055E-2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603.15387096774202</v>
      </c>
      <c r="L85" s="267">
        <f>K46*1000</f>
        <v>599.53287096774204</v>
      </c>
      <c r="M85" s="267">
        <f t="shared" si="19"/>
        <v>-3.6209999999999809</v>
      </c>
      <c r="N85" s="266">
        <f t="shared" si="20"/>
        <v>-6.0034431913538024E-3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6761.9863999999916</v>
      </c>
      <c r="L86" s="267">
        <f>K47*1000</f>
        <v>7057.2143999999917</v>
      </c>
      <c r="M86" s="267">
        <f t="shared" si="19"/>
        <v>295.22800000000007</v>
      </c>
      <c r="N86" s="266">
        <f t="shared" si="20"/>
        <v>4.3659951756188156E-2</v>
      </c>
    </row>
    <row r="87" spans="5:20" x14ac:dyDescent="0.25">
      <c r="J87" s="133" t="s">
        <v>189</v>
      </c>
      <c r="K87" s="267">
        <f>J55*1000</f>
        <v>350.9110967741936</v>
      </c>
      <c r="L87" s="267">
        <f>K55*1000</f>
        <v>345.7210967741936</v>
      </c>
      <c r="M87" s="267">
        <f t="shared" si="19"/>
        <v>-5.1899999999999977</v>
      </c>
      <c r="N87" s="266">
        <f t="shared" si="20"/>
        <v>-1.4790070897472047E-2</v>
      </c>
    </row>
    <row r="88" spans="5:20" x14ac:dyDescent="0.25">
      <c r="E88" s="133">
        <v>9.8273639999999993</v>
      </c>
      <c r="J88" s="133" t="s">
        <v>190</v>
      </c>
      <c r="K88" s="267">
        <f>J62*1000</f>
        <v>9934.1034838709693</v>
      </c>
      <c r="L88" s="267">
        <f>K62*1000</f>
        <v>10033.844483870969</v>
      </c>
      <c r="M88" s="267">
        <f t="shared" si="19"/>
        <v>99.740999999999985</v>
      </c>
      <c r="N88" s="266">
        <f t="shared" si="20"/>
        <v>1.0040261827545855E-2</v>
      </c>
    </row>
    <row r="89" spans="5:20" x14ac:dyDescent="0.25">
      <c r="E89" s="133">
        <v>11.487494999999999</v>
      </c>
      <c r="J89" s="133" t="s">
        <v>191</v>
      </c>
      <c r="K89" s="267">
        <f>J64*1000</f>
        <v>8245.9679354838809</v>
      </c>
      <c r="L89" s="267">
        <f>K64*1000</f>
        <v>8233.923935483881</v>
      </c>
      <c r="M89" s="267">
        <f t="shared" si="19"/>
        <v>-12.043999999999869</v>
      </c>
      <c r="N89" s="266">
        <f t="shared" si="20"/>
        <v>-1.4605926307537983E-3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1003" priority="95" operator="lessThan">
      <formula>0</formula>
    </cfRule>
    <cfRule type="cellIs" dxfId="1002" priority="96" operator="greaterThan">
      <formula>0</formula>
    </cfRule>
  </conditionalFormatting>
  <conditionalFormatting sqref="N10:N26 N28:N32 N34:N38 N40:N44 N46:N52 N54:N59 N61:N65 N67:N68">
    <cfRule type="cellIs" dxfId="1001" priority="93" operator="lessThan">
      <formula>0</formula>
    </cfRule>
    <cfRule type="cellIs" dxfId="1000" priority="94" operator="greaterThan">
      <formula>0</formula>
    </cfRule>
  </conditionalFormatting>
  <conditionalFormatting sqref="R10:R26 R28:R32 R34:R38 R40:R44 R46:R52 R54:R59 R61:R65 R67:R68">
    <cfRule type="cellIs" dxfId="999" priority="91" operator="lessThan">
      <formula>0</formula>
    </cfRule>
    <cfRule type="cellIs" dxfId="998" priority="92" operator="greaterThan">
      <formula>0</formula>
    </cfRule>
  </conditionalFormatting>
  <conditionalFormatting sqref="H10:H26 H28:H32 H34:H38 H40:H44 H46:H52 H54:H59 H61:H65 H67:H68">
    <cfRule type="cellIs" dxfId="997" priority="89" operator="lessThan">
      <formula>0</formula>
    </cfRule>
    <cfRule type="cellIs" dxfId="996" priority="90" operator="greaterThan">
      <formula>0</formula>
    </cfRule>
  </conditionalFormatting>
  <conditionalFormatting sqref="M10:M26 M28:M32 M34:M38 M40:M44 M46:M52 M54:M59 M61:M65 M67:M68">
    <cfRule type="cellIs" dxfId="995" priority="87" operator="lessThan">
      <formula>0</formula>
    </cfRule>
    <cfRule type="cellIs" dxfId="994" priority="88" operator="greaterThan">
      <formula>0</formula>
    </cfRule>
  </conditionalFormatting>
  <conditionalFormatting sqref="Q10:Q26 Q28:Q32 Q34:Q38 Q40:Q44 Q46:Q52 Q54:Q59 Q61:Q65 Q67:Q68">
    <cfRule type="cellIs" dxfId="993" priority="85" operator="lessThan">
      <formula>0</formula>
    </cfRule>
    <cfRule type="cellIs" dxfId="992" priority="86" operator="greaterThan">
      <formula>0</formula>
    </cfRule>
  </conditionalFormatting>
  <conditionalFormatting sqref="I27">
    <cfRule type="cellIs" dxfId="991" priority="83" operator="lessThan">
      <formula>0</formula>
    </cfRule>
    <cfRule type="cellIs" dxfId="990" priority="84" operator="greaterThan">
      <formula>0</formula>
    </cfRule>
  </conditionalFormatting>
  <conditionalFormatting sqref="N27">
    <cfRule type="cellIs" dxfId="989" priority="81" operator="lessThan">
      <formula>0</formula>
    </cfRule>
    <cfRule type="cellIs" dxfId="988" priority="82" operator="greaterThan">
      <formula>0</formula>
    </cfRule>
  </conditionalFormatting>
  <conditionalFormatting sqref="R27">
    <cfRule type="cellIs" dxfId="987" priority="79" operator="lessThan">
      <formula>0</formula>
    </cfRule>
    <cfRule type="cellIs" dxfId="986" priority="80" operator="greaterThan">
      <formula>0</formula>
    </cfRule>
  </conditionalFormatting>
  <conditionalFormatting sqref="H27">
    <cfRule type="cellIs" dxfId="985" priority="77" operator="lessThan">
      <formula>0</formula>
    </cfRule>
    <cfRule type="cellIs" dxfId="984" priority="78" operator="greaterThan">
      <formula>0</formula>
    </cfRule>
  </conditionalFormatting>
  <conditionalFormatting sqref="M27">
    <cfRule type="cellIs" dxfId="983" priority="75" operator="lessThan">
      <formula>0</formula>
    </cfRule>
    <cfRule type="cellIs" dxfId="982" priority="76" operator="greaterThan">
      <formula>0</formula>
    </cfRule>
  </conditionalFormatting>
  <conditionalFormatting sqref="Q27">
    <cfRule type="cellIs" dxfId="981" priority="73" operator="lessThan">
      <formula>0</formula>
    </cfRule>
    <cfRule type="cellIs" dxfId="980" priority="74" operator="greaterThan">
      <formula>0</formula>
    </cfRule>
  </conditionalFormatting>
  <conditionalFormatting sqref="I33">
    <cfRule type="cellIs" dxfId="979" priority="71" operator="lessThan">
      <formula>0</formula>
    </cfRule>
    <cfRule type="cellIs" dxfId="978" priority="72" operator="greaterThan">
      <formula>0</formula>
    </cfRule>
  </conditionalFormatting>
  <conditionalFormatting sqref="N33">
    <cfRule type="cellIs" dxfId="977" priority="69" operator="lessThan">
      <formula>0</formula>
    </cfRule>
    <cfRule type="cellIs" dxfId="976" priority="70" operator="greaterThan">
      <formula>0</formula>
    </cfRule>
  </conditionalFormatting>
  <conditionalFormatting sqref="R33">
    <cfRule type="cellIs" dxfId="975" priority="67" operator="lessThan">
      <formula>0</formula>
    </cfRule>
    <cfRule type="cellIs" dxfId="974" priority="68" operator="greaterThan">
      <formula>0</formula>
    </cfRule>
  </conditionalFormatting>
  <conditionalFormatting sqref="H33">
    <cfRule type="cellIs" dxfId="973" priority="65" operator="lessThan">
      <formula>0</formula>
    </cfRule>
    <cfRule type="cellIs" dxfId="972" priority="66" operator="greaterThan">
      <formula>0</formula>
    </cfRule>
  </conditionalFormatting>
  <conditionalFormatting sqref="M33">
    <cfRule type="cellIs" dxfId="971" priority="63" operator="lessThan">
      <formula>0</formula>
    </cfRule>
    <cfRule type="cellIs" dxfId="970" priority="64" operator="greaterThan">
      <formula>0</formula>
    </cfRule>
  </conditionalFormatting>
  <conditionalFormatting sqref="Q33">
    <cfRule type="cellIs" dxfId="969" priority="61" operator="lessThan">
      <formula>0</formula>
    </cfRule>
    <cfRule type="cellIs" dxfId="968" priority="62" operator="greaterThan">
      <formula>0</formula>
    </cfRule>
  </conditionalFormatting>
  <conditionalFormatting sqref="I39">
    <cfRule type="cellIs" dxfId="967" priority="59" operator="lessThan">
      <formula>0</formula>
    </cfRule>
    <cfRule type="cellIs" dxfId="966" priority="60" operator="greaterThan">
      <formula>0</formula>
    </cfRule>
  </conditionalFormatting>
  <conditionalFormatting sqref="N39">
    <cfRule type="cellIs" dxfId="965" priority="57" operator="lessThan">
      <formula>0</formula>
    </cfRule>
    <cfRule type="cellIs" dxfId="964" priority="58" operator="greaterThan">
      <formula>0</formula>
    </cfRule>
  </conditionalFormatting>
  <conditionalFormatting sqref="R39">
    <cfRule type="cellIs" dxfId="963" priority="55" operator="lessThan">
      <formula>0</formula>
    </cfRule>
    <cfRule type="cellIs" dxfId="962" priority="56" operator="greaterThan">
      <formula>0</formula>
    </cfRule>
  </conditionalFormatting>
  <conditionalFormatting sqref="H39">
    <cfRule type="cellIs" dxfId="961" priority="53" operator="lessThan">
      <formula>0</formula>
    </cfRule>
    <cfRule type="cellIs" dxfId="960" priority="54" operator="greaterThan">
      <formula>0</formula>
    </cfRule>
  </conditionalFormatting>
  <conditionalFormatting sqref="M39">
    <cfRule type="cellIs" dxfId="959" priority="51" operator="lessThan">
      <formula>0</formula>
    </cfRule>
    <cfRule type="cellIs" dxfId="958" priority="52" operator="greaterThan">
      <formula>0</formula>
    </cfRule>
  </conditionalFormatting>
  <conditionalFormatting sqref="Q39">
    <cfRule type="cellIs" dxfId="957" priority="49" operator="lessThan">
      <formula>0</formula>
    </cfRule>
    <cfRule type="cellIs" dxfId="956" priority="50" operator="greaterThan">
      <formula>0</formula>
    </cfRule>
  </conditionalFormatting>
  <conditionalFormatting sqref="I45">
    <cfRule type="cellIs" dxfId="955" priority="47" operator="lessThan">
      <formula>0</formula>
    </cfRule>
    <cfRule type="cellIs" dxfId="954" priority="48" operator="greaterThan">
      <formula>0</formula>
    </cfRule>
  </conditionalFormatting>
  <conditionalFormatting sqref="N45">
    <cfRule type="cellIs" dxfId="953" priority="45" operator="lessThan">
      <formula>0</formula>
    </cfRule>
    <cfRule type="cellIs" dxfId="952" priority="46" operator="greaterThan">
      <formula>0</formula>
    </cfRule>
  </conditionalFormatting>
  <conditionalFormatting sqref="R45">
    <cfRule type="cellIs" dxfId="951" priority="43" operator="lessThan">
      <formula>0</formula>
    </cfRule>
    <cfRule type="cellIs" dxfId="950" priority="44" operator="greaterThan">
      <formula>0</formula>
    </cfRule>
  </conditionalFormatting>
  <conditionalFormatting sqref="H45">
    <cfRule type="cellIs" dxfId="949" priority="41" operator="lessThan">
      <formula>0</formula>
    </cfRule>
    <cfRule type="cellIs" dxfId="948" priority="42" operator="greaterThan">
      <formula>0</formula>
    </cfRule>
  </conditionalFormatting>
  <conditionalFormatting sqref="M45">
    <cfRule type="cellIs" dxfId="947" priority="39" operator="lessThan">
      <formula>0</formula>
    </cfRule>
    <cfRule type="cellIs" dxfId="946" priority="40" operator="greaterThan">
      <formula>0</formula>
    </cfRule>
  </conditionalFormatting>
  <conditionalFormatting sqref="Q45">
    <cfRule type="cellIs" dxfId="945" priority="37" operator="lessThan">
      <formula>0</formula>
    </cfRule>
    <cfRule type="cellIs" dxfId="944" priority="38" operator="greaterThan">
      <formula>0</formula>
    </cfRule>
  </conditionalFormatting>
  <conditionalFormatting sqref="I53">
    <cfRule type="cellIs" dxfId="943" priority="35" operator="lessThan">
      <formula>0</formula>
    </cfRule>
    <cfRule type="cellIs" dxfId="942" priority="36" operator="greaterThan">
      <formula>0</formula>
    </cfRule>
  </conditionalFormatting>
  <conditionalFormatting sqref="N53">
    <cfRule type="cellIs" dxfId="941" priority="33" operator="lessThan">
      <formula>0</formula>
    </cfRule>
    <cfRule type="cellIs" dxfId="940" priority="34" operator="greaterThan">
      <formula>0</formula>
    </cfRule>
  </conditionalFormatting>
  <conditionalFormatting sqref="R53">
    <cfRule type="cellIs" dxfId="939" priority="31" operator="lessThan">
      <formula>0</formula>
    </cfRule>
    <cfRule type="cellIs" dxfId="938" priority="32" operator="greaterThan">
      <formula>0</formula>
    </cfRule>
  </conditionalFormatting>
  <conditionalFormatting sqref="H53">
    <cfRule type="cellIs" dxfId="937" priority="29" operator="lessThan">
      <formula>0</formula>
    </cfRule>
    <cfRule type="cellIs" dxfId="936" priority="30" operator="greaterThan">
      <formula>0</formula>
    </cfRule>
  </conditionalFormatting>
  <conditionalFormatting sqref="M53">
    <cfRule type="cellIs" dxfId="935" priority="27" operator="lessThan">
      <formula>0</formula>
    </cfRule>
    <cfRule type="cellIs" dxfId="934" priority="28" operator="greaterThan">
      <formula>0</formula>
    </cfRule>
  </conditionalFormatting>
  <conditionalFormatting sqref="Q53">
    <cfRule type="cellIs" dxfId="933" priority="25" operator="lessThan">
      <formula>0</formula>
    </cfRule>
    <cfRule type="cellIs" dxfId="932" priority="26" operator="greaterThan">
      <formula>0</formula>
    </cfRule>
  </conditionalFormatting>
  <conditionalFormatting sqref="I60">
    <cfRule type="cellIs" dxfId="931" priority="23" operator="lessThan">
      <formula>0</formula>
    </cfRule>
    <cfRule type="cellIs" dxfId="930" priority="24" operator="greaterThan">
      <formula>0</formula>
    </cfRule>
  </conditionalFormatting>
  <conditionalFormatting sqref="N60">
    <cfRule type="cellIs" dxfId="929" priority="21" operator="lessThan">
      <formula>0</formula>
    </cfRule>
    <cfRule type="cellIs" dxfId="928" priority="22" operator="greaterThan">
      <formula>0</formula>
    </cfRule>
  </conditionalFormatting>
  <conditionalFormatting sqref="R60">
    <cfRule type="cellIs" dxfId="927" priority="19" operator="lessThan">
      <formula>0</formula>
    </cfRule>
    <cfRule type="cellIs" dxfId="926" priority="20" operator="greaterThan">
      <formula>0</formula>
    </cfRule>
  </conditionalFormatting>
  <conditionalFormatting sqref="H60">
    <cfRule type="cellIs" dxfId="925" priority="17" operator="lessThan">
      <formula>0</formula>
    </cfRule>
    <cfRule type="cellIs" dxfId="924" priority="18" operator="greaterThan">
      <formula>0</formula>
    </cfRule>
  </conditionalFormatting>
  <conditionalFormatting sqref="M60">
    <cfRule type="cellIs" dxfId="923" priority="15" operator="lessThan">
      <formula>0</formula>
    </cfRule>
    <cfRule type="cellIs" dxfId="922" priority="16" operator="greaterThan">
      <formula>0</formula>
    </cfRule>
  </conditionalFormatting>
  <conditionalFormatting sqref="Q60">
    <cfRule type="cellIs" dxfId="921" priority="13" operator="lessThan">
      <formula>0</formula>
    </cfRule>
    <cfRule type="cellIs" dxfId="920" priority="14" operator="greaterThan">
      <formula>0</formula>
    </cfRule>
  </conditionalFormatting>
  <conditionalFormatting sqref="I66">
    <cfRule type="cellIs" dxfId="919" priority="11" operator="lessThan">
      <formula>0</formula>
    </cfRule>
    <cfRule type="cellIs" dxfId="918" priority="12" operator="greaterThan">
      <formula>0</formula>
    </cfRule>
  </conditionalFormatting>
  <conditionalFormatting sqref="N66">
    <cfRule type="cellIs" dxfId="917" priority="9" operator="lessThan">
      <formula>0</formula>
    </cfRule>
    <cfRule type="cellIs" dxfId="916" priority="10" operator="greaterThan">
      <formula>0</formula>
    </cfRule>
  </conditionalFormatting>
  <conditionalFormatting sqref="R66">
    <cfRule type="cellIs" dxfId="915" priority="7" operator="lessThan">
      <formula>0</formula>
    </cfRule>
    <cfRule type="cellIs" dxfId="914" priority="8" operator="greaterThan">
      <formula>0</formula>
    </cfRule>
  </conditionalFormatting>
  <conditionalFormatting sqref="H66">
    <cfRule type="cellIs" dxfId="913" priority="5" operator="lessThan">
      <formula>0</formula>
    </cfRule>
    <cfRule type="cellIs" dxfId="912" priority="6" operator="greaterThan">
      <formula>0</formula>
    </cfRule>
  </conditionalFormatting>
  <conditionalFormatting sqref="M66">
    <cfRule type="cellIs" dxfId="911" priority="3" operator="lessThan">
      <formula>0</formula>
    </cfRule>
    <cfRule type="cellIs" dxfId="910" priority="4" operator="greaterThan">
      <formula>0</formula>
    </cfRule>
  </conditionalFormatting>
  <conditionalFormatting sqref="Q66">
    <cfRule type="cellIs" dxfId="909" priority="1" operator="lessThan">
      <formula>0</formula>
    </cfRule>
    <cfRule type="cellIs" dxfId="908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O20" sqref="O20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44207</v>
      </c>
      <c r="K1" s="249">
        <f>G19</f>
        <v>20.86619</v>
      </c>
      <c r="L1" s="249">
        <f>K10</f>
        <v>15.193824645161293</v>
      </c>
      <c r="M1" s="249">
        <f>K1-L1</f>
        <v>5.672365354838707</v>
      </c>
      <c r="N1" s="273">
        <f>M1/K1*100</f>
        <v>27.184480515315478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20.86619</v>
      </c>
      <c r="P3" s="249">
        <v>0.105769</v>
      </c>
      <c r="Q3" s="249">
        <f>O1-P3</f>
        <v>-0.105769</v>
      </c>
      <c r="R3" s="249">
        <f>F19-J10</f>
        <v>2.5779393548387084</v>
      </c>
      <c r="S3" s="249">
        <f>F19-J10</f>
        <v>2.5779393548387084</v>
      </c>
      <c r="T3" s="110">
        <f>S3/F19*100</f>
        <v>14.696800690268233</v>
      </c>
    </row>
    <row r="4" spans="1:20" s="110" customFormat="1" ht="12" customHeight="1" x14ac:dyDescent="0.2">
      <c r="F4" s="110">
        <f>G19/20*31</f>
        <v>32.342594499999997</v>
      </c>
      <c r="G4" s="110">
        <v>13.2800040955377</v>
      </c>
      <c r="H4" s="270">
        <f>G4*F4/100</f>
        <v>4.29509787420315</v>
      </c>
      <c r="I4" s="268">
        <f>F4-H4</f>
        <v>28.047496625796846</v>
      </c>
      <c r="J4" s="270">
        <f>I4/31*20</f>
        <v>18.095159113417321</v>
      </c>
      <c r="K4" s="270">
        <f>J4-K10</f>
        <v>2.901334468256028</v>
      </c>
      <c r="L4" s="268">
        <f>G19/27*31</f>
        <v>23.957477407407406</v>
      </c>
      <c r="M4" s="271"/>
      <c r="N4" s="249">
        <f>F19-J10</f>
        <v>2.5779393548387084</v>
      </c>
      <c r="O4" s="249">
        <f>N4/F19*100</f>
        <v>14.696800690268233</v>
      </c>
      <c r="Q4" s="249"/>
      <c r="R4" s="110">
        <f>R3/F19*100</f>
        <v>14.696800690268233</v>
      </c>
      <c r="S4" s="249">
        <f>G19-K10</f>
        <v>5.672365354838707</v>
      </c>
      <c r="T4" s="110">
        <f>S4/G19*100</f>
        <v>27.184480515315478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5.672365354838707</v>
      </c>
      <c r="O5" s="274">
        <f>N5/G19*100</f>
        <v>27.184480515315478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78" t="s">
        <v>179</v>
      </c>
      <c r="I8" s="114" t="s">
        <v>180</v>
      </c>
      <c r="J8" s="318"/>
      <c r="K8" s="328"/>
      <c r="L8" s="328"/>
      <c r="M8" s="278" t="s">
        <v>179</v>
      </c>
      <c r="N8" s="114" t="s">
        <v>180</v>
      </c>
      <c r="O8" s="318"/>
      <c r="P8" s="328"/>
      <c r="Q8" s="278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17.54082</v>
      </c>
      <c r="G10" s="128">
        <f>SUMIFS(G18:G5005,$A18:$A5005,$A10,$C18:$C5005,$C10)</f>
        <v>20.86619</v>
      </c>
      <c r="H10" s="128">
        <f>G10-F10</f>
        <v>3.3253699999999995</v>
      </c>
      <c r="I10" s="129">
        <f>IFERROR(G10/F10-1,"")</f>
        <v>0.18957893644652879</v>
      </c>
      <c r="J10" s="130">
        <f t="shared" ref="J10" si="1">SUM(J11:J18)</f>
        <v>14.962880645161292</v>
      </c>
      <c r="K10" s="128">
        <f t="shared" ref="K10" si="2">SUM(K11:K18)</f>
        <v>15.193824645161293</v>
      </c>
      <c r="L10" s="128"/>
      <c r="M10" s="250">
        <f>K10-J10</f>
        <v>0.23094400000000093</v>
      </c>
      <c r="N10" s="129">
        <f>IFERROR(K10/J10-1,"")</f>
        <v>1.5434461149343104E-2</v>
      </c>
      <c r="O10" s="128">
        <f>SUMIFS(O18:O5005,$A18:$A5005,$A10,$C18:$C5005,$C10)</f>
        <v>121.53972048</v>
      </c>
      <c r="P10" s="128">
        <f>SUMIFS(P18:P5005,$A18:$A5005,$A10,$C18:$C5005,$C10)</f>
        <v>121.30830648</v>
      </c>
      <c r="Q10" s="131">
        <f>P10-O10</f>
        <v>-0.2314140000000009</v>
      </c>
      <c r="R10" s="132">
        <f t="shared" ref="R10:R19" si="3">IFERROR(P10/O10-1,"")</f>
        <v>-1.9040195179491626E-3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0.78632419354838712</v>
      </c>
      <c r="K11" s="142">
        <f>SUMIFS(K19:K5006,$A19:$A5006,$A11,$C19:$C5006,$C11)</f>
        <v>0.80500619354838721</v>
      </c>
      <c r="L11" s="142"/>
      <c r="M11" s="142">
        <f t="shared" ref="M11:M68" si="4">K11-J11</f>
        <v>1.8682000000000087E-2</v>
      </c>
      <c r="N11" s="143">
        <f t="shared" ref="N11:N68" si="5">IFERROR(K11/J11-1,"")</f>
        <v>2.3758648345404643E-2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0.24292290322580645</v>
      </c>
      <c r="K14" s="142">
        <f>SUMIFS(K19:K5006,$A19:$A5006,$A14,$C19:$C5006,$C14)</f>
        <v>0.25216190322580645</v>
      </c>
      <c r="L14" s="142"/>
      <c r="M14" s="142">
        <f t="shared" si="4"/>
        <v>9.2389999999999972E-3</v>
      </c>
      <c r="N14" s="143">
        <f t="shared" si="5"/>
        <v>3.8032642773958569E-2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4.0958280645161294</v>
      </c>
      <c r="K15" s="142">
        <f>SUMIFS(K19:K5006,$A19:$A5006,$A15,$C19:$C5006,$C15)</f>
        <v>4.1891580645161293</v>
      </c>
      <c r="L15" s="142"/>
      <c r="M15" s="142">
        <f t="shared" si="4"/>
        <v>9.3329999999999913E-2</v>
      </c>
      <c r="N15" s="143">
        <f t="shared" si="5"/>
        <v>2.2786601031560938E-2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0.32195322580645164</v>
      </c>
      <c r="K16" s="142">
        <f>SUMIFS(K19:K5006,$A19:$A5006,$A16,$C19:$C5006,$C16)</f>
        <v>0.40676322580645163</v>
      </c>
      <c r="L16" s="142"/>
      <c r="M16" s="142">
        <f t="shared" si="4"/>
        <v>8.4809999999999997E-2</v>
      </c>
      <c r="N16" s="143">
        <f t="shared" si="5"/>
        <v>0.26342335843215059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4.5848570967741935</v>
      </c>
      <c r="K17" s="142">
        <f>SUMIFS(K19:K5006,$A19:$A5006,$A17,$C19:$C5006,$C17)</f>
        <v>4.5973800967741933</v>
      </c>
      <c r="L17" s="142"/>
      <c r="M17" s="142">
        <f t="shared" si="4"/>
        <v>1.252299999999984E-2</v>
      </c>
      <c r="N17" s="143">
        <f t="shared" si="5"/>
        <v>2.7313828404402773E-3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4.9309951612903227</v>
      </c>
      <c r="K18" s="154">
        <f>SUMIFS(K19:K5006,$A19:$A5006,$A18,$C19:$C5006,$C18)</f>
        <v>4.9433551612903228</v>
      </c>
      <c r="L18" s="154"/>
      <c r="M18" s="154">
        <f t="shared" si="4"/>
        <v>1.2360000000000149E-2</v>
      </c>
      <c r="N18" s="155">
        <f t="shared" si="5"/>
        <v>2.5065934148607028E-3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17.54082</v>
      </c>
      <c r="G19" s="210">
        <v>20.86619</v>
      </c>
      <c r="H19" s="269">
        <f>G19-F19</f>
        <v>3.3253699999999995</v>
      </c>
      <c r="I19" s="164">
        <f>IFERROR(G19/F19-1,"")</f>
        <v>0.18957893644652879</v>
      </c>
      <c r="J19" s="165">
        <f>SUM(J20,J29,J35,J41,J47,J55,J62,J63)</f>
        <v>14.962880645161292</v>
      </c>
      <c r="K19" s="163">
        <f>SUM(K20,K29,K35,K41,K47,K55,K62,K63)</f>
        <v>15.193824645161293</v>
      </c>
      <c r="L19" s="163"/>
      <c r="M19" s="163">
        <f t="shared" si="4"/>
        <v>0.23094400000000093</v>
      </c>
      <c r="N19" s="164">
        <f t="shared" si="5"/>
        <v>1.5434461149343104E-2</v>
      </c>
      <c r="O19" s="210">
        <v>121.53972048</v>
      </c>
      <c r="P19" s="210">
        <f>O19-0.231414</f>
        <v>121.30830648</v>
      </c>
      <c r="Q19" s="166">
        <f t="shared" ref="Q19" si="7">P19-O19</f>
        <v>-0.2314140000000009</v>
      </c>
      <c r="R19" s="167">
        <f t="shared" si="3"/>
        <v>-1.9040195179491626E-3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0.78632419354838712</v>
      </c>
      <c r="K20" s="173">
        <f>SUM(K21:K28)</f>
        <v>0.80500619354838721</v>
      </c>
      <c r="L20" s="173"/>
      <c r="M20" s="251">
        <f t="shared" si="4"/>
        <v>1.8682000000000087E-2</v>
      </c>
      <c r="N20" s="174">
        <f t="shared" si="5"/>
        <v>2.3758648345404643E-2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(1.045155/31)*10</f>
        <v>0.33714677419354844</v>
      </c>
      <c r="K24" s="262">
        <f>J24+0.00521</f>
        <v>0.34235677419354843</v>
      </c>
      <c r="L24" s="185"/>
      <c r="M24" s="252">
        <f>K24-J24</f>
        <v>5.2099999999999924E-3</v>
      </c>
      <c r="N24" s="186">
        <f>IFERROR(K24/J24-1,"")</f>
        <v>1.5453210289382957E-2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(0.384951/31)*10</f>
        <v>0.12417774193548387</v>
      </c>
      <c r="K25" s="262">
        <f>J25+0.009652</f>
        <v>0.13382974193548386</v>
      </c>
      <c r="L25" s="185"/>
      <c r="M25" s="252">
        <f t="shared" ref="M25:M27" si="10">K25-J25</f>
        <v>9.6519999999999939E-3</v>
      </c>
      <c r="N25" s="186">
        <f t="shared" ref="N25:N27" si="11">IFERROR(K25/J25-1,"")</f>
        <v>7.7727295162241417E-2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(0.101781/31)*10</f>
        <v>3.2832580645161286E-2</v>
      </c>
      <c r="K26" s="262">
        <f>J26+0.00235</f>
        <v>3.5182580645161284E-2</v>
      </c>
      <c r="L26" s="185"/>
      <c r="M26" s="252">
        <f t="shared" si="10"/>
        <v>2.3499999999999979E-3</v>
      </c>
      <c r="N26" s="186">
        <f t="shared" si="11"/>
        <v>7.1575244888535172E-2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(2.437605/31)*10-J24-J25-J26</f>
        <v>0.2921670967741935</v>
      </c>
      <c r="K28" s="190">
        <f>J28+0.00147</f>
        <v>0.29363709677419353</v>
      </c>
      <c r="L28" s="190"/>
      <c r="M28" s="185">
        <f t="shared" si="4"/>
        <v>1.4700000000000268E-3</v>
      </c>
      <c r="N28" s="186">
        <f t="shared" si="5"/>
        <v>5.0313673792505842E-3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0.24292290322580645</v>
      </c>
      <c r="K41" s="251">
        <f t="shared" si="15"/>
        <v>0.25216190322580645</v>
      </c>
      <c r="L41" s="173"/>
      <c r="M41" s="173">
        <f t="shared" si="4"/>
        <v>9.2389999999999972E-3</v>
      </c>
      <c r="N41" s="174">
        <f t="shared" si="5"/>
        <v>3.8032642773958569E-2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(0.753061/31)*10</f>
        <v>0.24292290322580645</v>
      </c>
      <c r="K46" s="185">
        <f>J46+0.009239</f>
        <v>0.25216190322580645</v>
      </c>
      <c r="L46" s="185"/>
      <c r="M46" s="185">
        <f t="shared" si="4"/>
        <v>9.2389999999999972E-3</v>
      </c>
      <c r="N46" s="186">
        <f t="shared" si="5"/>
        <v>3.8032642773958569E-2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4.0958280645161294</v>
      </c>
      <c r="K47" s="251">
        <f>SUM(K48:K54)</f>
        <v>4.1891580645161293</v>
      </c>
      <c r="L47" s="173"/>
      <c r="M47" s="251">
        <f t="shared" si="4"/>
        <v>9.3329999999999913E-2</v>
      </c>
      <c r="N47" s="174">
        <f t="shared" si="5"/>
        <v>2.2786601031560938E-2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(0.5024/31)*10</f>
        <v>0.16206451612903225</v>
      </c>
      <c r="K51" s="256">
        <f>J51+0.03521</f>
        <v>0.19727451612903224</v>
      </c>
      <c r="L51" s="190"/>
      <c r="M51" s="252">
        <f>K51-J51</f>
        <v>3.5209999999999991E-2</v>
      </c>
      <c r="N51" s="186">
        <f t="shared" si="5"/>
        <v>0.21725915605095536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(0.216464/31)*10</f>
        <v>6.9827096774193548E-2</v>
      </c>
      <c r="K52" s="190">
        <f>J52-0.0351</f>
        <v>3.4727096774193549E-2</v>
      </c>
      <c r="L52" s="190"/>
      <c r="M52" s="252">
        <f t="shared" ref="M52:M53" si="16">K52-J52</f>
        <v>-3.5099999999999999E-2</v>
      </c>
      <c r="N52" s="186">
        <f t="shared" si="5"/>
        <v>-0.50267018996230317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(12.697067/31)*10-J51-J52</f>
        <v>3.8639364516129033</v>
      </c>
      <c r="K54" s="185">
        <f>J54+0.09322</f>
        <v>3.9571564516129034</v>
      </c>
      <c r="L54" s="185"/>
      <c r="M54" s="252">
        <f t="shared" si="4"/>
        <v>9.3220000000000081E-2</v>
      </c>
      <c r="N54" s="186">
        <f t="shared" si="5"/>
        <v>2.4125655576216154E-2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0.32195322580645164</v>
      </c>
      <c r="K55" s="173">
        <f t="shared" si="18"/>
        <v>0.40676322580645163</v>
      </c>
      <c r="L55" s="173"/>
      <c r="M55" s="251">
        <f t="shared" si="4"/>
        <v>8.4809999999999997E-2</v>
      </c>
      <c r="N55" s="174">
        <f t="shared" si="5"/>
        <v>0.26342335843215059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(0.312114/31)*10</f>
        <v>0.10068193548387097</v>
      </c>
      <c r="K59" s="262">
        <f>J59+0.02531</f>
        <v>0.12599193548387097</v>
      </c>
      <c r="L59" s="190"/>
      <c r="M59" s="185">
        <f>K59-J59</f>
        <v>2.5309999999999999E-2</v>
      </c>
      <c r="N59" s="186">
        <f>IFERROR(K59/J59-1,"")</f>
        <v>0.25138571163100654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(0.998055/31)*10-J59</f>
        <v>0.22127129032258067</v>
      </c>
      <c r="K61" s="185">
        <f>J61+0.0595</f>
        <v>0.28077129032258064</v>
      </c>
      <c r="L61" s="185"/>
      <c r="M61" s="185">
        <f t="shared" si="4"/>
        <v>5.949999999999997E-2</v>
      </c>
      <c r="N61" s="186">
        <f t="shared" si="5"/>
        <v>0.26890067804665407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(14.213057/31)*10</f>
        <v>4.5848570967741935</v>
      </c>
      <c r="K62" s="261">
        <f>J62+0.012523</f>
        <v>4.5973800967741933</v>
      </c>
      <c r="L62" s="193"/>
      <c r="M62" s="253">
        <f t="shared" si="4"/>
        <v>1.252299999999984E-2</v>
      </c>
      <c r="N62" s="194">
        <f t="shared" si="5"/>
        <v>2.7313828404402773E-3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4.9309951612903227</v>
      </c>
      <c r="K63" s="173">
        <f>SUM(K64:K68)</f>
        <v>4.9433551612903228</v>
      </c>
      <c r="L63" s="173"/>
      <c r="M63" s="173">
        <f t="shared" si="4"/>
        <v>1.2360000000000149E-2</v>
      </c>
      <c r="N63" s="174">
        <f t="shared" si="5"/>
        <v>2.5065934148607028E-3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(15.286085/31)*10</f>
        <v>4.9309951612903227</v>
      </c>
      <c r="K64" s="211">
        <f>J64+0.01236</f>
        <v>4.9433551612903228</v>
      </c>
      <c r="L64" s="185"/>
      <c r="M64" s="252">
        <f t="shared" si="4"/>
        <v>1.2360000000000149E-2</v>
      </c>
      <c r="N64" s="186">
        <f t="shared" si="5"/>
        <v>2.5065934148607028E-3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6740938.8563049855</v>
      </c>
      <c r="L74" s="133">
        <f>J74-K74</f>
        <v>5804658.1436950145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14962.880645161291</v>
      </c>
      <c r="L83" s="267">
        <f>L84+L85+L86+L87+L88+L89</f>
        <v>15193.82464516129</v>
      </c>
      <c r="M83" s="267">
        <f>L83-K83</f>
        <v>230.94399999999951</v>
      </c>
      <c r="N83" s="266">
        <f>M83/K83</f>
        <v>1.5434461149343083E-2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786.32419354838714</v>
      </c>
      <c r="L84" s="267">
        <f>K20*1000</f>
        <v>805.00619354838716</v>
      </c>
      <c r="M84" s="267">
        <f t="shared" ref="M84:M89" si="19">L84-K84</f>
        <v>18.682000000000016</v>
      </c>
      <c r="N84" s="266">
        <f t="shared" ref="N84:N89" si="20">M84/K84</f>
        <v>2.3758648345404629E-2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242.92290322580646</v>
      </c>
      <c r="L85" s="267">
        <f>K46*1000</f>
        <v>252.16190322580644</v>
      </c>
      <c r="M85" s="267">
        <f t="shared" si="19"/>
        <v>9.2389999999999759</v>
      </c>
      <c r="N85" s="266">
        <f t="shared" si="20"/>
        <v>3.8032642773958451E-2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4095.8280645161294</v>
      </c>
      <c r="L86" s="267">
        <f>K47*1000</f>
        <v>4189.1580645161293</v>
      </c>
      <c r="M86" s="267">
        <f t="shared" si="19"/>
        <v>93.329999999999927</v>
      </c>
      <c r="N86" s="266">
        <f t="shared" si="20"/>
        <v>2.2786601031561049E-2</v>
      </c>
    </row>
    <row r="87" spans="5:20" x14ac:dyDescent="0.25">
      <c r="J87" s="133" t="s">
        <v>189</v>
      </c>
      <c r="K87" s="267">
        <f>J55*1000</f>
        <v>321.95322580645166</v>
      </c>
      <c r="L87" s="267">
        <f>K55*1000</f>
        <v>406.76322580645166</v>
      </c>
      <c r="M87" s="267">
        <f t="shared" si="19"/>
        <v>84.81</v>
      </c>
      <c r="N87" s="266">
        <f t="shared" si="20"/>
        <v>0.26342335843215048</v>
      </c>
    </row>
    <row r="88" spans="5:20" x14ac:dyDescent="0.25">
      <c r="E88" s="133">
        <v>9.8273639999999993</v>
      </c>
      <c r="J88" s="133" t="s">
        <v>190</v>
      </c>
      <c r="K88" s="267">
        <f>J62*1000</f>
        <v>4584.8570967741935</v>
      </c>
      <c r="L88" s="267">
        <f>K62*1000</f>
        <v>4597.3800967741936</v>
      </c>
      <c r="M88" s="267">
        <f t="shared" si="19"/>
        <v>12.523000000000138</v>
      </c>
      <c r="N88" s="266">
        <f t="shared" si="20"/>
        <v>2.7313828404403381E-3</v>
      </c>
    </row>
    <row r="89" spans="5:20" x14ac:dyDescent="0.25">
      <c r="E89" s="133">
        <v>11.487494999999999</v>
      </c>
      <c r="J89" s="133" t="s">
        <v>191</v>
      </c>
      <c r="K89" s="267">
        <f>J64*1000</f>
        <v>4930.9951612903224</v>
      </c>
      <c r="L89" s="267">
        <f>K64*1000</f>
        <v>4943.3551612903229</v>
      </c>
      <c r="M89" s="267">
        <f t="shared" si="19"/>
        <v>12.360000000000582</v>
      </c>
      <c r="N89" s="266">
        <f t="shared" si="20"/>
        <v>2.5065934148607578E-3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A6:A8"/>
    <mergeCell ref="B6:B8"/>
    <mergeCell ref="C6:C8"/>
    <mergeCell ref="D6:D8"/>
    <mergeCell ref="E6:E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F71:H71"/>
    <mergeCell ref="F74:H74"/>
    <mergeCell ref="J6:N6"/>
    <mergeCell ref="O6:R6"/>
    <mergeCell ref="S6:S8"/>
  </mergeCells>
  <conditionalFormatting sqref="I10:I26 I28:I32 I34:I38 I40:I44 I46:I52 I54:I59 I61:I65 I67:I68">
    <cfRule type="cellIs" dxfId="907" priority="95" operator="lessThan">
      <formula>0</formula>
    </cfRule>
    <cfRule type="cellIs" dxfId="906" priority="96" operator="greaterThan">
      <formula>0</formula>
    </cfRule>
  </conditionalFormatting>
  <conditionalFormatting sqref="N10:N26 N28:N32 N34:N38 N40:N44 N46:N52 N54:N59 N61:N65 N67:N68">
    <cfRule type="cellIs" dxfId="905" priority="93" operator="lessThan">
      <formula>0</formula>
    </cfRule>
    <cfRule type="cellIs" dxfId="904" priority="94" operator="greaterThan">
      <formula>0</formula>
    </cfRule>
  </conditionalFormatting>
  <conditionalFormatting sqref="R10:R26 R28:R32 R34:R38 R40:R44 R46:R52 R54:R59 R61:R65 R67:R68">
    <cfRule type="cellIs" dxfId="903" priority="91" operator="lessThan">
      <formula>0</formula>
    </cfRule>
    <cfRule type="cellIs" dxfId="902" priority="92" operator="greaterThan">
      <formula>0</formula>
    </cfRule>
  </conditionalFormatting>
  <conditionalFormatting sqref="H10:H26 H28:H32 H34:H38 H40:H44 H46:H52 H54:H59 H61:H65 H67:H68">
    <cfRule type="cellIs" dxfId="901" priority="89" operator="lessThan">
      <formula>0</formula>
    </cfRule>
    <cfRule type="cellIs" dxfId="900" priority="90" operator="greaterThan">
      <formula>0</formula>
    </cfRule>
  </conditionalFormatting>
  <conditionalFormatting sqref="M10:M26 M28:M32 M34:M38 M40:M44 M46:M52 M54:M59 M61:M65 M67:M68">
    <cfRule type="cellIs" dxfId="899" priority="87" operator="lessThan">
      <formula>0</formula>
    </cfRule>
    <cfRule type="cellIs" dxfId="898" priority="88" operator="greaterThan">
      <formula>0</formula>
    </cfRule>
  </conditionalFormatting>
  <conditionalFormatting sqref="Q10:Q26 Q28:Q32 Q34:Q38 Q40:Q44 Q46:Q52 Q54:Q59 Q61:Q65 Q67:Q68">
    <cfRule type="cellIs" dxfId="897" priority="85" operator="lessThan">
      <formula>0</formula>
    </cfRule>
    <cfRule type="cellIs" dxfId="896" priority="86" operator="greaterThan">
      <formula>0</formula>
    </cfRule>
  </conditionalFormatting>
  <conditionalFormatting sqref="I27">
    <cfRule type="cellIs" dxfId="895" priority="83" operator="lessThan">
      <formula>0</formula>
    </cfRule>
    <cfRule type="cellIs" dxfId="894" priority="84" operator="greaterThan">
      <formula>0</formula>
    </cfRule>
  </conditionalFormatting>
  <conditionalFormatting sqref="N27">
    <cfRule type="cellIs" dxfId="893" priority="81" operator="lessThan">
      <formula>0</formula>
    </cfRule>
    <cfRule type="cellIs" dxfId="892" priority="82" operator="greaterThan">
      <formula>0</formula>
    </cfRule>
  </conditionalFormatting>
  <conditionalFormatting sqref="R27">
    <cfRule type="cellIs" dxfId="891" priority="79" operator="lessThan">
      <formula>0</formula>
    </cfRule>
    <cfRule type="cellIs" dxfId="890" priority="80" operator="greaterThan">
      <formula>0</formula>
    </cfRule>
  </conditionalFormatting>
  <conditionalFormatting sqref="H27">
    <cfRule type="cellIs" dxfId="889" priority="77" operator="lessThan">
      <formula>0</formula>
    </cfRule>
    <cfRule type="cellIs" dxfId="888" priority="78" operator="greaterThan">
      <formula>0</formula>
    </cfRule>
  </conditionalFormatting>
  <conditionalFormatting sqref="M27">
    <cfRule type="cellIs" dxfId="887" priority="75" operator="lessThan">
      <formula>0</formula>
    </cfRule>
    <cfRule type="cellIs" dxfId="886" priority="76" operator="greaterThan">
      <formula>0</formula>
    </cfRule>
  </conditionalFormatting>
  <conditionalFormatting sqref="Q27">
    <cfRule type="cellIs" dxfId="885" priority="73" operator="lessThan">
      <formula>0</formula>
    </cfRule>
    <cfRule type="cellIs" dxfId="884" priority="74" operator="greaterThan">
      <formula>0</formula>
    </cfRule>
  </conditionalFormatting>
  <conditionalFormatting sqref="I33">
    <cfRule type="cellIs" dxfId="883" priority="71" operator="lessThan">
      <formula>0</formula>
    </cfRule>
    <cfRule type="cellIs" dxfId="882" priority="72" operator="greaterThan">
      <formula>0</formula>
    </cfRule>
  </conditionalFormatting>
  <conditionalFormatting sqref="N33">
    <cfRule type="cellIs" dxfId="881" priority="69" operator="lessThan">
      <formula>0</formula>
    </cfRule>
    <cfRule type="cellIs" dxfId="880" priority="70" operator="greaterThan">
      <formula>0</formula>
    </cfRule>
  </conditionalFormatting>
  <conditionalFormatting sqref="R33">
    <cfRule type="cellIs" dxfId="879" priority="67" operator="lessThan">
      <formula>0</formula>
    </cfRule>
    <cfRule type="cellIs" dxfId="878" priority="68" operator="greaterThan">
      <formula>0</formula>
    </cfRule>
  </conditionalFormatting>
  <conditionalFormatting sqref="H33">
    <cfRule type="cellIs" dxfId="877" priority="65" operator="lessThan">
      <formula>0</formula>
    </cfRule>
    <cfRule type="cellIs" dxfId="876" priority="66" operator="greaterThan">
      <formula>0</formula>
    </cfRule>
  </conditionalFormatting>
  <conditionalFormatting sqref="M33">
    <cfRule type="cellIs" dxfId="875" priority="63" operator="lessThan">
      <formula>0</formula>
    </cfRule>
    <cfRule type="cellIs" dxfId="874" priority="64" operator="greaterThan">
      <formula>0</formula>
    </cfRule>
  </conditionalFormatting>
  <conditionalFormatting sqref="Q33">
    <cfRule type="cellIs" dxfId="873" priority="61" operator="lessThan">
      <formula>0</formula>
    </cfRule>
    <cfRule type="cellIs" dxfId="872" priority="62" operator="greaterThan">
      <formula>0</formula>
    </cfRule>
  </conditionalFormatting>
  <conditionalFormatting sqref="I39">
    <cfRule type="cellIs" dxfId="871" priority="59" operator="lessThan">
      <formula>0</formula>
    </cfRule>
    <cfRule type="cellIs" dxfId="870" priority="60" operator="greaterThan">
      <formula>0</formula>
    </cfRule>
  </conditionalFormatting>
  <conditionalFormatting sqref="N39">
    <cfRule type="cellIs" dxfId="869" priority="57" operator="lessThan">
      <formula>0</formula>
    </cfRule>
    <cfRule type="cellIs" dxfId="868" priority="58" operator="greaterThan">
      <formula>0</formula>
    </cfRule>
  </conditionalFormatting>
  <conditionalFormatting sqref="R39">
    <cfRule type="cellIs" dxfId="867" priority="55" operator="lessThan">
      <formula>0</formula>
    </cfRule>
    <cfRule type="cellIs" dxfId="866" priority="56" operator="greaterThan">
      <formula>0</formula>
    </cfRule>
  </conditionalFormatting>
  <conditionalFormatting sqref="H39">
    <cfRule type="cellIs" dxfId="865" priority="53" operator="lessThan">
      <formula>0</formula>
    </cfRule>
    <cfRule type="cellIs" dxfId="864" priority="54" operator="greaterThan">
      <formula>0</formula>
    </cfRule>
  </conditionalFormatting>
  <conditionalFormatting sqref="M39">
    <cfRule type="cellIs" dxfId="863" priority="51" operator="lessThan">
      <formula>0</formula>
    </cfRule>
    <cfRule type="cellIs" dxfId="862" priority="52" operator="greaterThan">
      <formula>0</formula>
    </cfRule>
  </conditionalFormatting>
  <conditionalFormatting sqref="Q39">
    <cfRule type="cellIs" dxfId="861" priority="49" operator="lessThan">
      <formula>0</formula>
    </cfRule>
    <cfRule type="cellIs" dxfId="860" priority="50" operator="greaterThan">
      <formula>0</formula>
    </cfRule>
  </conditionalFormatting>
  <conditionalFormatting sqref="I45">
    <cfRule type="cellIs" dxfId="859" priority="47" operator="lessThan">
      <formula>0</formula>
    </cfRule>
    <cfRule type="cellIs" dxfId="858" priority="48" operator="greaterThan">
      <formula>0</formula>
    </cfRule>
  </conditionalFormatting>
  <conditionalFormatting sqref="N45">
    <cfRule type="cellIs" dxfId="857" priority="45" operator="lessThan">
      <formula>0</formula>
    </cfRule>
    <cfRule type="cellIs" dxfId="856" priority="46" operator="greaterThan">
      <formula>0</formula>
    </cfRule>
  </conditionalFormatting>
  <conditionalFormatting sqref="R45">
    <cfRule type="cellIs" dxfId="855" priority="43" operator="lessThan">
      <formula>0</formula>
    </cfRule>
    <cfRule type="cellIs" dxfId="854" priority="44" operator="greaterThan">
      <formula>0</formula>
    </cfRule>
  </conditionalFormatting>
  <conditionalFormatting sqref="H45">
    <cfRule type="cellIs" dxfId="853" priority="41" operator="lessThan">
      <formula>0</formula>
    </cfRule>
    <cfRule type="cellIs" dxfId="852" priority="42" operator="greaterThan">
      <formula>0</formula>
    </cfRule>
  </conditionalFormatting>
  <conditionalFormatting sqref="M45">
    <cfRule type="cellIs" dxfId="851" priority="39" operator="lessThan">
      <formula>0</formula>
    </cfRule>
    <cfRule type="cellIs" dxfId="850" priority="40" operator="greaterThan">
      <formula>0</formula>
    </cfRule>
  </conditionalFormatting>
  <conditionalFormatting sqref="Q45">
    <cfRule type="cellIs" dxfId="849" priority="37" operator="lessThan">
      <formula>0</formula>
    </cfRule>
    <cfRule type="cellIs" dxfId="848" priority="38" operator="greaterThan">
      <formula>0</formula>
    </cfRule>
  </conditionalFormatting>
  <conditionalFormatting sqref="I53">
    <cfRule type="cellIs" dxfId="847" priority="35" operator="lessThan">
      <formula>0</formula>
    </cfRule>
    <cfRule type="cellIs" dxfId="846" priority="36" operator="greaterThan">
      <formula>0</formula>
    </cfRule>
  </conditionalFormatting>
  <conditionalFormatting sqref="N53">
    <cfRule type="cellIs" dxfId="845" priority="33" operator="lessThan">
      <formula>0</formula>
    </cfRule>
    <cfRule type="cellIs" dxfId="844" priority="34" operator="greaterThan">
      <formula>0</formula>
    </cfRule>
  </conditionalFormatting>
  <conditionalFormatting sqref="R53">
    <cfRule type="cellIs" dxfId="843" priority="31" operator="lessThan">
      <formula>0</formula>
    </cfRule>
    <cfRule type="cellIs" dxfId="842" priority="32" operator="greaterThan">
      <formula>0</formula>
    </cfRule>
  </conditionalFormatting>
  <conditionalFormatting sqref="H53">
    <cfRule type="cellIs" dxfId="841" priority="29" operator="lessThan">
      <formula>0</formula>
    </cfRule>
    <cfRule type="cellIs" dxfId="840" priority="30" operator="greaterThan">
      <formula>0</formula>
    </cfRule>
  </conditionalFormatting>
  <conditionalFormatting sqref="M53">
    <cfRule type="cellIs" dxfId="839" priority="27" operator="lessThan">
      <formula>0</formula>
    </cfRule>
    <cfRule type="cellIs" dxfId="838" priority="28" operator="greaterThan">
      <formula>0</formula>
    </cfRule>
  </conditionalFormatting>
  <conditionalFormatting sqref="Q53">
    <cfRule type="cellIs" dxfId="837" priority="25" operator="lessThan">
      <formula>0</formula>
    </cfRule>
    <cfRule type="cellIs" dxfId="836" priority="26" operator="greaterThan">
      <formula>0</formula>
    </cfRule>
  </conditionalFormatting>
  <conditionalFormatting sqref="I60">
    <cfRule type="cellIs" dxfId="835" priority="23" operator="lessThan">
      <formula>0</formula>
    </cfRule>
    <cfRule type="cellIs" dxfId="834" priority="24" operator="greaterThan">
      <formula>0</formula>
    </cfRule>
  </conditionalFormatting>
  <conditionalFormatting sqref="N60">
    <cfRule type="cellIs" dxfId="833" priority="21" operator="lessThan">
      <formula>0</formula>
    </cfRule>
    <cfRule type="cellIs" dxfId="832" priority="22" operator="greaterThan">
      <formula>0</formula>
    </cfRule>
  </conditionalFormatting>
  <conditionalFormatting sqref="R60">
    <cfRule type="cellIs" dxfId="831" priority="19" operator="lessThan">
      <formula>0</formula>
    </cfRule>
    <cfRule type="cellIs" dxfId="830" priority="20" operator="greaterThan">
      <formula>0</formula>
    </cfRule>
  </conditionalFormatting>
  <conditionalFormatting sqref="H60">
    <cfRule type="cellIs" dxfId="829" priority="17" operator="lessThan">
      <formula>0</formula>
    </cfRule>
    <cfRule type="cellIs" dxfId="828" priority="18" operator="greaterThan">
      <formula>0</formula>
    </cfRule>
  </conditionalFormatting>
  <conditionalFormatting sqref="M60">
    <cfRule type="cellIs" dxfId="827" priority="15" operator="lessThan">
      <formula>0</formula>
    </cfRule>
    <cfRule type="cellIs" dxfId="826" priority="16" operator="greaterThan">
      <formula>0</formula>
    </cfRule>
  </conditionalFormatting>
  <conditionalFormatting sqref="Q60">
    <cfRule type="cellIs" dxfId="825" priority="13" operator="lessThan">
      <formula>0</formula>
    </cfRule>
    <cfRule type="cellIs" dxfId="824" priority="14" operator="greaterThan">
      <formula>0</formula>
    </cfRule>
  </conditionalFormatting>
  <conditionalFormatting sqref="I66">
    <cfRule type="cellIs" dxfId="823" priority="11" operator="lessThan">
      <formula>0</formula>
    </cfRule>
    <cfRule type="cellIs" dxfId="822" priority="12" operator="greaterThan">
      <formula>0</formula>
    </cfRule>
  </conditionalFormatting>
  <conditionalFormatting sqref="N66">
    <cfRule type="cellIs" dxfId="821" priority="9" operator="lessThan">
      <formula>0</formula>
    </cfRule>
    <cfRule type="cellIs" dxfId="820" priority="10" operator="greaterThan">
      <formula>0</formula>
    </cfRule>
  </conditionalFormatting>
  <conditionalFormatting sqref="R66">
    <cfRule type="cellIs" dxfId="819" priority="7" operator="lessThan">
      <formula>0</formula>
    </cfRule>
    <cfRule type="cellIs" dxfId="818" priority="8" operator="greaterThan">
      <formula>0</formula>
    </cfRule>
  </conditionalFormatting>
  <conditionalFormatting sqref="H66">
    <cfRule type="cellIs" dxfId="817" priority="5" operator="lessThan">
      <formula>0</formula>
    </cfRule>
    <cfRule type="cellIs" dxfId="816" priority="6" operator="greaterThan">
      <formula>0</formula>
    </cfRule>
  </conditionalFormatting>
  <conditionalFormatting sqref="M66">
    <cfRule type="cellIs" dxfId="815" priority="3" operator="lessThan">
      <formula>0</formula>
    </cfRule>
    <cfRule type="cellIs" dxfId="814" priority="4" operator="greaterThan">
      <formula>0</formula>
    </cfRule>
  </conditionalFormatting>
  <conditionalFormatting sqref="Q66">
    <cfRule type="cellIs" dxfId="813" priority="1" operator="lessThan">
      <formula>0</formula>
    </cfRule>
    <cfRule type="cellIs" dxfId="812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zoomScale="70" zoomScaleNormal="70" workbookViewId="0">
      <pane xSplit="5" ySplit="9" topLeftCell="H40" activePane="bottomRight" state="frozen"/>
      <selection pane="topRight" activeCell="E1" sqref="E1"/>
      <selection pane="bottomLeft" activeCell="A9" sqref="A9"/>
      <selection pane="bottomRight" activeCell="K62" sqref="K62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44213</v>
      </c>
      <c r="K1" s="249">
        <f>G19</f>
        <v>34.763156000000002</v>
      </c>
      <c r="L1" s="249">
        <f>K10</f>
        <v>28.011653580645163</v>
      </c>
      <c r="M1" s="249">
        <f>K1-L1</f>
        <v>6.7515024193548392</v>
      </c>
      <c r="N1" s="273">
        <f>M1/K1*100</f>
        <v>19.421431182355363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34.763156000000002</v>
      </c>
      <c r="P3" s="249">
        <v>0.105769</v>
      </c>
      <c r="Q3" s="249">
        <f>O1-P3</f>
        <v>-0.105769</v>
      </c>
      <c r="R3" s="249">
        <f>F19-J10</f>
        <v>4.6651769032258059</v>
      </c>
      <c r="S3" s="249">
        <f>F19-J10</f>
        <v>4.6651769032258059</v>
      </c>
      <c r="T3" s="110">
        <f>S3/F19*100</f>
        <v>15.497858729686884</v>
      </c>
    </row>
    <row r="4" spans="1:20" s="110" customFormat="1" ht="12" customHeight="1" x14ac:dyDescent="0.2">
      <c r="F4" s="110">
        <f>G19/20*31</f>
        <v>53.882891800000003</v>
      </c>
      <c r="G4" s="110">
        <v>13.2800040955377</v>
      </c>
      <c r="H4" s="270">
        <f>G4*F4/100</f>
        <v>7.1556502378341484</v>
      </c>
      <c r="I4" s="268">
        <f>F4-H4</f>
        <v>46.727241562165858</v>
      </c>
      <c r="J4" s="270">
        <f>I4/31*20</f>
        <v>30.146607459461844</v>
      </c>
      <c r="K4" s="270">
        <f>J4-K10</f>
        <v>2.1349538788166811</v>
      </c>
      <c r="L4" s="268">
        <f>G19/27*31</f>
        <v>39.913253185185184</v>
      </c>
      <c r="M4" s="271"/>
      <c r="N4" s="249">
        <f>F19-J10</f>
        <v>4.6651769032258059</v>
      </c>
      <c r="O4" s="249">
        <f>N4/F19*100</f>
        <v>15.497858729686884</v>
      </c>
      <c r="Q4" s="249"/>
      <c r="R4" s="110">
        <f>R3/F19*100</f>
        <v>15.497858729686884</v>
      </c>
      <c r="S4" s="249">
        <f>G19-K10</f>
        <v>6.7515024193548392</v>
      </c>
      <c r="T4" s="110">
        <f>S4/G19*100</f>
        <v>19.421431182355363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6.7515024193548392</v>
      </c>
      <c r="O5" s="274">
        <f>N5/G19*100</f>
        <v>19.421431182355363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2019</v>
      </c>
      <c r="P7" s="327">
        <v>2020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6" t="s">
        <v>179</v>
      </c>
      <c r="I8" s="114" t="s">
        <v>180</v>
      </c>
      <c r="J8" s="318"/>
      <c r="K8" s="328"/>
      <c r="L8" s="328"/>
      <c r="M8" s="286" t="s">
        <v>179</v>
      </c>
      <c r="N8" s="114" t="s">
        <v>180</v>
      </c>
      <c r="O8" s="318"/>
      <c r="P8" s="328"/>
      <c r="Q8" s="286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30.102074000000002</v>
      </c>
      <c r="G10" s="128">
        <f>SUMIFS(G18:G5005,$A18:$A5005,$A10,$C18:$C5005,$C10)</f>
        <v>34.763156000000002</v>
      </c>
      <c r="H10" s="128">
        <f>G10-F10</f>
        <v>4.6610820000000004</v>
      </c>
      <c r="I10" s="129">
        <f>IFERROR(G10/F10-1,"")</f>
        <v>0.1548425533735649</v>
      </c>
      <c r="J10" s="130">
        <f t="shared" ref="J10" si="1">SUM(J11:J18)</f>
        <v>25.436897096774196</v>
      </c>
      <c r="K10" s="128">
        <f t="shared" ref="K10" si="2">SUM(K11:K18)</f>
        <v>28.011653580645163</v>
      </c>
      <c r="L10" s="128"/>
      <c r="M10" s="250">
        <f>K10-J10</f>
        <v>2.5747564838709671</v>
      </c>
      <c r="N10" s="129">
        <f>IFERROR(K10/J10-1,"")</f>
        <v>0.1012213271955047</v>
      </c>
      <c r="O10" s="128">
        <f>SUMIFS(O18:O5005,$A18:$A5005,$A10,$C18:$C5005,$C10)</f>
        <v>121.53972048</v>
      </c>
      <c r="P10" s="128">
        <f>SUMIFS(P18:P5005,$A18:$A5005,$A10,$C18:$C5005,$C10)</f>
        <v>121.30830648</v>
      </c>
      <c r="Q10" s="131">
        <f>P10-O10</f>
        <v>-0.2314140000000009</v>
      </c>
      <c r="R10" s="132">
        <f t="shared" ref="R10:R19" si="3">IFERROR(P10/O10-1,"")</f>
        <v>-1.9040195179491626E-3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1.336751129032258</v>
      </c>
      <c r="K11" s="142">
        <f>SUMIFS(K19:K5006,$A19:$A5006,$A11,$C19:$C5006,$C11)</f>
        <v>1.2747739677419356</v>
      </c>
      <c r="L11" s="142"/>
      <c r="M11" s="142">
        <f t="shared" ref="M11:M68" si="4">K11-J11</f>
        <v>-6.197716129032238E-2</v>
      </c>
      <c r="N11" s="143">
        <f t="shared" ref="N11:N68" si="5">IFERROR(K11/J11-1,"")</f>
        <v>-4.6364023896647732E-2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0.41296893548387092</v>
      </c>
      <c r="K14" s="142">
        <f>SUMIFS(K19:K5006,$A19:$A5006,$A14,$C19:$C5006,$C14)</f>
        <v>0.42220793548387092</v>
      </c>
      <c r="L14" s="142"/>
      <c r="M14" s="142">
        <f t="shared" si="4"/>
        <v>9.2389999999999972E-3</v>
      </c>
      <c r="N14" s="143">
        <f t="shared" si="5"/>
        <v>2.2372142808210871E-2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6.9629077096774203</v>
      </c>
      <c r="K15" s="142">
        <f>SUMIFS(K19:K5006,$A19:$A5006,$A15,$C19:$C5006,$C15)</f>
        <v>8.9807976451612923</v>
      </c>
      <c r="L15" s="142"/>
      <c r="M15" s="142">
        <f t="shared" si="4"/>
        <v>2.017889935483872</v>
      </c>
      <c r="N15" s="143">
        <f t="shared" si="5"/>
        <v>0.28980564149648291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0.54732048387096777</v>
      </c>
      <c r="K16" s="142">
        <f>SUMIFS(K19:K5006,$A19:$A5006,$A16,$C19:$C5006,$C16)</f>
        <v>0.71480219354838703</v>
      </c>
      <c r="L16" s="142"/>
      <c r="M16" s="142">
        <f t="shared" si="4"/>
        <v>0.16748170967741927</v>
      </c>
      <c r="N16" s="143">
        <f t="shared" si="5"/>
        <v>0.30600299936317299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7.7942570645161284</v>
      </c>
      <c r="K17" s="142">
        <f>SUMIFS(K19:K5006,$A19:$A5006,$A17,$C19:$C5006,$C17)</f>
        <v>8.0127800645161287</v>
      </c>
      <c r="L17" s="142"/>
      <c r="M17" s="142">
        <f t="shared" si="4"/>
        <v>0.21852300000000024</v>
      </c>
      <c r="N17" s="143">
        <f t="shared" si="5"/>
        <v>2.8036411705592901E-2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8.3826917741935478</v>
      </c>
      <c r="K18" s="154">
        <f>SUMIFS(K19:K5006,$A19:$A5006,$A18,$C19:$C5006,$C18)</f>
        <v>8.6062917741935472</v>
      </c>
      <c r="L18" s="154"/>
      <c r="M18" s="154">
        <f t="shared" si="4"/>
        <v>0.22359999999999935</v>
      </c>
      <c r="N18" s="155">
        <f t="shared" si="5"/>
        <v>2.6674009497565043E-2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f>28.742736+1.359338</f>
        <v>30.102074000000002</v>
      </c>
      <c r="G19" s="210">
        <v>34.763156000000002</v>
      </c>
      <c r="H19" s="269">
        <f>G19-F19</f>
        <v>4.6610820000000004</v>
      </c>
      <c r="I19" s="164">
        <f>IFERROR(G19/F19-1,"")</f>
        <v>0.1548425533735649</v>
      </c>
      <c r="J19" s="165">
        <f>SUM(J20,J29,J35,J41,J47,J55,J62,J63)</f>
        <v>25.436897096774196</v>
      </c>
      <c r="K19" s="163">
        <f>SUM(K20,K29,K35,K41,K47,K55,K62,K63)</f>
        <v>28.011653580645163</v>
      </c>
      <c r="L19" s="163"/>
      <c r="M19" s="163">
        <f t="shared" si="4"/>
        <v>2.5747564838709671</v>
      </c>
      <c r="N19" s="164">
        <f t="shared" si="5"/>
        <v>0.1012213271955047</v>
      </c>
      <c r="O19" s="210">
        <v>121.53972048</v>
      </c>
      <c r="P19" s="210">
        <f>O19-0.231414</f>
        <v>121.30830648</v>
      </c>
      <c r="Q19" s="166">
        <f t="shared" ref="Q19" si="7">P19-O19</f>
        <v>-0.2314140000000009</v>
      </c>
      <c r="R19" s="167">
        <f t="shared" si="3"/>
        <v>-1.9040195179491626E-3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1.336751129032258</v>
      </c>
      <c r="K20" s="173">
        <f>SUM(K21:K28)</f>
        <v>1.2747739677419356</v>
      </c>
      <c r="L20" s="173"/>
      <c r="M20" s="251">
        <f t="shared" si="4"/>
        <v>-6.197716129032238E-2</v>
      </c>
      <c r="N20" s="174">
        <f t="shared" si="5"/>
        <v>-4.6364023896647732E-2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(1.045155/31)*17</f>
        <v>0.57314951612903231</v>
      </c>
      <c r="K24" s="262">
        <f>J24+0.00521</f>
        <v>0.57835951612903236</v>
      </c>
      <c r="L24" s="185"/>
      <c r="M24" s="252">
        <f>K24-J24</f>
        <v>5.2100000000000479E-3</v>
      </c>
      <c r="N24" s="186">
        <f>IFERROR(K24/J24-1,"")</f>
        <v>9.0901236996370205E-3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(0.384951/31)*17</f>
        <v>0.21110216129032258</v>
      </c>
      <c r="K25" s="262">
        <v>0.140095</v>
      </c>
      <c r="L25" s="185"/>
      <c r="M25" s="252">
        <f t="shared" ref="M25:M27" si="10">K25-J25</f>
        <v>-7.1007161290322585E-2</v>
      </c>
      <c r="N25" s="186">
        <f t="shared" ref="N25:N27" si="11">IFERROR(K25/J25-1,"")</f>
        <v>-0.33636397115171424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(0.101781/31)*17</f>
        <v>5.5815387096774187E-2</v>
      </c>
      <c r="K26" s="262">
        <f>J26+0.00235</f>
        <v>5.8165387096774185E-2</v>
      </c>
      <c r="L26" s="185"/>
      <c r="M26" s="252">
        <f t="shared" si="10"/>
        <v>2.3499999999999979E-3</v>
      </c>
      <c r="N26" s="186">
        <f t="shared" si="11"/>
        <v>4.2103085228549997E-2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(2.437605/31)*17-J24-J25-J26</f>
        <v>0.49668406451612895</v>
      </c>
      <c r="K28" s="190">
        <f>J28+0.00147</f>
        <v>0.49815406451612898</v>
      </c>
      <c r="L28" s="190"/>
      <c r="M28" s="185">
        <f t="shared" si="4"/>
        <v>1.4700000000000268E-3</v>
      </c>
      <c r="N28" s="186">
        <f t="shared" si="5"/>
        <v>2.9596278701473633E-3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0.41296893548387092</v>
      </c>
      <c r="K41" s="251">
        <f t="shared" si="15"/>
        <v>0.42220793548387092</v>
      </c>
      <c r="L41" s="173"/>
      <c r="M41" s="173">
        <f t="shared" si="4"/>
        <v>9.2389999999999972E-3</v>
      </c>
      <c r="N41" s="174">
        <f t="shared" si="5"/>
        <v>2.2372142808210871E-2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(0.753061/31)*17</f>
        <v>0.41296893548387092</v>
      </c>
      <c r="K46" s="185">
        <f>J46+0.009239</f>
        <v>0.42220793548387092</v>
      </c>
      <c r="L46" s="185"/>
      <c r="M46" s="185">
        <f t="shared" si="4"/>
        <v>9.2389999999999972E-3</v>
      </c>
      <c r="N46" s="186">
        <f t="shared" si="5"/>
        <v>2.2372142808210871E-2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6.9629077096774203</v>
      </c>
      <c r="K47" s="251">
        <f>SUM(K48:K54)</f>
        <v>8.9807976451612923</v>
      </c>
      <c r="L47" s="173"/>
      <c r="M47" s="251">
        <f t="shared" si="4"/>
        <v>2.017889935483872</v>
      </c>
      <c r="N47" s="174">
        <f t="shared" si="5"/>
        <v>0.28980564149648291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(0.5024/31)*17</f>
        <v>0.27550967741935484</v>
      </c>
      <c r="K51" s="256">
        <f>J51+0.05521</f>
        <v>0.33071967741935482</v>
      </c>
      <c r="L51" s="190"/>
      <c r="M51" s="252">
        <f>K51-J51</f>
        <v>5.5209999999999981E-2</v>
      </c>
      <c r="N51" s="186">
        <f t="shared" si="5"/>
        <v>0.20039223491944536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(0.216464/31)*17</f>
        <v>0.11870606451612903</v>
      </c>
      <c r="K52" s="190">
        <v>8.8165999999999994E-2</v>
      </c>
      <c r="L52" s="190"/>
      <c r="M52" s="252">
        <f t="shared" ref="M52:M53" si="16">K52-J52</f>
        <v>-3.0540064516129034E-2</v>
      </c>
      <c r="N52" s="186">
        <f t="shared" si="5"/>
        <v>-0.25727467792498038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(12.697067/31)*17-J51-J52</f>
        <v>6.5686919677419366</v>
      </c>
      <c r="K54" s="185">
        <f>J54+1.99322</f>
        <v>8.5619119677419366</v>
      </c>
      <c r="L54" s="185"/>
      <c r="M54" s="252">
        <f t="shared" si="4"/>
        <v>1.99322</v>
      </c>
      <c r="N54" s="186">
        <f t="shared" si="5"/>
        <v>0.30344245243778611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0.54732048387096777</v>
      </c>
      <c r="K55" s="173">
        <f t="shared" si="18"/>
        <v>0.71480219354838703</v>
      </c>
      <c r="L55" s="173"/>
      <c r="M55" s="251">
        <f t="shared" si="4"/>
        <v>0.16748170967741927</v>
      </c>
      <c r="N55" s="174">
        <f t="shared" si="5"/>
        <v>0.30600299936317299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(0.312114/31)*17</f>
        <v>0.17115929032258065</v>
      </c>
      <c r="K59" s="262">
        <v>0.13914099999999999</v>
      </c>
      <c r="L59" s="190"/>
      <c r="M59" s="185">
        <f>K59-J59</f>
        <v>-3.2018290322580661E-2</v>
      </c>
      <c r="N59" s="186">
        <f>IFERROR(K59/J59-1,"")</f>
        <v>-0.18706720659005072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(0.998055/31)*17-J59</f>
        <v>0.37616119354838712</v>
      </c>
      <c r="K61" s="185">
        <f>J61+0.1995</f>
        <v>0.57566119354838707</v>
      </c>
      <c r="L61" s="185"/>
      <c r="M61" s="185">
        <f t="shared" si="4"/>
        <v>0.19949999999999996</v>
      </c>
      <c r="N61" s="186">
        <f t="shared" si="5"/>
        <v>0.53035773870793368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(14.213057/31)*17</f>
        <v>7.7942570645161284</v>
      </c>
      <c r="K62" s="261">
        <f>J62+0.218523</f>
        <v>8.0127800645161287</v>
      </c>
      <c r="L62" s="193"/>
      <c r="M62" s="253">
        <f t="shared" si="4"/>
        <v>0.21852300000000024</v>
      </c>
      <c r="N62" s="194">
        <f t="shared" si="5"/>
        <v>2.8036411705592901E-2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8.3826917741935478</v>
      </c>
      <c r="K63" s="173">
        <f>SUM(K64:K68)</f>
        <v>8.6062917741935472</v>
      </c>
      <c r="L63" s="173"/>
      <c r="M63" s="173">
        <f t="shared" si="4"/>
        <v>0.22359999999999935</v>
      </c>
      <c r="N63" s="174">
        <f t="shared" si="5"/>
        <v>2.6674009497565043E-2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(15.286085/31)*17</f>
        <v>8.3826917741935478</v>
      </c>
      <c r="K64" s="211">
        <f>J64+0.2236</f>
        <v>8.6062917741935472</v>
      </c>
      <c r="L64" s="185"/>
      <c r="M64" s="252">
        <f t="shared" si="4"/>
        <v>0.22359999999999935</v>
      </c>
      <c r="N64" s="186">
        <f t="shared" si="5"/>
        <v>2.6674009497565043E-2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11735852.419354837</v>
      </c>
      <c r="L74" s="133">
        <f>J74-K74</f>
        <v>809744.58064516261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25436.897096774192</v>
      </c>
      <c r="L83" s="267">
        <f>L84+L85+L86+L87+L88+L89</f>
        <v>28011.653580645157</v>
      </c>
      <c r="M83" s="267">
        <f>L83-K83</f>
        <v>2574.7564838709659</v>
      </c>
      <c r="N83" s="266">
        <f>M83/K83</f>
        <v>0.10122132719550478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1336.7511290322579</v>
      </c>
      <c r="L84" s="267">
        <f>K20*1000</f>
        <v>1274.7739677419356</v>
      </c>
      <c r="M84" s="267">
        <f t="shared" ref="M84:M89" si="19">L84-K84</f>
        <v>-61.977161290322329</v>
      </c>
      <c r="N84" s="266">
        <f t="shared" ref="N84:N89" si="20">M84/K84</f>
        <v>-4.6364023896647649E-2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412.96893548387095</v>
      </c>
      <c r="L85" s="267">
        <f>K46*1000</f>
        <v>422.20793548387093</v>
      </c>
      <c r="M85" s="267">
        <f t="shared" si="19"/>
        <v>9.2389999999999759</v>
      </c>
      <c r="N85" s="266">
        <f t="shared" si="20"/>
        <v>2.2372142808210854E-2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6962.9077096774199</v>
      </c>
      <c r="L86" s="267">
        <f>K47*1000</f>
        <v>8980.7976451612922</v>
      </c>
      <c r="M86" s="267">
        <f t="shared" si="19"/>
        <v>2017.8899354838723</v>
      </c>
      <c r="N86" s="266">
        <f t="shared" si="20"/>
        <v>0.28980564149648302</v>
      </c>
    </row>
    <row r="87" spans="5:20" x14ac:dyDescent="0.25">
      <c r="J87" s="133" t="s">
        <v>189</v>
      </c>
      <c r="K87" s="267">
        <f>J55*1000</f>
        <v>547.32048387096779</v>
      </c>
      <c r="L87" s="267">
        <f>K55*1000</f>
        <v>714.80219354838698</v>
      </c>
      <c r="M87" s="267">
        <f t="shared" si="19"/>
        <v>167.48170967741919</v>
      </c>
      <c r="N87" s="266">
        <f t="shared" si="20"/>
        <v>0.30600299936317282</v>
      </c>
    </row>
    <row r="88" spans="5:20" x14ac:dyDescent="0.25">
      <c r="E88" s="133">
        <v>9.8273639999999993</v>
      </c>
      <c r="J88" s="133" t="s">
        <v>190</v>
      </c>
      <c r="K88" s="267">
        <f>J62*1000</f>
        <v>7794.2570645161286</v>
      </c>
      <c r="L88" s="267">
        <f>K62*1000</f>
        <v>8012.7800645161287</v>
      </c>
      <c r="M88" s="267">
        <f t="shared" si="19"/>
        <v>218.52300000000014</v>
      </c>
      <c r="N88" s="266">
        <f t="shared" si="20"/>
        <v>2.8036411705592901E-2</v>
      </c>
    </row>
    <row r="89" spans="5:20" x14ac:dyDescent="0.25">
      <c r="E89" s="133">
        <v>11.487494999999999</v>
      </c>
      <c r="J89" s="133" t="s">
        <v>191</v>
      </c>
      <c r="K89" s="267">
        <f>J64*1000</f>
        <v>8382.6917741935486</v>
      </c>
      <c r="L89" s="267">
        <f>K64*1000</f>
        <v>8606.2917741935471</v>
      </c>
      <c r="M89" s="267">
        <f t="shared" si="19"/>
        <v>223.59999999999854</v>
      </c>
      <c r="N89" s="266">
        <f t="shared" si="20"/>
        <v>2.6674009497564981E-2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F71:H71"/>
    <mergeCell ref="F74:H74"/>
    <mergeCell ref="J6:N6"/>
    <mergeCell ref="O6:R6"/>
    <mergeCell ref="S6:S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A6:A8"/>
    <mergeCell ref="B6:B8"/>
    <mergeCell ref="C6:C8"/>
    <mergeCell ref="D6:D8"/>
    <mergeCell ref="E6:E8"/>
  </mergeCells>
  <conditionalFormatting sqref="I10:I26 I28:I32 I34:I38 I40:I44 I46:I52 I54:I59 I61:I65 I67:I68">
    <cfRule type="cellIs" dxfId="811" priority="95" operator="lessThan">
      <formula>0</formula>
    </cfRule>
    <cfRule type="cellIs" dxfId="810" priority="96" operator="greaterThan">
      <formula>0</formula>
    </cfRule>
  </conditionalFormatting>
  <conditionalFormatting sqref="N10:N26 N28:N32 N34:N38 N40:N44 N46:N52 N54:N59 N61:N65 N67:N68">
    <cfRule type="cellIs" dxfId="809" priority="93" operator="lessThan">
      <formula>0</formula>
    </cfRule>
    <cfRule type="cellIs" dxfId="808" priority="94" operator="greaterThan">
      <formula>0</formula>
    </cfRule>
  </conditionalFormatting>
  <conditionalFormatting sqref="R10:R26 R28:R32 R34:R38 R40:R44 R46:R52 R54:R59 R61:R65 R67:R68">
    <cfRule type="cellIs" dxfId="807" priority="91" operator="lessThan">
      <formula>0</formula>
    </cfRule>
    <cfRule type="cellIs" dxfId="806" priority="92" operator="greaterThan">
      <formula>0</formula>
    </cfRule>
  </conditionalFormatting>
  <conditionalFormatting sqref="H10:H26 H28:H32 H34:H38 H40:H44 H46:H52 H54:H59 H61:H65 H67:H68">
    <cfRule type="cellIs" dxfId="805" priority="89" operator="lessThan">
      <formula>0</formula>
    </cfRule>
    <cfRule type="cellIs" dxfId="804" priority="90" operator="greaterThan">
      <formula>0</formula>
    </cfRule>
  </conditionalFormatting>
  <conditionalFormatting sqref="M10:M26 M28:M32 M34:M38 M40:M44 M46:M52 M54:M59 M61:M65 M67:M68">
    <cfRule type="cellIs" dxfId="803" priority="87" operator="lessThan">
      <formula>0</formula>
    </cfRule>
    <cfRule type="cellIs" dxfId="802" priority="88" operator="greaterThan">
      <formula>0</formula>
    </cfRule>
  </conditionalFormatting>
  <conditionalFormatting sqref="Q10:Q26 Q28:Q32 Q34:Q38 Q40:Q44 Q46:Q52 Q54:Q59 Q61:Q65 Q67:Q68">
    <cfRule type="cellIs" dxfId="801" priority="85" operator="lessThan">
      <formula>0</formula>
    </cfRule>
    <cfRule type="cellIs" dxfId="800" priority="86" operator="greaterThan">
      <formula>0</formula>
    </cfRule>
  </conditionalFormatting>
  <conditionalFormatting sqref="I27">
    <cfRule type="cellIs" dxfId="799" priority="83" operator="lessThan">
      <formula>0</formula>
    </cfRule>
    <cfRule type="cellIs" dxfId="798" priority="84" operator="greaterThan">
      <formula>0</formula>
    </cfRule>
  </conditionalFormatting>
  <conditionalFormatting sqref="N27">
    <cfRule type="cellIs" dxfId="797" priority="81" operator="lessThan">
      <formula>0</formula>
    </cfRule>
    <cfRule type="cellIs" dxfId="796" priority="82" operator="greaterThan">
      <formula>0</formula>
    </cfRule>
  </conditionalFormatting>
  <conditionalFormatting sqref="R27">
    <cfRule type="cellIs" dxfId="795" priority="79" operator="lessThan">
      <formula>0</formula>
    </cfRule>
    <cfRule type="cellIs" dxfId="794" priority="80" operator="greaterThan">
      <formula>0</formula>
    </cfRule>
  </conditionalFormatting>
  <conditionalFormatting sqref="H27">
    <cfRule type="cellIs" dxfId="793" priority="77" operator="lessThan">
      <formula>0</formula>
    </cfRule>
    <cfRule type="cellIs" dxfId="792" priority="78" operator="greaterThan">
      <formula>0</formula>
    </cfRule>
  </conditionalFormatting>
  <conditionalFormatting sqref="M27">
    <cfRule type="cellIs" dxfId="791" priority="75" operator="lessThan">
      <formula>0</formula>
    </cfRule>
    <cfRule type="cellIs" dxfId="790" priority="76" operator="greaterThan">
      <formula>0</formula>
    </cfRule>
  </conditionalFormatting>
  <conditionalFormatting sqref="Q27">
    <cfRule type="cellIs" dxfId="789" priority="73" operator="lessThan">
      <formula>0</formula>
    </cfRule>
    <cfRule type="cellIs" dxfId="788" priority="74" operator="greaterThan">
      <formula>0</formula>
    </cfRule>
  </conditionalFormatting>
  <conditionalFormatting sqref="I33">
    <cfRule type="cellIs" dxfId="787" priority="71" operator="lessThan">
      <formula>0</formula>
    </cfRule>
    <cfRule type="cellIs" dxfId="786" priority="72" operator="greaterThan">
      <formula>0</formula>
    </cfRule>
  </conditionalFormatting>
  <conditionalFormatting sqref="N33">
    <cfRule type="cellIs" dxfId="785" priority="69" operator="lessThan">
      <formula>0</formula>
    </cfRule>
    <cfRule type="cellIs" dxfId="784" priority="70" operator="greaterThan">
      <formula>0</formula>
    </cfRule>
  </conditionalFormatting>
  <conditionalFormatting sqref="R33">
    <cfRule type="cellIs" dxfId="783" priority="67" operator="lessThan">
      <formula>0</formula>
    </cfRule>
    <cfRule type="cellIs" dxfId="782" priority="68" operator="greaterThan">
      <formula>0</formula>
    </cfRule>
  </conditionalFormatting>
  <conditionalFormatting sqref="H33">
    <cfRule type="cellIs" dxfId="781" priority="65" operator="lessThan">
      <formula>0</formula>
    </cfRule>
    <cfRule type="cellIs" dxfId="780" priority="66" operator="greaterThan">
      <formula>0</formula>
    </cfRule>
  </conditionalFormatting>
  <conditionalFormatting sqref="M33">
    <cfRule type="cellIs" dxfId="779" priority="63" operator="lessThan">
      <formula>0</formula>
    </cfRule>
    <cfRule type="cellIs" dxfId="778" priority="64" operator="greaterThan">
      <formula>0</formula>
    </cfRule>
  </conditionalFormatting>
  <conditionalFormatting sqref="Q33">
    <cfRule type="cellIs" dxfId="777" priority="61" operator="lessThan">
      <formula>0</formula>
    </cfRule>
    <cfRule type="cellIs" dxfId="776" priority="62" operator="greaterThan">
      <formula>0</formula>
    </cfRule>
  </conditionalFormatting>
  <conditionalFormatting sqref="I39">
    <cfRule type="cellIs" dxfId="775" priority="59" operator="lessThan">
      <formula>0</formula>
    </cfRule>
    <cfRule type="cellIs" dxfId="774" priority="60" operator="greaterThan">
      <formula>0</formula>
    </cfRule>
  </conditionalFormatting>
  <conditionalFormatting sqref="N39">
    <cfRule type="cellIs" dxfId="773" priority="57" operator="lessThan">
      <formula>0</formula>
    </cfRule>
    <cfRule type="cellIs" dxfId="772" priority="58" operator="greaterThan">
      <formula>0</formula>
    </cfRule>
  </conditionalFormatting>
  <conditionalFormatting sqref="R39">
    <cfRule type="cellIs" dxfId="771" priority="55" operator="lessThan">
      <formula>0</formula>
    </cfRule>
    <cfRule type="cellIs" dxfId="770" priority="56" operator="greaterThan">
      <formula>0</formula>
    </cfRule>
  </conditionalFormatting>
  <conditionalFormatting sqref="H39">
    <cfRule type="cellIs" dxfId="769" priority="53" operator="lessThan">
      <formula>0</formula>
    </cfRule>
    <cfRule type="cellIs" dxfId="768" priority="54" operator="greaterThan">
      <formula>0</formula>
    </cfRule>
  </conditionalFormatting>
  <conditionalFormatting sqref="M39">
    <cfRule type="cellIs" dxfId="767" priority="51" operator="lessThan">
      <formula>0</formula>
    </cfRule>
    <cfRule type="cellIs" dxfId="766" priority="52" operator="greaterThan">
      <formula>0</formula>
    </cfRule>
  </conditionalFormatting>
  <conditionalFormatting sqref="Q39">
    <cfRule type="cellIs" dxfId="765" priority="49" operator="lessThan">
      <formula>0</formula>
    </cfRule>
    <cfRule type="cellIs" dxfId="764" priority="50" operator="greaterThan">
      <formula>0</formula>
    </cfRule>
  </conditionalFormatting>
  <conditionalFormatting sqref="I45">
    <cfRule type="cellIs" dxfId="763" priority="47" operator="lessThan">
      <formula>0</formula>
    </cfRule>
    <cfRule type="cellIs" dxfId="762" priority="48" operator="greaterThan">
      <formula>0</formula>
    </cfRule>
  </conditionalFormatting>
  <conditionalFormatting sqref="N45">
    <cfRule type="cellIs" dxfId="761" priority="45" operator="lessThan">
      <formula>0</formula>
    </cfRule>
    <cfRule type="cellIs" dxfId="760" priority="46" operator="greaterThan">
      <formula>0</formula>
    </cfRule>
  </conditionalFormatting>
  <conditionalFormatting sqref="R45">
    <cfRule type="cellIs" dxfId="759" priority="43" operator="lessThan">
      <formula>0</formula>
    </cfRule>
    <cfRule type="cellIs" dxfId="758" priority="44" operator="greaterThan">
      <formula>0</formula>
    </cfRule>
  </conditionalFormatting>
  <conditionalFormatting sqref="H45">
    <cfRule type="cellIs" dxfId="757" priority="41" operator="lessThan">
      <formula>0</formula>
    </cfRule>
    <cfRule type="cellIs" dxfId="756" priority="42" operator="greaterThan">
      <formula>0</formula>
    </cfRule>
  </conditionalFormatting>
  <conditionalFormatting sqref="M45">
    <cfRule type="cellIs" dxfId="755" priority="39" operator="lessThan">
      <formula>0</formula>
    </cfRule>
    <cfRule type="cellIs" dxfId="754" priority="40" operator="greaterThan">
      <formula>0</formula>
    </cfRule>
  </conditionalFormatting>
  <conditionalFormatting sqref="Q45">
    <cfRule type="cellIs" dxfId="753" priority="37" operator="lessThan">
      <formula>0</formula>
    </cfRule>
    <cfRule type="cellIs" dxfId="752" priority="38" operator="greaterThan">
      <formula>0</formula>
    </cfRule>
  </conditionalFormatting>
  <conditionalFormatting sqref="I53">
    <cfRule type="cellIs" dxfId="751" priority="35" operator="lessThan">
      <formula>0</formula>
    </cfRule>
    <cfRule type="cellIs" dxfId="750" priority="36" operator="greaterThan">
      <formula>0</formula>
    </cfRule>
  </conditionalFormatting>
  <conditionalFormatting sqref="N53">
    <cfRule type="cellIs" dxfId="749" priority="33" operator="lessThan">
      <formula>0</formula>
    </cfRule>
    <cfRule type="cellIs" dxfId="748" priority="34" operator="greaterThan">
      <formula>0</formula>
    </cfRule>
  </conditionalFormatting>
  <conditionalFormatting sqref="R53">
    <cfRule type="cellIs" dxfId="747" priority="31" operator="lessThan">
      <formula>0</formula>
    </cfRule>
    <cfRule type="cellIs" dxfId="746" priority="32" operator="greaterThan">
      <formula>0</formula>
    </cfRule>
  </conditionalFormatting>
  <conditionalFormatting sqref="H53">
    <cfRule type="cellIs" dxfId="745" priority="29" operator="lessThan">
      <formula>0</formula>
    </cfRule>
    <cfRule type="cellIs" dxfId="744" priority="30" operator="greaterThan">
      <formula>0</formula>
    </cfRule>
  </conditionalFormatting>
  <conditionalFormatting sqref="M53">
    <cfRule type="cellIs" dxfId="743" priority="27" operator="lessThan">
      <formula>0</formula>
    </cfRule>
    <cfRule type="cellIs" dxfId="742" priority="28" operator="greaterThan">
      <formula>0</formula>
    </cfRule>
  </conditionalFormatting>
  <conditionalFormatting sqref="Q53">
    <cfRule type="cellIs" dxfId="741" priority="25" operator="lessThan">
      <formula>0</formula>
    </cfRule>
    <cfRule type="cellIs" dxfId="740" priority="26" operator="greaterThan">
      <formula>0</formula>
    </cfRule>
  </conditionalFormatting>
  <conditionalFormatting sqref="I60">
    <cfRule type="cellIs" dxfId="739" priority="23" operator="lessThan">
      <formula>0</formula>
    </cfRule>
    <cfRule type="cellIs" dxfId="738" priority="24" operator="greaterThan">
      <formula>0</formula>
    </cfRule>
  </conditionalFormatting>
  <conditionalFormatting sqref="N60">
    <cfRule type="cellIs" dxfId="737" priority="21" operator="lessThan">
      <formula>0</formula>
    </cfRule>
    <cfRule type="cellIs" dxfId="736" priority="22" operator="greaterThan">
      <formula>0</formula>
    </cfRule>
  </conditionalFormatting>
  <conditionalFormatting sqref="R60">
    <cfRule type="cellIs" dxfId="735" priority="19" operator="lessThan">
      <formula>0</formula>
    </cfRule>
    <cfRule type="cellIs" dxfId="734" priority="20" operator="greaterThan">
      <formula>0</formula>
    </cfRule>
  </conditionalFormatting>
  <conditionalFormatting sqref="H60">
    <cfRule type="cellIs" dxfId="733" priority="17" operator="lessThan">
      <formula>0</formula>
    </cfRule>
    <cfRule type="cellIs" dxfId="732" priority="18" operator="greaterThan">
      <formula>0</formula>
    </cfRule>
  </conditionalFormatting>
  <conditionalFormatting sqref="M60">
    <cfRule type="cellIs" dxfId="731" priority="15" operator="lessThan">
      <formula>0</formula>
    </cfRule>
    <cfRule type="cellIs" dxfId="730" priority="16" operator="greaterThan">
      <formula>0</formula>
    </cfRule>
  </conditionalFormatting>
  <conditionalFormatting sqref="Q60">
    <cfRule type="cellIs" dxfId="729" priority="13" operator="lessThan">
      <formula>0</formula>
    </cfRule>
    <cfRule type="cellIs" dxfId="728" priority="14" operator="greaterThan">
      <formula>0</formula>
    </cfRule>
  </conditionalFormatting>
  <conditionalFormatting sqref="I66">
    <cfRule type="cellIs" dxfId="727" priority="11" operator="lessThan">
      <formula>0</formula>
    </cfRule>
    <cfRule type="cellIs" dxfId="726" priority="12" operator="greaterThan">
      <formula>0</formula>
    </cfRule>
  </conditionalFormatting>
  <conditionalFormatting sqref="N66">
    <cfRule type="cellIs" dxfId="725" priority="9" operator="lessThan">
      <formula>0</formula>
    </cfRule>
    <cfRule type="cellIs" dxfId="724" priority="10" operator="greaterThan">
      <formula>0</formula>
    </cfRule>
  </conditionalFormatting>
  <conditionalFormatting sqref="R66">
    <cfRule type="cellIs" dxfId="723" priority="7" operator="lessThan">
      <formula>0</formula>
    </cfRule>
    <cfRule type="cellIs" dxfId="722" priority="8" operator="greaterThan">
      <formula>0</formula>
    </cfRule>
  </conditionalFormatting>
  <conditionalFormatting sqref="H66">
    <cfRule type="cellIs" dxfId="721" priority="5" operator="lessThan">
      <formula>0</formula>
    </cfRule>
    <cfRule type="cellIs" dxfId="720" priority="6" operator="greaterThan">
      <formula>0</formula>
    </cfRule>
  </conditionalFormatting>
  <conditionalFormatting sqref="M66">
    <cfRule type="cellIs" dxfId="719" priority="3" operator="lessThan">
      <formula>0</formula>
    </cfRule>
    <cfRule type="cellIs" dxfId="718" priority="4" operator="greaterThan">
      <formula>0</formula>
    </cfRule>
  </conditionalFormatting>
  <conditionalFormatting sqref="Q66">
    <cfRule type="cellIs" dxfId="717" priority="1" operator="lessThan">
      <formula>0</formula>
    </cfRule>
    <cfRule type="cellIs" dxfId="716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94"/>
  <sheetViews>
    <sheetView zoomScale="70" zoomScaleNormal="70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P19" sqref="O19:P19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44220</v>
      </c>
      <c r="K1" s="249">
        <f>G19</f>
        <v>48.031658</v>
      </c>
      <c r="L1" s="249">
        <f>K10</f>
        <v>38.652391290322576</v>
      </c>
      <c r="M1" s="249">
        <f>K1-L1</f>
        <v>9.3792667096774238</v>
      </c>
      <c r="N1" s="273">
        <f>M1/K1*100</f>
        <v>19.527259936930395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48.031658</v>
      </c>
      <c r="P3" s="249">
        <v>0.105769</v>
      </c>
      <c r="Q3" s="249">
        <f>O1-P3</f>
        <v>-0.105769</v>
      </c>
      <c r="R3" s="249">
        <f>F19-J10</f>
        <v>6.3095244516129085</v>
      </c>
      <c r="S3" s="249">
        <f>F19-J10</f>
        <v>6.3095244516129085</v>
      </c>
      <c r="T3" s="110">
        <f>S3/F19*100</f>
        <v>14.944242055501434</v>
      </c>
    </row>
    <row r="4" spans="1:20" s="110" customFormat="1" ht="12" customHeight="1" x14ac:dyDescent="0.2">
      <c r="F4" s="110">
        <f>G19/20*31</f>
        <v>74.449069900000012</v>
      </c>
      <c r="G4" s="110">
        <v>13.2800040955377</v>
      </c>
      <c r="H4" s="270">
        <f>G4*F4/100</f>
        <v>9.8868395318097271</v>
      </c>
      <c r="I4" s="268">
        <f>F4-H4</f>
        <v>64.562230368190285</v>
      </c>
      <c r="J4" s="270">
        <f>I4/31*20</f>
        <v>41.653051850445344</v>
      </c>
      <c r="K4" s="270">
        <f>J4-K10</f>
        <v>3.0006605601227676</v>
      </c>
      <c r="L4" s="268">
        <f>G19/27*31</f>
        <v>55.147459185185184</v>
      </c>
      <c r="M4" s="271"/>
      <c r="N4" s="249">
        <f>F19-J10</f>
        <v>6.3095244516129085</v>
      </c>
      <c r="O4" s="249">
        <f>N4/F19*100</f>
        <v>14.944242055501434</v>
      </c>
      <c r="Q4" s="249"/>
      <c r="R4" s="110">
        <f>R3/F19*100</f>
        <v>14.944242055501434</v>
      </c>
      <c r="S4" s="249">
        <f>G19-K10</f>
        <v>9.3792667096774238</v>
      </c>
      <c r="T4" s="110">
        <f>S4/G19*100</f>
        <v>19.527259936930395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9.3792667096774238</v>
      </c>
      <c r="O5" s="274">
        <f>N5/G19*100</f>
        <v>19.527259936930395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2020</v>
      </c>
      <c r="P7" s="327">
        <v>2021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7" t="s">
        <v>179</v>
      </c>
      <c r="I8" s="114" t="s">
        <v>180</v>
      </c>
      <c r="J8" s="318"/>
      <c r="K8" s="328"/>
      <c r="L8" s="328"/>
      <c r="M8" s="287" t="s">
        <v>179</v>
      </c>
      <c r="N8" s="114" t="s">
        <v>180</v>
      </c>
      <c r="O8" s="318"/>
      <c r="P8" s="328"/>
      <c r="Q8" s="287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42.220438000000001</v>
      </c>
      <c r="G10" s="128">
        <f>SUMIFS(G18:G5005,$A18:$A5005,$A10,$C18:$C5005,$C10)</f>
        <v>48.031658</v>
      </c>
      <c r="H10" s="128">
        <f>G10-F10</f>
        <v>5.8112199999999987</v>
      </c>
      <c r="I10" s="129">
        <f>IFERROR(G10/F10-1,"")</f>
        <v>0.13763997427028118</v>
      </c>
      <c r="J10" s="130">
        <f t="shared" ref="J10" si="1">SUM(J11:J18)</f>
        <v>35.910913548387093</v>
      </c>
      <c r="K10" s="128">
        <f t="shared" ref="K10" si="2">SUM(K11:K18)</f>
        <v>38.652391290322576</v>
      </c>
      <c r="L10" s="128"/>
      <c r="M10" s="250">
        <f>K10-J10</f>
        <v>2.7414777419354834</v>
      </c>
      <c r="N10" s="129">
        <f>IFERROR(K10/J10-1,"")</f>
        <v>7.6341074928143016E-2</v>
      </c>
      <c r="O10" s="128">
        <f>SUMIFS(O18:O5005,$A18:$A5005,$A10,$C18:$C5005,$C10)</f>
        <v>121.53972048</v>
      </c>
      <c r="P10" s="128">
        <f>SUMIFS(P18:P5005,$A18:$A5005,$A10,$C18:$C5005,$C10)</f>
        <v>131.17577491</v>
      </c>
      <c r="Q10" s="131">
        <f>P10-O10</f>
        <v>9.6360544300000015</v>
      </c>
      <c r="R10" s="132">
        <f t="shared" ref="R10:R19" si="3">IFERROR(P10/O10-1,"")</f>
        <v>7.9283170900377842E-2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1.8871780645161289</v>
      </c>
      <c r="K11" s="142">
        <f>SUMIFS(K19:K5006,$A19:$A5006,$A11,$C19:$C5006,$C11)</f>
        <v>1.8065974838709677</v>
      </c>
      <c r="L11" s="142"/>
      <c r="M11" s="142">
        <f t="shared" ref="M11:M68" si="4">K11-J11</f>
        <v>-8.0580580645161159E-2</v>
      </c>
      <c r="N11" s="143">
        <f t="shared" ref="N11:N68" si="5">IFERROR(K11/J11-1,"")</f>
        <v>-4.2698981172093031E-2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0.5830149677419354</v>
      </c>
      <c r="K14" s="142">
        <f>SUMIFS(K19:K5006,$A19:$A5006,$A14,$C19:$C5006,$C14)</f>
        <v>0.59225396774193539</v>
      </c>
      <c r="L14" s="142"/>
      <c r="M14" s="142">
        <f t="shared" si="4"/>
        <v>9.2389999999999972E-3</v>
      </c>
      <c r="N14" s="143">
        <f t="shared" si="5"/>
        <v>1.5846934489149422E-2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9.8299873548387104</v>
      </c>
      <c r="K15" s="142">
        <f>SUMIFS(K19:K5006,$A19:$A5006,$A15,$C19:$C5006,$C15)</f>
        <v>11.798998322580646</v>
      </c>
      <c r="L15" s="142"/>
      <c r="M15" s="142">
        <f t="shared" si="4"/>
        <v>1.9690109677419354</v>
      </c>
      <c r="N15" s="143">
        <f t="shared" si="5"/>
        <v>0.20030656161248372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0.77268774193548384</v>
      </c>
      <c r="K16" s="142">
        <f>SUMIFS(K19:K5006,$A19:$A5006,$A16,$C19:$C5006,$C16)</f>
        <v>0.93197309677419349</v>
      </c>
      <c r="L16" s="142"/>
      <c r="M16" s="142">
        <f t="shared" si="4"/>
        <v>0.15928535483870965</v>
      </c>
      <c r="N16" s="143">
        <f t="shared" si="5"/>
        <v>0.20614453445284409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11.003657032258063</v>
      </c>
      <c r="K17" s="142">
        <f>SUMIFS(K19:K5006,$A19:$A5006,$A17,$C19:$C5006,$C17)</f>
        <v>11.222180032258063</v>
      </c>
      <c r="L17" s="142"/>
      <c r="M17" s="142">
        <f t="shared" si="4"/>
        <v>0.21852299999999936</v>
      </c>
      <c r="N17" s="143">
        <f t="shared" si="5"/>
        <v>1.9859124958128138E-2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11.834388387096773</v>
      </c>
      <c r="K18" s="154">
        <f>SUMIFS(K19:K5006,$A19:$A5006,$A18,$C19:$C5006,$C18)</f>
        <v>12.300388387096772</v>
      </c>
      <c r="L18" s="154"/>
      <c r="M18" s="154">
        <f t="shared" si="4"/>
        <v>0.4659999999999993</v>
      </c>
      <c r="N18" s="155">
        <f t="shared" si="5"/>
        <v>3.9376770878002176E-2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42.220438000000001</v>
      </c>
      <c r="G19" s="210">
        <v>48.031658</v>
      </c>
      <c r="H19" s="269">
        <f>G19-F19</f>
        <v>5.8112199999999987</v>
      </c>
      <c r="I19" s="164">
        <f>IFERROR(G19/F19-1,"")</f>
        <v>0.13763997427028118</v>
      </c>
      <c r="J19" s="165">
        <f>SUM(J20,J29,J35,J41,J47,J55,J62,J63)</f>
        <v>35.910913548387093</v>
      </c>
      <c r="K19" s="163">
        <f>SUM(K20,K29,K35,K41,K47,K55,K62,K63)</f>
        <v>38.652391290322576</v>
      </c>
      <c r="L19" s="163"/>
      <c r="M19" s="163">
        <f t="shared" si="4"/>
        <v>2.7414777419354834</v>
      </c>
      <c r="N19" s="164">
        <f t="shared" si="5"/>
        <v>7.6341074928143016E-2</v>
      </c>
      <c r="O19" s="210">
        <v>121.53972048</v>
      </c>
      <c r="P19" s="210">
        <v>131.17577491</v>
      </c>
      <c r="Q19" s="166">
        <f t="shared" ref="Q19" si="7">P19-O19</f>
        <v>9.6360544300000015</v>
      </c>
      <c r="R19" s="167">
        <f t="shared" si="3"/>
        <v>7.9283170900377842E-2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1.8871780645161289</v>
      </c>
      <c r="K20" s="173">
        <f>SUM(K21:K28)</f>
        <v>1.8065974838709677</v>
      </c>
      <c r="L20" s="173"/>
      <c r="M20" s="251">
        <f t="shared" si="4"/>
        <v>-8.0580580645161159E-2</v>
      </c>
      <c r="N20" s="174">
        <f t="shared" si="5"/>
        <v>-4.2698981172093031E-2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(1.045155/31)*24</f>
        <v>0.80915225806451618</v>
      </c>
      <c r="K24" s="262">
        <f>J24+0.00521</f>
        <v>0.81436225806451623</v>
      </c>
      <c r="L24" s="185"/>
      <c r="M24" s="252">
        <f>K24-J24</f>
        <v>5.2100000000000479E-3</v>
      </c>
      <c r="N24" s="186">
        <f>IFERROR(K24/J24-1,"")</f>
        <v>6.4388376205761766E-3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(0.384951/31)*24</f>
        <v>0.2980265806451613</v>
      </c>
      <c r="K25" s="262">
        <v>0.20841599999999999</v>
      </c>
      <c r="L25" s="185"/>
      <c r="M25" s="252">
        <f t="shared" ref="M25:M27" si="10">K25-J25</f>
        <v>-8.9610580645161308E-2</v>
      </c>
      <c r="N25" s="186">
        <f t="shared" ref="N25:N27" si="11">IFERROR(K25/J25-1,"")</f>
        <v>-0.30067982678314908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(0.101781/31)*24</f>
        <v>7.8798193548387088E-2</v>
      </c>
      <c r="K26" s="262">
        <f>J26+0.00235</f>
        <v>8.1148193548387093E-2</v>
      </c>
      <c r="L26" s="185"/>
      <c r="M26" s="252">
        <f t="shared" si="10"/>
        <v>2.3500000000000049E-3</v>
      </c>
      <c r="N26" s="186">
        <f t="shared" si="11"/>
        <v>2.9823018703556414E-2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(2.437605/31)*24-J24-J25-J26</f>
        <v>0.70120103225806441</v>
      </c>
      <c r="K28" s="190">
        <f>J28+0.00147</f>
        <v>0.70267103225806438</v>
      </c>
      <c r="L28" s="190"/>
      <c r="M28" s="185">
        <f t="shared" si="4"/>
        <v>1.4699999999999713E-3</v>
      </c>
      <c r="N28" s="186">
        <f t="shared" si="5"/>
        <v>2.0964030746877249E-3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0.5830149677419354</v>
      </c>
      <c r="K41" s="251">
        <f t="shared" si="15"/>
        <v>0.59225396774193539</v>
      </c>
      <c r="L41" s="173"/>
      <c r="M41" s="173">
        <f t="shared" si="4"/>
        <v>9.2389999999999972E-3</v>
      </c>
      <c r="N41" s="174">
        <f t="shared" si="5"/>
        <v>1.5846934489149422E-2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(0.753061/31)*24</f>
        <v>0.5830149677419354</v>
      </c>
      <c r="K46" s="185">
        <f>J46+0.009239</f>
        <v>0.59225396774193539</v>
      </c>
      <c r="L46" s="185"/>
      <c r="M46" s="185">
        <f t="shared" si="4"/>
        <v>9.2389999999999972E-3</v>
      </c>
      <c r="N46" s="186">
        <f t="shared" si="5"/>
        <v>1.5846934489149422E-2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9.8299873548387104</v>
      </c>
      <c r="K47" s="251">
        <f>SUM(K48:K54)</f>
        <v>11.798998322580646</v>
      </c>
      <c r="L47" s="173"/>
      <c r="M47" s="251">
        <f t="shared" si="4"/>
        <v>1.9690109677419354</v>
      </c>
      <c r="N47" s="174">
        <f t="shared" si="5"/>
        <v>0.20030656161248372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(0.5024/31)*24</f>
        <v>0.3889548387096774</v>
      </c>
      <c r="K51" s="256">
        <f>J51+0.05521</f>
        <v>0.44416483870967738</v>
      </c>
      <c r="L51" s="190"/>
      <c r="M51" s="252">
        <f>K51-J51</f>
        <v>5.5209999999999981E-2</v>
      </c>
      <c r="N51" s="186">
        <f t="shared" si="5"/>
        <v>0.1419444997346071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(0.216464/31)*24</f>
        <v>0.16758503225806451</v>
      </c>
      <c r="K52" s="190">
        <f>'17'!K52</f>
        <v>8.8165999999999994E-2</v>
      </c>
      <c r="L52" s="190"/>
      <c r="M52" s="252">
        <f t="shared" ref="M52:M53" si="16">K52-J52</f>
        <v>-7.9419032258064515E-2</v>
      </c>
      <c r="N52" s="186">
        <f t="shared" si="5"/>
        <v>-0.47390289686352771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(12.697067/31)*24-J51-J52</f>
        <v>9.2734474838709691</v>
      </c>
      <c r="K54" s="185">
        <f>J54+1.99322</f>
        <v>11.266667483870968</v>
      </c>
      <c r="L54" s="185"/>
      <c r="M54" s="252">
        <f t="shared" si="4"/>
        <v>1.9932199999999991</v>
      </c>
      <c r="N54" s="186">
        <f t="shared" si="5"/>
        <v>0.21493840381009832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0.77268774193548384</v>
      </c>
      <c r="K55" s="173">
        <f t="shared" si="18"/>
        <v>0.93197309677419349</v>
      </c>
      <c r="L55" s="173"/>
      <c r="M55" s="251">
        <f t="shared" si="4"/>
        <v>0.15928535483870965</v>
      </c>
      <c r="N55" s="174">
        <f t="shared" si="5"/>
        <v>0.20614453445284409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(0.312114/31)*24</f>
        <v>0.24163664516129035</v>
      </c>
      <c r="K59" s="262">
        <v>0.20142199999999999</v>
      </c>
      <c r="L59" s="190"/>
      <c r="M59" s="185">
        <f>K59-J59</f>
        <v>-4.0214645161290363E-2</v>
      </c>
      <c r="N59" s="186">
        <f>IFERROR(K59/J59-1,"")</f>
        <v>-0.16642610285558068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(0.998055/31)*24-J59</f>
        <v>0.53105109677419349</v>
      </c>
      <c r="K61" s="185">
        <f>J61+0.1995</f>
        <v>0.7305510967741935</v>
      </c>
      <c r="L61" s="185"/>
      <c r="M61" s="185">
        <f t="shared" si="4"/>
        <v>0.19950000000000001</v>
      </c>
      <c r="N61" s="186">
        <f t="shared" si="5"/>
        <v>0.37567006491811994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(14.213057/31)*24</f>
        <v>11.003657032258063</v>
      </c>
      <c r="K62" s="261">
        <f>J62+0.218523</f>
        <v>11.222180032258063</v>
      </c>
      <c r="L62" s="193"/>
      <c r="M62" s="253">
        <f t="shared" si="4"/>
        <v>0.21852299999999936</v>
      </c>
      <c r="N62" s="194">
        <f t="shared" si="5"/>
        <v>1.9859124958128138E-2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11.834388387096773</v>
      </c>
      <c r="K63" s="173">
        <f>SUM(K64:K68)</f>
        <v>12.300388387096772</v>
      </c>
      <c r="L63" s="173"/>
      <c r="M63" s="173">
        <f t="shared" si="4"/>
        <v>0.4659999999999993</v>
      </c>
      <c r="N63" s="174">
        <f t="shared" si="5"/>
        <v>3.9376770878002176E-2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(15.286085/31)*24</f>
        <v>11.834388387096773</v>
      </c>
      <c r="K64" s="211">
        <f>J64+0.466</f>
        <v>12.300388387096772</v>
      </c>
      <c r="L64" s="185"/>
      <c r="M64" s="252">
        <f t="shared" si="4"/>
        <v>0.4659999999999993</v>
      </c>
      <c r="N64" s="186">
        <f t="shared" si="5"/>
        <v>3.9376770878002176E-2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16773256.891495595</v>
      </c>
      <c r="L74" s="133">
        <f>J74-K74</f>
        <v>-4227659.8914955948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35910.913548387092</v>
      </c>
      <c r="L83" s="267">
        <f>L84+L85+L86+L87+L88+L89</f>
        <v>38652.391290322572</v>
      </c>
      <c r="M83" s="267">
        <f>L83-K83</f>
        <v>2741.4777419354796</v>
      </c>
      <c r="N83" s="266">
        <f>M83/K83</f>
        <v>7.6341074928142863E-2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1887.1780645161289</v>
      </c>
      <c r="L84" s="267">
        <f>K20*1000</f>
        <v>1806.5974838709678</v>
      </c>
      <c r="M84" s="267">
        <f t="shared" ref="M84:M89" si="19">L84-K84</f>
        <v>-80.580580645161035</v>
      </c>
      <c r="N84" s="266">
        <f t="shared" ref="N84:N89" si="20">M84/K84</f>
        <v>-4.2698981172092969E-2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583.01496774193538</v>
      </c>
      <c r="L85" s="267">
        <f>K46*1000</f>
        <v>592.25396774193541</v>
      </c>
      <c r="M85" s="267">
        <f t="shared" si="19"/>
        <v>9.2390000000000327</v>
      </c>
      <c r="N85" s="266">
        <f t="shared" si="20"/>
        <v>1.5846934489149454E-2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9829.9873548387113</v>
      </c>
      <c r="L86" s="267">
        <f>K47*1000</f>
        <v>11798.998322580646</v>
      </c>
      <c r="M86" s="267">
        <f t="shared" si="19"/>
        <v>1969.010967741935</v>
      </c>
      <c r="N86" s="266">
        <f t="shared" si="20"/>
        <v>0.20030656161248361</v>
      </c>
    </row>
    <row r="87" spans="5:20" x14ac:dyDescent="0.25">
      <c r="J87" s="133" t="s">
        <v>189</v>
      </c>
      <c r="K87" s="267">
        <f>J55*1000</f>
        <v>772.68774193548381</v>
      </c>
      <c r="L87" s="267">
        <f>K55*1000</f>
        <v>931.97309677419344</v>
      </c>
      <c r="M87" s="267">
        <f t="shared" si="19"/>
        <v>159.28535483870962</v>
      </c>
      <c r="N87" s="266">
        <f t="shared" si="20"/>
        <v>0.20614453445284406</v>
      </c>
    </row>
    <row r="88" spans="5:20" x14ac:dyDescent="0.25">
      <c r="E88" s="133">
        <v>9.8273639999999993</v>
      </c>
      <c r="J88" s="133" t="s">
        <v>190</v>
      </c>
      <c r="K88" s="267">
        <f>J62*1000</f>
        <v>11003.657032258063</v>
      </c>
      <c r="L88" s="267">
        <f>K62*1000</f>
        <v>11222.180032258062</v>
      </c>
      <c r="M88" s="267">
        <f t="shared" si="19"/>
        <v>218.52299999999923</v>
      </c>
      <c r="N88" s="266">
        <f t="shared" si="20"/>
        <v>1.9859124958128221E-2</v>
      </c>
    </row>
    <row r="89" spans="5:20" x14ac:dyDescent="0.25">
      <c r="E89" s="133">
        <v>11.487494999999999</v>
      </c>
      <c r="J89" s="133" t="s">
        <v>191</v>
      </c>
      <c r="K89" s="267">
        <f>J64*1000</f>
        <v>11834.388387096773</v>
      </c>
      <c r="L89" s="267">
        <f>K64*1000</f>
        <v>12300.388387096773</v>
      </c>
      <c r="M89" s="267">
        <f t="shared" si="19"/>
        <v>466</v>
      </c>
      <c r="N89" s="266">
        <f t="shared" si="20"/>
        <v>3.9376770878002232E-2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A6:A8"/>
    <mergeCell ref="B6:B8"/>
    <mergeCell ref="C6:C8"/>
    <mergeCell ref="D6:D8"/>
    <mergeCell ref="E6:E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F71:H71"/>
    <mergeCell ref="F74:H74"/>
    <mergeCell ref="J6:N6"/>
    <mergeCell ref="O6:R6"/>
    <mergeCell ref="S6:S8"/>
  </mergeCells>
  <conditionalFormatting sqref="I10:I26 I28:I32 I34:I38 I40:I44 I46:I52 I54:I59 I61:I65 I67:I68">
    <cfRule type="cellIs" dxfId="715" priority="95" operator="lessThan">
      <formula>0</formula>
    </cfRule>
    <cfRule type="cellIs" dxfId="714" priority="96" operator="greaterThan">
      <formula>0</formula>
    </cfRule>
  </conditionalFormatting>
  <conditionalFormatting sqref="N10:N26 N28:N32 N34:N38 N40:N44 N46:N52 N54:N59 N61:N65 N67:N68">
    <cfRule type="cellIs" dxfId="713" priority="93" operator="lessThan">
      <formula>0</formula>
    </cfRule>
    <cfRule type="cellIs" dxfId="712" priority="94" operator="greaterThan">
      <formula>0</formula>
    </cfRule>
  </conditionalFormatting>
  <conditionalFormatting sqref="R10:R26 R28:R32 R34:R38 R40:R44 R46:R52 R54:R59 R61:R65 R67:R68">
    <cfRule type="cellIs" dxfId="711" priority="91" operator="lessThan">
      <formula>0</formula>
    </cfRule>
    <cfRule type="cellIs" dxfId="710" priority="92" operator="greaterThan">
      <formula>0</formula>
    </cfRule>
  </conditionalFormatting>
  <conditionalFormatting sqref="H10:H26 H28:H32 H34:H38 H40:H44 H46:H52 H54:H59 H61:H65 H67:H68">
    <cfRule type="cellIs" dxfId="709" priority="89" operator="lessThan">
      <formula>0</formula>
    </cfRule>
    <cfRule type="cellIs" dxfId="708" priority="90" operator="greaterThan">
      <formula>0</formula>
    </cfRule>
  </conditionalFormatting>
  <conditionalFormatting sqref="M10:M26 M28:M32 M34:M38 M40:M44 M46:M52 M54:M59 M61:M65 M67:M68">
    <cfRule type="cellIs" dxfId="707" priority="87" operator="lessThan">
      <formula>0</formula>
    </cfRule>
    <cfRule type="cellIs" dxfId="706" priority="88" operator="greaterThan">
      <formula>0</formula>
    </cfRule>
  </conditionalFormatting>
  <conditionalFormatting sqref="Q10:Q26 Q28:Q32 Q34:Q38 Q40:Q44 Q46:Q52 Q54:Q59 Q61:Q65 Q67:Q68">
    <cfRule type="cellIs" dxfId="705" priority="85" operator="lessThan">
      <formula>0</formula>
    </cfRule>
    <cfRule type="cellIs" dxfId="704" priority="86" operator="greaterThan">
      <formula>0</formula>
    </cfRule>
  </conditionalFormatting>
  <conditionalFormatting sqref="I27">
    <cfRule type="cellIs" dxfId="703" priority="83" operator="lessThan">
      <formula>0</formula>
    </cfRule>
    <cfRule type="cellIs" dxfId="702" priority="84" operator="greaterThan">
      <formula>0</formula>
    </cfRule>
  </conditionalFormatting>
  <conditionalFormatting sqref="N27">
    <cfRule type="cellIs" dxfId="701" priority="81" operator="lessThan">
      <formula>0</formula>
    </cfRule>
    <cfRule type="cellIs" dxfId="700" priority="82" operator="greaterThan">
      <formula>0</formula>
    </cfRule>
  </conditionalFormatting>
  <conditionalFormatting sqref="R27">
    <cfRule type="cellIs" dxfId="699" priority="79" operator="lessThan">
      <formula>0</formula>
    </cfRule>
    <cfRule type="cellIs" dxfId="698" priority="80" operator="greaterThan">
      <formula>0</formula>
    </cfRule>
  </conditionalFormatting>
  <conditionalFormatting sqref="H27">
    <cfRule type="cellIs" dxfId="697" priority="77" operator="lessThan">
      <formula>0</formula>
    </cfRule>
    <cfRule type="cellIs" dxfId="696" priority="78" operator="greaterThan">
      <formula>0</formula>
    </cfRule>
  </conditionalFormatting>
  <conditionalFormatting sqref="M27">
    <cfRule type="cellIs" dxfId="695" priority="75" operator="lessThan">
      <formula>0</formula>
    </cfRule>
    <cfRule type="cellIs" dxfId="694" priority="76" operator="greaterThan">
      <formula>0</formula>
    </cfRule>
  </conditionalFormatting>
  <conditionalFormatting sqref="Q27">
    <cfRule type="cellIs" dxfId="693" priority="73" operator="lessThan">
      <formula>0</formula>
    </cfRule>
    <cfRule type="cellIs" dxfId="692" priority="74" operator="greaterThan">
      <formula>0</formula>
    </cfRule>
  </conditionalFormatting>
  <conditionalFormatting sqref="I33">
    <cfRule type="cellIs" dxfId="691" priority="71" operator="lessThan">
      <formula>0</formula>
    </cfRule>
    <cfRule type="cellIs" dxfId="690" priority="72" operator="greaterThan">
      <formula>0</formula>
    </cfRule>
  </conditionalFormatting>
  <conditionalFormatting sqref="N33">
    <cfRule type="cellIs" dxfId="689" priority="69" operator="lessThan">
      <formula>0</formula>
    </cfRule>
    <cfRule type="cellIs" dxfId="688" priority="70" operator="greaterThan">
      <formula>0</formula>
    </cfRule>
  </conditionalFormatting>
  <conditionalFormatting sqref="R33">
    <cfRule type="cellIs" dxfId="687" priority="67" operator="lessThan">
      <formula>0</formula>
    </cfRule>
    <cfRule type="cellIs" dxfId="686" priority="68" operator="greaterThan">
      <formula>0</formula>
    </cfRule>
  </conditionalFormatting>
  <conditionalFormatting sqref="H33">
    <cfRule type="cellIs" dxfId="685" priority="65" operator="lessThan">
      <formula>0</formula>
    </cfRule>
    <cfRule type="cellIs" dxfId="684" priority="66" operator="greaterThan">
      <formula>0</formula>
    </cfRule>
  </conditionalFormatting>
  <conditionalFormatting sqref="M33">
    <cfRule type="cellIs" dxfId="683" priority="63" operator="lessThan">
      <formula>0</formula>
    </cfRule>
    <cfRule type="cellIs" dxfId="682" priority="64" operator="greaterThan">
      <formula>0</formula>
    </cfRule>
  </conditionalFormatting>
  <conditionalFormatting sqref="Q33">
    <cfRule type="cellIs" dxfId="681" priority="61" operator="lessThan">
      <formula>0</formula>
    </cfRule>
    <cfRule type="cellIs" dxfId="680" priority="62" operator="greaterThan">
      <formula>0</formula>
    </cfRule>
  </conditionalFormatting>
  <conditionalFormatting sqref="I39">
    <cfRule type="cellIs" dxfId="679" priority="59" operator="lessThan">
      <formula>0</formula>
    </cfRule>
    <cfRule type="cellIs" dxfId="678" priority="60" operator="greaterThan">
      <formula>0</formula>
    </cfRule>
  </conditionalFormatting>
  <conditionalFormatting sqref="N39">
    <cfRule type="cellIs" dxfId="677" priority="57" operator="lessThan">
      <formula>0</formula>
    </cfRule>
    <cfRule type="cellIs" dxfId="676" priority="58" operator="greaterThan">
      <formula>0</formula>
    </cfRule>
  </conditionalFormatting>
  <conditionalFormatting sqref="R39">
    <cfRule type="cellIs" dxfId="675" priority="55" operator="lessThan">
      <formula>0</formula>
    </cfRule>
    <cfRule type="cellIs" dxfId="674" priority="56" operator="greaterThan">
      <formula>0</formula>
    </cfRule>
  </conditionalFormatting>
  <conditionalFormatting sqref="H39">
    <cfRule type="cellIs" dxfId="673" priority="53" operator="lessThan">
      <formula>0</formula>
    </cfRule>
    <cfRule type="cellIs" dxfId="672" priority="54" operator="greaterThan">
      <formula>0</formula>
    </cfRule>
  </conditionalFormatting>
  <conditionalFormatting sqref="M39">
    <cfRule type="cellIs" dxfId="671" priority="51" operator="lessThan">
      <formula>0</formula>
    </cfRule>
    <cfRule type="cellIs" dxfId="670" priority="52" operator="greaterThan">
      <formula>0</formula>
    </cfRule>
  </conditionalFormatting>
  <conditionalFormatting sqref="Q39">
    <cfRule type="cellIs" dxfId="669" priority="49" operator="lessThan">
      <formula>0</formula>
    </cfRule>
    <cfRule type="cellIs" dxfId="668" priority="50" operator="greaterThan">
      <formula>0</formula>
    </cfRule>
  </conditionalFormatting>
  <conditionalFormatting sqref="I45">
    <cfRule type="cellIs" dxfId="667" priority="47" operator="lessThan">
      <formula>0</formula>
    </cfRule>
    <cfRule type="cellIs" dxfId="666" priority="48" operator="greaterThan">
      <formula>0</formula>
    </cfRule>
  </conditionalFormatting>
  <conditionalFormatting sqref="N45">
    <cfRule type="cellIs" dxfId="665" priority="45" operator="lessThan">
      <formula>0</formula>
    </cfRule>
    <cfRule type="cellIs" dxfId="664" priority="46" operator="greaterThan">
      <formula>0</formula>
    </cfRule>
  </conditionalFormatting>
  <conditionalFormatting sqref="R45">
    <cfRule type="cellIs" dxfId="663" priority="43" operator="lessThan">
      <formula>0</formula>
    </cfRule>
    <cfRule type="cellIs" dxfId="662" priority="44" operator="greaterThan">
      <formula>0</formula>
    </cfRule>
  </conditionalFormatting>
  <conditionalFormatting sqref="H45">
    <cfRule type="cellIs" dxfId="661" priority="41" operator="lessThan">
      <formula>0</formula>
    </cfRule>
    <cfRule type="cellIs" dxfId="660" priority="42" operator="greaterThan">
      <formula>0</formula>
    </cfRule>
  </conditionalFormatting>
  <conditionalFormatting sqref="M45">
    <cfRule type="cellIs" dxfId="659" priority="39" operator="lessThan">
      <formula>0</formula>
    </cfRule>
    <cfRule type="cellIs" dxfId="658" priority="40" operator="greaterThan">
      <formula>0</formula>
    </cfRule>
  </conditionalFormatting>
  <conditionalFormatting sqref="Q45">
    <cfRule type="cellIs" dxfId="657" priority="37" operator="lessThan">
      <formula>0</formula>
    </cfRule>
    <cfRule type="cellIs" dxfId="656" priority="38" operator="greaterThan">
      <formula>0</formula>
    </cfRule>
  </conditionalFormatting>
  <conditionalFormatting sqref="I53">
    <cfRule type="cellIs" dxfId="655" priority="35" operator="lessThan">
      <formula>0</formula>
    </cfRule>
    <cfRule type="cellIs" dxfId="654" priority="36" operator="greaterThan">
      <formula>0</formula>
    </cfRule>
  </conditionalFormatting>
  <conditionalFormatting sqref="N53">
    <cfRule type="cellIs" dxfId="653" priority="33" operator="lessThan">
      <formula>0</formula>
    </cfRule>
    <cfRule type="cellIs" dxfId="652" priority="34" operator="greaterThan">
      <formula>0</formula>
    </cfRule>
  </conditionalFormatting>
  <conditionalFormatting sqref="R53">
    <cfRule type="cellIs" dxfId="651" priority="31" operator="lessThan">
      <formula>0</formula>
    </cfRule>
    <cfRule type="cellIs" dxfId="650" priority="32" operator="greaterThan">
      <formula>0</formula>
    </cfRule>
  </conditionalFormatting>
  <conditionalFormatting sqref="H53">
    <cfRule type="cellIs" dxfId="649" priority="29" operator="lessThan">
      <formula>0</formula>
    </cfRule>
    <cfRule type="cellIs" dxfId="648" priority="30" operator="greaterThan">
      <formula>0</formula>
    </cfRule>
  </conditionalFormatting>
  <conditionalFormatting sqref="M53">
    <cfRule type="cellIs" dxfId="647" priority="27" operator="lessThan">
      <formula>0</formula>
    </cfRule>
    <cfRule type="cellIs" dxfId="646" priority="28" operator="greaterThan">
      <formula>0</formula>
    </cfRule>
  </conditionalFormatting>
  <conditionalFormatting sqref="Q53">
    <cfRule type="cellIs" dxfId="645" priority="25" operator="lessThan">
      <formula>0</formula>
    </cfRule>
    <cfRule type="cellIs" dxfId="644" priority="26" operator="greaterThan">
      <formula>0</formula>
    </cfRule>
  </conditionalFormatting>
  <conditionalFormatting sqref="I60">
    <cfRule type="cellIs" dxfId="643" priority="23" operator="lessThan">
      <formula>0</formula>
    </cfRule>
    <cfRule type="cellIs" dxfId="642" priority="24" operator="greaterThan">
      <formula>0</formula>
    </cfRule>
  </conditionalFormatting>
  <conditionalFormatting sqref="N60">
    <cfRule type="cellIs" dxfId="641" priority="21" operator="lessThan">
      <formula>0</formula>
    </cfRule>
    <cfRule type="cellIs" dxfId="640" priority="22" operator="greaterThan">
      <formula>0</formula>
    </cfRule>
  </conditionalFormatting>
  <conditionalFormatting sqref="R60">
    <cfRule type="cellIs" dxfId="639" priority="19" operator="lessThan">
      <formula>0</formula>
    </cfRule>
    <cfRule type="cellIs" dxfId="638" priority="20" operator="greaterThan">
      <formula>0</formula>
    </cfRule>
  </conditionalFormatting>
  <conditionalFormatting sqref="H60">
    <cfRule type="cellIs" dxfId="637" priority="17" operator="lessThan">
      <formula>0</formula>
    </cfRule>
    <cfRule type="cellIs" dxfId="636" priority="18" operator="greaterThan">
      <formula>0</formula>
    </cfRule>
  </conditionalFormatting>
  <conditionalFormatting sqref="M60">
    <cfRule type="cellIs" dxfId="635" priority="15" operator="lessThan">
      <formula>0</formula>
    </cfRule>
    <cfRule type="cellIs" dxfId="634" priority="16" operator="greaterThan">
      <formula>0</formula>
    </cfRule>
  </conditionalFormatting>
  <conditionalFormatting sqref="Q60">
    <cfRule type="cellIs" dxfId="633" priority="13" operator="lessThan">
      <formula>0</formula>
    </cfRule>
    <cfRule type="cellIs" dxfId="632" priority="14" operator="greaterThan">
      <formula>0</formula>
    </cfRule>
  </conditionalFormatting>
  <conditionalFormatting sqref="I66">
    <cfRule type="cellIs" dxfId="631" priority="11" operator="lessThan">
      <formula>0</formula>
    </cfRule>
    <cfRule type="cellIs" dxfId="630" priority="12" operator="greaterThan">
      <formula>0</formula>
    </cfRule>
  </conditionalFormatting>
  <conditionalFormatting sqref="N66">
    <cfRule type="cellIs" dxfId="629" priority="9" operator="lessThan">
      <formula>0</formula>
    </cfRule>
    <cfRule type="cellIs" dxfId="628" priority="10" operator="greaterThan">
      <formula>0</formula>
    </cfRule>
  </conditionalFormatting>
  <conditionalFormatting sqref="R66">
    <cfRule type="cellIs" dxfId="627" priority="7" operator="lessThan">
      <formula>0</formula>
    </cfRule>
    <cfRule type="cellIs" dxfId="626" priority="8" operator="greaterThan">
      <formula>0</formula>
    </cfRule>
  </conditionalFormatting>
  <conditionalFormatting sqref="H66">
    <cfRule type="cellIs" dxfId="625" priority="5" operator="lessThan">
      <formula>0</formula>
    </cfRule>
    <cfRule type="cellIs" dxfId="624" priority="6" operator="greaterThan">
      <formula>0</formula>
    </cfRule>
  </conditionalFormatting>
  <conditionalFormatting sqref="M66">
    <cfRule type="cellIs" dxfId="623" priority="3" operator="lessThan">
      <formula>0</formula>
    </cfRule>
    <cfRule type="cellIs" dxfId="622" priority="4" operator="greaterThan">
      <formula>0</formula>
    </cfRule>
  </conditionalFormatting>
  <conditionalFormatting sqref="Q66">
    <cfRule type="cellIs" dxfId="621" priority="1" operator="lessThan">
      <formula>0</formula>
    </cfRule>
    <cfRule type="cellIs" dxfId="620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zoomScale="70" zoomScaleNormal="70" workbookViewId="0">
      <pane xSplit="5" ySplit="9" topLeftCell="H10" activePane="bottomRight" state="frozen"/>
      <selection pane="topRight" activeCell="E1" sqref="E1"/>
      <selection pane="bottomLeft" activeCell="A9" sqref="A9"/>
      <selection pane="bottomRight" activeCell="O19" sqref="O19:P19"/>
    </sheetView>
  </sheetViews>
  <sheetFormatPr defaultColWidth="9.140625" defaultRowHeight="15" x14ac:dyDescent="0.25"/>
  <cols>
    <col min="1" max="1" width="6.7109375" style="133" customWidth="1"/>
    <col min="2" max="2" width="26.140625" style="133" customWidth="1"/>
    <col min="3" max="3" width="24.5703125" style="133" customWidth="1"/>
    <col min="4" max="4" width="13" style="133" customWidth="1"/>
    <col min="5" max="5" width="52.5703125" style="133" customWidth="1"/>
    <col min="6" max="7" width="16.7109375" style="133" customWidth="1"/>
    <col min="8" max="8" width="17.140625" style="133" customWidth="1"/>
    <col min="9" max="9" width="17.42578125" style="133" customWidth="1"/>
    <col min="10" max="10" width="16.7109375" style="133" customWidth="1"/>
    <col min="11" max="11" width="20.42578125" style="133" customWidth="1"/>
    <col min="12" max="12" width="16.7109375" style="133" customWidth="1"/>
    <col min="13" max="13" width="17.140625" style="133" customWidth="1"/>
    <col min="14" max="14" width="18.42578125" style="133" customWidth="1"/>
    <col min="15" max="16" width="16.7109375" style="133" customWidth="1"/>
    <col min="17" max="17" width="17.140625" style="133" customWidth="1"/>
    <col min="18" max="18" width="18" style="133" customWidth="1"/>
    <col min="19" max="19" width="31" style="133" customWidth="1"/>
    <col min="20" max="20" width="25.5703125" style="133" customWidth="1"/>
    <col min="21" max="16384" width="9.140625" style="133"/>
  </cols>
  <sheetData>
    <row r="1" spans="1:20" s="110" customFormat="1" ht="15.75" x14ac:dyDescent="0.25">
      <c r="A1" s="109" t="s">
        <v>170</v>
      </c>
      <c r="C1" s="111">
        <v>44227</v>
      </c>
      <c r="K1" s="249">
        <f>G19</f>
        <v>61.271720000000002</v>
      </c>
      <c r="L1" s="249">
        <f>K10</f>
        <v>50.720378967741937</v>
      </c>
      <c r="M1" s="249">
        <f>K1-L1</f>
        <v>10.551341032258065</v>
      </c>
      <c r="N1" s="273">
        <f>M1/K1*100</f>
        <v>17.220572610427887</v>
      </c>
    </row>
    <row r="2" spans="1:20" s="110" customFormat="1" ht="12.75" x14ac:dyDescent="0.2">
      <c r="N2" s="249"/>
      <c r="O2" s="249"/>
      <c r="P2" s="249"/>
      <c r="R2" s="249"/>
    </row>
    <row r="3" spans="1:20" s="110" customFormat="1" ht="15.75" x14ac:dyDescent="0.25">
      <c r="A3" s="112" t="s">
        <v>257</v>
      </c>
      <c r="B3" s="112"/>
      <c r="L3" s="268">
        <f>G19</f>
        <v>61.271720000000002</v>
      </c>
      <c r="P3" s="249">
        <v>0.105769</v>
      </c>
      <c r="Q3" s="249">
        <f>O1-P3</f>
        <v>-0.105769</v>
      </c>
      <c r="R3" s="249">
        <f>F19-J10</f>
        <v>7.9371880000000061</v>
      </c>
      <c r="S3" s="249">
        <f>F19-J10</f>
        <v>7.9371880000000061</v>
      </c>
      <c r="T3" s="110">
        <f>S3/F19*100</f>
        <v>14.611337503445659</v>
      </c>
    </row>
    <row r="4" spans="1:20" s="110" customFormat="1" ht="12" customHeight="1" x14ac:dyDescent="0.2">
      <c r="F4" s="110">
        <f>G19/20*31</f>
        <v>94.971165999999997</v>
      </c>
      <c r="G4" s="110">
        <v>13.2800040955377</v>
      </c>
      <c r="H4" s="270">
        <f>G4*F4/100</f>
        <v>12.612174734379908</v>
      </c>
      <c r="I4" s="268">
        <f>F4-H4</f>
        <v>82.358991265620091</v>
      </c>
      <c r="J4" s="270">
        <f>I4/31*20</f>
        <v>53.134833074593608</v>
      </c>
      <c r="K4" s="270">
        <f>J4-K10</f>
        <v>2.4144541068516716</v>
      </c>
      <c r="L4" s="268">
        <f>G19/27*31</f>
        <v>70.349011851851856</v>
      </c>
      <c r="M4" s="271"/>
      <c r="N4" s="249">
        <f>F19-J10</f>
        <v>7.9371880000000061</v>
      </c>
      <c r="O4" s="249">
        <f>N4/F19*100</f>
        <v>14.611337503445659</v>
      </c>
      <c r="Q4" s="249"/>
      <c r="R4" s="110">
        <f>R3/F19*100</f>
        <v>14.611337503445659</v>
      </c>
      <c r="S4" s="249">
        <f>G19-K10</f>
        <v>10.551341032258065</v>
      </c>
      <c r="T4" s="110">
        <f>S4/G19*100</f>
        <v>17.220572610427887</v>
      </c>
    </row>
    <row r="5" spans="1:20" s="110" customFormat="1" ht="30" customHeight="1" thickBot="1" x14ac:dyDescent="0.25">
      <c r="H5" s="249"/>
      <c r="I5" s="249"/>
      <c r="J5" s="249"/>
      <c r="K5" s="254"/>
      <c r="L5" s="249"/>
      <c r="N5" s="249">
        <f>G19-K10</f>
        <v>10.551341032258065</v>
      </c>
      <c r="O5" s="274">
        <f>N5/G19*100</f>
        <v>17.220572610427887</v>
      </c>
    </row>
    <row r="6" spans="1:20" s="110" customFormat="1" ht="24.75" customHeight="1" x14ac:dyDescent="0.2">
      <c r="A6" s="309" t="s">
        <v>172</v>
      </c>
      <c r="B6" s="299" t="s">
        <v>1</v>
      </c>
      <c r="C6" s="299" t="s">
        <v>2</v>
      </c>
      <c r="D6" s="299" t="s">
        <v>3</v>
      </c>
      <c r="E6" s="313" t="s">
        <v>173</v>
      </c>
      <c r="F6" s="319" t="s">
        <v>174</v>
      </c>
      <c r="G6" s="320"/>
      <c r="H6" s="320"/>
      <c r="I6" s="321"/>
      <c r="J6" s="319" t="s">
        <v>175</v>
      </c>
      <c r="K6" s="320"/>
      <c r="L6" s="320"/>
      <c r="M6" s="320"/>
      <c r="N6" s="321"/>
      <c r="O6" s="320" t="s">
        <v>176</v>
      </c>
      <c r="P6" s="320"/>
      <c r="Q6" s="320"/>
      <c r="R6" s="321"/>
      <c r="S6" s="322" t="s">
        <v>231</v>
      </c>
      <c r="T6" s="324" t="s">
        <v>232</v>
      </c>
    </row>
    <row r="7" spans="1:20" s="110" customFormat="1" ht="24.75" customHeight="1" x14ac:dyDescent="0.2">
      <c r="A7" s="310"/>
      <c r="B7" s="300"/>
      <c r="C7" s="300"/>
      <c r="D7" s="300"/>
      <c r="E7" s="314"/>
      <c r="F7" s="317">
        <v>2019</v>
      </c>
      <c r="G7" s="327">
        <v>2020</v>
      </c>
      <c r="H7" s="315" t="s">
        <v>177</v>
      </c>
      <c r="I7" s="316"/>
      <c r="J7" s="317">
        <v>2019</v>
      </c>
      <c r="K7" s="327">
        <v>2020</v>
      </c>
      <c r="L7" s="327" t="s">
        <v>178</v>
      </c>
      <c r="M7" s="315" t="s">
        <v>177</v>
      </c>
      <c r="N7" s="316"/>
      <c r="O7" s="317">
        <v>2020</v>
      </c>
      <c r="P7" s="327">
        <v>2021</v>
      </c>
      <c r="Q7" s="315" t="s">
        <v>177</v>
      </c>
      <c r="R7" s="316"/>
      <c r="S7" s="323"/>
      <c r="T7" s="325"/>
    </row>
    <row r="8" spans="1:20" s="110" customFormat="1" ht="42.75" customHeight="1" thickBot="1" x14ac:dyDescent="0.25">
      <c r="A8" s="311"/>
      <c r="B8" s="312"/>
      <c r="C8" s="312"/>
      <c r="D8" s="312"/>
      <c r="E8" s="314"/>
      <c r="F8" s="318"/>
      <c r="G8" s="328"/>
      <c r="H8" s="287" t="s">
        <v>179</v>
      </c>
      <c r="I8" s="114" t="s">
        <v>180</v>
      </c>
      <c r="J8" s="318"/>
      <c r="K8" s="328"/>
      <c r="L8" s="328"/>
      <c r="M8" s="287" t="s">
        <v>179</v>
      </c>
      <c r="N8" s="114" t="s">
        <v>180</v>
      </c>
      <c r="O8" s="318"/>
      <c r="P8" s="328"/>
      <c r="Q8" s="287" t="s">
        <v>256</v>
      </c>
      <c r="R8" s="114" t="s">
        <v>180</v>
      </c>
      <c r="S8" s="323"/>
      <c r="T8" s="326"/>
    </row>
    <row r="9" spans="1:20" s="110" customFormat="1" ht="13.5" thickBot="1" x14ac:dyDescent="0.25">
      <c r="A9" s="115">
        <v>1</v>
      </c>
      <c r="B9" s="116">
        <f>A9+1</f>
        <v>2</v>
      </c>
      <c r="C9" s="116">
        <f t="shared" ref="C9:P9" si="0">B9+1</f>
        <v>3</v>
      </c>
      <c r="D9" s="117">
        <f t="shared" si="0"/>
        <v>4</v>
      </c>
      <c r="E9" s="118">
        <f t="shared" si="0"/>
        <v>5</v>
      </c>
      <c r="F9" s="119">
        <f t="shared" si="0"/>
        <v>6</v>
      </c>
      <c r="G9" s="120">
        <f t="shared" si="0"/>
        <v>7</v>
      </c>
      <c r="H9" s="120" t="s">
        <v>216</v>
      </c>
      <c r="I9" s="121" t="s">
        <v>219</v>
      </c>
      <c r="J9" s="119">
        <v>10</v>
      </c>
      <c r="K9" s="120">
        <f t="shared" si="0"/>
        <v>11</v>
      </c>
      <c r="L9" s="120">
        <f t="shared" si="0"/>
        <v>12</v>
      </c>
      <c r="M9" s="120" t="s">
        <v>217</v>
      </c>
      <c r="N9" s="121" t="s">
        <v>218</v>
      </c>
      <c r="O9" s="120">
        <v>15</v>
      </c>
      <c r="P9" s="120">
        <f t="shared" si="0"/>
        <v>16</v>
      </c>
      <c r="Q9" s="122" t="s">
        <v>222</v>
      </c>
      <c r="R9" s="122" t="s">
        <v>221</v>
      </c>
      <c r="S9" s="118">
        <v>19</v>
      </c>
      <c r="T9" s="118">
        <v>20</v>
      </c>
    </row>
    <row r="10" spans="1:20" ht="15.75" x14ac:dyDescent="0.25">
      <c r="A10" s="123" t="s">
        <v>181</v>
      </c>
      <c r="B10" s="124" t="s">
        <v>182</v>
      </c>
      <c r="C10" s="124" t="s">
        <v>192</v>
      </c>
      <c r="D10" s="125" t="s">
        <v>182</v>
      </c>
      <c r="E10" s="126" t="s">
        <v>183</v>
      </c>
      <c r="F10" s="127">
        <f>SUMIFS(F18:F5005,$A18:$A5005,$A10,$C18:$C5005,$C10)</f>
        <v>54.322118000000003</v>
      </c>
      <c r="G10" s="128">
        <f>SUMIFS(G18:G5005,$A18:$A5005,$A10,$C18:$C5005,$C10)</f>
        <v>61.271720000000002</v>
      </c>
      <c r="H10" s="128">
        <f>G10-F10</f>
        <v>6.9496019999999987</v>
      </c>
      <c r="I10" s="129">
        <f>IFERROR(G10/F10-1,"")</f>
        <v>0.1279331928847105</v>
      </c>
      <c r="J10" s="130">
        <f t="shared" ref="J10" si="1">SUM(J11:J18)</f>
        <v>46.384929999999997</v>
      </c>
      <c r="K10" s="128">
        <f t="shared" ref="K10" si="2">SUM(K11:K18)</f>
        <v>50.720378967741937</v>
      </c>
      <c r="L10" s="128"/>
      <c r="M10" s="250">
        <f>K10-J10</f>
        <v>4.3354489677419394</v>
      </c>
      <c r="N10" s="129">
        <f>IFERROR(K10/J10-1,"")</f>
        <v>9.3466756719088329E-2</v>
      </c>
      <c r="O10" s="128">
        <f>SUMIFS(O18:O5005,$A18:$A5005,$A10,$C18:$C5005,$C10)</f>
        <v>121.53972048</v>
      </c>
      <c r="P10" s="128">
        <f>SUMIFS(P18:P5005,$A18:$A5005,$A10,$C18:$C5005,$C10)</f>
        <v>131.17577491</v>
      </c>
      <c r="Q10" s="131">
        <f>P10-O10</f>
        <v>9.6360544300000015</v>
      </c>
      <c r="R10" s="132">
        <f t="shared" ref="R10:R19" si="3">IFERROR(P10/O10-1,"")</f>
        <v>7.9283170900377842E-2</v>
      </c>
      <c r="S10" s="126"/>
      <c r="T10" s="126"/>
    </row>
    <row r="11" spans="1:20" x14ac:dyDescent="0.25">
      <c r="A11" s="134" t="s">
        <v>10</v>
      </c>
      <c r="B11" s="135" t="s">
        <v>182</v>
      </c>
      <c r="C11" s="135" t="str">
        <f>C10</f>
        <v>ДЗО 1</v>
      </c>
      <c r="D11" s="136" t="s">
        <v>182</v>
      </c>
      <c r="E11" s="137" t="s">
        <v>184</v>
      </c>
      <c r="F11" s="138"/>
      <c r="G11" s="139"/>
      <c r="H11" s="139"/>
      <c r="I11" s="140"/>
      <c r="J11" s="141">
        <f>SUMIFS(J19:J5006,$A19:$A5006,$A11,$C19:$C5006,$C11)</f>
        <v>2.437605</v>
      </c>
      <c r="K11" s="142">
        <f>SUMIFS(K19:K5006,$A19:$A5006,$A11,$C19:$C5006,$C11)</f>
        <v>2.0034169999999998</v>
      </c>
      <c r="L11" s="142"/>
      <c r="M11" s="142">
        <f t="shared" ref="M11:M68" si="4">K11-J11</f>
        <v>-0.43418800000000024</v>
      </c>
      <c r="N11" s="143">
        <f t="shared" ref="N11:N68" si="5">IFERROR(K11/J11-1,"")</f>
        <v>-0.17812073736310852</v>
      </c>
      <c r="O11" s="139"/>
      <c r="P11" s="139"/>
      <c r="Q11" s="229"/>
      <c r="R11" s="232"/>
      <c r="S11" s="137"/>
      <c r="T11" s="137"/>
    </row>
    <row r="12" spans="1:20" x14ac:dyDescent="0.25">
      <c r="A12" s="134" t="s">
        <v>13</v>
      </c>
      <c r="B12" s="135" t="s">
        <v>182</v>
      </c>
      <c r="C12" s="135" t="str">
        <f t="shared" ref="C12:C18" si="6">C11</f>
        <v>ДЗО 1</v>
      </c>
      <c r="D12" s="136" t="s">
        <v>182</v>
      </c>
      <c r="E12" s="137" t="s">
        <v>185</v>
      </c>
      <c r="F12" s="138"/>
      <c r="G12" s="139"/>
      <c r="H12" s="139"/>
      <c r="I12" s="140"/>
      <c r="J12" s="141">
        <f>SUMIFS(J19:J5006,$A19:$A5006,$A12,$C19:$C5006,$C12)</f>
        <v>0</v>
      </c>
      <c r="K12" s="142">
        <f>SUMIFS(K19:K5006,$A19:$A5006,$A12,$C19:$C5006,$C12)</f>
        <v>0</v>
      </c>
      <c r="L12" s="142"/>
      <c r="M12" s="142">
        <f t="shared" si="4"/>
        <v>0</v>
      </c>
      <c r="N12" s="143" t="str">
        <f t="shared" si="5"/>
        <v/>
      </c>
      <c r="O12" s="139"/>
      <c r="P12" s="139"/>
      <c r="Q12" s="229"/>
      <c r="R12" s="232"/>
      <c r="S12" s="137"/>
      <c r="T12" s="137"/>
    </row>
    <row r="13" spans="1:20" x14ac:dyDescent="0.25">
      <c r="A13" s="134" t="s">
        <v>15</v>
      </c>
      <c r="B13" s="135" t="s">
        <v>182</v>
      </c>
      <c r="C13" s="135" t="str">
        <f t="shared" si="6"/>
        <v>ДЗО 1</v>
      </c>
      <c r="D13" s="136" t="s">
        <v>182</v>
      </c>
      <c r="E13" s="137" t="s">
        <v>186</v>
      </c>
      <c r="F13" s="138"/>
      <c r="G13" s="139"/>
      <c r="H13" s="139"/>
      <c r="I13" s="140"/>
      <c r="J13" s="141">
        <f>SUMIFS(J19:J5006,$A19:$A5006,$A13,$C19:$C5006,$C13)</f>
        <v>0</v>
      </c>
      <c r="K13" s="142">
        <f>SUMIFS(K19:K5006,$A19:$A5006,$A13,$C19:$C5006,$C13)</f>
        <v>0</v>
      </c>
      <c r="L13" s="142"/>
      <c r="M13" s="142">
        <f t="shared" si="4"/>
        <v>0</v>
      </c>
      <c r="N13" s="143" t="str">
        <f t="shared" si="5"/>
        <v/>
      </c>
      <c r="O13" s="139"/>
      <c r="P13" s="139"/>
      <c r="Q13" s="229"/>
      <c r="R13" s="232"/>
      <c r="S13" s="137"/>
      <c r="T13" s="137"/>
    </row>
    <row r="14" spans="1:20" x14ac:dyDescent="0.25">
      <c r="A14" s="134" t="s">
        <v>17</v>
      </c>
      <c r="B14" s="135" t="s">
        <v>182</v>
      </c>
      <c r="C14" s="135" t="str">
        <f t="shared" si="6"/>
        <v>ДЗО 1</v>
      </c>
      <c r="D14" s="136" t="s">
        <v>182</v>
      </c>
      <c r="E14" s="137" t="s">
        <v>187</v>
      </c>
      <c r="F14" s="138"/>
      <c r="G14" s="139"/>
      <c r="H14" s="139"/>
      <c r="I14" s="140"/>
      <c r="J14" s="141">
        <f>SUMIFS(J19:J5006,$A19:$A5006,$A14,$C19:$C5006,$C14)</f>
        <v>0.75306099999999998</v>
      </c>
      <c r="K14" s="142">
        <f>SUMIFS(K19:K5006,$A19:$A5006,$A14,$C19:$C5006,$C14)</f>
        <v>0.59225396774193539</v>
      </c>
      <c r="L14" s="142"/>
      <c r="M14" s="142">
        <f t="shared" si="4"/>
        <v>-0.16080703225806459</v>
      </c>
      <c r="N14" s="143">
        <f t="shared" si="5"/>
        <v>-0.21353785716969087</v>
      </c>
      <c r="O14" s="139"/>
      <c r="P14" s="139"/>
      <c r="Q14" s="229"/>
      <c r="R14" s="232"/>
      <c r="S14" s="137"/>
      <c r="T14" s="137"/>
    </row>
    <row r="15" spans="1:20" x14ac:dyDescent="0.25">
      <c r="A15" s="134" t="s">
        <v>19</v>
      </c>
      <c r="B15" s="135" t="s">
        <v>182</v>
      </c>
      <c r="C15" s="135" t="str">
        <f t="shared" si="6"/>
        <v>ДЗО 1</v>
      </c>
      <c r="D15" s="136" t="s">
        <v>182</v>
      </c>
      <c r="E15" s="137" t="s">
        <v>188</v>
      </c>
      <c r="F15" s="138"/>
      <c r="G15" s="139"/>
      <c r="H15" s="139"/>
      <c r="I15" s="140"/>
      <c r="J15" s="141">
        <f>SUMIFS(J19:J5006,$A19:$A5006,$A15,$C19:$C5006,$C15)</f>
        <v>12.697067000000001</v>
      </c>
      <c r="K15" s="142">
        <f>SUMIFS(K19:K5006,$A19:$A5006,$A15,$C19:$C5006,$C15)</f>
        <v>11.155772000000001</v>
      </c>
      <c r="L15" s="142"/>
      <c r="M15" s="142">
        <f t="shared" si="4"/>
        <v>-1.5412949999999999</v>
      </c>
      <c r="N15" s="143">
        <f t="shared" si="5"/>
        <v>-0.1213898453871276</v>
      </c>
      <c r="O15" s="139"/>
      <c r="P15" s="139"/>
      <c r="Q15" s="229"/>
      <c r="R15" s="232"/>
      <c r="S15" s="137"/>
      <c r="T15" s="137"/>
    </row>
    <row r="16" spans="1:20" ht="30" x14ac:dyDescent="0.25">
      <c r="A16" s="134" t="s">
        <v>21</v>
      </c>
      <c r="B16" s="135" t="s">
        <v>182</v>
      </c>
      <c r="C16" s="135" t="str">
        <f t="shared" si="6"/>
        <v>ДЗО 1</v>
      </c>
      <c r="D16" s="136" t="s">
        <v>182</v>
      </c>
      <c r="E16" s="137" t="s">
        <v>189</v>
      </c>
      <c r="F16" s="138"/>
      <c r="G16" s="139"/>
      <c r="H16" s="139"/>
      <c r="I16" s="140"/>
      <c r="J16" s="141">
        <f>SUMIFS(J19:J5006,$A19:$A5006,$A16,$C19:$C5006,$C16)</f>
        <v>0.99805500000000003</v>
      </c>
      <c r="K16" s="142">
        <f>SUMIFS(K19:K5006,$A19:$A5006,$A16,$C19:$C5006,$C16)</f>
        <v>1.9865759999999999</v>
      </c>
      <c r="L16" s="142"/>
      <c r="M16" s="142">
        <f t="shared" si="4"/>
        <v>0.98852099999999987</v>
      </c>
      <c r="N16" s="143">
        <f t="shared" si="5"/>
        <v>0.99044742023235166</v>
      </c>
      <c r="O16" s="139"/>
      <c r="P16" s="139"/>
      <c r="Q16" s="229"/>
      <c r="R16" s="232"/>
      <c r="S16" s="137"/>
      <c r="T16" s="137"/>
    </row>
    <row r="17" spans="1:20" x14ac:dyDescent="0.25">
      <c r="A17" s="134" t="s">
        <v>23</v>
      </c>
      <c r="B17" s="135" t="s">
        <v>182</v>
      </c>
      <c r="C17" s="135" t="str">
        <f t="shared" si="6"/>
        <v>ДЗО 1</v>
      </c>
      <c r="D17" s="136" t="s">
        <v>182</v>
      </c>
      <c r="E17" s="137" t="s">
        <v>190</v>
      </c>
      <c r="F17" s="138"/>
      <c r="G17" s="139"/>
      <c r="H17" s="139"/>
      <c r="I17" s="140"/>
      <c r="J17" s="141">
        <f>SUMIFS(J19:J5006,$A19:$A5006,$A17,$C19:$C5006,$C17)</f>
        <v>14.213056999999999</v>
      </c>
      <c r="K17" s="142">
        <f>SUMIFS(K19:K5006,$A19:$A5006,$A17,$C19:$C5006,$C17)</f>
        <v>18.382359999999998</v>
      </c>
      <c r="L17" s="142"/>
      <c r="M17" s="142">
        <f t="shared" si="4"/>
        <v>4.1693029999999993</v>
      </c>
      <c r="N17" s="143">
        <f t="shared" si="5"/>
        <v>0.29334315622599694</v>
      </c>
      <c r="O17" s="139"/>
      <c r="P17" s="139"/>
      <c r="Q17" s="229"/>
      <c r="R17" s="232"/>
      <c r="S17" s="137"/>
      <c r="T17" s="137"/>
    </row>
    <row r="18" spans="1:20" x14ac:dyDescent="0.25">
      <c r="A18" s="146" t="s">
        <v>25</v>
      </c>
      <c r="B18" s="147" t="s">
        <v>182</v>
      </c>
      <c r="C18" s="147" t="str">
        <f t="shared" si="6"/>
        <v>ДЗО 1</v>
      </c>
      <c r="D18" s="148" t="s">
        <v>182</v>
      </c>
      <c r="E18" s="149" t="s">
        <v>191</v>
      </c>
      <c r="F18" s="150"/>
      <c r="G18" s="151"/>
      <c r="H18" s="151"/>
      <c r="I18" s="152"/>
      <c r="J18" s="153">
        <f>SUMIFS(J19:J5006,$A19:$A5006,$A18,$C19:$C5006,$C18)</f>
        <v>15.286085</v>
      </c>
      <c r="K18" s="154">
        <f>SUMIFS(K19:K5006,$A19:$A5006,$A18,$C19:$C5006,$C18)</f>
        <v>16.600000000000001</v>
      </c>
      <c r="L18" s="154"/>
      <c r="M18" s="154">
        <f t="shared" si="4"/>
        <v>1.3139150000000015</v>
      </c>
      <c r="N18" s="155">
        <f t="shared" si="5"/>
        <v>8.5954971465878938E-2</v>
      </c>
      <c r="O18" s="151"/>
      <c r="P18" s="151"/>
      <c r="Q18" s="235"/>
      <c r="R18" s="236"/>
      <c r="S18" s="149"/>
      <c r="T18" s="149"/>
    </row>
    <row r="19" spans="1:20" ht="15.75" x14ac:dyDescent="0.25">
      <c r="A19" s="158" t="s">
        <v>181</v>
      </c>
      <c r="B19" s="159" t="s">
        <v>206</v>
      </c>
      <c r="C19" s="160" t="s">
        <v>192</v>
      </c>
      <c r="D19" s="161" t="s">
        <v>207</v>
      </c>
      <c r="E19" s="162" t="s">
        <v>183</v>
      </c>
      <c r="F19" s="209">
        <v>54.322118000000003</v>
      </c>
      <c r="G19" s="210">
        <v>61.271720000000002</v>
      </c>
      <c r="H19" s="269">
        <f>G19-F19</f>
        <v>6.9496019999999987</v>
      </c>
      <c r="I19" s="164">
        <f>IFERROR(G19/F19-1,"")</f>
        <v>0.1279331928847105</v>
      </c>
      <c r="J19" s="165">
        <f>SUM(J20,J29,J35,J41,J47,J55,J62,J63)</f>
        <v>46.384929999999997</v>
      </c>
      <c r="K19" s="163">
        <f>SUM(K20,K29,K35,K41,K47,K55,K62,K63)</f>
        <v>50.720378967741937</v>
      </c>
      <c r="L19" s="163"/>
      <c r="M19" s="163">
        <f t="shared" si="4"/>
        <v>4.3354489677419394</v>
      </c>
      <c r="N19" s="164">
        <f t="shared" si="5"/>
        <v>9.3466756719088329E-2</v>
      </c>
      <c r="O19" s="210">
        <v>121.53972048</v>
      </c>
      <c r="P19" s="210">
        <v>131.17577491</v>
      </c>
      <c r="Q19" s="166">
        <f t="shared" ref="Q19" si="7">P19-O19</f>
        <v>9.6360544300000015</v>
      </c>
      <c r="R19" s="167">
        <f t="shared" si="3"/>
        <v>7.9283170900377842E-2</v>
      </c>
      <c r="S19" s="162"/>
      <c r="T19" s="162"/>
    </row>
    <row r="20" spans="1:20" ht="75" x14ac:dyDescent="0.25">
      <c r="A20" s="168" t="s">
        <v>10</v>
      </c>
      <c r="B20" s="169" t="str">
        <f>B19</f>
        <v>субъект РФ 1</v>
      </c>
      <c r="C20" s="169" t="str">
        <f t="shared" ref="C20" si="8">C19</f>
        <v>ДЗО 1</v>
      </c>
      <c r="D20" s="170" t="str">
        <f>D19</f>
        <v>филиал 1</v>
      </c>
      <c r="E20" s="171" t="s">
        <v>193</v>
      </c>
      <c r="F20" s="138"/>
      <c r="G20" s="139"/>
      <c r="H20" s="139"/>
      <c r="I20" s="140"/>
      <c r="J20" s="172">
        <f>SUM(J21:J28)</f>
        <v>2.437605</v>
      </c>
      <c r="K20" s="173">
        <f>SUM(K21:K28)</f>
        <v>2.0034169999999998</v>
      </c>
      <c r="L20" s="173"/>
      <c r="M20" s="251">
        <f t="shared" si="4"/>
        <v>-0.43418800000000024</v>
      </c>
      <c r="N20" s="174">
        <f t="shared" si="5"/>
        <v>-0.17812073736310852</v>
      </c>
      <c r="O20" s="139"/>
      <c r="P20" s="139"/>
      <c r="Q20" s="229"/>
      <c r="R20" s="232"/>
      <c r="S20" s="171" t="s">
        <v>242</v>
      </c>
      <c r="T20" s="171" t="s">
        <v>240</v>
      </c>
    </row>
    <row r="21" spans="1:20" x14ac:dyDescent="0.25">
      <c r="A21" s="177"/>
      <c r="B21" s="178" t="str">
        <f t="shared" ref="B21:D36" si="9">B20</f>
        <v>субъект РФ 1</v>
      </c>
      <c r="C21" s="178" t="str">
        <f t="shared" si="9"/>
        <v>ДЗО 1</v>
      </c>
      <c r="D21" s="179" t="str">
        <f t="shared" si="9"/>
        <v>филиал 1</v>
      </c>
      <c r="E21" s="180" t="s">
        <v>194</v>
      </c>
      <c r="F21" s="181"/>
      <c r="G21" s="182"/>
      <c r="H21" s="182"/>
      <c r="I21" s="183"/>
      <c r="J21" s="184"/>
      <c r="K21" s="185"/>
      <c r="L21" s="185"/>
      <c r="M21" s="185">
        <f t="shared" si="4"/>
        <v>0</v>
      </c>
      <c r="N21" s="186" t="str">
        <f t="shared" si="5"/>
        <v/>
      </c>
      <c r="O21" s="182"/>
      <c r="P21" s="182"/>
      <c r="Q21" s="230"/>
      <c r="R21" s="233"/>
      <c r="S21" s="180"/>
      <c r="T21" s="180"/>
    </row>
    <row r="22" spans="1:20" x14ac:dyDescent="0.25">
      <c r="A22" s="177"/>
      <c r="B22" s="178" t="str">
        <f t="shared" si="9"/>
        <v>субъект РФ 1</v>
      </c>
      <c r="C22" s="178" t="str">
        <f t="shared" si="9"/>
        <v>ДЗО 1</v>
      </c>
      <c r="D22" s="179" t="str">
        <f t="shared" si="9"/>
        <v>филиал 1</v>
      </c>
      <c r="E22" s="180" t="s">
        <v>196</v>
      </c>
      <c r="F22" s="181"/>
      <c r="G22" s="182"/>
      <c r="H22" s="182"/>
      <c r="I22" s="183"/>
      <c r="J22" s="184"/>
      <c r="K22" s="185"/>
      <c r="L22" s="185"/>
      <c r="M22" s="185">
        <f t="shared" si="4"/>
        <v>0</v>
      </c>
      <c r="N22" s="186" t="str">
        <f t="shared" si="5"/>
        <v/>
      </c>
      <c r="O22" s="182"/>
      <c r="P22" s="182"/>
      <c r="Q22" s="230"/>
      <c r="R22" s="233"/>
      <c r="S22" s="180"/>
      <c r="T22" s="180"/>
    </row>
    <row r="23" spans="1:20" x14ac:dyDescent="0.25">
      <c r="A23" s="177"/>
      <c r="B23" s="178" t="str">
        <f t="shared" si="9"/>
        <v>субъект РФ 1</v>
      </c>
      <c r="C23" s="178" t="str">
        <f t="shared" si="9"/>
        <v>ДЗО 1</v>
      </c>
      <c r="D23" s="179" t="str">
        <f t="shared" si="9"/>
        <v>филиал 1</v>
      </c>
      <c r="E23" s="180" t="s">
        <v>198</v>
      </c>
      <c r="F23" s="181"/>
      <c r="G23" s="182"/>
      <c r="H23" s="182"/>
      <c r="I23" s="183"/>
      <c r="J23" s="184"/>
      <c r="K23" s="185"/>
      <c r="L23" s="185"/>
      <c r="M23" s="185">
        <f t="shared" si="4"/>
        <v>0</v>
      </c>
      <c r="N23" s="186" t="str">
        <f t="shared" si="5"/>
        <v/>
      </c>
      <c r="O23" s="182"/>
      <c r="P23" s="182"/>
      <c r="Q23" s="230"/>
      <c r="R23" s="233"/>
      <c r="S23" s="180"/>
      <c r="T23" s="180"/>
    </row>
    <row r="24" spans="1:20" ht="26.25" x14ac:dyDescent="0.25">
      <c r="A24" s="177"/>
      <c r="B24" s="178" t="str">
        <f t="shared" si="9"/>
        <v>субъект РФ 1</v>
      </c>
      <c r="C24" s="178" t="str">
        <f t="shared" si="9"/>
        <v>ДЗО 1</v>
      </c>
      <c r="D24" s="179" t="str">
        <f t="shared" si="9"/>
        <v>филиал 1</v>
      </c>
      <c r="E24" s="180" t="s">
        <v>233</v>
      </c>
      <c r="F24" s="181"/>
      <c r="G24" s="182"/>
      <c r="H24" s="182"/>
      <c r="I24" s="183"/>
      <c r="J24" s="258">
        <f>(1.045155)</f>
        <v>1.0451550000000001</v>
      </c>
      <c r="K24" s="262">
        <f>J24+0.00521</f>
        <v>1.050365</v>
      </c>
      <c r="L24" s="185"/>
      <c r="M24" s="252">
        <f>K24-J24</f>
        <v>5.2099999999999369E-3</v>
      </c>
      <c r="N24" s="186">
        <f>IFERROR(K24/J24-1,"")</f>
        <v>4.9849065449620866E-3</v>
      </c>
      <c r="O24" s="182"/>
      <c r="P24" s="182"/>
      <c r="Q24" s="230"/>
      <c r="R24" s="233"/>
      <c r="S24" s="180"/>
      <c r="T24" s="180"/>
    </row>
    <row r="25" spans="1:20" ht="26.25" x14ac:dyDescent="0.25">
      <c r="A25" s="177"/>
      <c r="B25" s="178" t="s">
        <v>206</v>
      </c>
      <c r="C25" s="178" t="s">
        <v>192</v>
      </c>
      <c r="D25" s="179" t="s">
        <v>207</v>
      </c>
      <c r="E25" s="180" t="s">
        <v>234</v>
      </c>
      <c r="F25" s="181"/>
      <c r="G25" s="182"/>
      <c r="H25" s="182"/>
      <c r="I25" s="183"/>
      <c r="J25" s="258">
        <f>(0.384951)</f>
        <v>0.38495099999999999</v>
      </c>
      <c r="K25" s="262">
        <v>0.27078999999999998</v>
      </c>
      <c r="L25" s="185"/>
      <c r="M25" s="252">
        <f t="shared" ref="M25:M27" si="10">K25-J25</f>
        <v>-0.11416100000000001</v>
      </c>
      <c r="N25" s="186">
        <f t="shared" ref="N25:N27" si="11">IFERROR(K25/J25-1,"")</f>
        <v>-0.29655982189941066</v>
      </c>
      <c r="O25" s="182"/>
      <c r="P25" s="182"/>
      <c r="Q25" s="230"/>
      <c r="R25" s="233"/>
      <c r="S25" s="180"/>
      <c r="T25" s="180"/>
    </row>
    <row r="26" spans="1:20" ht="26.25" x14ac:dyDescent="0.25">
      <c r="A26" s="177"/>
      <c r="B26" s="178" t="s">
        <v>206</v>
      </c>
      <c r="C26" s="178" t="s">
        <v>192</v>
      </c>
      <c r="D26" s="179" t="s">
        <v>207</v>
      </c>
      <c r="E26" s="180" t="s">
        <v>235</v>
      </c>
      <c r="F26" s="181"/>
      <c r="G26" s="182"/>
      <c r="H26" s="182"/>
      <c r="I26" s="183"/>
      <c r="J26" s="258">
        <f>(0.101781)</f>
        <v>0.101781</v>
      </c>
      <c r="K26" s="262">
        <f>J26+0.00235</f>
        <v>0.104131</v>
      </c>
      <c r="L26" s="185"/>
      <c r="M26" s="252">
        <f t="shared" si="10"/>
        <v>2.3500000000000049E-3</v>
      </c>
      <c r="N26" s="186">
        <f t="shared" si="11"/>
        <v>2.3088788673720995E-2</v>
      </c>
      <c r="O26" s="182"/>
      <c r="P26" s="182"/>
      <c r="Q26" s="230"/>
      <c r="R26" s="233"/>
      <c r="S26" s="180"/>
      <c r="T26" s="180"/>
    </row>
    <row r="27" spans="1:20" x14ac:dyDescent="0.25">
      <c r="A27" s="177"/>
      <c r="B27" s="178" t="str">
        <f>B23</f>
        <v>субъект РФ 1</v>
      </c>
      <c r="C27" s="178" t="str">
        <f>C23</f>
        <v>ДЗО 1</v>
      </c>
      <c r="D27" s="179" t="str">
        <f>D23</f>
        <v>филиал 1</v>
      </c>
      <c r="E27" s="180" t="s">
        <v>229</v>
      </c>
      <c r="F27" s="181"/>
      <c r="G27" s="182"/>
      <c r="H27" s="182"/>
      <c r="I27" s="183"/>
      <c r="J27" s="189"/>
      <c r="K27" s="190"/>
      <c r="L27" s="190"/>
      <c r="M27" s="185">
        <f t="shared" si="10"/>
        <v>0</v>
      </c>
      <c r="N27" s="186" t="str">
        <f t="shared" si="11"/>
        <v/>
      </c>
      <c r="O27" s="182"/>
      <c r="P27" s="182"/>
      <c r="Q27" s="230"/>
      <c r="R27" s="233"/>
      <c r="S27" s="180"/>
      <c r="T27" s="180"/>
    </row>
    <row r="28" spans="1:20" x14ac:dyDescent="0.25">
      <c r="A28" s="177"/>
      <c r="B28" s="178" t="str">
        <f>B27</f>
        <v>субъект РФ 1</v>
      </c>
      <c r="C28" s="178" t="str">
        <f>C27</f>
        <v>ДЗО 1</v>
      </c>
      <c r="D28" s="179" t="str">
        <f>D27</f>
        <v>филиал 1</v>
      </c>
      <c r="E28" s="180" t="s">
        <v>230</v>
      </c>
      <c r="F28" s="181"/>
      <c r="G28" s="182"/>
      <c r="H28" s="182"/>
      <c r="I28" s="183"/>
      <c r="J28" s="189">
        <f>(2.437605-J24-J25-J26)</f>
        <v>0.90571799999999991</v>
      </c>
      <c r="K28" s="190">
        <f>2.003417-K24-K25-K26</f>
        <v>0.57813099999999984</v>
      </c>
      <c r="L28" s="190"/>
      <c r="M28" s="185">
        <f t="shared" si="4"/>
        <v>-0.32758700000000007</v>
      </c>
      <c r="N28" s="186">
        <f t="shared" si="5"/>
        <v>-0.36168763345765476</v>
      </c>
      <c r="O28" s="182"/>
      <c r="P28" s="182"/>
      <c r="Q28" s="230"/>
      <c r="R28" s="233"/>
      <c r="S28" s="180"/>
      <c r="T28" s="180"/>
    </row>
    <row r="29" spans="1:20" x14ac:dyDescent="0.25">
      <c r="A29" s="168" t="s">
        <v>13</v>
      </c>
      <c r="B29" s="169" t="str">
        <f t="shared" si="9"/>
        <v>субъект РФ 1</v>
      </c>
      <c r="C29" s="169" t="str">
        <f t="shared" si="9"/>
        <v>ДЗО 1</v>
      </c>
      <c r="D29" s="170" t="str">
        <f t="shared" si="9"/>
        <v>филиал 1</v>
      </c>
      <c r="E29" s="171" t="s">
        <v>201</v>
      </c>
      <c r="F29" s="138"/>
      <c r="G29" s="139"/>
      <c r="H29" s="139"/>
      <c r="I29" s="140"/>
      <c r="J29" s="172">
        <f t="shared" ref="J29:K29" si="12">SUM(J30:J34)</f>
        <v>0</v>
      </c>
      <c r="K29" s="173">
        <f t="shared" si="12"/>
        <v>0</v>
      </c>
      <c r="L29" s="173"/>
      <c r="M29" s="173">
        <f t="shared" si="4"/>
        <v>0</v>
      </c>
      <c r="N29" s="174" t="str">
        <f t="shared" si="5"/>
        <v/>
      </c>
      <c r="O29" s="139"/>
      <c r="P29" s="139"/>
      <c r="Q29" s="229"/>
      <c r="R29" s="232"/>
      <c r="S29" s="171"/>
      <c r="T29" s="171"/>
    </row>
    <row r="30" spans="1:20" x14ac:dyDescent="0.25">
      <c r="A30" s="177"/>
      <c r="B30" s="178" t="str">
        <f t="shared" si="9"/>
        <v>субъект РФ 1</v>
      </c>
      <c r="C30" s="178" t="str">
        <f t="shared" si="9"/>
        <v>ДЗО 1</v>
      </c>
      <c r="D30" s="179" t="str">
        <f t="shared" si="9"/>
        <v>филиал 1</v>
      </c>
      <c r="E30" s="191" t="s">
        <v>194</v>
      </c>
      <c r="F30" s="181"/>
      <c r="G30" s="182"/>
      <c r="H30" s="182"/>
      <c r="I30" s="183"/>
      <c r="J30" s="184"/>
      <c r="K30" s="185"/>
      <c r="L30" s="185"/>
      <c r="M30" s="185">
        <f t="shared" si="4"/>
        <v>0</v>
      </c>
      <c r="N30" s="186" t="str">
        <f t="shared" si="5"/>
        <v/>
      </c>
      <c r="O30" s="182"/>
      <c r="P30" s="182"/>
      <c r="Q30" s="230"/>
      <c r="R30" s="233"/>
      <c r="S30" s="191"/>
      <c r="T30" s="191"/>
    </row>
    <row r="31" spans="1:20" x14ac:dyDescent="0.25">
      <c r="A31" s="177"/>
      <c r="B31" s="178" t="str">
        <f t="shared" si="9"/>
        <v>субъект РФ 1</v>
      </c>
      <c r="C31" s="178" t="str">
        <f t="shared" si="9"/>
        <v>ДЗО 1</v>
      </c>
      <c r="D31" s="179" t="str">
        <f t="shared" si="9"/>
        <v>филиал 1</v>
      </c>
      <c r="E31" s="191" t="s">
        <v>196</v>
      </c>
      <c r="F31" s="181"/>
      <c r="G31" s="182"/>
      <c r="H31" s="182"/>
      <c r="I31" s="183"/>
      <c r="J31" s="184"/>
      <c r="K31" s="185"/>
      <c r="L31" s="185"/>
      <c r="M31" s="185">
        <f t="shared" si="4"/>
        <v>0</v>
      </c>
      <c r="N31" s="186" t="str">
        <f t="shared" si="5"/>
        <v/>
      </c>
      <c r="O31" s="182"/>
      <c r="P31" s="182"/>
      <c r="Q31" s="230"/>
      <c r="R31" s="233"/>
      <c r="S31" s="191"/>
      <c r="T31" s="191"/>
    </row>
    <row r="32" spans="1:20" x14ac:dyDescent="0.25">
      <c r="A32" s="177"/>
      <c r="B32" s="178" t="str">
        <f t="shared" si="9"/>
        <v>субъект РФ 1</v>
      </c>
      <c r="C32" s="178" t="str">
        <f t="shared" si="9"/>
        <v>ДЗО 1</v>
      </c>
      <c r="D32" s="179" t="str">
        <f t="shared" si="9"/>
        <v>филиал 1</v>
      </c>
      <c r="E32" s="191" t="s">
        <v>198</v>
      </c>
      <c r="F32" s="181"/>
      <c r="G32" s="182"/>
      <c r="H32" s="182"/>
      <c r="I32" s="183"/>
      <c r="J32" s="184"/>
      <c r="K32" s="185"/>
      <c r="L32" s="185"/>
      <c r="M32" s="185">
        <f t="shared" si="4"/>
        <v>0</v>
      </c>
      <c r="N32" s="186" t="str">
        <f t="shared" si="5"/>
        <v/>
      </c>
      <c r="O32" s="182"/>
      <c r="P32" s="182"/>
      <c r="Q32" s="230"/>
      <c r="R32" s="233"/>
      <c r="S32" s="191"/>
      <c r="T32" s="191"/>
    </row>
    <row r="33" spans="1:20" x14ac:dyDescent="0.25">
      <c r="A33" s="177"/>
      <c r="B33" s="178" t="str">
        <f t="shared" si="9"/>
        <v>субъект РФ 1</v>
      </c>
      <c r="C33" s="178" t="str">
        <f t="shared" si="9"/>
        <v>ДЗО 1</v>
      </c>
      <c r="D33" s="179" t="str">
        <f t="shared" si="9"/>
        <v>филиал 1</v>
      </c>
      <c r="E33" s="191" t="s">
        <v>229</v>
      </c>
      <c r="F33" s="181"/>
      <c r="G33" s="182"/>
      <c r="H33" s="182"/>
      <c r="I33" s="183"/>
      <c r="J33" s="184"/>
      <c r="K33" s="185"/>
      <c r="L33" s="185"/>
      <c r="M33" s="185">
        <f t="shared" si="4"/>
        <v>0</v>
      </c>
      <c r="N33" s="186" t="str">
        <f t="shared" si="5"/>
        <v/>
      </c>
      <c r="O33" s="182"/>
      <c r="P33" s="182"/>
      <c r="Q33" s="230"/>
      <c r="R33" s="233"/>
      <c r="S33" s="191"/>
      <c r="T33" s="191"/>
    </row>
    <row r="34" spans="1:20" x14ac:dyDescent="0.25">
      <c r="A34" s="177"/>
      <c r="B34" s="178" t="str">
        <f t="shared" si="9"/>
        <v>субъект РФ 1</v>
      </c>
      <c r="C34" s="178" t="str">
        <f t="shared" si="9"/>
        <v>ДЗО 1</v>
      </c>
      <c r="D34" s="179" t="str">
        <f t="shared" si="9"/>
        <v>филиал 1</v>
      </c>
      <c r="E34" s="191" t="s">
        <v>230</v>
      </c>
      <c r="F34" s="181"/>
      <c r="G34" s="182"/>
      <c r="H34" s="182"/>
      <c r="I34" s="183"/>
      <c r="J34" s="184"/>
      <c r="K34" s="185"/>
      <c r="L34" s="185"/>
      <c r="M34" s="185">
        <f t="shared" si="4"/>
        <v>0</v>
      </c>
      <c r="N34" s="186" t="str">
        <f t="shared" si="5"/>
        <v/>
      </c>
      <c r="O34" s="182"/>
      <c r="P34" s="182"/>
      <c r="Q34" s="230"/>
      <c r="R34" s="233"/>
      <c r="S34" s="191"/>
      <c r="T34" s="191"/>
    </row>
    <row r="35" spans="1:20" x14ac:dyDescent="0.25">
      <c r="A35" s="168" t="s">
        <v>15</v>
      </c>
      <c r="B35" s="169" t="str">
        <f t="shared" si="9"/>
        <v>субъект РФ 1</v>
      </c>
      <c r="C35" s="169" t="str">
        <f t="shared" si="9"/>
        <v>ДЗО 1</v>
      </c>
      <c r="D35" s="170" t="str">
        <f t="shared" si="9"/>
        <v>филиал 1</v>
      </c>
      <c r="E35" s="171" t="s">
        <v>186</v>
      </c>
      <c r="F35" s="138"/>
      <c r="G35" s="139"/>
      <c r="H35" s="139"/>
      <c r="I35" s="140"/>
      <c r="J35" s="172">
        <f t="shared" ref="J35:K35" si="13">SUM(J36:J40)</f>
        <v>0</v>
      </c>
      <c r="K35" s="173">
        <f t="shared" si="13"/>
        <v>0</v>
      </c>
      <c r="L35" s="173"/>
      <c r="M35" s="173">
        <f t="shared" si="4"/>
        <v>0</v>
      </c>
      <c r="N35" s="174" t="str">
        <f t="shared" si="5"/>
        <v/>
      </c>
      <c r="O35" s="139"/>
      <c r="P35" s="139"/>
      <c r="Q35" s="229"/>
      <c r="R35" s="232"/>
      <c r="S35" s="171"/>
      <c r="T35" s="171"/>
    </row>
    <row r="36" spans="1:20" x14ac:dyDescent="0.25">
      <c r="A36" s="177"/>
      <c r="B36" s="178" t="str">
        <f t="shared" si="9"/>
        <v>субъект РФ 1</v>
      </c>
      <c r="C36" s="178" t="str">
        <f t="shared" si="9"/>
        <v>ДЗО 1</v>
      </c>
      <c r="D36" s="179" t="str">
        <f t="shared" si="9"/>
        <v>филиал 1</v>
      </c>
      <c r="E36" s="191" t="s">
        <v>194</v>
      </c>
      <c r="F36" s="181"/>
      <c r="G36" s="182"/>
      <c r="H36" s="182"/>
      <c r="I36" s="183"/>
      <c r="J36" s="184"/>
      <c r="K36" s="185"/>
      <c r="L36" s="185"/>
      <c r="M36" s="185">
        <f t="shared" si="4"/>
        <v>0</v>
      </c>
      <c r="N36" s="186" t="str">
        <f t="shared" si="5"/>
        <v/>
      </c>
      <c r="O36" s="182"/>
      <c r="P36" s="182"/>
      <c r="Q36" s="230"/>
      <c r="R36" s="233"/>
      <c r="S36" s="191"/>
      <c r="T36" s="191"/>
    </row>
    <row r="37" spans="1:20" x14ac:dyDescent="0.25">
      <c r="A37" s="177"/>
      <c r="B37" s="178" t="str">
        <f t="shared" ref="B37:D49" si="14">B36</f>
        <v>субъект РФ 1</v>
      </c>
      <c r="C37" s="178" t="str">
        <f t="shared" si="14"/>
        <v>ДЗО 1</v>
      </c>
      <c r="D37" s="179" t="str">
        <f t="shared" si="14"/>
        <v>филиал 1</v>
      </c>
      <c r="E37" s="191" t="s">
        <v>196</v>
      </c>
      <c r="F37" s="181"/>
      <c r="G37" s="182"/>
      <c r="H37" s="182"/>
      <c r="I37" s="183"/>
      <c r="J37" s="184"/>
      <c r="K37" s="185"/>
      <c r="L37" s="185"/>
      <c r="M37" s="185">
        <f t="shared" si="4"/>
        <v>0</v>
      </c>
      <c r="N37" s="186" t="str">
        <f t="shared" si="5"/>
        <v/>
      </c>
      <c r="O37" s="182"/>
      <c r="P37" s="182"/>
      <c r="Q37" s="230"/>
      <c r="R37" s="233"/>
      <c r="S37" s="191"/>
      <c r="T37" s="191"/>
    </row>
    <row r="38" spans="1:20" x14ac:dyDescent="0.25">
      <c r="A38" s="177"/>
      <c r="B38" s="178" t="str">
        <f t="shared" si="14"/>
        <v>субъект РФ 1</v>
      </c>
      <c r="C38" s="178" t="str">
        <f t="shared" si="14"/>
        <v>ДЗО 1</v>
      </c>
      <c r="D38" s="179" t="str">
        <f t="shared" si="14"/>
        <v>филиал 1</v>
      </c>
      <c r="E38" s="191" t="s">
        <v>198</v>
      </c>
      <c r="F38" s="181"/>
      <c r="G38" s="182"/>
      <c r="H38" s="182"/>
      <c r="I38" s="183"/>
      <c r="J38" s="189"/>
      <c r="K38" s="190"/>
      <c r="L38" s="190"/>
      <c r="M38" s="185">
        <f t="shared" si="4"/>
        <v>0</v>
      </c>
      <c r="N38" s="186" t="str">
        <f t="shared" si="5"/>
        <v/>
      </c>
      <c r="O38" s="182"/>
      <c r="P38" s="182"/>
      <c r="Q38" s="230"/>
      <c r="R38" s="233"/>
      <c r="S38" s="191"/>
      <c r="T38" s="191"/>
    </row>
    <row r="39" spans="1:20" x14ac:dyDescent="0.25">
      <c r="A39" s="177"/>
      <c r="B39" s="178" t="str">
        <f t="shared" si="14"/>
        <v>субъект РФ 1</v>
      </c>
      <c r="C39" s="178" t="str">
        <f t="shared" si="14"/>
        <v>ДЗО 1</v>
      </c>
      <c r="D39" s="179" t="str">
        <f t="shared" si="14"/>
        <v>филиал 1</v>
      </c>
      <c r="E39" s="191" t="s">
        <v>229</v>
      </c>
      <c r="F39" s="181"/>
      <c r="G39" s="182"/>
      <c r="H39" s="182"/>
      <c r="I39" s="183"/>
      <c r="J39" s="184"/>
      <c r="K39" s="185"/>
      <c r="L39" s="185"/>
      <c r="M39" s="185">
        <f t="shared" si="4"/>
        <v>0</v>
      </c>
      <c r="N39" s="186" t="str">
        <f t="shared" si="5"/>
        <v/>
      </c>
      <c r="O39" s="182"/>
      <c r="P39" s="182"/>
      <c r="Q39" s="230"/>
      <c r="R39" s="233"/>
      <c r="S39" s="191"/>
      <c r="T39" s="191"/>
    </row>
    <row r="40" spans="1:20" x14ac:dyDescent="0.25">
      <c r="A40" s="177"/>
      <c r="B40" s="178" t="str">
        <f t="shared" si="14"/>
        <v>субъект РФ 1</v>
      </c>
      <c r="C40" s="178" t="str">
        <f t="shared" si="14"/>
        <v>ДЗО 1</v>
      </c>
      <c r="D40" s="179" t="str">
        <f t="shared" si="14"/>
        <v>филиал 1</v>
      </c>
      <c r="E40" s="191" t="s">
        <v>230</v>
      </c>
      <c r="F40" s="181"/>
      <c r="G40" s="182"/>
      <c r="H40" s="182"/>
      <c r="I40" s="183"/>
      <c r="J40" s="184"/>
      <c r="K40" s="185"/>
      <c r="L40" s="185"/>
      <c r="M40" s="185">
        <f t="shared" si="4"/>
        <v>0</v>
      </c>
      <c r="N40" s="186" t="str">
        <f t="shared" si="5"/>
        <v/>
      </c>
      <c r="O40" s="182"/>
      <c r="P40" s="182"/>
      <c r="Q40" s="230"/>
      <c r="R40" s="233"/>
      <c r="S40" s="191"/>
      <c r="T40" s="191"/>
    </row>
    <row r="41" spans="1:20" x14ac:dyDescent="0.25">
      <c r="A41" s="168" t="s">
        <v>17</v>
      </c>
      <c r="B41" s="169" t="str">
        <f t="shared" si="14"/>
        <v>субъект РФ 1</v>
      </c>
      <c r="C41" s="169" t="str">
        <f t="shared" si="14"/>
        <v>ДЗО 1</v>
      </c>
      <c r="D41" s="170" t="str">
        <f t="shared" si="14"/>
        <v>филиал 1</v>
      </c>
      <c r="E41" s="171" t="s">
        <v>187</v>
      </c>
      <c r="F41" s="138"/>
      <c r="G41" s="139"/>
      <c r="H41" s="139"/>
      <c r="I41" s="140"/>
      <c r="J41" s="172">
        <f t="shared" ref="J41:K41" si="15">SUM(J42:J46)</f>
        <v>0.75306099999999998</v>
      </c>
      <c r="K41" s="251">
        <f t="shared" si="15"/>
        <v>0.59225396774193539</v>
      </c>
      <c r="L41" s="173"/>
      <c r="M41" s="173">
        <f t="shared" si="4"/>
        <v>-0.16080703225806459</v>
      </c>
      <c r="N41" s="174">
        <f t="shared" si="5"/>
        <v>-0.21353785716969087</v>
      </c>
      <c r="O41" s="139"/>
      <c r="P41" s="139"/>
      <c r="Q41" s="229"/>
      <c r="R41" s="232"/>
      <c r="S41" s="171"/>
      <c r="T41" s="171"/>
    </row>
    <row r="42" spans="1:20" x14ac:dyDescent="0.25">
      <c r="A42" s="177"/>
      <c r="B42" s="178" t="str">
        <f t="shared" si="14"/>
        <v>субъект РФ 1</v>
      </c>
      <c r="C42" s="178" t="str">
        <f t="shared" si="14"/>
        <v>ДЗО 1</v>
      </c>
      <c r="D42" s="179" t="str">
        <f t="shared" si="14"/>
        <v>филиал 1</v>
      </c>
      <c r="E42" s="191" t="s">
        <v>194</v>
      </c>
      <c r="F42" s="181"/>
      <c r="G42" s="182"/>
      <c r="H42" s="182"/>
      <c r="I42" s="183"/>
      <c r="J42" s="184"/>
      <c r="K42" s="185"/>
      <c r="L42" s="185"/>
      <c r="M42" s="185">
        <f t="shared" si="4"/>
        <v>0</v>
      </c>
      <c r="N42" s="186" t="str">
        <f t="shared" si="5"/>
        <v/>
      </c>
      <c r="O42" s="182"/>
      <c r="P42" s="182"/>
      <c r="Q42" s="230"/>
      <c r="R42" s="233"/>
      <c r="S42" s="191"/>
      <c r="T42" s="191"/>
    </row>
    <row r="43" spans="1:20" x14ac:dyDescent="0.25">
      <c r="A43" s="177"/>
      <c r="B43" s="178" t="str">
        <f t="shared" si="14"/>
        <v>субъект РФ 1</v>
      </c>
      <c r="C43" s="178" t="str">
        <f t="shared" si="14"/>
        <v>ДЗО 1</v>
      </c>
      <c r="D43" s="179" t="str">
        <f t="shared" si="14"/>
        <v>филиал 1</v>
      </c>
      <c r="E43" s="191" t="s">
        <v>196</v>
      </c>
      <c r="F43" s="181"/>
      <c r="G43" s="182"/>
      <c r="H43" s="182"/>
      <c r="I43" s="183"/>
      <c r="J43" s="184"/>
      <c r="K43" s="185"/>
      <c r="L43" s="185"/>
      <c r="M43" s="185">
        <f t="shared" si="4"/>
        <v>0</v>
      </c>
      <c r="N43" s="186" t="str">
        <f t="shared" si="5"/>
        <v/>
      </c>
      <c r="O43" s="182"/>
      <c r="P43" s="182"/>
      <c r="Q43" s="230"/>
      <c r="R43" s="233"/>
      <c r="S43" s="191"/>
      <c r="T43" s="191"/>
    </row>
    <row r="44" spans="1:20" x14ac:dyDescent="0.25">
      <c r="A44" s="177"/>
      <c r="B44" s="178" t="str">
        <f t="shared" si="14"/>
        <v>субъект РФ 1</v>
      </c>
      <c r="C44" s="178" t="str">
        <f t="shared" si="14"/>
        <v>ДЗО 1</v>
      </c>
      <c r="D44" s="179" t="str">
        <f t="shared" si="14"/>
        <v>филиал 1</v>
      </c>
      <c r="E44" s="191" t="s">
        <v>198</v>
      </c>
      <c r="F44" s="181"/>
      <c r="G44" s="182"/>
      <c r="H44" s="182"/>
      <c r="I44" s="183"/>
      <c r="J44" s="189"/>
      <c r="K44" s="190"/>
      <c r="L44" s="190"/>
      <c r="M44" s="185">
        <f t="shared" si="4"/>
        <v>0</v>
      </c>
      <c r="N44" s="186" t="str">
        <f t="shared" si="5"/>
        <v/>
      </c>
      <c r="O44" s="182"/>
      <c r="P44" s="182"/>
      <c r="Q44" s="230"/>
      <c r="R44" s="233"/>
      <c r="S44" s="191"/>
      <c r="T44" s="191"/>
    </row>
    <row r="45" spans="1:20" x14ac:dyDescent="0.25">
      <c r="A45" s="177"/>
      <c r="B45" s="178" t="str">
        <f t="shared" si="14"/>
        <v>субъект РФ 1</v>
      </c>
      <c r="C45" s="178" t="str">
        <f t="shared" si="14"/>
        <v>ДЗО 1</v>
      </c>
      <c r="D45" s="179" t="str">
        <f t="shared" si="14"/>
        <v>филиал 1</v>
      </c>
      <c r="E45" s="191" t="s">
        <v>229</v>
      </c>
      <c r="F45" s="181"/>
      <c r="G45" s="182"/>
      <c r="H45" s="182"/>
      <c r="I45" s="183"/>
      <c r="J45" s="184"/>
      <c r="K45" s="185"/>
      <c r="L45" s="185"/>
      <c r="M45" s="185">
        <f t="shared" si="4"/>
        <v>0</v>
      </c>
      <c r="N45" s="186" t="str">
        <f t="shared" si="5"/>
        <v/>
      </c>
      <c r="O45" s="182"/>
      <c r="P45" s="182"/>
      <c r="Q45" s="230"/>
      <c r="R45" s="233"/>
      <c r="S45" s="191"/>
      <c r="T45" s="191"/>
    </row>
    <row r="46" spans="1:20" x14ac:dyDescent="0.25">
      <c r="A46" s="177"/>
      <c r="B46" s="178" t="str">
        <f t="shared" si="14"/>
        <v>субъект РФ 1</v>
      </c>
      <c r="C46" s="178" t="str">
        <f t="shared" si="14"/>
        <v>ДЗО 1</v>
      </c>
      <c r="D46" s="179" t="str">
        <f t="shared" si="14"/>
        <v>филиал 1</v>
      </c>
      <c r="E46" s="191" t="s">
        <v>230</v>
      </c>
      <c r="F46" s="181"/>
      <c r="G46" s="182"/>
      <c r="H46" s="182"/>
      <c r="I46" s="183"/>
      <c r="J46" s="280">
        <f>(0.753061)</f>
        <v>0.75306099999999998</v>
      </c>
      <c r="K46" s="185">
        <f>'24'!K41</f>
        <v>0.59225396774193539</v>
      </c>
      <c r="L46" s="185"/>
      <c r="M46" s="185">
        <f t="shared" si="4"/>
        <v>-0.16080703225806459</v>
      </c>
      <c r="N46" s="186">
        <f t="shared" si="5"/>
        <v>-0.21353785716969087</v>
      </c>
      <c r="O46" s="182"/>
      <c r="P46" s="182"/>
      <c r="Q46" s="230"/>
      <c r="R46" s="233"/>
      <c r="S46" s="191"/>
      <c r="T46" s="191"/>
    </row>
    <row r="47" spans="1:20" ht="75" x14ac:dyDescent="0.25">
      <c r="A47" s="168" t="s">
        <v>19</v>
      </c>
      <c r="B47" s="169" t="str">
        <f t="shared" si="14"/>
        <v>субъект РФ 1</v>
      </c>
      <c r="C47" s="169" t="str">
        <f t="shared" si="14"/>
        <v>ДЗО 1</v>
      </c>
      <c r="D47" s="170" t="str">
        <f t="shared" si="14"/>
        <v>филиал 1</v>
      </c>
      <c r="E47" s="171" t="s">
        <v>188</v>
      </c>
      <c r="F47" s="138"/>
      <c r="G47" s="139"/>
      <c r="H47" s="139"/>
      <c r="I47" s="140"/>
      <c r="J47" s="172">
        <f>SUM(J48:J54)</f>
        <v>12.697067000000001</v>
      </c>
      <c r="K47" s="251">
        <f>SUM(K48:K54)</f>
        <v>11.155772000000001</v>
      </c>
      <c r="L47" s="173"/>
      <c r="M47" s="251">
        <f t="shared" si="4"/>
        <v>-1.5412949999999999</v>
      </c>
      <c r="N47" s="174">
        <f t="shared" si="5"/>
        <v>-0.1213898453871276</v>
      </c>
      <c r="O47" s="139"/>
      <c r="P47" s="139"/>
      <c r="Q47" s="229"/>
      <c r="R47" s="232"/>
      <c r="S47" s="171" t="s">
        <v>242</v>
      </c>
      <c r="T47" s="171" t="s">
        <v>240</v>
      </c>
    </row>
    <row r="48" spans="1:20" x14ac:dyDescent="0.25">
      <c r="A48" s="177"/>
      <c r="B48" s="178" t="str">
        <f t="shared" si="14"/>
        <v>субъект РФ 1</v>
      </c>
      <c r="C48" s="178" t="str">
        <f t="shared" si="14"/>
        <v>ДЗО 1</v>
      </c>
      <c r="D48" s="179" t="str">
        <f t="shared" si="14"/>
        <v>филиал 1</v>
      </c>
      <c r="E48" s="191" t="s">
        <v>194</v>
      </c>
      <c r="F48" s="181"/>
      <c r="G48" s="182"/>
      <c r="H48" s="182"/>
      <c r="I48" s="183"/>
      <c r="J48" s="189"/>
      <c r="K48" s="190"/>
      <c r="L48" s="190"/>
      <c r="M48" s="185">
        <f t="shared" si="4"/>
        <v>0</v>
      </c>
      <c r="N48" s="186" t="str">
        <f t="shared" si="5"/>
        <v/>
      </c>
      <c r="O48" s="182"/>
      <c r="P48" s="182"/>
      <c r="Q48" s="230"/>
      <c r="R48" s="233"/>
      <c r="S48" s="191"/>
      <c r="T48" s="191"/>
    </row>
    <row r="49" spans="1:20" x14ac:dyDescent="0.25">
      <c r="A49" s="177"/>
      <c r="B49" s="178" t="str">
        <f t="shared" si="14"/>
        <v>субъект РФ 1</v>
      </c>
      <c r="C49" s="178" t="str">
        <f t="shared" si="14"/>
        <v>ДЗО 1</v>
      </c>
      <c r="D49" s="179" t="str">
        <f t="shared" si="14"/>
        <v>филиал 1</v>
      </c>
      <c r="E49" s="191" t="s">
        <v>196</v>
      </c>
      <c r="F49" s="181"/>
      <c r="G49" s="182"/>
      <c r="H49" s="182"/>
      <c r="I49" s="183"/>
      <c r="J49" s="189"/>
      <c r="K49" s="190"/>
      <c r="L49" s="190"/>
      <c r="M49" s="185">
        <f t="shared" si="4"/>
        <v>0</v>
      </c>
      <c r="N49" s="186" t="str">
        <f t="shared" si="5"/>
        <v/>
      </c>
      <c r="O49" s="182"/>
      <c r="P49" s="182"/>
      <c r="Q49" s="230"/>
      <c r="R49" s="233"/>
      <c r="S49" s="191"/>
      <c r="T49" s="191"/>
    </row>
    <row r="50" spans="1:20" x14ac:dyDescent="0.25">
      <c r="A50" s="177"/>
      <c r="B50" s="178" t="str">
        <f>B49</f>
        <v>субъект РФ 1</v>
      </c>
      <c r="C50" s="178" t="str">
        <f>C49</f>
        <v>ДЗО 1</v>
      </c>
      <c r="D50" s="179" t="str">
        <f>D49</f>
        <v>филиал 1</v>
      </c>
      <c r="E50" s="191" t="s">
        <v>198</v>
      </c>
      <c r="F50" s="181"/>
      <c r="G50" s="182"/>
      <c r="H50" s="182"/>
      <c r="I50" s="183"/>
      <c r="J50" s="189"/>
      <c r="K50" s="190"/>
      <c r="L50" s="190"/>
      <c r="M50" s="185">
        <f t="shared" si="4"/>
        <v>0</v>
      </c>
      <c r="N50" s="186" t="str">
        <f t="shared" si="5"/>
        <v/>
      </c>
      <c r="O50" s="182"/>
      <c r="P50" s="182"/>
      <c r="Q50" s="230"/>
      <c r="R50" s="233"/>
      <c r="S50" s="191"/>
      <c r="T50" s="191"/>
    </row>
    <row r="51" spans="1:20" ht="26.25" x14ac:dyDescent="0.25">
      <c r="A51" s="177"/>
      <c r="B51" s="178" t="s">
        <v>206</v>
      </c>
      <c r="C51" s="178" t="s">
        <v>192</v>
      </c>
      <c r="D51" s="179" t="s">
        <v>207</v>
      </c>
      <c r="E51" s="191" t="s">
        <v>236</v>
      </c>
      <c r="F51" s="181"/>
      <c r="G51" s="182"/>
      <c r="H51" s="182"/>
      <c r="I51" s="183"/>
      <c r="J51" s="259">
        <f>(0.5024)</f>
        <v>0.50239999999999996</v>
      </c>
      <c r="K51" s="256">
        <f>J51+0.05521</f>
        <v>0.55760999999999994</v>
      </c>
      <c r="L51" s="190"/>
      <c r="M51" s="252">
        <f>K51-J51</f>
        <v>5.5209999999999981E-2</v>
      </c>
      <c r="N51" s="186">
        <f t="shared" si="5"/>
        <v>0.10989251592356686</v>
      </c>
      <c r="O51" s="182"/>
      <c r="P51" s="182"/>
      <c r="Q51" s="230"/>
      <c r="R51" s="233"/>
      <c r="S51" s="191"/>
      <c r="T51" s="191"/>
    </row>
    <row r="52" spans="1:20" ht="77.25" x14ac:dyDescent="0.25">
      <c r="A52" s="177"/>
      <c r="B52" s="178" t="s">
        <v>206</v>
      </c>
      <c r="C52" s="178" t="s">
        <v>192</v>
      </c>
      <c r="D52" s="179" t="s">
        <v>207</v>
      </c>
      <c r="E52" s="191" t="s">
        <v>237</v>
      </c>
      <c r="F52" s="181"/>
      <c r="G52" s="182"/>
      <c r="H52" s="182"/>
      <c r="I52" s="183"/>
      <c r="J52" s="259">
        <f>(0.216464)</f>
        <v>0.21646399999999999</v>
      </c>
      <c r="K52" s="190">
        <v>0.122041</v>
      </c>
      <c r="L52" s="190"/>
      <c r="M52" s="252">
        <f t="shared" ref="M52:M53" si="16">K52-J52</f>
        <v>-9.4422999999999993E-2</v>
      </c>
      <c r="N52" s="186">
        <f t="shared" si="5"/>
        <v>-0.43620648237120263</v>
      </c>
      <c r="O52" s="182"/>
      <c r="P52" s="182"/>
      <c r="Q52" s="230"/>
      <c r="R52" s="233"/>
      <c r="S52" s="191"/>
      <c r="T52" s="191" t="s">
        <v>243</v>
      </c>
    </row>
    <row r="53" spans="1:20" x14ac:dyDescent="0.25">
      <c r="A53" s="177"/>
      <c r="B53" s="178" t="str">
        <f>B50</f>
        <v>субъект РФ 1</v>
      </c>
      <c r="C53" s="178" t="str">
        <f>C50</f>
        <v>ДЗО 1</v>
      </c>
      <c r="D53" s="179" t="str">
        <f>D50</f>
        <v>филиал 1</v>
      </c>
      <c r="E53" s="191" t="s">
        <v>229</v>
      </c>
      <c r="F53" s="181"/>
      <c r="G53" s="182"/>
      <c r="H53" s="182"/>
      <c r="I53" s="183"/>
      <c r="J53" s="184"/>
      <c r="K53" s="185"/>
      <c r="L53" s="185"/>
      <c r="M53" s="185">
        <f t="shared" si="16"/>
        <v>0</v>
      </c>
      <c r="N53" s="186" t="str">
        <f t="shared" si="5"/>
        <v/>
      </c>
      <c r="O53" s="182"/>
      <c r="P53" s="182"/>
      <c r="Q53" s="230"/>
      <c r="R53" s="233"/>
      <c r="S53" s="191"/>
      <c r="T53" s="191"/>
    </row>
    <row r="54" spans="1:20" x14ac:dyDescent="0.25">
      <c r="A54" s="177"/>
      <c r="B54" s="178" t="str">
        <f>B53</f>
        <v>субъект РФ 1</v>
      </c>
      <c r="C54" s="178" t="str">
        <f>C53</f>
        <v>ДЗО 1</v>
      </c>
      <c r="D54" s="179" t="str">
        <f>D53</f>
        <v>филиал 1</v>
      </c>
      <c r="E54" s="191" t="s">
        <v>230</v>
      </c>
      <c r="F54" s="181"/>
      <c r="G54" s="182"/>
      <c r="H54" s="182"/>
      <c r="I54" s="183"/>
      <c r="J54" s="184">
        <f>(12.697067-J51-J52)</f>
        <v>11.978203000000001</v>
      </c>
      <c r="K54" s="185">
        <f>11.155772-K51-K52</f>
        <v>10.476121000000001</v>
      </c>
      <c r="L54" s="185"/>
      <c r="M54" s="252">
        <f t="shared" si="4"/>
        <v>-1.5020819999999997</v>
      </c>
      <c r="N54" s="186">
        <f t="shared" si="5"/>
        <v>-0.1254012809767876</v>
      </c>
      <c r="O54" s="182"/>
      <c r="P54" s="182"/>
      <c r="Q54" s="230"/>
      <c r="R54" s="233"/>
      <c r="S54" s="191"/>
      <c r="T54" s="191"/>
    </row>
    <row r="55" spans="1:20" ht="75" x14ac:dyDescent="0.25">
      <c r="A55" s="168" t="s">
        <v>21</v>
      </c>
      <c r="B55" s="169" t="str">
        <f t="shared" ref="B55:D68" si="17">B54</f>
        <v>субъект РФ 1</v>
      </c>
      <c r="C55" s="169" t="str">
        <f t="shared" si="17"/>
        <v>ДЗО 1</v>
      </c>
      <c r="D55" s="170" t="str">
        <f t="shared" si="17"/>
        <v>филиал 1</v>
      </c>
      <c r="E55" s="171" t="s">
        <v>189</v>
      </c>
      <c r="F55" s="138"/>
      <c r="G55" s="139"/>
      <c r="H55" s="139"/>
      <c r="I55" s="140"/>
      <c r="J55" s="172">
        <f t="shared" ref="J55:K55" si="18">SUM(J56:J61)</f>
        <v>0.99805500000000003</v>
      </c>
      <c r="K55" s="173">
        <f t="shared" si="18"/>
        <v>1.9865759999999999</v>
      </c>
      <c r="L55" s="173"/>
      <c r="M55" s="251">
        <f t="shared" si="4"/>
        <v>0.98852099999999987</v>
      </c>
      <c r="N55" s="174">
        <f t="shared" si="5"/>
        <v>0.99044742023235166</v>
      </c>
      <c r="O55" s="139"/>
      <c r="P55" s="139"/>
      <c r="Q55" s="229"/>
      <c r="R55" s="232"/>
      <c r="S55" s="171" t="s">
        <v>242</v>
      </c>
      <c r="T55" s="171" t="s">
        <v>240</v>
      </c>
    </row>
    <row r="56" spans="1:20" x14ac:dyDescent="0.25">
      <c r="A56" s="177"/>
      <c r="B56" s="178" t="str">
        <f t="shared" si="17"/>
        <v>субъект РФ 1</v>
      </c>
      <c r="C56" s="178" t="str">
        <f t="shared" si="17"/>
        <v>ДЗО 1</v>
      </c>
      <c r="D56" s="179" t="str">
        <f t="shared" si="17"/>
        <v>филиал 1</v>
      </c>
      <c r="E56" s="191" t="s">
        <v>194</v>
      </c>
      <c r="F56" s="181"/>
      <c r="G56" s="182"/>
      <c r="H56" s="182"/>
      <c r="I56" s="183"/>
      <c r="J56" s="184"/>
      <c r="K56" s="185"/>
      <c r="L56" s="185"/>
      <c r="M56" s="185">
        <f t="shared" si="4"/>
        <v>0</v>
      </c>
      <c r="N56" s="186" t="str">
        <f t="shared" si="5"/>
        <v/>
      </c>
      <c r="O56" s="182"/>
      <c r="P56" s="182"/>
      <c r="Q56" s="230"/>
      <c r="R56" s="233"/>
      <c r="S56" s="191"/>
      <c r="T56" s="191"/>
    </row>
    <row r="57" spans="1:20" x14ac:dyDescent="0.25">
      <c r="A57" s="177"/>
      <c r="B57" s="178" t="str">
        <f t="shared" si="17"/>
        <v>субъект РФ 1</v>
      </c>
      <c r="C57" s="178" t="str">
        <f t="shared" si="17"/>
        <v>ДЗО 1</v>
      </c>
      <c r="D57" s="179" t="str">
        <f t="shared" si="17"/>
        <v>филиал 1</v>
      </c>
      <c r="E57" s="191" t="s">
        <v>196</v>
      </c>
      <c r="F57" s="181"/>
      <c r="G57" s="182"/>
      <c r="H57" s="182"/>
      <c r="I57" s="183"/>
      <c r="J57" s="184"/>
      <c r="K57" s="185"/>
      <c r="L57" s="185"/>
      <c r="M57" s="185">
        <f t="shared" si="4"/>
        <v>0</v>
      </c>
      <c r="N57" s="186" t="str">
        <f t="shared" si="5"/>
        <v/>
      </c>
      <c r="O57" s="182"/>
      <c r="P57" s="182"/>
      <c r="Q57" s="230"/>
      <c r="R57" s="233"/>
      <c r="S57" s="191"/>
      <c r="T57" s="191"/>
    </row>
    <row r="58" spans="1:20" x14ac:dyDescent="0.25">
      <c r="A58" s="177"/>
      <c r="B58" s="178" t="str">
        <f t="shared" si="17"/>
        <v>субъект РФ 1</v>
      </c>
      <c r="C58" s="178" t="str">
        <f t="shared" si="17"/>
        <v>ДЗО 1</v>
      </c>
      <c r="D58" s="179" t="str">
        <f t="shared" si="17"/>
        <v>филиал 1</v>
      </c>
      <c r="E58" s="191" t="s">
        <v>198</v>
      </c>
      <c r="F58" s="181"/>
      <c r="G58" s="182"/>
      <c r="H58" s="182"/>
      <c r="I58" s="183"/>
      <c r="J58" s="189"/>
      <c r="K58" s="190"/>
      <c r="L58" s="190"/>
      <c r="M58" s="185">
        <f t="shared" si="4"/>
        <v>0</v>
      </c>
      <c r="N58" s="186" t="str">
        <f t="shared" si="5"/>
        <v/>
      </c>
      <c r="O58" s="182"/>
      <c r="P58" s="182"/>
      <c r="Q58" s="230"/>
      <c r="R58" s="233"/>
      <c r="S58" s="191"/>
      <c r="T58" s="191"/>
    </row>
    <row r="59" spans="1:20" ht="26.25" x14ac:dyDescent="0.25">
      <c r="A59" s="177"/>
      <c r="B59" s="178" t="s">
        <v>206</v>
      </c>
      <c r="C59" s="178" t="s">
        <v>192</v>
      </c>
      <c r="D59" s="179" t="s">
        <v>207</v>
      </c>
      <c r="E59" s="255" t="s">
        <v>238</v>
      </c>
      <c r="F59" s="181"/>
      <c r="G59" s="182"/>
      <c r="H59" s="182"/>
      <c r="I59" s="183"/>
      <c r="J59" s="259">
        <f>(0.312114)</f>
        <v>0.312114</v>
      </c>
      <c r="K59" s="262">
        <v>0.27188800000000002</v>
      </c>
      <c r="L59" s="190"/>
      <c r="M59" s="185">
        <f>K59-J59</f>
        <v>-4.0225999999999984E-2</v>
      </c>
      <c r="N59" s="186">
        <f>IFERROR(K59/J59-1,"")</f>
        <v>-0.12888239553496472</v>
      </c>
      <c r="O59" s="182"/>
      <c r="P59" s="182"/>
      <c r="Q59" s="230"/>
      <c r="R59" s="233"/>
      <c r="S59" s="191"/>
      <c r="T59" s="191"/>
    </row>
    <row r="60" spans="1:20" x14ac:dyDescent="0.25">
      <c r="A60" s="177"/>
      <c r="B60" s="178" t="str">
        <f>B58</f>
        <v>субъект РФ 1</v>
      </c>
      <c r="C60" s="178" t="str">
        <f>C58</f>
        <v>ДЗО 1</v>
      </c>
      <c r="D60" s="179" t="str">
        <f>D58</f>
        <v>филиал 1</v>
      </c>
      <c r="E60" s="191" t="s">
        <v>229</v>
      </c>
      <c r="F60" s="181"/>
      <c r="G60" s="182"/>
      <c r="H60" s="182"/>
      <c r="I60" s="183"/>
      <c r="J60" s="184"/>
      <c r="K60" s="185"/>
      <c r="L60" s="185"/>
      <c r="M60" s="185">
        <f>K60-J60</f>
        <v>0</v>
      </c>
      <c r="N60" s="186" t="str">
        <f>IFERROR(K60/J60-1,"")</f>
        <v/>
      </c>
      <c r="O60" s="182"/>
      <c r="P60" s="182"/>
      <c r="Q60" s="230"/>
      <c r="R60" s="233"/>
      <c r="S60" s="191"/>
      <c r="T60" s="191"/>
    </row>
    <row r="61" spans="1:20" x14ac:dyDescent="0.25">
      <c r="A61" s="177"/>
      <c r="B61" s="178" t="str">
        <f t="shared" si="17"/>
        <v>субъект РФ 1</v>
      </c>
      <c r="C61" s="178" t="str">
        <f t="shared" si="17"/>
        <v>ДЗО 1</v>
      </c>
      <c r="D61" s="179" t="str">
        <f t="shared" si="17"/>
        <v>филиал 1</v>
      </c>
      <c r="E61" s="191" t="s">
        <v>230</v>
      </c>
      <c r="F61" s="181"/>
      <c r="G61" s="182"/>
      <c r="H61" s="182"/>
      <c r="I61" s="183"/>
      <c r="J61" s="184">
        <f>(0.998055-J59)</f>
        <v>0.68594100000000002</v>
      </c>
      <c r="K61" s="185">
        <f>1.986576-K59</f>
        <v>1.7146879999999998</v>
      </c>
      <c r="L61" s="185"/>
      <c r="M61" s="185">
        <f t="shared" si="4"/>
        <v>1.0287469999999996</v>
      </c>
      <c r="N61" s="186">
        <f t="shared" si="5"/>
        <v>1.499760183456011</v>
      </c>
      <c r="O61" s="182"/>
      <c r="P61" s="182"/>
      <c r="Q61" s="230"/>
      <c r="R61" s="233"/>
      <c r="S61" s="191"/>
      <c r="T61" s="191"/>
    </row>
    <row r="62" spans="1:20" ht="75" x14ac:dyDescent="0.25">
      <c r="A62" s="168" t="s">
        <v>23</v>
      </c>
      <c r="B62" s="169" t="str">
        <f t="shared" si="17"/>
        <v>субъект РФ 1</v>
      </c>
      <c r="C62" s="169" t="str">
        <f t="shared" si="17"/>
        <v>ДЗО 1</v>
      </c>
      <c r="D62" s="170" t="str">
        <f t="shared" si="17"/>
        <v>филиал 1</v>
      </c>
      <c r="E62" s="171" t="s">
        <v>190</v>
      </c>
      <c r="F62" s="138"/>
      <c r="G62" s="139"/>
      <c r="H62" s="139"/>
      <c r="I62" s="140"/>
      <c r="J62" s="260">
        <f>(14.213057)</f>
        <v>14.213056999999999</v>
      </c>
      <c r="K62" s="261">
        <v>18.382359999999998</v>
      </c>
      <c r="L62" s="193"/>
      <c r="M62" s="253">
        <f t="shared" si="4"/>
        <v>4.1693029999999993</v>
      </c>
      <c r="N62" s="194">
        <f t="shared" si="5"/>
        <v>0.29334315622599694</v>
      </c>
      <c r="O62" s="139"/>
      <c r="P62" s="139"/>
      <c r="Q62" s="229"/>
      <c r="R62" s="232"/>
      <c r="S62" s="171" t="s">
        <v>242</v>
      </c>
      <c r="T62" s="171" t="s">
        <v>241</v>
      </c>
    </row>
    <row r="63" spans="1:20" x14ac:dyDescent="0.25">
      <c r="A63" s="168" t="s">
        <v>25</v>
      </c>
      <c r="B63" s="169" t="str">
        <f t="shared" si="17"/>
        <v>субъект РФ 1</v>
      </c>
      <c r="C63" s="169" t="str">
        <f t="shared" si="17"/>
        <v>ДЗО 1</v>
      </c>
      <c r="D63" s="170" t="str">
        <f t="shared" si="17"/>
        <v>филиал 1</v>
      </c>
      <c r="E63" s="171" t="s">
        <v>191</v>
      </c>
      <c r="F63" s="138"/>
      <c r="G63" s="139"/>
      <c r="H63" s="139"/>
      <c r="I63" s="140"/>
      <c r="J63" s="172">
        <f>SUM(J64:J68)</f>
        <v>15.286085</v>
      </c>
      <c r="K63" s="173">
        <f>SUM(K64:K68)</f>
        <v>16.600000000000001</v>
      </c>
      <c r="L63" s="173"/>
      <c r="M63" s="173">
        <f t="shared" si="4"/>
        <v>1.3139150000000015</v>
      </c>
      <c r="N63" s="174">
        <f t="shared" si="5"/>
        <v>8.5954971465878938E-2</v>
      </c>
      <c r="O63" s="139"/>
      <c r="P63" s="139"/>
      <c r="Q63" s="229"/>
      <c r="R63" s="232"/>
      <c r="S63" s="171"/>
      <c r="T63" s="171"/>
    </row>
    <row r="64" spans="1:20" x14ac:dyDescent="0.25">
      <c r="A64" s="177"/>
      <c r="B64" s="178" t="str">
        <f t="shared" si="17"/>
        <v>субъект РФ 1</v>
      </c>
      <c r="C64" s="178" t="str">
        <f t="shared" si="17"/>
        <v>ДЗО 1</v>
      </c>
      <c r="D64" s="179" t="str">
        <f t="shared" si="17"/>
        <v>филиал 1</v>
      </c>
      <c r="E64" s="191" t="s">
        <v>239</v>
      </c>
      <c r="F64" s="181"/>
      <c r="G64" s="182"/>
      <c r="H64" s="182"/>
      <c r="I64" s="183"/>
      <c r="J64" s="257">
        <f>(15.286085)</f>
        <v>15.286085</v>
      </c>
      <c r="K64" s="211">
        <v>16.600000000000001</v>
      </c>
      <c r="L64" s="185"/>
      <c r="M64" s="252">
        <f t="shared" si="4"/>
        <v>1.3139150000000015</v>
      </c>
      <c r="N64" s="186">
        <f t="shared" si="5"/>
        <v>8.5954971465878938E-2</v>
      </c>
      <c r="O64" s="182"/>
      <c r="P64" s="182"/>
      <c r="Q64" s="230"/>
      <c r="R64" s="233"/>
      <c r="S64" s="191"/>
      <c r="T64" s="191"/>
    </row>
    <row r="65" spans="1:20" x14ac:dyDescent="0.25">
      <c r="A65" s="177"/>
      <c r="B65" s="178" t="str">
        <f t="shared" si="17"/>
        <v>субъект РФ 1</v>
      </c>
      <c r="C65" s="178" t="str">
        <f t="shared" si="17"/>
        <v>ДЗО 1</v>
      </c>
      <c r="D65" s="179" t="str">
        <f t="shared" si="17"/>
        <v>филиал 1</v>
      </c>
      <c r="E65" s="191" t="s">
        <v>203</v>
      </c>
      <c r="F65" s="181"/>
      <c r="G65" s="182"/>
      <c r="H65" s="182"/>
      <c r="I65" s="183"/>
      <c r="J65" s="184"/>
      <c r="K65" s="185"/>
      <c r="L65" s="185"/>
      <c r="M65" s="185">
        <f t="shared" si="4"/>
        <v>0</v>
      </c>
      <c r="N65" s="186" t="str">
        <f t="shared" si="5"/>
        <v/>
      </c>
      <c r="O65" s="182"/>
      <c r="P65" s="182"/>
      <c r="Q65" s="230"/>
      <c r="R65" s="233"/>
      <c r="S65" s="191"/>
      <c r="T65" s="191"/>
    </row>
    <row r="66" spans="1:20" x14ac:dyDescent="0.25">
      <c r="A66" s="177"/>
      <c r="B66" s="178" t="str">
        <f t="shared" si="17"/>
        <v>субъект РФ 1</v>
      </c>
      <c r="C66" s="178" t="str">
        <f t="shared" si="17"/>
        <v>ДЗО 1</v>
      </c>
      <c r="D66" s="179" t="str">
        <f t="shared" si="17"/>
        <v>филиал 1</v>
      </c>
      <c r="E66" s="191" t="s">
        <v>204</v>
      </c>
      <c r="F66" s="181"/>
      <c r="G66" s="182"/>
      <c r="H66" s="182"/>
      <c r="I66" s="183"/>
      <c r="J66" s="184"/>
      <c r="K66" s="185"/>
      <c r="L66" s="185"/>
      <c r="M66" s="185">
        <f t="shared" si="4"/>
        <v>0</v>
      </c>
      <c r="N66" s="186" t="str">
        <f t="shared" si="5"/>
        <v/>
      </c>
      <c r="O66" s="182"/>
      <c r="P66" s="182"/>
      <c r="Q66" s="230"/>
      <c r="R66" s="233"/>
      <c r="S66" s="191"/>
      <c r="T66" s="191"/>
    </row>
    <row r="67" spans="1:20" x14ac:dyDescent="0.25">
      <c r="A67" s="177"/>
      <c r="B67" s="178" t="str">
        <f t="shared" si="17"/>
        <v>субъект РФ 1</v>
      </c>
      <c r="C67" s="178" t="str">
        <f t="shared" si="17"/>
        <v>ДЗО 1</v>
      </c>
      <c r="D67" s="179" t="str">
        <f t="shared" si="17"/>
        <v>филиал 1</v>
      </c>
      <c r="E67" s="191" t="s">
        <v>229</v>
      </c>
      <c r="F67" s="181"/>
      <c r="G67" s="182"/>
      <c r="H67" s="182"/>
      <c r="I67" s="183"/>
      <c r="J67" s="184"/>
      <c r="K67" s="185"/>
      <c r="L67" s="185"/>
      <c r="M67" s="185">
        <f t="shared" si="4"/>
        <v>0</v>
      </c>
      <c r="N67" s="186" t="str">
        <f t="shared" si="5"/>
        <v/>
      </c>
      <c r="O67" s="182"/>
      <c r="P67" s="182"/>
      <c r="Q67" s="230"/>
      <c r="R67" s="233"/>
      <c r="S67" s="191"/>
      <c r="T67" s="191"/>
    </row>
    <row r="68" spans="1:20" ht="15.75" thickBot="1" x14ac:dyDescent="0.3">
      <c r="A68" s="197"/>
      <c r="B68" s="198" t="str">
        <f t="shared" si="17"/>
        <v>субъект РФ 1</v>
      </c>
      <c r="C68" s="198" t="str">
        <f t="shared" si="17"/>
        <v>ДЗО 1</v>
      </c>
      <c r="D68" s="199" t="str">
        <f t="shared" si="17"/>
        <v>филиал 1</v>
      </c>
      <c r="E68" s="200" t="s">
        <v>230</v>
      </c>
      <c r="F68" s="201"/>
      <c r="G68" s="202"/>
      <c r="H68" s="202"/>
      <c r="I68" s="203"/>
      <c r="J68" s="204"/>
      <c r="K68" s="205"/>
      <c r="L68" s="205"/>
      <c r="M68" s="205">
        <f t="shared" si="4"/>
        <v>0</v>
      </c>
      <c r="N68" s="206" t="str">
        <f t="shared" si="5"/>
        <v/>
      </c>
      <c r="O68" s="202"/>
      <c r="P68" s="202"/>
      <c r="Q68" s="231"/>
      <c r="R68" s="234"/>
      <c r="S68" s="200"/>
      <c r="T68" s="200"/>
    </row>
    <row r="71" spans="1:20" x14ac:dyDescent="0.25">
      <c r="D71" s="133">
        <v>9827363.9999999963</v>
      </c>
      <c r="F71" s="308">
        <v>2019</v>
      </c>
      <c r="G71" s="308"/>
      <c r="H71" s="308"/>
      <c r="J71" s="133">
        <v>41944945</v>
      </c>
      <c r="N71" s="133">
        <v>13758322</v>
      </c>
    </row>
    <row r="72" spans="1:20" x14ac:dyDescent="0.25">
      <c r="E72" s="133">
        <v>11487.495200000001</v>
      </c>
      <c r="F72" s="133">
        <f>J71</f>
        <v>41944945</v>
      </c>
      <c r="G72" s="133">
        <v>36552439</v>
      </c>
      <c r="H72" s="133">
        <f>F72-G72</f>
        <v>5392506</v>
      </c>
      <c r="I72" s="133" t="s">
        <v>244</v>
      </c>
      <c r="J72" s="133">
        <f>[2]Sheet1!$AB$5811</f>
        <v>12409984</v>
      </c>
      <c r="K72" s="133">
        <v>1109400</v>
      </c>
      <c r="L72" s="133">
        <f>J72-K72</f>
        <v>11300584</v>
      </c>
      <c r="N72" s="133">
        <f>N71/1000000</f>
        <v>13.758322</v>
      </c>
    </row>
    <row r="73" spans="1:20" x14ac:dyDescent="0.25">
      <c r="H73" s="263">
        <f>H72/F72*100</f>
        <v>12.856152272937777</v>
      </c>
      <c r="I73" s="133" t="s">
        <v>245</v>
      </c>
      <c r="J73" s="133">
        <v>11594055</v>
      </c>
      <c r="L73" s="133">
        <f>J73-K73</f>
        <v>11594055</v>
      </c>
      <c r="N73" s="133">
        <f>N72/31*20</f>
        <v>8.8763367741935486</v>
      </c>
    </row>
    <row r="74" spans="1:20" x14ac:dyDescent="0.25">
      <c r="F74" s="308" t="s">
        <v>247</v>
      </c>
      <c r="G74" s="308"/>
      <c r="H74" s="308"/>
      <c r="I74" s="133" t="s">
        <v>246</v>
      </c>
      <c r="J74" s="133">
        <v>12545597</v>
      </c>
      <c r="K74" s="265">
        <f>K64/22*30*1000000</f>
        <v>22636363.63636364</v>
      </c>
      <c r="L74" s="133">
        <f>J74-K74</f>
        <v>-10090766.63636364</v>
      </c>
    </row>
    <row r="75" spans="1:20" x14ac:dyDescent="0.25">
      <c r="F75" s="133">
        <f>'[3]апрель 2020 '!$E$9*1000</f>
        <v>41559949</v>
      </c>
      <c r="G75" s="133">
        <f>'[3]апрель 2020 '!$L$9*1000</f>
        <v>36061969</v>
      </c>
      <c r="H75" s="133">
        <f>F75-G75</f>
        <v>5497980</v>
      </c>
    </row>
    <row r="76" spans="1:20" x14ac:dyDescent="0.25">
      <c r="H76" s="263">
        <f>H75/F75*100</f>
        <v>13.229034520711275</v>
      </c>
    </row>
    <row r="77" spans="1:20" x14ac:dyDescent="0.25">
      <c r="F77" s="133" t="s">
        <v>249</v>
      </c>
      <c r="G77" s="133" t="s">
        <v>250</v>
      </c>
      <c r="H77" s="133" t="s">
        <v>251</v>
      </c>
      <c r="J77" s="133">
        <f>J72/30*22</f>
        <v>9100654.9333333336</v>
      </c>
    </row>
    <row r="78" spans="1:20" x14ac:dyDescent="0.25">
      <c r="F78" s="264">
        <f>'[4]ноябрь (9)'!$E$17</f>
        <v>40159656.81818182</v>
      </c>
      <c r="G78" s="264">
        <f>'[5]ноябрь (8)'!$M$9</f>
        <v>34896922</v>
      </c>
      <c r="H78" s="264">
        <f>F78-G78</f>
        <v>5262734.8181818202</v>
      </c>
      <c r="J78" s="133">
        <f>J73/30*22</f>
        <v>8502307</v>
      </c>
    </row>
    <row r="79" spans="1:20" x14ac:dyDescent="0.25">
      <c r="G79" s="133">
        <v>1342056</v>
      </c>
      <c r="H79" s="263">
        <f>H78/F78*100</f>
        <v>13.104531350973044</v>
      </c>
    </row>
    <row r="80" spans="1:20" x14ac:dyDescent="0.25">
      <c r="F80" s="133" t="s">
        <v>248</v>
      </c>
      <c r="G80" s="133">
        <f>G78-G79</f>
        <v>33554866</v>
      </c>
    </row>
    <row r="81" spans="5:20" x14ac:dyDescent="0.25">
      <c r="P81" s="133">
        <v>38.866060926085531</v>
      </c>
      <c r="Q81" s="133">
        <v>5.0914539813172048</v>
      </c>
      <c r="R81" s="133">
        <v>33.774606944768323</v>
      </c>
    </row>
    <row r="82" spans="5:20" x14ac:dyDescent="0.25">
      <c r="K82" s="133" t="s">
        <v>252</v>
      </c>
      <c r="L82" s="133" t="s">
        <v>253</v>
      </c>
      <c r="M82" s="133" t="s">
        <v>254</v>
      </c>
      <c r="N82" s="133" t="s">
        <v>255</v>
      </c>
      <c r="P82" s="133">
        <v>1.1619465505</v>
      </c>
    </row>
    <row r="83" spans="5:20" x14ac:dyDescent="0.25">
      <c r="J83" s="133" t="s">
        <v>183</v>
      </c>
      <c r="K83" s="267">
        <f>K84+K85+K86+K87+K88+K89</f>
        <v>46384.93</v>
      </c>
      <c r="L83" s="267">
        <f>L84+L85+L86+L87+L88+L89</f>
        <v>50720.378967741934</v>
      </c>
      <c r="M83" s="267">
        <f>L83-K83</f>
        <v>4335.4489677419333</v>
      </c>
      <c r="N83" s="266">
        <f>M83/K83</f>
        <v>9.3466756719088148E-2</v>
      </c>
      <c r="P83" s="133">
        <v>13.68</v>
      </c>
      <c r="Q83" s="133">
        <v>10.968368423076932</v>
      </c>
      <c r="R83" s="133">
        <v>1.5004728002769241</v>
      </c>
      <c r="S83" s="133">
        <v>32.274134144491399</v>
      </c>
      <c r="T83" s="133">
        <v>2.7463698716051979</v>
      </c>
    </row>
    <row r="84" spans="5:20" x14ac:dyDescent="0.25">
      <c r="J84" s="133" t="s">
        <v>184</v>
      </c>
      <c r="K84" s="267">
        <f>J20*1000</f>
        <v>2437.605</v>
      </c>
      <c r="L84" s="267">
        <f>K20*1000</f>
        <v>2003.4169999999997</v>
      </c>
      <c r="M84" s="267">
        <f t="shared" ref="M84:M89" si="19">L84-K84</f>
        <v>-434.18800000000033</v>
      </c>
      <c r="N84" s="266">
        <f t="shared" ref="N84:N89" si="20">M84/K84</f>
        <v>-0.1781207373631086</v>
      </c>
      <c r="T84" s="133">
        <v>88.636709646575781</v>
      </c>
    </row>
    <row r="85" spans="5:20" x14ac:dyDescent="0.25">
      <c r="E85" s="133">
        <v>31764.980200000002</v>
      </c>
      <c r="J85" s="133" t="s">
        <v>187</v>
      </c>
      <c r="K85" s="267">
        <f>J46*1000</f>
        <v>753.06100000000004</v>
      </c>
      <c r="L85" s="267">
        <f>K46*1000</f>
        <v>592.25396774193541</v>
      </c>
      <c r="M85" s="267">
        <f t="shared" si="19"/>
        <v>-160.80703225806462</v>
      </c>
      <c r="N85" s="266">
        <f t="shared" si="20"/>
        <v>-0.21353785716969093</v>
      </c>
    </row>
    <row r="86" spans="5:20" x14ac:dyDescent="0.25">
      <c r="E86" s="133">
        <f>E85/1000</f>
        <v>31.7649802</v>
      </c>
      <c r="J86" s="133" t="s">
        <v>188</v>
      </c>
      <c r="K86" s="267">
        <f>J47*1000</f>
        <v>12697.067000000001</v>
      </c>
      <c r="L86" s="267">
        <f>K47*1000</f>
        <v>11155.772000000001</v>
      </c>
      <c r="M86" s="267">
        <f t="shared" si="19"/>
        <v>-1541.2950000000001</v>
      </c>
      <c r="N86" s="266">
        <f t="shared" si="20"/>
        <v>-0.12138984538712759</v>
      </c>
    </row>
    <row r="87" spans="5:20" x14ac:dyDescent="0.25">
      <c r="J87" s="133" t="s">
        <v>189</v>
      </c>
      <c r="K87" s="267">
        <f>J55*1000</f>
        <v>998.05500000000006</v>
      </c>
      <c r="L87" s="267">
        <f>K55*1000</f>
        <v>1986.5759999999998</v>
      </c>
      <c r="M87" s="267">
        <f t="shared" si="19"/>
        <v>988.52099999999973</v>
      </c>
      <c r="N87" s="266">
        <f t="shared" si="20"/>
        <v>0.99044742023235155</v>
      </c>
    </row>
    <row r="88" spans="5:20" x14ac:dyDescent="0.25">
      <c r="E88" s="133">
        <v>9.8273639999999993</v>
      </c>
      <c r="J88" s="133" t="s">
        <v>190</v>
      </c>
      <c r="K88" s="267">
        <f>J62*1000</f>
        <v>14213.056999999999</v>
      </c>
      <c r="L88" s="267">
        <f>K62*1000</f>
        <v>18382.359999999997</v>
      </c>
      <c r="M88" s="267">
        <f t="shared" si="19"/>
        <v>4169.3029999999981</v>
      </c>
      <c r="N88" s="266">
        <f t="shared" si="20"/>
        <v>0.29334315622599688</v>
      </c>
    </row>
    <row r="89" spans="5:20" x14ac:dyDescent="0.25">
      <c r="E89" s="133">
        <v>11.487494999999999</v>
      </c>
      <c r="J89" s="133" t="s">
        <v>191</v>
      </c>
      <c r="K89" s="267">
        <f>J64*1000</f>
        <v>15286.084999999999</v>
      </c>
      <c r="L89" s="267">
        <f>K64*1000</f>
        <v>16600</v>
      </c>
      <c r="M89" s="267">
        <f t="shared" si="19"/>
        <v>1313.9150000000009</v>
      </c>
      <c r="N89" s="266">
        <f t="shared" si="20"/>
        <v>8.5954971465878993E-2</v>
      </c>
    </row>
    <row r="90" spans="5:20" x14ac:dyDescent="0.25">
      <c r="E90" s="133">
        <v>0.40413399999999999</v>
      </c>
    </row>
    <row r="91" spans="5:20" x14ac:dyDescent="0.25">
      <c r="E91" s="133">
        <v>0.64546400000000004</v>
      </c>
    </row>
    <row r="92" spans="5:20" x14ac:dyDescent="0.25">
      <c r="E92" s="133">
        <v>2.1263839999999998</v>
      </c>
    </row>
    <row r="93" spans="5:20" x14ac:dyDescent="0.25">
      <c r="E93" s="133">
        <f>E86-E88-E89-E90-E91-E92</f>
        <v>7.2741392000000022</v>
      </c>
    </row>
    <row r="94" spans="5:20" x14ac:dyDescent="0.25">
      <c r="E94" s="133">
        <v>7.2741392000000022</v>
      </c>
    </row>
  </sheetData>
  <autoFilter ref="A9:E68"/>
  <mergeCells count="22">
    <mergeCell ref="A6:A8"/>
    <mergeCell ref="B6:B8"/>
    <mergeCell ref="C6:C8"/>
    <mergeCell ref="D6:D8"/>
    <mergeCell ref="E6:E8"/>
    <mergeCell ref="T6:T8"/>
    <mergeCell ref="F7:F8"/>
    <mergeCell ref="G7:G8"/>
    <mergeCell ref="H7:I7"/>
    <mergeCell ref="J7:J8"/>
    <mergeCell ref="K7:K8"/>
    <mergeCell ref="L7:L8"/>
    <mergeCell ref="F6:I6"/>
    <mergeCell ref="M7:N7"/>
    <mergeCell ref="O7:O8"/>
    <mergeCell ref="P7:P8"/>
    <mergeCell ref="Q7:R7"/>
    <mergeCell ref="F71:H71"/>
    <mergeCell ref="F74:H74"/>
    <mergeCell ref="J6:N6"/>
    <mergeCell ref="O6:R6"/>
    <mergeCell ref="S6:S8"/>
  </mergeCells>
  <conditionalFormatting sqref="I10:I26 I28:I32 I34:I38 I40:I44 I46:I52 I54:I59 I61:I65 I67:I68">
    <cfRule type="cellIs" dxfId="619" priority="95" operator="lessThan">
      <formula>0</formula>
    </cfRule>
    <cfRule type="cellIs" dxfId="618" priority="96" operator="greaterThan">
      <formula>0</formula>
    </cfRule>
  </conditionalFormatting>
  <conditionalFormatting sqref="N10:N26 N28:N32 N34:N38 N40:N44 N46:N52 N54:N59 N61:N65 N67:N68">
    <cfRule type="cellIs" dxfId="617" priority="93" operator="lessThan">
      <formula>0</formula>
    </cfRule>
    <cfRule type="cellIs" dxfId="616" priority="94" operator="greaterThan">
      <formula>0</formula>
    </cfRule>
  </conditionalFormatting>
  <conditionalFormatting sqref="R10:R26 R28:R32 R34:R38 R40:R44 R46:R52 R54:R59 R61:R65 R67:R68">
    <cfRule type="cellIs" dxfId="615" priority="91" operator="lessThan">
      <formula>0</formula>
    </cfRule>
    <cfRule type="cellIs" dxfId="614" priority="92" operator="greaterThan">
      <formula>0</formula>
    </cfRule>
  </conditionalFormatting>
  <conditionalFormatting sqref="H10:H26 H28:H32 H34:H38 H40:H44 H46:H52 H54:H59 H61:H65 H67:H68">
    <cfRule type="cellIs" dxfId="613" priority="89" operator="lessThan">
      <formula>0</formula>
    </cfRule>
    <cfRule type="cellIs" dxfId="612" priority="90" operator="greaterThan">
      <formula>0</formula>
    </cfRule>
  </conditionalFormatting>
  <conditionalFormatting sqref="M10:M26 M28:M32 M34:M38 M40:M44 M46:M52 M54:M59 M61:M65 M67:M68">
    <cfRule type="cellIs" dxfId="611" priority="87" operator="lessThan">
      <formula>0</formula>
    </cfRule>
    <cfRule type="cellIs" dxfId="610" priority="88" operator="greaterThan">
      <formula>0</formula>
    </cfRule>
  </conditionalFormatting>
  <conditionalFormatting sqref="Q10:Q26 Q28:Q32 Q34:Q38 Q40:Q44 Q46:Q52 Q54:Q59 Q61:Q65 Q67:Q68">
    <cfRule type="cellIs" dxfId="609" priority="85" operator="lessThan">
      <formula>0</formula>
    </cfRule>
    <cfRule type="cellIs" dxfId="608" priority="86" operator="greaterThan">
      <formula>0</formula>
    </cfRule>
  </conditionalFormatting>
  <conditionalFormatting sqref="I27">
    <cfRule type="cellIs" dxfId="607" priority="83" operator="lessThan">
      <formula>0</formula>
    </cfRule>
    <cfRule type="cellIs" dxfId="606" priority="84" operator="greaterThan">
      <formula>0</formula>
    </cfRule>
  </conditionalFormatting>
  <conditionalFormatting sqref="N27">
    <cfRule type="cellIs" dxfId="605" priority="81" operator="lessThan">
      <formula>0</formula>
    </cfRule>
    <cfRule type="cellIs" dxfId="604" priority="82" operator="greaterThan">
      <formula>0</formula>
    </cfRule>
  </conditionalFormatting>
  <conditionalFormatting sqref="R27">
    <cfRule type="cellIs" dxfId="603" priority="79" operator="lessThan">
      <formula>0</formula>
    </cfRule>
    <cfRule type="cellIs" dxfId="602" priority="80" operator="greaterThan">
      <formula>0</formula>
    </cfRule>
  </conditionalFormatting>
  <conditionalFormatting sqref="H27">
    <cfRule type="cellIs" dxfId="601" priority="77" operator="lessThan">
      <formula>0</formula>
    </cfRule>
    <cfRule type="cellIs" dxfId="600" priority="78" operator="greaterThan">
      <formula>0</formula>
    </cfRule>
  </conditionalFormatting>
  <conditionalFormatting sqref="M27">
    <cfRule type="cellIs" dxfId="599" priority="75" operator="lessThan">
      <formula>0</formula>
    </cfRule>
    <cfRule type="cellIs" dxfId="598" priority="76" operator="greaterThan">
      <formula>0</formula>
    </cfRule>
  </conditionalFormatting>
  <conditionalFormatting sqref="Q27">
    <cfRule type="cellIs" dxfId="597" priority="73" operator="lessThan">
      <formula>0</formula>
    </cfRule>
    <cfRule type="cellIs" dxfId="596" priority="74" operator="greaterThan">
      <formula>0</formula>
    </cfRule>
  </conditionalFormatting>
  <conditionalFormatting sqref="I33">
    <cfRule type="cellIs" dxfId="595" priority="71" operator="lessThan">
      <formula>0</formula>
    </cfRule>
    <cfRule type="cellIs" dxfId="594" priority="72" operator="greaterThan">
      <formula>0</formula>
    </cfRule>
  </conditionalFormatting>
  <conditionalFormatting sqref="N33">
    <cfRule type="cellIs" dxfId="593" priority="69" operator="lessThan">
      <formula>0</formula>
    </cfRule>
    <cfRule type="cellIs" dxfId="592" priority="70" operator="greaterThan">
      <formula>0</formula>
    </cfRule>
  </conditionalFormatting>
  <conditionalFormatting sqref="R33">
    <cfRule type="cellIs" dxfId="591" priority="67" operator="lessThan">
      <formula>0</formula>
    </cfRule>
    <cfRule type="cellIs" dxfId="590" priority="68" operator="greaterThan">
      <formula>0</formula>
    </cfRule>
  </conditionalFormatting>
  <conditionalFormatting sqref="H33">
    <cfRule type="cellIs" dxfId="589" priority="65" operator="lessThan">
      <formula>0</formula>
    </cfRule>
    <cfRule type="cellIs" dxfId="588" priority="66" operator="greaterThan">
      <formula>0</formula>
    </cfRule>
  </conditionalFormatting>
  <conditionalFormatting sqref="M33">
    <cfRule type="cellIs" dxfId="587" priority="63" operator="lessThan">
      <formula>0</formula>
    </cfRule>
    <cfRule type="cellIs" dxfId="586" priority="64" operator="greaterThan">
      <formula>0</formula>
    </cfRule>
  </conditionalFormatting>
  <conditionalFormatting sqref="Q33">
    <cfRule type="cellIs" dxfId="585" priority="61" operator="lessThan">
      <formula>0</formula>
    </cfRule>
    <cfRule type="cellIs" dxfId="584" priority="62" operator="greaterThan">
      <formula>0</formula>
    </cfRule>
  </conditionalFormatting>
  <conditionalFormatting sqref="I39">
    <cfRule type="cellIs" dxfId="583" priority="59" operator="lessThan">
      <formula>0</formula>
    </cfRule>
    <cfRule type="cellIs" dxfId="582" priority="60" operator="greaterThan">
      <formula>0</formula>
    </cfRule>
  </conditionalFormatting>
  <conditionalFormatting sqref="N39">
    <cfRule type="cellIs" dxfId="581" priority="57" operator="lessThan">
      <formula>0</formula>
    </cfRule>
    <cfRule type="cellIs" dxfId="580" priority="58" operator="greaterThan">
      <formula>0</formula>
    </cfRule>
  </conditionalFormatting>
  <conditionalFormatting sqref="R39">
    <cfRule type="cellIs" dxfId="579" priority="55" operator="lessThan">
      <formula>0</formula>
    </cfRule>
    <cfRule type="cellIs" dxfId="578" priority="56" operator="greaterThan">
      <formula>0</formula>
    </cfRule>
  </conditionalFormatting>
  <conditionalFormatting sqref="H39">
    <cfRule type="cellIs" dxfId="577" priority="53" operator="lessThan">
      <formula>0</formula>
    </cfRule>
    <cfRule type="cellIs" dxfId="576" priority="54" operator="greaterThan">
      <formula>0</formula>
    </cfRule>
  </conditionalFormatting>
  <conditionalFormatting sqref="M39">
    <cfRule type="cellIs" dxfId="575" priority="51" operator="lessThan">
      <formula>0</formula>
    </cfRule>
    <cfRule type="cellIs" dxfId="574" priority="52" operator="greaterThan">
      <formula>0</formula>
    </cfRule>
  </conditionalFormatting>
  <conditionalFormatting sqref="Q39">
    <cfRule type="cellIs" dxfId="573" priority="49" operator="lessThan">
      <formula>0</formula>
    </cfRule>
    <cfRule type="cellIs" dxfId="572" priority="50" operator="greaterThan">
      <formula>0</formula>
    </cfRule>
  </conditionalFormatting>
  <conditionalFormatting sqref="I45">
    <cfRule type="cellIs" dxfId="571" priority="47" operator="lessThan">
      <formula>0</formula>
    </cfRule>
    <cfRule type="cellIs" dxfId="570" priority="48" operator="greaterThan">
      <formula>0</formula>
    </cfRule>
  </conditionalFormatting>
  <conditionalFormatting sqref="N45">
    <cfRule type="cellIs" dxfId="569" priority="45" operator="lessThan">
      <formula>0</formula>
    </cfRule>
    <cfRule type="cellIs" dxfId="568" priority="46" operator="greaterThan">
      <formula>0</formula>
    </cfRule>
  </conditionalFormatting>
  <conditionalFormatting sqref="R45">
    <cfRule type="cellIs" dxfId="567" priority="43" operator="lessThan">
      <formula>0</formula>
    </cfRule>
    <cfRule type="cellIs" dxfId="566" priority="44" operator="greaterThan">
      <formula>0</formula>
    </cfRule>
  </conditionalFormatting>
  <conditionalFormatting sqref="H45">
    <cfRule type="cellIs" dxfId="565" priority="41" operator="lessThan">
      <formula>0</formula>
    </cfRule>
    <cfRule type="cellIs" dxfId="564" priority="42" operator="greaterThan">
      <formula>0</formula>
    </cfRule>
  </conditionalFormatting>
  <conditionalFormatting sqref="M45">
    <cfRule type="cellIs" dxfId="563" priority="39" operator="lessThan">
      <formula>0</formula>
    </cfRule>
    <cfRule type="cellIs" dxfId="562" priority="40" operator="greaterThan">
      <formula>0</formula>
    </cfRule>
  </conditionalFormatting>
  <conditionalFormatting sqref="Q45">
    <cfRule type="cellIs" dxfId="561" priority="37" operator="lessThan">
      <formula>0</formula>
    </cfRule>
    <cfRule type="cellIs" dxfId="560" priority="38" operator="greaterThan">
      <formula>0</formula>
    </cfRule>
  </conditionalFormatting>
  <conditionalFormatting sqref="I53">
    <cfRule type="cellIs" dxfId="559" priority="35" operator="lessThan">
      <formula>0</formula>
    </cfRule>
    <cfRule type="cellIs" dxfId="558" priority="36" operator="greaterThan">
      <formula>0</formula>
    </cfRule>
  </conditionalFormatting>
  <conditionalFormatting sqref="N53">
    <cfRule type="cellIs" dxfId="557" priority="33" operator="lessThan">
      <formula>0</formula>
    </cfRule>
    <cfRule type="cellIs" dxfId="556" priority="34" operator="greaterThan">
      <formula>0</formula>
    </cfRule>
  </conditionalFormatting>
  <conditionalFormatting sqref="R53">
    <cfRule type="cellIs" dxfId="555" priority="31" operator="lessThan">
      <formula>0</formula>
    </cfRule>
    <cfRule type="cellIs" dxfId="554" priority="32" operator="greaterThan">
      <formula>0</formula>
    </cfRule>
  </conditionalFormatting>
  <conditionalFormatting sqref="H53">
    <cfRule type="cellIs" dxfId="553" priority="29" operator="lessThan">
      <formula>0</formula>
    </cfRule>
    <cfRule type="cellIs" dxfId="552" priority="30" operator="greaterThan">
      <formula>0</formula>
    </cfRule>
  </conditionalFormatting>
  <conditionalFormatting sqref="M53">
    <cfRule type="cellIs" dxfId="551" priority="27" operator="lessThan">
      <formula>0</formula>
    </cfRule>
    <cfRule type="cellIs" dxfId="550" priority="28" operator="greaterThan">
      <formula>0</formula>
    </cfRule>
  </conditionalFormatting>
  <conditionalFormatting sqref="Q53">
    <cfRule type="cellIs" dxfId="549" priority="25" operator="lessThan">
      <formula>0</formula>
    </cfRule>
    <cfRule type="cellIs" dxfId="548" priority="26" operator="greaterThan">
      <formula>0</formula>
    </cfRule>
  </conditionalFormatting>
  <conditionalFormatting sqref="I60">
    <cfRule type="cellIs" dxfId="547" priority="23" operator="lessThan">
      <formula>0</formula>
    </cfRule>
    <cfRule type="cellIs" dxfId="546" priority="24" operator="greaterThan">
      <formula>0</formula>
    </cfRule>
  </conditionalFormatting>
  <conditionalFormatting sqref="N60">
    <cfRule type="cellIs" dxfId="545" priority="21" operator="lessThan">
      <formula>0</formula>
    </cfRule>
    <cfRule type="cellIs" dxfId="544" priority="22" operator="greaterThan">
      <formula>0</formula>
    </cfRule>
  </conditionalFormatting>
  <conditionalFormatting sqref="R60">
    <cfRule type="cellIs" dxfId="543" priority="19" operator="lessThan">
      <formula>0</formula>
    </cfRule>
    <cfRule type="cellIs" dxfId="542" priority="20" operator="greaterThan">
      <formula>0</formula>
    </cfRule>
  </conditionalFormatting>
  <conditionalFormatting sqref="H60">
    <cfRule type="cellIs" dxfId="541" priority="17" operator="lessThan">
      <formula>0</formula>
    </cfRule>
    <cfRule type="cellIs" dxfId="540" priority="18" operator="greaterThan">
      <formula>0</formula>
    </cfRule>
  </conditionalFormatting>
  <conditionalFormatting sqref="M60">
    <cfRule type="cellIs" dxfId="539" priority="15" operator="lessThan">
      <formula>0</formula>
    </cfRule>
    <cfRule type="cellIs" dxfId="538" priority="16" operator="greaterThan">
      <formula>0</formula>
    </cfRule>
  </conditionalFormatting>
  <conditionalFormatting sqref="Q60">
    <cfRule type="cellIs" dxfId="537" priority="13" operator="lessThan">
      <formula>0</formula>
    </cfRule>
    <cfRule type="cellIs" dxfId="536" priority="14" operator="greaterThan">
      <formula>0</formula>
    </cfRule>
  </conditionalFormatting>
  <conditionalFormatting sqref="I66">
    <cfRule type="cellIs" dxfId="535" priority="11" operator="lessThan">
      <formula>0</formula>
    </cfRule>
    <cfRule type="cellIs" dxfId="534" priority="12" operator="greaterThan">
      <formula>0</formula>
    </cfRule>
  </conditionalFormatting>
  <conditionalFormatting sqref="N66">
    <cfRule type="cellIs" dxfId="533" priority="9" operator="lessThan">
      <formula>0</formula>
    </cfRule>
    <cfRule type="cellIs" dxfId="532" priority="10" operator="greaterThan">
      <formula>0</formula>
    </cfRule>
  </conditionalFormatting>
  <conditionalFormatting sqref="R66">
    <cfRule type="cellIs" dxfId="531" priority="7" operator="lessThan">
      <formula>0</formula>
    </cfRule>
    <cfRule type="cellIs" dxfId="530" priority="8" operator="greaterThan">
      <formula>0</formula>
    </cfRule>
  </conditionalFormatting>
  <conditionalFormatting sqref="H66">
    <cfRule type="cellIs" dxfId="529" priority="5" operator="lessThan">
      <formula>0</formula>
    </cfRule>
    <cfRule type="cellIs" dxfId="528" priority="6" operator="greaterThan">
      <formula>0</formula>
    </cfRule>
  </conditionalFormatting>
  <conditionalFormatting sqref="M66">
    <cfRule type="cellIs" dxfId="527" priority="3" operator="lessThan">
      <formula>0</formula>
    </cfRule>
    <cfRule type="cellIs" dxfId="526" priority="4" operator="greaterThan">
      <formula>0</formula>
    </cfRule>
  </conditionalFormatting>
  <conditionalFormatting sqref="Q66">
    <cfRule type="cellIs" dxfId="525" priority="1" operator="lessThan">
      <formula>0</formula>
    </cfRule>
    <cfRule type="cellIs" dxfId="524" priority="2" operator="greaterThan">
      <formula>0</formula>
    </cfRule>
  </conditionalFormatting>
  <pageMargins left="0" right="0" top="0" bottom="0" header="0" footer="0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пример заполнения (суточный)</vt:lpstr>
      <vt:lpstr>7</vt:lpstr>
      <vt:lpstr>12</vt:lpstr>
      <vt:lpstr>19</vt:lpstr>
      <vt:lpstr>26</vt:lpstr>
      <vt:lpstr>10</vt:lpstr>
      <vt:lpstr>17</vt:lpstr>
      <vt:lpstr>24</vt:lpstr>
      <vt:lpstr>31</vt:lpstr>
      <vt:lpstr>9</vt:lpstr>
      <vt:lpstr>16</vt:lpstr>
      <vt:lpstr>23</vt:lpstr>
      <vt:lpstr>29</vt:lpstr>
      <vt:lpstr>30</vt:lpstr>
      <vt:lpstr>пример заполнения (еженедельно)</vt:lpstr>
      <vt:lpstr>отчет_месячный</vt:lpstr>
      <vt:lpstr>пример заполнения (месячный)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Ашмарин Владимир Александрович</cp:lastModifiedBy>
  <cp:lastPrinted>2020-04-06T11:03:14Z</cp:lastPrinted>
  <dcterms:created xsi:type="dcterms:W3CDTF">2020-04-04T12:22:48Z</dcterms:created>
  <dcterms:modified xsi:type="dcterms:W3CDTF">2021-02-01T08:23:03Z</dcterms:modified>
</cp:coreProperties>
</file>