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slicers/slicer3.xml" ContentType="application/vnd.ms-excel.slicer+xml"/>
  <Override PartName="/xl/charts/chart6.xml" ContentType="application/vnd.openxmlformats-officedocument.drawingml.chart+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xml"/>
  <Override PartName="/xl/tables/table2.xml" ContentType="application/vnd.openxmlformats-officedocument.spreadsheetml.tab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5.xml" ContentType="application/vnd.openxmlformats-officedocument.drawing+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chart13.xml" ContentType="application/vnd.openxmlformats-officedocument.drawingml.chart+xml"/>
  <Override PartName="/xl/charts/style11.xml" ContentType="application/vnd.ms-office.chartstyle+xml"/>
  <Override PartName="/xl/charts/colors11.xml" ContentType="application/vnd.ms-office.chartcolorstyle+xml"/>
  <Override PartName="/xl/charts/chart14.xml" ContentType="application/vnd.openxmlformats-officedocument.drawingml.chart+xml"/>
  <Override PartName="/xl/charts/style12.xml" ContentType="application/vnd.ms-office.chartstyle+xml"/>
  <Override PartName="/xl/charts/colors12.xml" ContentType="application/vnd.ms-office.chartcolorstyle+xml"/>
  <Override PartName="/xl/charts/chart15.xml" ContentType="application/vnd.openxmlformats-officedocument.drawingml.chart+xml"/>
  <Override PartName="/xl/charts/style13.xml" ContentType="application/vnd.ms-office.chartstyle+xml"/>
  <Override PartName="/xl/charts/colors13.xml" ContentType="application/vnd.ms-office.chartcolorstyle+xml"/>
  <Override PartName="/xl/charts/chart16.xml" ContentType="application/vnd.openxmlformats-officedocument.drawingml.chart+xml"/>
  <Override PartName="/xl/charts/style14.xml" ContentType="application/vnd.ms-office.chartstyle+xml"/>
  <Override PartName="/xl/charts/colors14.xml" ContentType="application/vnd.ms-office.chartcolorstyle+xml"/>
  <Override PartName="/xl/charts/chart17.xml" ContentType="application/vnd.openxmlformats-officedocument.drawingml.chart+xml"/>
  <Override PartName="/xl/charts/style15.xml" ContentType="application/vnd.ms-office.chartstyle+xml"/>
  <Override PartName="/xl/charts/colors15.xml" ContentType="application/vnd.ms-office.chartcolorsty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09"/>
  <workbookPr codeName="ThisWorkbook"/>
  <mc:AlternateContent xmlns:mc="http://schemas.openxmlformats.org/markup-compatibility/2006">
    <mc:Choice Requires="x15">
      <x15ac:absPath xmlns:x15ac="http://schemas.microsoft.com/office/spreadsheetml/2010/11/ac" url="https://d.docs.live.net/41466b5a254fb622/"/>
    </mc:Choice>
  </mc:AlternateContent>
  <xr:revisionPtr revIDLastSave="0" documentId="8_{3942107A-EACE-4831-B423-ACCD615E7DB7}" xr6:coauthVersionLast="47" xr6:coauthVersionMax="47" xr10:uidLastSave="{00000000-0000-0000-0000-000000000000}"/>
  <bookViews>
    <workbookView xWindow="-108" yWindow="-108" windowWidth="23256" windowHeight="12576" tabRatio="889" firstSheet="2" activeTab="2" xr2:uid="{00000000-000D-0000-FFFF-FFFF00000000}"/>
  </bookViews>
  <sheets>
    <sheet name="Dashboard" sheetId="8" r:id="rId1"/>
    <sheet name="Dashboard page 2" sheetId="11" r:id="rId2"/>
    <sheet name="Dashboard page 3" sheetId="12" r:id="rId3"/>
    <sheet name="Employee Performance Data" sheetId="1" r:id="rId4"/>
    <sheet name="Employee Performance Data Clean" sheetId="7" r:id="rId5"/>
    <sheet name="Sheet4" sheetId="10" r:id="rId6"/>
    <sheet name="Top 10 Performers" sheetId="18" state="hidden" r:id="rId7"/>
    <sheet name="Employee Performance Data Table" sheetId="21" r:id="rId8"/>
    <sheet name="MyAssignmentSheet" sheetId="22" r:id="rId9"/>
  </sheets>
  <externalReferences>
    <externalReference r:id="rId10"/>
  </externalReferences>
  <definedNames>
    <definedName name="AttendanceRate" localSheetId="7">[1]!Table2[AttendanceRate (%)]</definedName>
    <definedName name="AttendanceRate" localSheetId="8">MyAssignmentSheet!$Q$2:$Q$103</definedName>
    <definedName name="AttendanceRate">Table2[AttendanceRate (%)]</definedName>
    <definedName name="BonusAmount" localSheetId="7">MyAssignmentSheet!$P$2:$P$103</definedName>
    <definedName name="BonusAmount" localSheetId="8">MyAssignmentSheet!$P$2:$P$103</definedName>
    <definedName name="BonusAmount">'Employee Performance Data Clean'!$K$2:$K$101</definedName>
    <definedName name="Department" localSheetId="7">MyAssignmentSheet!$G$2:$G$103</definedName>
    <definedName name="Department" localSheetId="8">MyAssignmentSheet!$G$2:$G$103</definedName>
    <definedName name="Department">'Employee Performance Data Clean'!$F$2:$F$101</definedName>
    <definedName name="DeptInCaps" localSheetId="8">MyAssignmentSheet!$H$2:$H$103</definedName>
    <definedName name="DeptInCaps">#REF!</definedName>
    <definedName name="EmployeeID" localSheetId="7">'[1]Cleaned Table'!$A$2:$A$101</definedName>
    <definedName name="EmployeeID" localSheetId="8">MyAssignmentSheet!$A$2:$A$103</definedName>
    <definedName name="EmployeeID">'Employee Performance Data Clean'!$A$2:$A$101</definedName>
    <definedName name="ExternalData_1" localSheetId="1" hidden="1">'Dashboard page 2'!$F$37:$L$47</definedName>
    <definedName name="ExternalData_1" localSheetId="6" hidden="1">'Top 10 Performers'!$A$1:$G$11</definedName>
    <definedName name="ExtractedLastName" localSheetId="8">MyAssignmentSheet!$E$2:$E$103</definedName>
    <definedName name="ExtractedLastName">#REF!</definedName>
    <definedName name="FirstName" localSheetId="8">MyAssignmentSheet!$B$2:$B$103</definedName>
    <definedName name="FirstName">'Employee Performance Data Clean'!$B$2:$B$101</definedName>
    <definedName name="FullName" localSheetId="8">MyAssignmentSheet!$D$2:$D$103</definedName>
    <definedName name="FullName">'Employee Performance Data Clean'!$D$2:$D$101</definedName>
    <definedName name="Gender" localSheetId="7">'[1]Cleaned Table'!$E$2:$E$101</definedName>
    <definedName name="Gender" localSheetId="8">MyAssignmentSheet!$F$2:$F$103</definedName>
    <definedName name="Gender">'Employee Performance Data Clean'!$E$2:$E$101</definedName>
    <definedName name="HIGH" localSheetId="7">[1]!Table2[HiredYear]</definedName>
    <definedName name="HIGH">Table2[HiredYear]</definedName>
    <definedName name="HireDate" localSheetId="7">MyAssignmentSheet!$I$2:$I$103</definedName>
    <definedName name="HireDate" localSheetId="8">MyAssignmentSheet!$I$2:$I$103</definedName>
    <definedName name="HireDate">'Employee Performance Data Clean'!$G$2:$G$101</definedName>
    <definedName name="HiredYear" localSheetId="7">[1]!Table2[[#Headers],[#Data],[HiredYear]]</definedName>
    <definedName name="HiredYear">Table2[[#Headers],[#Data],[HiredYear]]</definedName>
    <definedName name="LastName" localSheetId="8">MyAssignmentSheet!$C$2:$C$103</definedName>
    <definedName name="LastName">'Employee Performance Data Clean'!$C$2:$C$101</definedName>
    <definedName name="myname" localSheetId="7">MyAssignmentSheet!#REF!</definedName>
    <definedName name="myname" localSheetId="8">MyAssignmentSheet!#REF!</definedName>
    <definedName name="myname">#REF!</definedName>
    <definedName name="Over_85_and__more_than_10_projects" localSheetId="8">MyAssignmentSheet!$O$2:$O$103</definedName>
    <definedName name="Over_85_and__more_than_10_projects">#REF!</definedName>
    <definedName name="performance___80_or_attendance_rate_below_90_." localSheetId="8">MyAssignmentSheet!$R$2:$R$103</definedName>
    <definedName name="performance___80_or_attendance_rate_below_90_.">#REF!</definedName>
    <definedName name="PerformanceScore" localSheetId="7">MyAssignmentSheet!$L$2:$L$103</definedName>
    <definedName name="PerformanceScore" localSheetId="8">MyAssignmentSheet!$L$2:$L$103</definedName>
    <definedName name="PerformanceScore">'Employee Performance Data Clean'!$I$2:$I$101</definedName>
    <definedName name="ProjectsCompleted" localSheetId="7">MyAssignmentSheet!$M$2:$M$103</definedName>
    <definedName name="ProjectsCompleted" localSheetId="8">MyAssignmentSheet!$M$2:$M$103</definedName>
    <definedName name="ProjectsCompleted">'Employee Performance Data Clean'!$J$2:$J$101</definedName>
    <definedName name="ProjectsCompleted_10_Yes_No" localSheetId="8">MyAssignmentSheet!$N$2:$N$103</definedName>
    <definedName name="ProjectsCompleted_10_Yes_No">#REF!</definedName>
    <definedName name="REDOTABLE" localSheetId="7">#REF!</definedName>
    <definedName name="REDOTABLE">#REF!</definedName>
    <definedName name="Slicer_Department">#N/A</definedName>
    <definedName name="Slicer_Department1">#N/A</definedName>
    <definedName name="Slicer_Department2">#N/A</definedName>
    <definedName name="Slicer_Gender">#N/A</definedName>
    <definedName name="Slicer_HiredYear">#N/A</definedName>
    <definedName name="Slicer_ProjectsCompleted">#N/A</definedName>
    <definedName name="Slicer_Years__HireDate">#N/A</definedName>
    <definedName name="Slicer_Years__HireDate1">#N/A</definedName>
    <definedName name="WorkedDay" localSheetId="8">MyAssignmentSheet!$J$2:$J$103</definedName>
    <definedName name="WorkedDay">#REF!</definedName>
    <definedName name="YearEmployed" localSheetId="8">MyAssignmentSheet!$K$2:$K$103</definedName>
    <definedName name="YearEmployed">#REF!</definedName>
  </definedNames>
  <calcPr calcId="191028"/>
  <pivotCaches>
    <pivotCache cacheId="1707"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 r:id="rId18"/>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54" i="8" l="1"/>
  <c r="J54" i="8" a="1"/>
  <c r="J54" i="8" s="1"/>
  <c r="K58" i="8"/>
  <c r="J58" i="8" a="1"/>
  <c r="J58" i="8" s="1"/>
  <c r="K57" i="8"/>
  <c r="J57" i="8" a="1"/>
  <c r="J57" i="8" s="1"/>
  <c r="K56" i="8"/>
  <c r="J56" i="8" a="1"/>
  <c r="J56" i="8" s="1"/>
  <c r="K55" i="8"/>
  <c r="J55" i="8" a="1"/>
  <c r="J55" i="8" s="1"/>
  <c r="K116" i="22"/>
  <c r="D2" i="22"/>
  <c r="E2" i="22"/>
  <c r="H2" i="22"/>
  <c r="K2" i="22"/>
  <c r="N2" i="22"/>
  <c r="O2" i="22"/>
  <c r="R2" i="22"/>
  <c r="D3" i="22"/>
  <c r="E3" i="22"/>
  <c r="H3" i="22"/>
  <c r="K3" i="22"/>
  <c r="N3" i="22"/>
  <c r="O3" i="22"/>
  <c r="R3" i="22"/>
  <c r="D4" i="22"/>
  <c r="E4" i="22"/>
  <c r="H4" i="22"/>
  <c r="K4" i="22"/>
  <c r="N4" i="22"/>
  <c r="O4" i="22"/>
  <c r="R4" i="22"/>
  <c r="D5" i="22"/>
  <c r="E5" i="22"/>
  <c r="H5" i="22"/>
  <c r="K5" i="22"/>
  <c r="N5" i="22"/>
  <c r="O5" i="22"/>
  <c r="R5" i="22"/>
  <c r="D6" i="22"/>
  <c r="E6" i="22"/>
  <c r="H6" i="22"/>
  <c r="K6" i="22"/>
  <c r="N6" i="22"/>
  <c r="O6" i="22"/>
  <c r="R6" i="22"/>
  <c r="D7" i="22"/>
  <c r="E7" i="22"/>
  <c r="H7" i="22"/>
  <c r="K7" i="22"/>
  <c r="N7" i="22"/>
  <c r="O7" i="22"/>
  <c r="R7" i="22"/>
  <c r="D8" i="22"/>
  <c r="E8" i="22"/>
  <c r="H8" i="22"/>
  <c r="K8" i="22"/>
  <c r="N8" i="22"/>
  <c r="O8" i="22"/>
  <c r="R8" i="22"/>
  <c r="D9" i="22"/>
  <c r="E9" i="22"/>
  <c r="H9" i="22"/>
  <c r="K9" i="22"/>
  <c r="N9" i="22"/>
  <c r="O9" i="22"/>
  <c r="R9" i="22"/>
  <c r="D10" i="22"/>
  <c r="E10" i="22"/>
  <c r="H10" i="22"/>
  <c r="K10" i="22"/>
  <c r="N10" i="22"/>
  <c r="O10" i="22"/>
  <c r="R10" i="22"/>
  <c r="D11" i="22"/>
  <c r="E11" i="22"/>
  <c r="H11" i="22"/>
  <c r="K11" i="22"/>
  <c r="N11" i="22"/>
  <c r="O11" i="22"/>
  <c r="R11" i="22"/>
  <c r="D12" i="22"/>
  <c r="E12" i="22"/>
  <c r="H12" i="22"/>
  <c r="K12" i="22"/>
  <c r="N12" i="22"/>
  <c r="O12" i="22"/>
  <c r="R12" i="22"/>
  <c r="D13" i="22"/>
  <c r="E13" i="22"/>
  <c r="H13" i="22"/>
  <c r="K13" i="22"/>
  <c r="N13" i="22"/>
  <c r="O13" i="22"/>
  <c r="R13" i="22"/>
  <c r="D14" i="22"/>
  <c r="E14" i="22"/>
  <c r="H14" i="22"/>
  <c r="K14" i="22"/>
  <c r="N14" i="22"/>
  <c r="O14" i="22"/>
  <c r="R14" i="22"/>
  <c r="D15" i="22"/>
  <c r="E15" i="22"/>
  <c r="H15" i="22"/>
  <c r="K15" i="22"/>
  <c r="N15" i="22"/>
  <c r="O15" i="22"/>
  <c r="R15" i="22"/>
  <c r="D16" i="22"/>
  <c r="E16" i="22"/>
  <c r="H16" i="22"/>
  <c r="K16" i="22"/>
  <c r="N16" i="22"/>
  <c r="O16" i="22"/>
  <c r="R16" i="22"/>
  <c r="D17" i="22"/>
  <c r="E17" i="22"/>
  <c r="H17" i="22"/>
  <c r="K17" i="22"/>
  <c r="N17" i="22"/>
  <c r="O17" i="22"/>
  <c r="R17" i="22"/>
  <c r="D18" i="22"/>
  <c r="E18" i="22"/>
  <c r="H18" i="22"/>
  <c r="K18" i="22"/>
  <c r="N18" i="22"/>
  <c r="O18" i="22"/>
  <c r="R18" i="22"/>
  <c r="D19" i="22"/>
  <c r="E19" i="22"/>
  <c r="H19" i="22"/>
  <c r="K19" i="22"/>
  <c r="N19" i="22"/>
  <c r="O19" i="22"/>
  <c r="R19" i="22"/>
  <c r="D20" i="22"/>
  <c r="E20" i="22"/>
  <c r="H20" i="22"/>
  <c r="K20" i="22"/>
  <c r="N20" i="22"/>
  <c r="O20" i="22"/>
  <c r="R20" i="22"/>
  <c r="D21" i="22"/>
  <c r="E21" i="22"/>
  <c r="H21" i="22"/>
  <c r="K21" i="22"/>
  <c r="N21" i="22"/>
  <c r="O21" i="22"/>
  <c r="R21" i="22"/>
  <c r="D22" i="22"/>
  <c r="E22" i="22"/>
  <c r="H22" i="22"/>
  <c r="K22" i="22"/>
  <c r="N22" i="22"/>
  <c r="O22" i="22"/>
  <c r="R22" i="22"/>
  <c r="D23" i="22"/>
  <c r="E23" i="22"/>
  <c r="H23" i="22"/>
  <c r="K23" i="22"/>
  <c r="N23" i="22"/>
  <c r="O23" i="22"/>
  <c r="R23" i="22"/>
  <c r="D24" i="22"/>
  <c r="E24" i="22"/>
  <c r="H24" i="22"/>
  <c r="K24" i="22"/>
  <c r="N24" i="22"/>
  <c r="O24" i="22"/>
  <c r="R24" i="22"/>
  <c r="D25" i="22"/>
  <c r="E25" i="22"/>
  <c r="H25" i="22"/>
  <c r="K25" i="22"/>
  <c r="N25" i="22"/>
  <c r="O25" i="22"/>
  <c r="R25" i="22"/>
  <c r="D26" i="22"/>
  <c r="E26" i="22"/>
  <c r="H26" i="22"/>
  <c r="K26" i="22"/>
  <c r="N26" i="22"/>
  <c r="O26" i="22"/>
  <c r="R26" i="22"/>
  <c r="D27" i="22"/>
  <c r="E27" i="22"/>
  <c r="H27" i="22"/>
  <c r="K27" i="22"/>
  <c r="N27" i="22"/>
  <c r="O27" i="22"/>
  <c r="R27" i="22"/>
  <c r="D28" i="22"/>
  <c r="E28" i="22"/>
  <c r="H28" i="22"/>
  <c r="K28" i="22"/>
  <c r="N28" i="22"/>
  <c r="O28" i="22"/>
  <c r="R28" i="22"/>
  <c r="D29" i="22"/>
  <c r="E29" i="22"/>
  <c r="H29" i="22"/>
  <c r="K29" i="22"/>
  <c r="N29" i="22"/>
  <c r="O29" i="22"/>
  <c r="R29" i="22"/>
  <c r="D30" i="22"/>
  <c r="E30" i="22"/>
  <c r="H30" i="22"/>
  <c r="K30" i="22"/>
  <c r="N30" i="22"/>
  <c r="O30" i="22"/>
  <c r="R30" i="22"/>
  <c r="D31" i="22"/>
  <c r="E31" i="22"/>
  <c r="H31" i="22"/>
  <c r="K31" i="22"/>
  <c r="N31" i="22"/>
  <c r="O31" i="22"/>
  <c r="R31" i="22"/>
  <c r="D32" i="22"/>
  <c r="E32" i="22"/>
  <c r="H32" i="22"/>
  <c r="K32" i="22"/>
  <c r="N32" i="22"/>
  <c r="O32" i="22"/>
  <c r="R32" i="22"/>
  <c r="D33" i="22"/>
  <c r="E33" i="22"/>
  <c r="H33" i="22"/>
  <c r="K33" i="22"/>
  <c r="N33" i="22"/>
  <c r="O33" i="22"/>
  <c r="R33" i="22"/>
  <c r="D34" i="22"/>
  <c r="E34" i="22"/>
  <c r="H34" i="22"/>
  <c r="K34" i="22"/>
  <c r="N34" i="22"/>
  <c r="O34" i="22"/>
  <c r="R34" i="22"/>
  <c r="D35" i="22"/>
  <c r="E35" i="22"/>
  <c r="H35" i="22"/>
  <c r="K35" i="22"/>
  <c r="N35" i="22"/>
  <c r="O35" i="22"/>
  <c r="R35" i="22"/>
  <c r="D36" i="22"/>
  <c r="E36" i="22"/>
  <c r="H36" i="22"/>
  <c r="K36" i="22"/>
  <c r="N36" i="22"/>
  <c r="O36" i="22"/>
  <c r="R36" i="22"/>
  <c r="D37" i="22"/>
  <c r="E37" i="22"/>
  <c r="H37" i="22"/>
  <c r="K37" i="22"/>
  <c r="N37" i="22"/>
  <c r="O37" i="22"/>
  <c r="R37" i="22"/>
  <c r="D38" i="22"/>
  <c r="E38" i="22"/>
  <c r="H38" i="22"/>
  <c r="K38" i="22"/>
  <c r="N38" i="22"/>
  <c r="O38" i="22"/>
  <c r="R38" i="22"/>
  <c r="D39" i="22"/>
  <c r="E39" i="22"/>
  <c r="H39" i="22"/>
  <c r="K39" i="22"/>
  <c r="N39" i="22"/>
  <c r="O39" i="22"/>
  <c r="R39" i="22"/>
  <c r="D40" i="22"/>
  <c r="E40" i="22"/>
  <c r="H40" i="22"/>
  <c r="K40" i="22"/>
  <c r="N40" i="22"/>
  <c r="O40" i="22"/>
  <c r="R40" i="22"/>
  <c r="D41" i="22"/>
  <c r="E41" i="22"/>
  <c r="H41" i="22"/>
  <c r="K41" i="22"/>
  <c r="N41" i="22"/>
  <c r="O41" i="22"/>
  <c r="R41" i="22"/>
  <c r="D42" i="22"/>
  <c r="E42" i="22"/>
  <c r="H42" i="22"/>
  <c r="K42" i="22"/>
  <c r="N42" i="22"/>
  <c r="O42" i="22"/>
  <c r="R42" i="22"/>
  <c r="D43" i="22"/>
  <c r="E43" i="22"/>
  <c r="H43" i="22"/>
  <c r="K43" i="22"/>
  <c r="N43" i="22"/>
  <c r="O43" i="22"/>
  <c r="R43" i="22"/>
  <c r="D44" i="22"/>
  <c r="E44" i="22"/>
  <c r="H44" i="22"/>
  <c r="K44" i="22"/>
  <c r="N44" i="22"/>
  <c r="O44" i="22"/>
  <c r="R44" i="22"/>
  <c r="D45" i="22"/>
  <c r="E45" i="22"/>
  <c r="H45" i="22"/>
  <c r="K45" i="22"/>
  <c r="N45" i="22"/>
  <c r="O45" i="22"/>
  <c r="R45" i="22"/>
  <c r="D46" i="22"/>
  <c r="E46" i="22"/>
  <c r="H46" i="22"/>
  <c r="K46" i="22"/>
  <c r="N46" i="22"/>
  <c r="O46" i="22"/>
  <c r="R46" i="22"/>
  <c r="D47" i="22"/>
  <c r="E47" i="22"/>
  <c r="H47" i="22"/>
  <c r="K47" i="22"/>
  <c r="N47" i="22"/>
  <c r="O47" i="22"/>
  <c r="R47" i="22"/>
  <c r="D48" i="22"/>
  <c r="E48" i="22"/>
  <c r="H48" i="22"/>
  <c r="K48" i="22"/>
  <c r="N48" i="22"/>
  <c r="O48" i="22"/>
  <c r="R48" i="22"/>
  <c r="D49" i="22"/>
  <c r="E49" i="22"/>
  <c r="H49" i="22"/>
  <c r="K49" i="22"/>
  <c r="N49" i="22"/>
  <c r="O49" i="22"/>
  <c r="R49" i="22"/>
  <c r="D50" i="22"/>
  <c r="E50" i="22"/>
  <c r="H50" i="22"/>
  <c r="K50" i="22"/>
  <c r="N50" i="22"/>
  <c r="O50" i="22"/>
  <c r="R50" i="22"/>
  <c r="D51" i="22"/>
  <c r="E51" i="22"/>
  <c r="H51" i="22"/>
  <c r="K51" i="22"/>
  <c r="N51" i="22"/>
  <c r="O51" i="22"/>
  <c r="R51" i="22"/>
  <c r="D52" i="22"/>
  <c r="E52" i="22"/>
  <c r="H52" i="22"/>
  <c r="K52" i="22"/>
  <c r="N52" i="22"/>
  <c r="O52" i="22"/>
  <c r="R52" i="22"/>
  <c r="D53" i="22"/>
  <c r="E53" i="22"/>
  <c r="H53" i="22"/>
  <c r="K53" i="22"/>
  <c r="N53" i="22"/>
  <c r="O53" i="22"/>
  <c r="R53" i="22"/>
  <c r="D54" i="22"/>
  <c r="E54" i="22"/>
  <c r="H54" i="22"/>
  <c r="K54" i="22"/>
  <c r="N54" i="22"/>
  <c r="O54" i="22"/>
  <c r="R54" i="22"/>
  <c r="D55" i="22"/>
  <c r="E55" i="22"/>
  <c r="H55" i="22"/>
  <c r="K55" i="22"/>
  <c r="N55" i="22"/>
  <c r="O55" i="22"/>
  <c r="R55" i="22"/>
  <c r="D56" i="22"/>
  <c r="E56" i="22"/>
  <c r="H56" i="22"/>
  <c r="K56" i="22"/>
  <c r="N56" i="22"/>
  <c r="O56" i="22"/>
  <c r="R56" i="22"/>
  <c r="D57" i="22"/>
  <c r="E57" i="22"/>
  <c r="H57" i="22"/>
  <c r="K57" i="22"/>
  <c r="N57" i="22"/>
  <c r="O57" i="22"/>
  <c r="R57" i="22"/>
  <c r="D58" i="22"/>
  <c r="E58" i="22"/>
  <c r="H58" i="22"/>
  <c r="K58" i="22"/>
  <c r="N58" i="22"/>
  <c r="O58" i="22"/>
  <c r="R58" i="22"/>
  <c r="D59" i="22"/>
  <c r="E59" i="22"/>
  <c r="H59" i="22"/>
  <c r="K59" i="22"/>
  <c r="N59" i="22"/>
  <c r="O59" i="22"/>
  <c r="R59" i="22"/>
  <c r="D60" i="22"/>
  <c r="E60" i="22"/>
  <c r="H60" i="22"/>
  <c r="K60" i="22"/>
  <c r="N60" i="22"/>
  <c r="O60" i="22"/>
  <c r="R60" i="22"/>
  <c r="D61" i="22"/>
  <c r="E61" i="22"/>
  <c r="H61" i="22"/>
  <c r="K61" i="22"/>
  <c r="N61" i="22"/>
  <c r="O61" i="22"/>
  <c r="R61" i="22"/>
  <c r="D62" i="22"/>
  <c r="E62" i="22"/>
  <c r="H62" i="22"/>
  <c r="K62" i="22"/>
  <c r="N62" i="22"/>
  <c r="O62" i="22"/>
  <c r="R62" i="22"/>
  <c r="D63" i="22"/>
  <c r="E63" i="22"/>
  <c r="H63" i="22"/>
  <c r="K63" i="22"/>
  <c r="N63" i="22"/>
  <c r="O63" i="22"/>
  <c r="R63" i="22"/>
  <c r="D64" i="22"/>
  <c r="E64" i="22"/>
  <c r="H64" i="22"/>
  <c r="K64" i="22"/>
  <c r="N64" i="22"/>
  <c r="O64" i="22"/>
  <c r="R64" i="22"/>
  <c r="D65" i="22"/>
  <c r="E65" i="22"/>
  <c r="H65" i="22"/>
  <c r="K65" i="22"/>
  <c r="N65" i="22"/>
  <c r="O65" i="22"/>
  <c r="R65" i="22"/>
  <c r="D66" i="22"/>
  <c r="E66" i="22"/>
  <c r="H66" i="22"/>
  <c r="K66" i="22"/>
  <c r="N66" i="22"/>
  <c r="O66" i="22"/>
  <c r="R66" i="22"/>
  <c r="D67" i="22"/>
  <c r="E67" i="22"/>
  <c r="H67" i="22"/>
  <c r="K67" i="22"/>
  <c r="N67" i="22"/>
  <c r="O67" i="22"/>
  <c r="R67" i="22"/>
  <c r="D68" i="22"/>
  <c r="E68" i="22"/>
  <c r="H68" i="22"/>
  <c r="K68" i="22"/>
  <c r="N68" i="22"/>
  <c r="O68" i="22"/>
  <c r="R68" i="22"/>
  <c r="D69" i="22"/>
  <c r="E69" i="22"/>
  <c r="H69" i="22"/>
  <c r="K69" i="22"/>
  <c r="N69" i="22"/>
  <c r="O69" i="22"/>
  <c r="R69" i="22"/>
  <c r="D70" i="22"/>
  <c r="E70" i="22"/>
  <c r="H70" i="22"/>
  <c r="K70" i="22"/>
  <c r="N70" i="22"/>
  <c r="O70" i="22"/>
  <c r="R70" i="22"/>
  <c r="D71" i="22"/>
  <c r="E71" i="22"/>
  <c r="H71" i="22"/>
  <c r="K71" i="22"/>
  <c r="N71" i="22"/>
  <c r="O71" i="22"/>
  <c r="R71" i="22"/>
  <c r="D72" i="22"/>
  <c r="E72" i="22"/>
  <c r="H72" i="22"/>
  <c r="K72" i="22"/>
  <c r="N72" i="22"/>
  <c r="O72" i="22"/>
  <c r="R72" i="22"/>
  <c r="D73" i="22"/>
  <c r="E73" i="22"/>
  <c r="H73" i="22"/>
  <c r="K73" i="22"/>
  <c r="N73" i="22"/>
  <c r="O73" i="22"/>
  <c r="R73" i="22"/>
  <c r="D74" i="22"/>
  <c r="E74" i="22"/>
  <c r="H74" i="22"/>
  <c r="K74" i="22"/>
  <c r="N74" i="22"/>
  <c r="O74" i="22"/>
  <c r="R74" i="22"/>
  <c r="D75" i="22"/>
  <c r="E75" i="22"/>
  <c r="H75" i="22"/>
  <c r="K75" i="22"/>
  <c r="N75" i="22"/>
  <c r="O75" i="22"/>
  <c r="R75" i="22"/>
  <c r="D76" i="22"/>
  <c r="E76" i="22"/>
  <c r="H76" i="22"/>
  <c r="K76" i="22"/>
  <c r="N76" i="22"/>
  <c r="O76" i="22"/>
  <c r="R76" i="22"/>
  <c r="D77" i="22"/>
  <c r="E77" i="22"/>
  <c r="H77" i="22"/>
  <c r="K77" i="22"/>
  <c r="N77" i="22"/>
  <c r="O77" i="22"/>
  <c r="R77" i="22"/>
  <c r="D78" i="22"/>
  <c r="E78" i="22"/>
  <c r="H78" i="22"/>
  <c r="K78" i="22"/>
  <c r="N78" i="22"/>
  <c r="O78" i="22"/>
  <c r="R78" i="22"/>
  <c r="D79" i="22"/>
  <c r="E79" i="22"/>
  <c r="H79" i="22"/>
  <c r="K79" i="22"/>
  <c r="N79" i="22"/>
  <c r="O79" i="22"/>
  <c r="R79" i="22"/>
  <c r="D80" i="22"/>
  <c r="E80" i="22"/>
  <c r="H80" i="22"/>
  <c r="K80" i="22"/>
  <c r="N80" i="22"/>
  <c r="O80" i="22"/>
  <c r="R80" i="22"/>
  <c r="D81" i="22"/>
  <c r="E81" i="22"/>
  <c r="H81" i="22"/>
  <c r="K81" i="22"/>
  <c r="N81" i="22"/>
  <c r="O81" i="22"/>
  <c r="R81" i="22"/>
  <c r="D82" i="22"/>
  <c r="E82" i="22"/>
  <c r="H82" i="22"/>
  <c r="K82" i="22"/>
  <c r="N82" i="22"/>
  <c r="O82" i="22"/>
  <c r="R82" i="22"/>
  <c r="D83" i="22"/>
  <c r="E83" i="22"/>
  <c r="H83" i="22"/>
  <c r="K83" i="22"/>
  <c r="N83" i="22"/>
  <c r="O83" i="22"/>
  <c r="R83" i="22"/>
  <c r="D84" i="22"/>
  <c r="E84" i="22"/>
  <c r="H84" i="22"/>
  <c r="K84" i="22"/>
  <c r="N84" i="22"/>
  <c r="O84" i="22"/>
  <c r="R84" i="22"/>
  <c r="D85" i="22"/>
  <c r="E85" i="22"/>
  <c r="H85" i="22"/>
  <c r="K85" i="22"/>
  <c r="N85" i="22"/>
  <c r="O85" i="22"/>
  <c r="R85" i="22"/>
  <c r="D86" i="22"/>
  <c r="E86" i="22"/>
  <c r="H86" i="22"/>
  <c r="K86" i="22"/>
  <c r="N86" i="22"/>
  <c r="O86" i="22"/>
  <c r="R86" i="22"/>
  <c r="D87" i="22"/>
  <c r="E87" i="22"/>
  <c r="H87" i="22"/>
  <c r="K87" i="22"/>
  <c r="N87" i="22"/>
  <c r="O87" i="22"/>
  <c r="R87" i="22"/>
  <c r="D88" i="22"/>
  <c r="E88" i="22"/>
  <c r="H88" i="22"/>
  <c r="K88" i="22"/>
  <c r="N88" i="22"/>
  <c r="O88" i="22"/>
  <c r="R88" i="22"/>
  <c r="D89" i="22"/>
  <c r="E89" i="22"/>
  <c r="H89" i="22"/>
  <c r="K89" i="22"/>
  <c r="N89" i="22"/>
  <c r="O89" i="22"/>
  <c r="R89" i="22"/>
  <c r="D90" i="22"/>
  <c r="E90" i="22"/>
  <c r="H90" i="22"/>
  <c r="K90" i="22"/>
  <c r="N90" i="22"/>
  <c r="O90" i="22"/>
  <c r="R90" i="22"/>
  <c r="D91" i="22"/>
  <c r="E91" i="22"/>
  <c r="H91" i="22"/>
  <c r="K91" i="22"/>
  <c r="N91" i="22"/>
  <c r="O91" i="22"/>
  <c r="R91" i="22"/>
  <c r="D92" i="22"/>
  <c r="E92" i="22"/>
  <c r="H92" i="22"/>
  <c r="K92" i="22"/>
  <c r="N92" i="22"/>
  <c r="O92" i="22"/>
  <c r="R92" i="22"/>
  <c r="D93" i="22"/>
  <c r="E93" i="22"/>
  <c r="H93" i="22"/>
  <c r="K93" i="22"/>
  <c r="N93" i="22"/>
  <c r="O93" i="22"/>
  <c r="R93" i="22"/>
  <c r="D94" i="22"/>
  <c r="E94" i="22"/>
  <c r="H94" i="22"/>
  <c r="K94" i="22"/>
  <c r="N94" i="22"/>
  <c r="O94" i="22"/>
  <c r="R94" i="22"/>
  <c r="D95" i="22"/>
  <c r="E95" i="22"/>
  <c r="H95" i="22"/>
  <c r="K95" i="22"/>
  <c r="N95" i="22"/>
  <c r="O95" i="22"/>
  <c r="R95" i="22"/>
  <c r="D96" i="22"/>
  <c r="E96" i="22"/>
  <c r="H96" i="22"/>
  <c r="K96" i="22"/>
  <c r="N96" i="22"/>
  <c r="O96" i="22"/>
  <c r="R96" i="22"/>
  <c r="D97" i="22"/>
  <c r="E97" i="22"/>
  <c r="H97" i="22"/>
  <c r="K97" i="22"/>
  <c r="N97" i="22"/>
  <c r="O97" i="22"/>
  <c r="R97" i="22"/>
  <c r="D98" i="22"/>
  <c r="E98" i="22"/>
  <c r="H98" i="22"/>
  <c r="K98" i="22"/>
  <c r="N98" i="22"/>
  <c r="O98" i="22"/>
  <c r="R98" i="22"/>
  <c r="D99" i="22"/>
  <c r="E99" i="22"/>
  <c r="H99" i="22"/>
  <c r="K99" i="22"/>
  <c r="N99" i="22"/>
  <c r="O99" i="22"/>
  <c r="R99" i="22"/>
  <c r="D100" i="22"/>
  <c r="E100" i="22"/>
  <c r="H100" i="22"/>
  <c r="K100" i="22"/>
  <c r="N100" i="22"/>
  <c r="O100" i="22"/>
  <c r="R100" i="22"/>
  <c r="D101" i="22"/>
  <c r="E101" i="22"/>
  <c r="H101" i="22"/>
  <c r="K101" i="22"/>
  <c r="N101" i="22"/>
  <c r="O101" i="22"/>
  <c r="R101" i="22"/>
  <c r="D102" i="22"/>
  <c r="E102" i="22"/>
  <c r="H102" i="22"/>
  <c r="K102" i="22"/>
  <c r="N102" i="22"/>
  <c r="O102" i="22"/>
  <c r="R102" i="22"/>
  <c r="D103" i="22"/>
  <c r="E103" i="22"/>
  <c r="H103" i="22"/>
  <c r="K103" i="22"/>
  <c r="N103" i="22"/>
  <c r="O103" i="22"/>
  <c r="R103" i="22"/>
  <c r="M104" i="22"/>
  <c r="P104" i="22"/>
  <c r="K112" i="22"/>
  <c r="K113" i="22"/>
  <c r="K114" i="22"/>
  <c r="K115" i="22"/>
  <c r="K117" i="22"/>
  <c r="K118" i="22"/>
  <c r="K119" i="22"/>
  <c r="M125" i="22"/>
  <c r="J60" i="22" s="1"/>
  <c r="K128" i="22" a="1"/>
  <c r="K128" i="22" s="1"/>
  <c r="K129" i="22" a="1"/>
  <c r="K129" i="22" s="1"/>
  <c r="K130" i="22" a="1"/>
  <c r="K130" i="22" s="1"/>
  <c r="K131" i="22" a="1"/>
  <c r="K131" i="22" s="1"/>
  <c r="K147" i="22"/>
  <c r="K148" i="22"/>
  <c r="K149" i="22"/>
  <c r="K150" i="22"/>
  <c r="K151" i="22"/>
  <c r="K152" i="22"/>
  <c r="K159" i="22"/>
  <c r="H172" i="22"/>
  <c r="I172" i="22"/>
  <c r="J172" i="22"/>
  <c r="H173" i="22"/>
  <c r="I173" i="22"/>
  <c r="J173" i="22"/>
  <c r="H174" i="22"/>
  <c r="I174" i="22"/>
  <c r="J174" i="22"/>
  <c r="H176" i="22"/>
  <c r="K153" i="22" l="1"/>
  <c r="K120" i="22"/>
  <c r="K132" i="22"/>
  <c r="J103" i="22"/>
  <c r="J98" i="22"/>
  <c r="J97" i="22"/>
  <c r="J94" i="22"/>
  <c r="J91" i="22"/>
  <c r="J90" i="22"/>
  <c r="J89" i="22"/>
  <c r="J86" i="22"/>
  <c r="J85" i="22"/>
  <c r="J84" i="22"/>
  <c r="J81" i="22"/>
  <c r="J80" i="22"/>
  <c r="J73" i="22"/>
  <c r="J72" i="22"/>
  <c r="J67" i="22"/>
  <c r="J64" i="22"/>
  <c r="J63" i="22"/>
  <c r="J59" i="22"/>
  <c r="J57" i="22"/>
  <c r="J55" i="22"/>
  <c r="J53" i="22"/>
  <c r="J51" i="22"/>
  <c r="J50" i="22"/>
  <c r="J48" i="22"/>
  <c r="J46" i="22"/>
  <c r="J43" i="22"/>
  <c r="J42" i="22"/>
  <c r="J40" i="22"/>
  <c r="J37" i="22"/>
  <c r="J36" i="22"/>
  <c r="J34" i="22"/>
  <c r="J32" i="22"/>
  <c r="J30" i="22"/>
  <c r="J29" i="22"/>
  <c r="J26" i="22"/>
  <c r="J24" i="22"/>
  <c r="J22" i="22"/>
  <c r="J21" i="22"/>
  <c r="J18" i="22"/>
  <c r="J16" i="22"/>
  <c r="J15" i="22"/>
  <c r="J14" i="22"/>
  <c r="J12" i="22"/>
  <c r="J11" i="22"/>
  <c r="J9" i="22"/>
  <c r="J8" i="22"/>
  <c r="J4" i="22"/>
  <c r="J99" i="22"/>
  <c r="J96" i="22"/>
  <c r="J95" i="22"/>
  <c r="J88" i="22"/>
  <c r="J83" i="22"/>
  <c r="J76" i="22"/>
  <c r="J75" i="22"/>
  <c r="J70" i="22"/>
  <c r="J69" i="22"/>
  <c r="J68" i="22"/>
  <c r="J66" i="22"/>
  <c r="J65" i="22"/>
  <c r="J62" i="22"/>
  <c r="J61" i="22"/>
  <c r="J58" i="22"/>
  <c r="J56" i="22"/>
  <c r="J54" i="22"/>
  <c r="J52" i="22"/>
  <c r="J49" i="22"/>
  <c r="J47" i="22"/>
  <c r="J45" i="22"/>
  <c r="J44" i="22"/>
  <c r="J41" i="22"/>
  <c r="J39" i="22"/>
  <c r="J38" i="22"/>
  <c r="J35" i="22"/>
  <c r="J33" i="22"/>
  <c r="J31" i="22"/>
  <c r="J28" i="22"/>
  <c r="J27" i="22"/>
  <c r="J25" i="22"/>
  <c r="J23" i="22"/>
  <c r="J20" i="22"/>
  <c r="J19" i="22"/>
  <c r="J17" i="22"/>
  <c r="J13" i="22"/>
  <c r="J10" i="22"/>
  <c r="J7" i="22"/>
  <c r="J6" i="22"/>
  <c r="J5" i="22"/>
  <c r="J3" i="22"/>
  <c r="J2" i="22"/>
  <c r="J102" i="22"/>
  <c r="J101" i="22"/>
  <c r="J100" i="22"/>
  <c r="J93" i="22"/>
  <c r="J92" i="22"/>
  <c r="J87" i="22"/>
  <c r="J82" i="22"/>
  <c r="J79" i="22"/>
  <c r="J78" i="22"/>
  <c r="J77" i="22"/>
  <c r="J74" i="22"/>
  <c r="J71" i="22"/>
  <c r="V5" i="7" l="1" a="1"/>
  <c r="V5" i="7" s="1"/>
  <c r="I2" i="21" l="1"/>
  <c r="L2" i="21"/>
  <c r="M2" i="21"/>
  <c r="N2" i="21"/>
  <c r="I3" i="21"/>
  <c r="L3" i="21"/>
  <c r="M3" i="21"/>
  <c r="N3" i="21"/>
  <c r="I4" i="21"/>
  <c r="L4" i="21"/>
  <c r="M4" i="21"/>
  <c r="N4" i="21"/>
  <c r="S4" i="21"/>
  <c r="I5" i="21"/>
  <c r="L5" i="21"/>
  <c r="M5" i="21"/>
  <c r="N5" i="21"/>
  <c r="S5" i="21"/>
  <c r="I6" i="21"/>
  <c r="L6" i="21"/>
  <c r="M6" i="21"/>
  <c r="N6" i="21"/>
  <c r="I7" i="21"/>
  <c r="L7" i="21"/>
  <c r="M7" i="21"/>
  <c r="N7" i="21"/>
  <c r="S7" i="21"/>
  <c r="I8" i="21"/>
  <c r="L8" i="21"/>
  <c r="M8" i="21"/>
  <c r="N8" i="21"/>
  <c r="S8" i="21"/>
  <c r="I9" i="21"/>
  <c r="L9" i="21"/>
  <c r="M9" i="21"/>
  <c r="N9" i="21"/>
  <c r="I10" i="21"/>
  <c r="L10" i="21"/>
  <c r="M10" i="21"/>
  <c r="N10" i="21"/>
  <c r="I11" i="21"/>
  <c r="L11" i="21"/>
  <c r="M11" i="21"/>
  <c r="N11" i="21"/>
  <c r="I12" i="21"/>
  <c r="L12" i="21"/>
  <c r="M12" i="21"/>
  <c r="N12" i="21"/>
  <c r="I13" i="21"/>
  <c r="L13" i="21"/>
  <c r="M13" i="21"/>
  <c r="N13" i="21"/>
  <c r="I14" i="21"/>
  <c r="L14" i="21"/>
  <c r="M14" i="21"/>
  <c r="N14" i="21"/>
  <c r="I15" i="21"/>
  <c r="L15" i="21"/>
  <c r="M15" i="21"/>
  <c r="N15" i="21"/>
  <c r="I16" i="21"/>
  <c r="L16" i="21"/>
  <c r="M16" i="21"/>
  <c r="N16" i="21"/>
  <c r="S16" i="21"/>
  <c r="I17" i="21"/>
  <c r="L17" i="21"/>
  <c r="M17" i="21"/>
  <c r="N17" i="21"/>
  <c r="S17" i="21"/>
  <c r="I18" i="21"/>
  <c r="L18" i="21"/>
  <c r="M18" i="21"/>
  <c r="N18" i="21"/>
  <c r="I19" i="21"/>
  <c r="L19" i="21"/>
  <c r="M19" i="21"/>
  <c r="N19" i="21"/>
  <c r="I20" i="21"/>
  <c r="L20" i="21"/>
  <c r="M20" i="21"/>
  <c r="N20" i="21"/>
  <c r="I21" i="21"/>
  <c r="L21" i="21"/>
  <c r="M21" i="21"/>
  <c r="N21" i="21"/>
  <c r="I22" i="21"/>
  <c r="L22" i="21"/>
  <c r="M22" i="21"/>
  <c r="N22" i="21"/>
  <c r="I23" i="21"/>
  <c r="L23" i="21"/>
  <c r="M23" i="21"/>
  <c r="N23" i="21"/>
  <c r="I24" i="21"/>
  <c r="L24" i="21"/>
  <c r="M24" i="21"/>
  <c r="N24" i="21"/>
  <c r="I25" i="21"/>
  <c r="L25" i="21"/>
  <c r="M25" i="21"/>
  <c r="N25" i="21"/>
  <c r="I26" i="21"/>
  <c r="L26" i="21"/>
  <c r="M26" i="21"/>
  <c r="N26" i="21"/>
  <c r="I27" i="21"/>
  <c r="L27" i="21"/>
  <c r="M27" i="21"/>
  <c r="N27" i="21"/>
  <c r="I28" i="21"/>
  <c r="L28" i="21"/>
  <c r="M28" i="21"/>
  <c r="N28" i="21"/>
  <c r="I29" i="21"/>
  <c r="L29" i="21"/>
  <c r="M29" i="21"/>
  <c r="N29" i="21"/>
  <c r="I30" i="21"/>
  <c r="L30" i="21"/>
  <c r="M30" i="21"/>
  <c r="N30" i="21"/>
  <c r="I31" i="21"/>
  <c r="L31" i="21"/>
  <c r="M31" i="21"/>
  <c r="N31" i="21"/>
  <c r="I32" i="21"/>
  <c r="L32" i="21"/>
  <c r="M32" i="21"/>
  <c r="N32" i="21"/>
  <c r="I33" i="21"/>
  <c r="L33" i="21"/>
  <c r="M33" i="21"/>
  <c r="N33" i="21"/>
  <c r="I34" i="21"/>
  <c r="L34" i="21"/>
  <c r="M34" i="21"/>
  <c r="N34" i="21"/>
  <c r="I35" i="21"/>
  <c r="L35" i="21"/>
  <c r="M35" i="21"/>
  <c r="N35" i="21"/>
  <c r="I36" i="21"/>
  <c r="L36" i="21"/>
  <c r="M36" i="21"/>
  <c r="N36" i="21"/>
  <c r="I37" i="21"/>
  <c r="L37" i="21"/>
  <c r="M37" i="21"/>
  <c r="N37" i="21"/>
  <c r="I38" i="21"/>
  <c r="L38" i="21"/>
  <c r="M38" i="21"/>
  <c r="N38" i="21"/>
  <c r="I39" i="21"/>
  <c r="L39" i="21"/>
  <c r="M39" i="21"/>
  <c r="N39" i="21"/>
  <c r="I40" i="21"/>
  <c r="L40" i="21"/>
  <c r="M40" i="21"/>
  <c r="N40" i="21"/>
  <c r="I41" i="21"/>
  <c r="L41" i="21"/>
  <c r="M41" i="21"/>
  <c r="N41" i="21"/>
  <c r="I42" i="21"/>
  <c r="L42" i="21"/>
  <c r="M42" i="21"/>
  <c r="N42" i="21"/>
  <c r="I43" i="21"/>
  <c r="L43" i="21"/>
  <c r="M43" i="21"/>
  <c r="N43" i="21"/>
  <c r="I44" i="21"/>
  <c r="L44" i="21"/>
  <c r="M44" i="21"/>
  <c r="N44" i="21"/>
  <c r="I45" i="21"/>
  <c r="L45" i="21"/>
  <c r="M45" i="21"/>
  <c r="N45" i="21"/>
  <c r="I46" i="21"/>
  <c r="L46" i="21"/>
  <c r="M46" i="21"/>
  <c r="N46" i="21"/>
  <c r="I47" i="21"/>
  <c r="L47" i="21"/>
  <c r="M47" i="21"/>
  <c r="N47" i="21"/>
  <c r="I48" i="21"/>
  <c r="L48" i="21"/>
  <c r="M48" i="21"/>
  <c r="N48" i="21"/>
  <c r="I49" i="21"/>
  <c r="L49" i="21"/>
  <c r="M49" i="21"/>
  <c r="N49" i="21"/>
  <c r="I50" i="21"/>
  <c r="L50" i="21"/>
  <c r="M50" i="21"/>
  <c r="N50" i="21"/>
  <c r="I51" i="21"/>
  <c r="L51" i="21"/>
  <c r="M51" i="21"/>
  <c r="N51" i="21"/>
  <c r="I52" i="21"/>
  <c r="L52" i="21"/>
  <c r="M52" i="21"/>
  <c r="N52" i="21"/>
  <c r="I53" i="21"/>
  <c r="L53" i="21"/>
  <c r="M53" i="21"/>
  <c r="N53" i="21"/>
  <c r="I54" i="21"/>
  <c r="L54" i="21"/>
  <c r="M54" i="21"/>
  <c r="N54" i="21"/>
  <c r="I55" i="21"/>
  <c r="L55" i="21"/>
  <c r="M55" i="21"/>
  <c r="N55" i="21"/>
  <c r="I56" i="21"/>
  <c r="L56" i="21"/>
  <c r="M56" i="21"/>
  <c r="N56" i="21"/>
  <c r="I57" i="21"/>
  <c r="L57" i="21"/>
  <c r="M57" i="21"/>
  <c r="N57" i="21"/>
  <c r="I58" i="21"/>
  <c r="L58" i="21"/>
  <c r="M58" i="21"/>
  <c r="N58" i="21"/>
  <c r="I59" i="21"/>
  <c r="L59" i="21"/>
  <c r="M59" i="21"/>
  <c r="N59" i="21"/>
  <c r="I60" i="21"/>
  <c r="L60" i="21"/>
  <c r="M60" i="21"/>
  <c r="N60" i="21"/>
  <c r="I61" i="21"/>
  <c r="L61" i="21"/>
  <c r="M61" i="21"/>
  <c r="N61" i="21"/>
  <c r="I62" i="21"/>
  <c r="L62" i="21"/>
  <c r="M62" i="21"/>
  <c r="N62" i="21"/>
  <c r="I63" i="21"/>
  <c r="L63" i="21"/>
  <c r="M63" i="21"/>
  <c r="N63" i="21"/>
  <c r="I64" i="21"/>
  <c r="L64" i="21"/>
  <c r="M64" i="21"/>
  <c r="N64" i="21"/>
  <c r="I65" i="21"/>
  <c r="L65" i="21"/>
  <c r="M65" i="21"/>
  <c r="N65" i="21"/>
  <c r="I66" i="21"/>
  <c r="L66" i="21"/>
  <c r="M66" i="21"/>
  <c r="N66" i="21"/>
  <c r="I67" i="21"/>
  <c r="L67" i="21"/>
  <c r="M67" i="21"/>
  <c r="N67" i="21"/>
  <c r="I68" i="21"/>
  <c r="L68" i="21"/>
  <c r="M68" i="21"/>
  <c r="N68" i="21"/>
  <c r="I69" i="21"/>
  <c r="L69" i="21"/>
  <c r="M69" i="21"/>
  <c r="N69" i="21"/>
  <c r="I70" i="21"/>
  <c r="L70" i="21"/>
  <c r="M70" i="21"/>
  <c r="N70" i="21"/>
  <c r="I71" i="21"/>
  <c r="L71" i="21"/>
  <c r="M71" i="21"/>
  <c r="N71" i="21"/>
  <c r="I72" i="21"/>
  <c r="L72" i="21"/>
  <c r="M72" i="21"/>
  <c r="N72" i="21"/>
  <c r="I73" i="21"/>
  <c r="L73" i="21"/>
  <c r="M73" i="21"/>
  <c r="N73" i="21"/>
  <c r="I74" i="21"/>
  <c r="L74" i="21"/>
  <c r="M74" i="21"/>
  <c r="N74" i="21"/>
  <c r="I75" i="21"/>
  <c r="L75" i="21"/>
  <c r="M75" i="21"/>
  <c r="N75" i="21"/>
  <c r="I76" i="21"/>
  <c r="L76" i="21"/>
  <c r="M76" i="21"/>
  <c r="N76" i="21"/>
  <c r="I77" i="21"/>
  <c r="L77" i="21"/>
  <c r="M77" i="21"/>
  <c r="N77" i="21"/>
  <c r="I78" i="21"/>
  <c r="L78" i="21"/>
  <c r="M78" i="21"/>
  <c r="N78" i="21"/>
  <c r="I79" i="21"/>
  <c r="L79" i="21"/>
  <c r="M79" i="21"/>
  <c r="N79" i="21"/>
  <c r="I80" i="21"/>
  <c r="L80" i="21"/>
  <c r="M80" i="21"/>
  <c r="N80" i="21"/>
  <c r="I81" i="21"/>
  <c r="L81" i="21"/>
  <c r="M81" i="21"/>
  <c r="N81" i="21"/>
  <c r="I82" i="21"/>
  <c r="L82" i="21"/>
  <c r="M82" i="21"/>
  <c r="N82" i="21"/>
  <c r="I83" i="21"/>
  <c r="L83" i="21"/>
  <c r="M83" i="21"/>
  <c r="N83" i="21"/>
  <c r="I84" i="21"/>
  <c r="L84" i="21"/>
  <c r="M84" i="21"/>
  <c r="N84" i="21"/>
  <c r="I85" i="21"/>
  <c r="L85" i="21"/>
  <c r="M85" i="21"/>
  <c r="N85" i="21"/>
  <c r="I86" i="21"/>
  <c r="L86" i="21"/>
  <c r="M86" i="21"/>
  <c r="N86" i="21"/>
  <c r="I87" i="21"/>
  <c r="L87" i="21"/>
  <c r="M87" i="21"/>
  <c r="N87" i="21"/>
  <c r="I88" i="21"/>
  <c r="L88" i="21"/>
  <c r="M88" i="21"/>
  <c r="N88" i="21"/>
  <c r="I89" i="21"/>
  <c r="L89" i="21"/>
  <c r="M89" i="21"/>
  <c r="N89" i="21"/>
  <c r="I90" i="21"/>
  <c r="L90" i="21"/>
  <c r="M90" i="21"/>
  <c r="N90" i="21"/>
  <c r="I91" i="21"/>
  <c r="L91" i="21"/>
  <c r="M91" i="21"/>
  <c r="N91" i="21"/>
  <c r="I92" i="21"/>
  <c r="L92" i="21"/>
  <c r="M92" i="21"/>
  <c r="N92" i="21"/>
  <c r="I93" i="21"/>
  <c r="L93" i="21"/>
  <c r="M93" i="21"/>
  <c r="N93" i="21"/>
  <c r="I94" i="21"/>
  <c r="L94" i="21"/>
  <c r="M94" i="21"/>
  <c r="N94" i="21"/>
  <c r="I95" i="21"/>
  <c r="L95" i="21"/>
  <c r="M95" i="21"/>
  <c r="N95" i="21"/>
  <c r="I96" i="21"/>
  <c r="L96" i="21"/>
  <c r="M96" i="21"/>
  <c r="N96" i="21"/>
  <c r="I97" i="21"/>
  <c r="L97" i="21"/>
  <c r="M97" i="21"/>
  <c r="N97" i="21"/>
  <c r="I98" i="21"/>
  <c r="L98" i="21"/>
  <c r="M98" i="21"/>
  <c r="N98" i="21"/>
  <c r="I99" i="21"/>
  <c r="L99" i="21"/>
  <c r="M99" i="21"/>
  <c r="N99" i="21"/>
  <c r="I100" i="21"/>
  <c r="L100" i="21"/>
  <c r="M100" i="21"/>
  <c r="N100" i="21"/>
  <c r="I101" i="21"/>
  <c r="L101" i="21"/>
  <c r="M101" i="21"/>
  <c r="N101" i="21"/>
  <c r="V26" i="7" l="1"/>
  <c r="V25" i="7"/>
  <c r="W26" i="7"/>
  <c r="W25" i="7"/>
  <c r="W4" i="7"/>
  <c r="V7" i="7" a="1"/>
  <c r="V7" i="7" s="1"/>
  <c r="V6" i="7" a="1"/>
  <c r="V6" i="7" s="1"/>
  <c r="V4" i="7" a="1"/>
  <c r="V4" i="7" s="1"/>
  <c r="K102" i="7"/>
  <c r="J102" i="7"/>
  <c r="I102" i="7"/>
  <c r="H2" i="7"/>
  <c r="H3" i="7"/>
  <c r="H4" i="7"/>
  <c r="H5" i="7"/>
  <c r="H6" i="7"/>
  <c r="H7" i="7"/>
  <c r="H8" i="7"/>
  <c r="H9" i="7"/>
  <c r="H10" i="7"/>
  <c r="H11" i="7"/>
  <c r="H12" i="7"/>
  <c r="H13" i="7"/>
  <c r="H14" i="7"/>
  <c r="H15" i="7"/>
  <c r="H16" i="7"/>
  <c r="H17" i="7"/>
  <c r="H18" i="7"/>
  <c r="H19" i="7"/>
  <c r="H20" i="7"/>
  <c r="H21" i="7"/>
  <c r="H22" i="7"/>
  <c r="H23" i="7"/>
  <c r="H24" i="7"/>
  <c r="H25" i="7"/>
  <c r="H26" i="7"/>
  <c r="H27" i="7"/>
  <c r="H28" i="7"/>
  <c r="H29" i="7"/>
  <c r="H30" i="7"/>
  <c r="H31" i="7"/>
  <c r="H32" i="7"/>
  <c r="H33" i="7"/>
  <c r="H34" i="7"/>
  <c r="H35" i="7"/>
  <c r="H36" i="7"/>
  <c r="H37" i="7"/>
  <c r="H38" i="7"/>
  <c r="H39" i="7"/>
  <c r="H40" i="7"/>
  <c r="H41" i="7"/>
  <c r="H42" i="7"/>
  <c r="H43" i="7"/>
  <c r="H44" i="7"/>
  <c r="H45" i="7"/>
  <c r="H46" i="7"/>
  <c r="H47" i="7"/>
  <c r="H48" i="7"/>
  <c r="H49" i="7"/>
  <c r="H50" i="7"/>
  <c r="H51" i="7"/>
  <c r="H52" i="7"/>
  <c r="H53" i="7"/>
  <c r="H54" i="7"/>
  <c r="H55" i="7"/>
  <c r="H56" i="7"/>
  <c r="H57" i="7"/>
  <c r="H58" i="7"/>
  <c r="H59" i="7"/>
  <c r="H60" i="7"/>
  <c r="H61" i="7"/>
  <c r="H62" i="7"/>
  <c r="H63" i="7"/>
  <c r="H64" i="7"/>
  <c r="H65" i="7"/>
  <c r="H66" i="7"/>
  <c r="H67" i="7"/>
  <c r="H68" i="7"/>
  <c r="H69" i="7"/>
  <c r="H70" i="7"/>
  <c r="H71" i="7"/>
  <c r="H72" i="7"/>
  <c r="H73" i="7"/>
  <c r="H74" i="7"/>
  <c r="H75" i="7"/>
  <c r="H76" i="7"/>
  <c r="H77" i="7"/>
  <c r="H78" i="7"/>
  <c r="H79" i="7"/>
  <c r="H80" i="7"/>
  <c r="H81" i="7"/>
  <c r="H82" i="7"/>
  <c r="H83" i="7"/>
  <c r="H84" i="7"/>
  <c r="H85" i="7"/>
  <c r="H86" i="7"/>
  <c r="H87" i="7"/>
  <c r="H88" i="7"/>
  <c r="H89" i="7"/>
  <c r="H90" i="7"/>
  <c r="H91" i="7"/>
  <c r="H92" i="7"/>
  <c r="H93" i="7"/>
  <c r="H94" i="7"/>
  <c r="H95" i="7"/>
  <c r="H96" i="7"/>
  <c r="H97" i="7"/>
  <c r="H98" i="7"/>
  <c r="H99" i="7"/>
  <c r="H100" i="7"/>
  <c r="H101" i="7"/>
  <c r="X16" i="7" l="1" a="1"/>
  <c r="X16" i="7" s="1"/>
  <c r="W15" i="7" a="1"/>
  <c r="W15" i="7" s="1"/>
  <c r="V15" i="7" a="1"/>
  <c r="V15" i="7" s="1"/>
  <c r="W17" i="7" a="1"/>
  <c r="W17" i="7" s="1"/>
  <c r="X18" i="7" a="1"/>
  <c r="X18" i="7" s="1"/>
  <c r="V17" i="7" a="1"/>
  <c r="V17" i="7" s="1"/>
  <c r="V18" i="7" a="1"/>
  <c r="V18" i="7" s="1"/>
  <c r="W16" i="7" a="1"/>
  <c r="W16" i="7" s="1"/>
  <c r="W18" i="7" a="1"/>
  <c r="W18" i="7" s="1"/>
  <c r="X15" i="7" a="1"/>
  <c r="X15" i="7" s="1"/>
  <c r="X17" i="7" a="1"/>
  <c r="X17" i="7" s="1"/>
  <c r="V16" i="7" a="1"/>
  <c r="V16" i="7" s="1"/>
  <c r="Q5" i="7"/>
  <c r="R14" i="7"/>
  <c r="A102" i="7"/>
  <c r="R13" i="7"/>
  <c r="R15" i="7"/>
  <c r="R16" i="7"/>
  <c r="R17" i="7"/>
  <c r="W8" i="7"/>
  <c r="W6" i="7"/>
  <c r="W7" i="7"/>
  <c r="W5" i="7"/>
  <c r="V8" i="7" a="1"/>
  <c r="V8" i="7" s="1"/>
  <c r="Q8" i="7"/>
  <c r="Q7" i="7"/>
  <c r="Q6" i="7"/>
  <c r="Q4" i="7"/>
  <c r="X19" i="7" l="1"/>
  <c r="W19" i="7"/>
  <c r="V19" i="7"/>
  <c r="Q9" i="7"/>
  <c r="L102" i="7" l="1"/>
  <c r="D3" i="7"/>
  <c r="D4" i="7"/>
  <c r="D5" i="7"/>
  <c r="D6" i="7"/>
  <c r="D7" i="7"/>
  <c r="D8" i="7"/>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D41" i="7"/>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7" i="7"/>
  <c r="D78" i="7"/>
  <c r="D79" i="7"/>
  <c r="D80" i="7"/>
  <c r="D81" i="7"/>
  <c r="D82" i="7"/>
  <c r="D83" i="7"/>
  <c r="D84" i="7"/>
  <c r="D85" i="7"/>
  <c r="D86" i="7"/>
  <c r="D87" i="7"/>
  <c r="D88" i="7"/>
  <c r="D89" i="7"/>
  <c r="D90" i="7"/>
  <c r="D91" i="7"/>
  <c r="D92" i="7"/>
  <c r="D93" i="7"/>
  <c r="D94" i="7"/>
  <c r="D95" i="7"/>
  <c r="D96" i="7"/>
  <c r="D97" i="7"/>
  <c r="D98" i="7"/>
  <c r="D99" i="7"/>
  <c r="D100" i="7"/>
  <c r="D101" i="7"/>
  <c r="D2"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D1B331D-0697-4D62-8511-48B072B99B9D}" keepAlive="1" name="Query - Employee Performance Data Clean" description="Connection to the 'Employee Performance Data Clean' query in the workbook." type="5" refreshedVersion="8" background="1" saveData="1">
    <dbPr connection="Provider=Microsoft.Mashup.OleDb.1;Data Source=$Workbook$;Location=&quot;Employee Performance Data Clean&quot;;Extended Properties=&quot;&quot;" command="SELECT * FROM [Employee Performance Data Clean]"/>
  </connection>
  <connection id="2" xr16:uid="{CDE6E68F-7367-4CD4-AC13-D408C1ECCDA6}" keepAlive="1" name="Query - Table2" description="Connection to the 'Table2' query in the workbook." type="5" refreshedVersion="8" background="1" saveData="1">
    <dbPr connection="Provider=Microsoft.Mashup.OleDb.1;Data Source=$Workbook$;Location=Table2;Extended Properties=&quot;&quot;" command="SELECT * FROM [Table2]"/>
  </connection>
  <connection id="3" xr16:uid="{58F52CF9-D262-427B-B3FA-CAF4FA5C5235}" keepAlive="1" name="Query - Table2 (2)" description="Connection to the 'Table2 (2)' query in the workbook." type="5" refreshedVersion="8" background="1" saveData="1">
    <dbPr connection="Provider=Microsoft.Mashup.OleDb.1;Data Source=$Workbook$;Location=&quot;Table2 (2)&quot;;Extended Properties=&quot;&quot;" command="SELECT * FROM [Table2 (2)]"/>
  </connection>
  <connection id="4" xr16:uid="{F919E5B9-7B77-4080-ADFA-89602C0621B6}" keepAlive="1" name="Query - Table2 (3)" description="Connection to the 'Table2 (3)' query in the workbook." type="5" refreshedVersion="8" background="1" saveData="1">
    <dbPr connection="Provider=Microsoft.Mashup.OleDb.1;Data Source=$Workbook$;Location=&quot;Table2 (3)&quot;;Extended Properties=&quot;&quot;" command="SELECT * FROM [Table2 (3)]"/>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<sst xmlns="http://schemas.openxmlformats.org/spreadsheetml/2006/main" count="2355" uniqueCount="331">
  <si>
    <t>Average Attendance Rate and Bonuses per Department</t>
  </si>
  <si>
    <t>Department</t>
  </si>
  <si>
    <t>Avr Attendance Rate</t>
  </si>
  <si>
    <t>Average Bonus</t>
  </si>
  <si>
    <t>IT</t>
  </si>
  <si>
    <t>HR</t>
  </si>
  <si>
    <t>Finance</t>
  </si>
  <si>
    <t>Marketing</t>
  </si>
  <si>
    <t>Sales</t>
  </si>
  <si>
    <t xml:space="preserve"> N.B.   Click on Department Insight , Perfomance Insight,  Gender Analysis to go to their Page, Use the slicer in each page to draw  insights, analysis, or filter in order of  Department or Year</t>
  </si>
  <si>
    <t>Lists of Top 10 Performers in the Organization</t>
  </si>
  <si>
    <t>EmployeeID</t>
  </si>
  <si>
    <t>PerformanceScore</t>
  </si>
  <si>
    <t>ProjectsCompleted</t>
  </si>
  <si>
    <t>BonusAmount</t>
  </si>
  <si>
    <t>AttendanceRate (%)</t>
  </si>
  <si>
    <t>Gender</t>
  </si>
  <si>
    <t>E1005</t>
  </si>
  <si>
    <t>Male</t>
  </si>
  <si>
    <t>E1132</t>
  </si>
  <si>
    <t>Female</t>
  </si>
  <si>
    <t>E1116</t>
  </si>
  <si>
    <t>E1144</t>
  </si>
  <si>
    <t>E1200</t>
  </si>
  <si>
    <t>E1186</t>
  </si>
  <si>
    <t>E1160</t>
  </si>
  <si>
    <t>E1130</t>
  </si>
  <si>
    <t>E1177</t>
  </si>
  <si>
    <t>E1008</t>
  </si>
  <si>
    <t>FirstName</t>
  </si>
  <si>
    <t>LastName</t>
  </si>
  <si>
    <t>HireDate</t>
  </si>
  <si>
    <t>E1001</t>
  </si>
  <si>
    <t>John</t>
  </si>
  <si>
    <t>Smith</t>
  </si>
  <si>
    <t>E1002</t>
  </si>
  <si>
    <t>Emily</t>
  </si>
  <si>
    <t>Johnson</t>
  </si>
  <si>
    <t>E1003</t>
  </si>
  <si>
    <t>David</t>
  </si>
  <si>
    <t>Lee</t>
  </si>
  <si>
    <t>E1004</t>
  </si>
  <si>
    <t>Sarah</t>
  </si>
  <si>
    <t>Brown</t>
  </si>
  <si>
    <t>Daniel</t>
  </si>
  <si>
    <t>Williams</t>
  </si>
  <si>
    <t>E1006</t>
  </si>
  <si>
    <t>Anna</t>
  </si>
  <si>
    <t>Garcia</t>
  </si>
  <si>
    <t>E1007</t>
  </si>
  <si>
    <t>Michael</t>
  </si>
  <si>
    <t>Martinez</t>
  </si>
  <si>
    <t>Chloe</t>
  </si>
  <si>
    <t>Miller</t>
  </si>
  <si>
    <t>E1009</t>
  </si>
  <si>
    <t>Chris</t>
  </si>
  <si>
    <t>Wilson</t>
  </si>
  <si>
    <t>E1010</t>
  </si>
  <si>
    <t>Laura</t>
  </si>
  <si>
    <t>Moore</t>
  </si>
  <si>
    <t>E1111</t>
  </si>
  <si>
    <t>Charlotte</t>
  </si>
  <si>
    <t>Scott</t>
  </si>
  <si>
    <t>E1112</t>
  </si>
  <si>
    <t>Logan</t>
  </si>
  <si>
    <t>Cooper</t>
  </si>
  <si>
    <t>E1113</t>
  </si>
  <si>
    <t>Mia</t>
  </si>
  <si>
    <t>Mitchell</t>
  </si>
  <si>
    <t>E1114</t>
  </si>
  <si>
    <t>Ethan</t>
  </si>
  <si>
    <t>Nelson</t>
  </si>
  <si>
    <t>E1115</t>
  </si>
  <si>
    <t>Brooks</t>
  </si>
  <si>
    <t>James</t>
  </si>
  <si>
    <t>Foster</t>
  </si>
  <si>
    <t>E1117</t>
  </si>
  <si>
    <t>Victoria</t>
  </si>
  <si>
    <t>Rivera</t>
  </si>
  <si>
    <t>E1118</t>
  </si>
  <si>
    <t>Jackson</t>
  </si>
  <si>
    <t>Diaz</t>
  </si>
  <si>
    <t>E1119</t>
  </si>
  <si>
    <t>Olivia</t>
  </si>
  <si>
    <t>Morris</t>
  </si>
  <si>
    <t>E1120</t>
  </si>
  <si>
    <t>William</t>
  </si>
  <si>
    <t>Parker</t>
  </si>
  <si>
    <t>E1121</t>
  </si>
  <si>
    <t>Kevin</t>
  </si>
  <si>
    <t>Adams</t>
  </si>
  <si>
    <t>E1122</t>
  </si>
  <si>
    <t>E1123</t>
  </si>
  <si>
    <t>Adam</t>
  </si>
  <si>
    <t>Rodriguez</t>
  </si>
  <si>
    <t>E1124</t>
  </si>
  <si>
    <t>Lily</t>
  </si>
  <si>
    <t>Harris</t>
  </si>
  <si>
    <t>E1125</t>
  </si>
  <si>
    <t>White</t>
  </si>
  <si>
    <t>E1126</t>
  </si>
  <si>
    <t>Isabella</t>
  </si>
  <si>
    <t>King</t>
  </si>
  <si>
    <t>E1127</t>
  </si>
  <si>
    <t>Jason</t>
  </si>
  <si>
    <t>Lewis</t>
  </si>
  <si>
    <t>E1128</t>
  </si>
  <si>
    <t>Emma</t>
  </si>
  <si>
    <t>Anderson</t>
  </si>
  <si>
    <t>E1129</t>
  </si>
  <si>
    <t>Jack</t>
  </si>
  <si>
    <t>Walker</t>
  </si>
  <si>
    <t>Amelia</t>
  </si>
  <si>
    <t>Campbell</t>
  </si>
  <si>
    <t>E1131</t>
  </si>
  <si>
    <t>Ryan</t>
  </si>
  <si>
    <t>E1133</t>
  </si>
  <si>
    <t>Evan</t>
  </si>
  <si>
    <t>Thompson</t>
  </si>
  <si>
    <t>E1134</t>
  </si>
  <si>
    <t>Zoe</t>
  </si>
  <si>
    <t>Young</t>
  </si>
  <si>
    <t>E1135</t>
  </si>
  <si>
    <t>Liam</t>
  </si>
  <si>
    <t>E1136</t>
  </si>
  <si>
    <t>Ava</t>
  </si>
  <si>
    <t>E1137</t>
  </si>
  <si>
    <t>Noah</t>
  </si>
  <si>
    <t>E1138</t>
  </si>
  <si>
    <t>Carter</t>
  </si>
  <si>
    <t>E1139</t>
  </si>
  <si>
    <t>Lucas</t>
  </si>
  <si>
    <t>E1140</t>
  </si>
  <si>
    <t>Grace</t>
  </si>
  <si>
    <t>Perez</t>
  </si>
  <si>
    <t>E1141</t>
  </si>
  <si>
    <t>Henry</t>
  </si>
  <si>
    <t>Richardson</t>
  </si>
  <si>
    <t>E1142</t>
  </si>
  <si>
    <t>Sophia</t>
  </si>
  <si>
    <t>Torres</t>
  </si>
  <si>
    <t>E1143</t>
  </si>
  <si>
    <t>E1145</t>
  </si>
  <si>
    <t>Clark</t>
  </si>
  <si>
    <t>E1146</t>
  </si>
  <si>
    <t>Scarlett</t>
  </si>
  <si>
    <t>Bailey</t>
  </si>
  <si>
    <t>E1147</t>
  </si>
  <si>
    <t>Benjamin</t>
  </si>
  <si>
    <t>E1148</t>
  </si>
  <si>
    <t>E1149</t>
  </si>
  <si>
    <t>Mason</t>
  </si>
  <si>
    <t>Roberts</t>
  </si>
  <si>
    <t>E1150</t>
  </si>
  <si>
    <t>E1151</t>
  </si>
  <si>
    <t>Jacob</t>
  </si>
  <si>
    <t>E1152</t>
  </si>
  <si>
    <t>Jenkins</t>
  </si>
  <si>
    <t>E1153</t>
  </si>
  <si>
    <t>Russell</t>
  </si>
  <si>
    <t>E1154</t>
  </si>
  <si>
    <t>Ella</t>
  </si>
  <si>
    <t>Ward</t>
  </si>
  <si>
    <t>E1155</t>
  </si>
  <si>
    <t>Samuel</t>
  </si>
  <si>
    <t>Gray</t>
  </si>
  <si>
    <t>E1156</t>
  </si>
  <si>
    <t>Long</t>
  </si>
  <si>
    <t>E1157</t>
  </si>
  <si>
    <t>Patterson</t>
  </si>
  <si>
    <t>E1158</t>
  </si>
  <si>
    <t>Hughes</t>
  </si>
  <si>
    <t>E1159</t>
  </si>
  <si>
    <t>Bryant</t>
  </si>
  <si>
    <t>E1161</t>
  </si>
  <si>
    <t>Alexander</t>
  </si>
  <si>
    <t>E1162</t>
  </si>
  <si>
    <t>Harper</t>
  </si>
  <si>
    <t>Ramirez</t>
  </si>
  <si>
    <t>E1163</t>
  </si>
  <si>
    <t>Flores</t>
  </si>
  <si>
    <t>E1164</t>
  </si>
  <si>
    <t>Powell</t>
  </si>
  <si>
    <t>E1165</t>
  </si>
  <si>
    <t>Stewart</t>
  </si>
  <si>
    <t>E1166</t>
  </si>
  <si>
    <t>Evelyn</t>
  </si>
  <si>
    <t>Sanders</t>
  </si>
  <si>
    <t>E1167</t>
  </si>
  <si>
    <t>E1168</t>
  </si>
  <si>
    <t>E1169</t>
  </si>
  <si>
    <t>Joshua</t>
  </si>
  <si>
    <t>E1170</t>
  </si>
  <si>
    <t>Zoey</t>
  </si>
  <si>
    <t>E1171</t>
  </si>
  <si>
    <t>E1172</t>
  </si>
  <si>
    <t>Andrew</t>
  </si>
  <si>
    <t>E1173</t>
  </si>
  <si>
    <t>Evans</t>
  </si>
  <si>
    <t>E1174</t>
  </si>
  <si>
    <t>E1175</t>
  </si>
  <si>
    <t>Morgan</t>
  </si>
  <si>
    <t>E1176</t>
  </si>
  <si>
    <t>Rogers</t>
  </si>
  <si>
    <t>Bell</t>
  </si>
  <si>
    <t>E1178</t>
  </si>
  <si>
    <t>E1179</t>
  </si>
  <si>
    <t>E1180</t>
  </si>
  <si>
    <t>E1181</t>
  </si>
  <si>
    <t>E1182</t>
  </si>
  <si>
    <t>Cook</t>
  </si>
  <si>
    <t>E1183</t>
  </si>
  <si>
    <t>E1184</t>
  </si>
  <si>
    <t>E1185</t>
  </si>
  <si>
    <t>E1187</t>
  </si>
  <si>
    <t>Peterson</t>
  </si>
  <si>
    <t>E1188</t>
  </si>
  <si>
    <t>E1189</t>
  </si>
  <si>
    <t>E1190</t>
  </si>
  <si>
    <t>Murphy</t>
  </si>
  <si>
    <t>E1191</t>
  </si>
  <si>
    <t>E1192</t>
  </si>
  <si>
    <t>Turner</t>
  </si>
  <si>
    <t>E1193</t>
  </si>
  <si>
    <t>E1194</t>
  </si>
  <si>
    <t>E1195</t>
  </si>
  <si>
    <t>Phillips</t>
  </si>
  <si>
    <t>E1196</t>
  </si>
  <si>
    <t>E1197</t>
  </si>
  <si>
    <t>E1198</t>
  </si>
  <si>
    <t>Nguyen</t>
  </si>
  <si>
    <t>E1199</t>
  </si>
  <si>
    <t>Abigail</t>
  </si>
  <si>
    <t>Lopez</t>
  </si>
  <si>
    <t>FullName</t>
  </si>
  <si>
    <t>HiredYear</t>
  </si>
  <si>
    <t>No of employee</t>
  </si>
  <si>
    <t>Total Bonus amount</t>
  </si>
  <si>
    <t>No of Employee</t>
  </si>
  <si>
    <t>Year</t>
  </si>
  <si>
    <t>performance score</t>
  </si>
  <si>
    <t>project completed</t>
  </si>
  <si>
    <t>Bonus amount</t>
  </si>
  <si>
    <t>AVR. Bonus Amount</t>
  </si>
  <si>
    <t>AVR. Performance Score</t>
  </si>
  <si>
    <t>AVR. Attendate Rate</t>
  </si>
  <si>
    <t>Total</t>
  </si>
  <si>
    <t>Row Labels</t>
  </si>
  <si>
    <t>Sum of BonusAmount</t>
  </si>
  <si>
    <t>Grand Total</t>
  </si>
  <si>
    <t>Sum of PerformanceScore</t>
  </si>
  <si>
    <t>Count of EmployeeID</t>
  </si>
  <si>
    <t>2019</t>
  </si>
  <si>
    <t>2020</t>
  </si>
  <si>
    <t>2021</t>
  </si>
  <si>
    <t>2022</t>
  </si>
  <si>
    <t>Sum of ProjectsCompleted</t>
  </si>
  <si>
    <t>Column Labels</t>
  </si>
  <si>
    <t>Average of BonusAmount</t>
  </si>
  <si>
    <t>Average of PerformanceScore</t>
  </si>
  <si>
    <t>Average of ProjectsCompleted</t>
  </si>
  <si>
    <t>Count of Years (HireDate)</t>
  </si>
  <si>
    <t>If(Yes/No)</t>
  </si>
  <si>
    <t>Column1</t>
  </si>
  <si>
    <t>Days since hire</t>
  </si>
  <si>
    <t>Column2</t>
  </si>
  <si>
    <t>Questions</t>
  </si>
  <si>
    <t>Short Description</t>
  </si>
  <si>
    <t>Function &amp; Answer</t>
  </si>
  <si>
    <t>Q0</t>
  </si>
  <si>
    <t>e.g Count A of Employee (ID)</t>
  </si>
  <si>
    <t>Q1</t>
  </si>
  <si>
    <t>Q2</t>
  </si>
  <si>
    <t>Find Revenue</t>
  </si>
  <si>
    <t>Q3</t>
  </si>
  <si>
    <t>Determine the highest Number of project completed</t>
  </si>
  <si>
    <t>Q4</t>
  </si>
  <si>
    <t>Total number of projects completed by employees in the IT department</t>
  </si>
  <si>
    <t>Q5</t>
  </si>
  <si>
    <t>Q6</t>
  </si>
  <si>
    <t>Year of hire</t>
  </si>
  <si>
    <t>Q7</t>
  </si>
  <si>
    <t>Q8</t>
  </si>
  <si>
    <t>Q9</t>
  </si>
  <si>
    <t>Q10</t>
  </si>
  <si>
    <t>Q11</t>
  </si>
  <si>
    <t>Q11: Create a new column indicating if an employee has completed more than 10 projects using the IF() function (e.g., =IF(ProjectsCompleted &gt; 10, "Yes", "No")).</t>
  </si>
  <si>
    <t>I created new column name if(Yes/No)</t>
  </si>
  <si>
    <t>Q12</t>
  </si>
  <si>
    <t>Q12: Use COUNTIF() to count the number of employees with a performance score greater than 90.</t>
  </si>
  <si>
    <t>Q13</t>
  </si>
  <si>
    <t>Q13: Use SUMIF() to calculate the total bonus paid to employees in the "Sales" department.'</t>
  </si>
  <si>
    <t>Excel Formulas &amp; Functions 3: Conditional Functions</t>
  </si>
  <si>
    <r>
      <t xml:space="preserve">Q11: Create a new column indicating if an employee has completed more than 10 projects using the </t>
    </r>
    <r>
      <rPr>
        <sz val="10"/>
        <color theme="1"/>
        <rFont val="Arial Unicode MS"/>
        <family val="2"/>
      </rPr>
      <t>IF()</t>
    </r>
    <r>
      <rPr>
        <sz val="11"/>
        <color theme="1"/>
        <rFont val="Gill Sans MT"/>
        <family val="2"/>
        <scheme val="minor"/>
      </rPr>
      <t xml:space="preserve"> function (e.g., </t>
    </r>
    <r>
      <rPr>
        <sz val="10"/>
        <color theme="1"/>
        <rFont val="Arial Unicode MS"/>
        <family val="2"/>
      </rPr>
      <t>=IF(ProjectsCompleted &gt; 10, "Yes", "No")</t>
    </r>
    <r>
      <rPr>
        <sz val="11"/>
        <color theme="1"/>
        <rFont val="Gill Sans MT"/>
        <family val="2"/>
        <scheme val="minor"/>
      </rPr>
      <t>).</t>
    </r>
  </si>
  <si>
    <r>
      <t xml:space="preserve">Q12: Use </t>
    </r>
    <r>
      <rPr>
        <sz val="10"/>
        <color theme="1"/>
        <rFont val="Arial Unicode MS"/>
        <family val="2"/>
      </rPr>
      <t>COUNTIF()</t>
    </r>
    <r>
      <rPr>
        <sz val="11"/>
        <color theme="1"/>
        <rFont val="Gill Sans MT"/>
        <family val="2"/>
        <scheme val="minor"/>
      </rPr>
      <t xml:space="preserve"> to count the number of employees with a performance score greater than 90.</t>
    </r>
  </si>
  <si>
    <r>
      <t xml:space="preserve">Q13: Use </t>
    </r>
    <r>
      <rPr>
        <sz val="10"/>
        <color theme="1"/>
        <rFont val="Arial Unicode MS"/>
        <family val="2"/>
      </rPr>
      <t>SUMIF()</t>
    </r>
    <r>
      <rPr>
        <sz val="11"/>
        <color theme="1"/>
        <rFont val="Gill Sans MT"/>
        <family val="2"/>
        <scheme val="minor"/>
      </rPr>
      <t xml:space="preserve"> to calculate the total bonus paid to employees in the "Sales" department.</t>
    </r>
  </si>
  <si>
    <t>ExtractedLastName</t>
  </si>
  <si>
    <t>DeptInCaps</t>
  </si>
  <si>
    <t>WorkedDay</t>
  </si>
  <si>
    <t>YearEmployed</t>
  </si>
  <si>
    <t>ProjectsCompleted&gt;10(Yes/No)</t>
  </si>
  <si>
    <t>Over 85 and  more than 10 projects</t>
  </si>
  <si>
    <t>performance &lt; 80 or attendance rate below 90%.</t>
  </si>
  <si>
    <t>Introduction to Basic Formulas and Functions</t>
  </si>
  <si>
    <t>Solution</t>
  </si>
  <si>
    <t>Q1: Calculate the total bonus amount paid to all employees.</t>
  </si>
  <si>
    <t>Q2: Find the average performance score of employees in the dataset.</t>
  </si>
  <si>
    <t>Q3: Determine the highest number of projects completed by an employee.</t>
  </si>
  <si>
    <t>Q4: Calculate the total number of projects completed by all employees in the "IT" department.</t>
  </si>
  <si>
    <t>Excel Formulas &amp; Functions 1: Date &amp; Time Functions</t>
  </si>
  <si>
    <t>Q5: Calculate how many days each employee has worked since their hire date (use TODAY() and HireDate) - New Column.</t>
  </si>
  <si>
    <t>Q6: Extract the year of hire for each employee using the YEAR() function. - New Column</t>
  </si>
  <si>
    <t>Q7: Count how many employees were hired in 2021 by using the YEAR() function on the "HireDate" column.</t>
  </si>
  <si>
    <t>Excel Formulas &amp; Functions 2: Text Functions</t>
  </si>
  <si>
    <t>Q8: Create a new column that combines the FirstName and LastName using CONCAT() or &amp; (e.g., "John Smith"). - New Column</t>
  </si>
  <si>
    <t>Q9: Extract the first three letters of each employee’s "LastName" using LEFT(). - New Column</t>
  </si>
  <si>
    <t>Q10: Convert all the "Department" names to uppercase using the UPPER() function. - New Column</t>
  </si>
  <si>
    <t>ProjectsCompleted_10_Yes_No</t>
  </si>
  <si>
    <r>
      <t>Q12:</t>
    </r>
    <r>
      <rPr>
        <sz val="11"/>
        <color theme="1"/>
        <rFont val="Gill Sans MT"/>
        <family val="2"/>
        <scheme val="minor"/>
      </rPr>
      <t xml:space="preserve"> Use </t>
    </r>
    <r>
      <rPr>
        <sz val="10"/>
        <color theme="1"/>
        <rFont val="Arial Unicode MS"/>
        <family val="2"/>
      </rPr>
      <t>COUNTIF()</t>
    </r>
    <r>
      <rPr>
        <sz val="11"/>
        <color theme="1"/>
        <rFont val="Gill Sans MT"/>
        <family val="2"/>
        <scheme val="minor"/>
      </rPr>
      <t xml:space="preserve"> to count the number of employees with a </t>
    </r>
    <r>
      <rPr>
        <sz val="11"/>
        <color theme="1"/>
        <rFont val="Gill Sans MT"/>
        <family val="2"/>
        <scheme val="minor"/>
      </rPr>
      <t>performance score greater than 90</t>
    </r>
    <r>
      <rPr>
        <sz val="11"/>
        <color theme="1"/>
        <rFont val="Gill Sans MT"/>
        <family val="2"/>
        <scheme val="minor"/>
      </rPr>
      <t>.</t>
    </r>
  </si>
  <si>
    <t>Excel Formulas &amp; Functions 4: Logical &amp; Statistical Functions</t>
  </si>
  <si>
    <t>Q14: Use AND() to identify employees who have a performance score over 85 and have completed more than 10 projects.</t>
  </si>
  <si>
    <t>Over_85_and__more_than_10_projects</t>
  </si>
  <si>
    <t>Q15: Use OR() to check if an employee has a performance score less than 80 or attendance rate below 90%.</t>
  </si>
  <si>
    <t>performance___80_or_attendance_rate_below_90_.</t>
  </si>
  <si>
    <t>Q16: Use MEDIAN() to find the median performance score of all employees.</t>
  </si>
  <si>
    <t>Reference Functions: HLookup, VLookup, XLookup</t>
  </si>
  <si>
    <r>
      <t>Q17:</t>
    </r>
    <r>
      <rPr>
        <sz val="11"/>
        <color theme="1"/>
        <rFont val="Gill Sans MT"/>
        <family val="2"/>
        <scheme val="minor"/>
      </rPr>
      <t xml:space="preserve"> Use </t>
    </r>
    <r>
      <rPr>
        <sz val="10"/>
        <color theme="1"/>
        <rFont val="Arial Unicode MS"/>
        <family val="2"/>
      </rPr>
      <t>VLOOKUP()</t>
    </r>
    <r>
      <rPr>
        <sz val="11"/>
        <color theme="1"/>
        <rFont val="Gill Sans MT"/>
        <family val="2"/>
        <scheme val="minor"/>
      </rPr>
      <t xml:space="preserve"> to find the </t>
    </r>
    <r>
      <rPr>
        <sz val="11"/>
        <color theme="1"/>
        <rFont val="Gill Sans MT"/>
        <family val="2"/>
        <scheme val="minor"/>
      </rPr>
      <t>performance score</t>
    </r>
    <r>
      <rPr>
        <sz val="11"/>
        <color theme="1"/>
        <rFont val="Gill Sans MT"/>
        <family val="2"/>
        <scheme val="minor"/>
      </rPr>
      <t xml:space="preserve"> for an employee based on their "EmployeeID."</t>
    </r>
  </si>
  <si>
    <t>Give the Performance Score of Employee E1194, E1167 and E1121</t>
  </si>
  <si>
    <t>Also return their department and BonusAmount</t>
  </si>
  <si>
    <t>Perfomance Score</t>
  </si>
  <si>
    <t>Bonus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</si>
</sst>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_(&quot;$&quot;* #,##0_);_(&quot;$&quot;* \(#,##0\);_(&quot;$&quot;* &quot;-&quot;??_);_(@_)"/>
    <numFmt numFmtId="165" formatCode="0.0"/>
    <numFmt numFmtId="166" formatCode="_-* #,##0.00_-;\-* #,##0.00_-;_-* &quot;-&quot;??_-;_-@_-"/>
  </numFmts>
  <fonts count="26">
    <font>
      <sz val="11"/>
      <color theme="1"/>
      <name val="Gill Sans MT"/>
      <family val="2"/>
      <scheme val="minor"/>
    </font>
    <font>
      <b/>
      <sz val="11"/>
      <color theme="1"/>
      <name val="Gill Sans MT"/>
      <family val="2"/>
      <scheme val="minor"/>
    </font>
    <font>
      <sz val="10"/>
      <color theme="1"/>
      <name val="Arial Unicode MS"/>
      <family val="2"/>
    </font>
    <font>
      <b/>
      <sz val="11"/>
      <color indexed="18"/>
      <name val="Gill Sans MT"/>
      <family val="2"/>
      <scheme val="minor"/>
    </font>
    <font>
      <sz val="8"/>
      <name val="Gill Sans MT"/>
      <family val="2"/>
      <scheme val="minor"/>
    </font>
    <font>
      <b/>
      <sz val="11"/>
      <color theme="7" tint="0.39997558519241921"/>
      <name val="Gill Sans MT"/>
      <family val="2"/>
      <scheme val="minor"/>
    </font>
    <font>
      <sz val="11"/>
      <color theme="1"/>
      <name val="Gill Sans MT"/>
      <family val="2"/>
      <scheme val="minor"/>
    </font>
    <font>
      <b/>
      <sz val="11"/>
      <name val="Gill Sans MT"/>
      <family val="2"/>
      <scheme val="minor"/>
    </font>
    <font>
      <b/>
      <sz val="26"/>
      <color theme="0"/>
      <name val="Gill Sans MT"/>
      <family val="2"/>
      <scheme val="minor"/>
    </font>
    <font>
      <b/>
      <sz val="11"/>
      <color theme="9" tint="0.79998168889431442"/>
      <name val="Gill Sans MT"/>
      <family val="2"/>
      <scheme val="minor"/>
    </font>
    <font>
      <b/>
      <i/>
      <sz val="11"/>
      <color theme="0"/>
      <name val="Gill Sans MT"/>
      <family val="2"/>
      <scheme val="minor"/>
    </font>
    <font>
      <b/>
      <sz val="11"/>
      <color theme="0"/>
      <name val="Gill Sans MT"/>
      <family val="2"/>
      <scheme val="minor"/>
    </font>
    <font>
      <sz val="11"/>
      <color theme="0"/>
      <name val="Gill Sans MT"/>
      <family val="2"/>
      <scheme val="minor"/>
    </font>
    <font>
      <sz val="11"/>
      <color theme="1" tint="4.9989318521683403E-2"/>
      <name val="Gill Sans MT"/>
      <family val="2"/>
      <scheme val="minor"/>
    </font>
    <font>
      <b/>
      <sz val="18"/>
      <color theme="0"/>
      <name val="Gill Sans MT"/>
      <family val="2"/>
      <scheme val="minor"/>
    </font>
    <font>
      <sz val="11"/>
      <color indexed="8"/>
      <name val="Gill Sans MT"/>
      <family val="2"/>
      <scheme val="minor"/>
    </font>
    <font>
      <u/>
      <sz val="11"/>
      <color theme="10"/>
      <name val="Gill Sans MT"/>
      <family val="2"/>
      <scheme val="minor"/>
    </font>
    <font>
      <b/>
      <u/>
      <sz val="11"/>
      <color theme="7"/>
      <name val="Gill Sans MT"/>
      <family val="2"/>
      <scheme val="minor"/>
    </font>
    <font>
      <b/>
      <sz val="11"/>
      <color indexed="9"/>
      <name val="Gill Sans MT"/>
      <family val="2"/>
      <scheme val="minor"/>
    </font>
    <font>
      <b/>
      <i/>
      <sz val="11"/>
      <color indexed="16"/>
      <name val="Gill Sans MT"/>
      <family val="2"/>
      <scheme val="minor"/>
    </font>
    <font>
      <sz val="13"/>
      <color indexed="8"/>
      <name val="Gill Sans MT"/>
      <family val="2"/>
      <scheme val="minor"/>
    </font>
    <font>
      <sz val="13"/>
      <color theme="0"/>
      <name val="Gill Sans MT"/>
      <family val="2"/>
      <scheme val="minor"/>
    </font>
    <font>
      <b/>
      <sz val="13"/>
      <color theme="0"/>
      <name val="Gill Sans MT"/>
      <family val="2"/>
      <scheme val="minor"/>
    </font>
    <font>
      <b/>
      <sz val="13"/>
      <color indexed="9"/>
      <name val="Gill Sans MT"/>
      <family val="2"/>
      <scheme val="minor"/>
    </font>
    <font>
      <sz val="14"/>
      <color theme="1"/>
      <name val="Gill Sans MT"/>
      <family val="2"/>
      <scheme val="minor"/>
    </font>
    <font>
      <b/>
      <sz val="14"/>
      <name val="Gill Sans MT"/>
      <family val="2"/>
      <scheme val="minor"/>
    </font>
  </fonts>
  <fills count="29">
    <fill>
      <patternFill patternType="none"/>
    </fill>
    <fill>
      <patternFill patternType="gray125"/>
    </fill>
    <fill>
      <patternFill patternType="solid">
        <fgColor theme="9" tint="-0.249977111117893"/>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rgb="FFFFFF00"/>
        <bgColor indexed="64"/>
      </patternFill>
    </fill>
    <fill>
      <patternFill patternType="solid">
        <fgColor theme="1"/>
        <bgColor indexed="64"/>
      </patternFill>
    </fill>
    <fill>
      <patternFill patternType="solid">
        <fgColor rgb="FFFFC000"/>
        <bgColor indexed="64"/>
      </patternFill>
    </fill>
    <fill>
      <patternFill patternType="solid">
        <fgColor theme="1" tint="4.9989318521683403E-2"/>
        <bgColor indexed="64"/>
      </patternFill>
    </fill>
    <fill>
      <patternFill patternType="solid">
        <fgColor theme="9"/>
        <bgColor indexed="64"/>
      </patternFill>
    </fill>
    <fill>
      <patternFill patternType="solid">
        <fgColor theme="8"/>
        <bgColor indexed="64"/>
      </patternFill>
    </fill>
    <fill>
      <patternFill patternType="solid">
        <fgColor theme="9" tint="-0.499984740745262"/>
        <bgColor indexed="64"/>
      </patternFill>
    </fill>
    <fill>
      <patternFill patternType="solid">
        <fgColor theme="9" tint="0.59999389629810485"/>
        <bgColor indexed="64"/>
      </patternFill>
    </fill>
    <fill>
      <patternFill patternType="solid">
        <fgColor theme="7"/>
        <bgColor indexed="64"/>
      </patternFill>
    </fill>
    <fill>
      <patternFill patternType="solid">
        <fgColor theme="7" tint="-0.499984740745262"/>
        <bgColor indexed="64"/>
      </patternFill>
    </fill>
    <fill>
      <patternFill patternType="solid">
        <fgColor theme="1" tint="0.14999847407452621"/>
        <bgColor indexed="64"/>
      </patternFill>
    </fill>
    <fill>
      <patternFill patternType="solid">
        <fgColor theme="0"/>
        <bgColor indexed="64"/>
      </patternFill>
    </fill>
    <fill>
      <patternFill patternType="solid">
        <fgColor theme="9" tint="0.79998168889431442"/>
        <bgColor indexed="24"/>
      </patternFill>
    </fill>
    <fill>
      <patternFill patternType="solid">
        <fgColor indexed="9"/>
        <bgColor indexed="24"/>
      </patternFill>
    </fill>
    <fill>
      <patternFill patternType="solid">
        <fgColor indexed="42"/>
        <bgColor indexed="24"/>
      </patternFill>
    </fill>
    <fill>
      <patternFill patternType="darkGray">
        <fgColor indexed="21"/>
        <bgColor indexed="17"/>
      </patternFill>
    </fill>
    <fill>
      <patternFill patternType="solid">
        <fgColor rgb="FFFF0000"/>
        <bgColor indexed="64"/>
      </patternFill>
    </fill>
    <fill>
      <patternFill patternType="solid">
        <fgColor theme="0" tint="-4.9989318521683403E-2"/>
        <bgColor indexed="64"/>
      </patternFill>
    </fill>
    <fill>
      <patternFill patternType="solid">
        <fgColor rgb="FF009900"/>
        <bgColor indexed="64"/>
      </patternFill>
    </fill>
    <fill>
      <patternFill patternType="solid">
        <fgColor theme="0" tint="-0.34998626667073579"/>
        <bgColor indexed="64"/>
      </patternFill>
    </fill>
    <fill>
      <patternFill patternType="solid">
        <fgColor indexed="22"/>
        <bgColor indexed="24"/>
      </patternFill>
    </fill>
    <fill>
      <patternFill patternType="solid">
        <fgColor theme="7" tint="-0.249977111117893"/>
        <bgColor indexed="64"/>
      </patternFill>
    </fill>
    <fill>
      <patternFill patternType="solid">
        <fgColor theme="2" tint="-0.89999084444715716"/>
        <bgColor indexed="64"/>
      </patternFill>
    </fill>
    <fill>
      <patternFill patternType="solid">
        <fgColor theme="4" tint="9.9978637043366805E-2"/>
        <bgColor indexed="64"/>
      </patternFill>
    </fill>
  </fills>
  <borders count="18">
    <border>
      <left/>
      <right/>
      <top/>
      <bottom/>
      <diagonal/>
    </border>
    <border>
      <left/>
      <right/>
      <top style="medium">
        <color indexed="23"/>
      </top>
      <bottom style="medium">
        <color indexed="23"/>
      </bottom>
      <diagonal/>
    </border>
    <border>
      <left/>
      <right/>
      <top style="thin">
        <color indexed="23"/>
      </top>
      <bottom/>
      <diagonal/>
    </border>
    <border>
      <left/>
      <right/>
      <top style="thin">
        <color indexed="23"/>
      </top>
      <bottom style="medium">
        <color indexed="23"/>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style="thick">
        <color indexed="64"/>
      </left>
      <right style="thick">
        <color indexed="64"/>
      </right>
      <top style="thick">
        <color indexed="64"/>
      </top>
      <bottom style="thick">
        <color indexed="64"/>
      </bottom>
      <diagonal/>
    </border>
    <border>
      <left style="thin">
        <color theme="0"/>
      </left>
      <right style="thin">
        <color theme="0"/>
      </right>
      <top style="thin">
        <color theme="0"/>
      </top>
      <bottom style="thin">
        <color theme="0"/>
      </bottom>
      <diagonal/>
    </border>
    <border>
      <left/>
      <right/>
      <top style="thin">
        <color indexed="64"/>
      </top>
      <bottom style="thin">
        <color indexed="64"/>
      </bottom>
      <diagonal/>
    </border>
    <border>
      <left style="thin">
        <color theme="0"/>
      </left>
      <right style="thin">
        <color theme="0"/>
      </right>
      <top/>
      <bottom style="thin">
        <color theme="0"/>
      </bottom>
      <diagonal/>
    </border>
    <border>
      <left style="thin">
        <color theme="0"/>
      </left>
      <right style="thin">
        <color theme="0"/>
      </right>
      <top style="thin">
        <color theme="0"/>
      </top>
      <bottom/>
      <diagonal/>
    </border>
  </borders>
  <cellStyleXfs count="4">
    <xf numFmtId="0" fontId="0" fillId="0" borderId="0"/>
    <xf numFmtId="44" fontId="6" fillId="0" borderId="0" applyFont="0" applyFill="0" applyBorder="0" applyAlignment="0" applyProtection="0"/>
    <xf numFmtId="9" fontId="6" fillId="0" borderId="0" applyFont="0" applyFill="0" applyBorder="0" applyAlignment="0" applyProtection="0"/>
    <xf numFmtId="0" fontId="16" fillId="0" borderId="0" applyNumberFormat="0" applyFill="0" applyBorder="0" applyAlignment="0" applyProtection="0"/>
  </cellStyleXfs>
  <cellXfs count="139">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14" fontId="0" fillId="0" borderId="0" xfId="0" applyNumberFormat="1"/>
    <xf numFmtId="14" fontId="0" fillId="0" borderId="0" xfId="0" applyNumberFormat="1" applyAlignment="1">
      <alignment vertical="center" wrapText="1"/>
    </xf>
    <xf numFmtId="0" fontId="0" fillId="0" borderId="2" xfId="0" applyBorder="1" applyAlignment="1">
      <alignment vertical="center"/>
    </xf>
    <xf numFmtId="0" fontId="0" fillId="0" borderId="3" xfId="0" applyBorder="1" applyAlignment="1">
      <alignment vertical="center"/>
    </xf>
    <xf numFmtId="0" fontId="3" fillId="0" borderId="1" xfId="0" applyFont="1" applyBorder="1" applyAlignment="1">
      <alignment horizontal="center" vertical="center"/>
    </xf>
    <xf numFmtId="0" fontId="0" fillId="0" borderId="0" xfId="0" applyAlignment="1">
      <alignment wrapText="1"/>
    </xf>
    <xf numFmtId="0" fontId="5" fillId="2" borderId="7" xfId="0" applyFont="1" applyFill="1" applyBorder="1" applyAlignment="1">
      <alignment wrapText="1"/>
    </xf>
    <xf numFmtId="0" fontId="5" fillId="2" borderId="8" xfId="0" applyFont="1" applyFill="1" applyBorder="1" applyAlignment="1">
      <alignment wrapText="1"/>
    </xf>
    <xf numFmtId="0" fontId="0" fillId="3" borderId="9" xfId="0" applyFill="1" applyBorder="1" applyAlignment="1">
      <alignment wrapText="1"/>
    </xf>
    <xf numFmtId="0" fontId="5" fillId="2" borderId="4" xfId="0" applyFont="1" applyFill="1" applyBorder="1" applyAlignment="1">
      <alignment wrapText="1"/>
    </xf>
    <xf numFmtId="0" fontId="5" fillId="2" borderId="11" xfId="0" applyFont="1" applyFill="1" applyBorder="1" applyAlignment="1">
      <alignment wrapText="1"/>
    </xf>
    <xf numFmtId="0" fontId="0" fillId="3" borderId="4" xfId="0" applyFill="1" applyBorder="1" applyAlignment="1">
      <alignment wrapText="1"/>
    </xf>
    <xf numFmtId="0" fontId="0" fillId="3" borderId="12" xfId="0" applyFill="1" applyBorder="1" applyAlignment="1">
      <alignment wrapText="1"/>
    </xf>
    <xf numFmtId="0" fontId="0" fillId="3" borderId="5" xfId="0" applyFill="1" applyBorder="1" applyAlignment="1">
      <alignment wrapText="1"/>
    </xf>
    <xf numFmtId="0" fontId="0" fillId="3" borderId="6" xfId="0" applyFill="1" applyBorder="1" applyAlignment="1">
      <alignment wrapText="1"/>
    </xf>
    <xf numFmtId="0" fontId="0" fillId="4" borderId="10" xfId="0" applyFill="1" applyBorder="1" applyAlignment="1">
      <alignment wrapText="1"/>
    </xf>
    <xf numFmtId="0" fontId="0" fillId="4" borderId="4" xfId="0" applyFill="1" applyBorder="1" applyAlignment="1">
      <alignment wrapText="1"/>
    </xf>
    <xf numFmtId="0" fontId="0" fillId="4" borderId="11" xfId="0" applyFill="1" applyBorder="1" applyAlignment="1">
      <alignment wrapText="1"/>
    </xf>
    <xf numFmtId="0" fontId="0" fillId="0" borderId="0" xfId="0" applyAlignment="1">
      <alignment vertical="center"/>
    </xf>
    <xf numFmtId="14" fontId="0" fillId="0" borderId="0" xfId="0" applyNumberFormat="1" applyAlignment="1">
      <alignment vertical="center"/>
    </xf>
    <xf numFmtId="0" fontId="7" fillId="5" borderId="0" xfId="0" applyFont="1" applyFill="1" applyAlignment="1">
      <alignment horizontal="center" vertical="center"/>
    </xf>
    <xf numFmtId="0" fontId="7" fillId="5" borderId="0" xfId="2" applyNumberFormat="1" applyFont="1" applyFill="1" applyAlignment="1">
      <alignment horizontal="center" vertical="center"/>
    </xf>
    <xf numFmtId="0" fontId="0" fillId="0" borderId="0" xfId="2" applyNumberFormat="1" applyFont="1" applyAlignment="1">
      <alignment vertical="center"/>
    </xf>
    <xf numFmtId="0" fontId="0" fillId="0" borderId="0" xfId="2" applyNumberFormat="1" applyFont="1" applyAlignment="1"/>
    <xf numFmtId="0" fontId="0" fillId="0" borderId="0" xfId="2" applyNumberFormat="1" applyFont="1"/>
    <xf numFmtId="0" fontId="0" fillId="0" borderId="0" xfId="0" pivotButton="1"/>
    <xf numFmtId="0" fontId="0" fillId="0" borderId="0" xfId="0" applyAlignment="1">
      <alignment horizontal="left"/>
    </xf>
    <xf numFmtId="164" fontId="7" fillId="5" borderId="0" xfId="1" applyNumberFormat="1" applyFont="1" applyFill="1" applyAlignment="1">
      <alignment horizontal="center" vertical="center"/>
    </xf>
    <xf numFmtId="164" fontId="0" fillId="0" borderId="0" xfId="1" applyNumberFormat="1" applyFont="1"/>
    <xf numFmtId="44" fontId="0" fillId="0" borderId="0" xfId="1" applyFont="1" applyAlignment="1">
      <alignment vertical="center"/>
    </xf>
    <xf numFmtId="44" fontId="0" fillId="0" borderId="0" xfId="1" applyFont="1" applyAlignment="1"/>
    <xf numFmtId="164" fontId="0" fillId="0" borderId="0" xfId="0" applyNumberFormat="1"/>
    <xf numFmtId="44" fontId="6" fillId="0" borderId="0" xfId="0" applyNumberFormat="1" applyFont="1"/>
    <xf numFmtId="1" fontId="0" fillId="0" borderId="0" xfId="0" applyNumberFormat="1"/>
    <xf numFmtId="44" fontId="0" fillId="0" borderId="0" xfId="0" applyNumberFormat="1"/>
    <xf numFmtId="165" fontId="6" fillId="0" borderId="0" xfId="0" applyNumberFormat="1" applyFont="1" applyAlignment="1">
      <alignment horizontal="left" indent="15"/>
    </xf>
    <xf numFmtId="44" fontId="0" fillId="0" borderId="0" xfId="0" pivotButton="1" applyNumberFormat="1"/>
    <xf numFmtId="44" fontId="0" fillId="0" borderId="0" xfId="0" applyNumberFormat="1" applyAlignment="1">
      <alignment horizontal="left"/>
    </xf>
    <xf numFmtId="0" fontId="0" fillId="6" borderId="0" xfId="0" applyFill="1"/>
    <xf numFmtId="0" fontId="1" fillId="7" borderId="0" xfId="0" applyFont="1" applyFill="1"/>
    <xf numFmtId="0" fontId="9" fillId="9" borderId="13" xfId="0" applyFont="1" applyFill="1" applyBorder="1"/>
    <xf numFmtId="0" fontId="0" fillId="0" borderId="13" xfId="0" applyBorder="1"/>
    <xf numFmtId="1" fontId="0" fillId="0" borderId="13" xfId="0" applyNumberFormat="1" applyBorder="1"/>
    <xf numFmtId="0" fontId="0" fillId="5" borderId="0" xfId="0" applyFill="1"/>
    <xf numFmtId="0" fontId="1" fillId="7" borderId="4" xfId="0" applyFont="1" applyFill="1" applyBorder="1" applyAlignment="1">
      <alignment horizontal="right" vertical="center"/>
    </xf>
    <xf numFmtId="0" fontId="1" fillId="7" borderId="4" xfId="0" applyFont="1" applyFill="1" applyBorder="1" applyAlignment="1">
      <alignment wrapText="1"/>
    </xf>
    <xf numFmtId="0" fontId="1" fillId="7" borderId="4" xfId="0" applyFont="1" applyFill="1" applyBorder="1"/>
    <xf numFmtId="0" fontId="0" fillId="7" borderId="4" xfId="0" applyFill="1" applyBorder="1"/>
    <xf numFmtId="0" fontId="0" fillId="7" borderId="4" xfId="0" applyFill="1" applyBorder="1" applyAlignment="1">
      <alignment horizontal="right" vertical="center"/>
    </xf>
    <xf numFmtId="0" fontId="0" fillId="10" borderId="4" xfId="0" applyFill="1" applyBorder="1"/>
    <xf numFmtId="44" fontId="0" fillId="10" borderId="4" xfId="0" applyNumberFormat="1" applyFill="1" applyBorder="1"/>
    <xf numFmtId="0" fontId="11" fillId="11" borderId="4" xfId="0" applyFont="1" applyFill="1" applyBorder="1"/>
    <xf numFmtId="0" fontId="12" fillId="11" borderId="4" xfId="0" applyFont="1" applyFill="1" applyBorder="1"/>
    <xf numFmtId="44" fontId="12" fillId="11" borderId="4" xfId="0" applyNumberFormat="1" applyFont="1" applyFill="1" applyBorder="1"/>
    <xf numFmtId="0" fontId="13" fillId="12" borderId="0" xfId="0" applyFont="1" applyFill="1"/>
    <xf numFmtId="0" fontId="1" fillId="13" borderId="0" xfId="0" applyFont="1" applyFill="1"/>
    <xf numFmtId="0" fontId="11" fillId="14" borderId="0" xfId="0" applyFont="1" applyFill="1"/>
    <xf numFmtId="0" fontId="12" fillId="15" borderId="14" xfId="0" applyFont="1" applyFill="1" applyBorder="1"/>
    <xf numFmtId="0" fontId="17" fillId="15" borderId="14" xfId="3" applyNumberFormat="1" applyFont="1" applyFill="1" applyBorder="1" applyAlignment="1">
      <alignment wrapText="1"/>
    </xf>
    <xf numFmtId="44" fontId="0" fillId="21" borderId="0" xfId="0" applyNumberFormat="1" applyFill="1"/>
    <xf numFmtId="0" fontId="1" fillId="0" borderId="0" xfId="0" applyFont="1"/>
    <xf numFmtId="44" fontId="12" fillId="15" borderId="14" xfId="0" applyNumberFormat="1" applyFont="1" applyFill="1" applyBorder="1"/>
    <xf numFmtId="44" fontId="12" fillId="15" borderId="16" xfId="0" applyNumberFormat="1" applyFont="1" applyFill="1" applyBorder="1"/>
    <xf numFmtId="0" fontId="0" fillId="16" borderId="14" xfId="0" applyFill="1" applyBorder="1"/>
    <xf numFmtId="0" fontId="1" fillId="16" borderId="14" xfId="0" applyFont="1" applyFill="1" applyBorder="1" applyAlignment="1">
      <alignment vertical="center"/>
    </xf>
    <xf numFmtId="0" fontId="0" fillId="16" borderId="14" xfId="0" applyFill="1" applyBorder="1" applyAlignment="1">
      <alignment vertical="center"/>
    </xf>
    <xf numFmtId="0" fontId="0" fillId="0" borderId="14" xfId="0" applyBorder="1"/>
    <xf numFmtId="0" fontId="12" fillId="15" borderId="17" xfId="0" applyFont="1" applyFill="1" applyBorder="1"/>
    <xf numFmtId="0" fontId="17" fillId="15" borderId="14" xfId="3" applyNumberFormat="1" applyFont="1" applyFill="1" applyBorder="1" applyAlignment="1">
      <alignment horizontal="right"/>
    </xf>
    <xf numFmtId="14" fontId="0" fillId="21" borderId="0" xfId="0" applyNumberFormat="1" applyFill="1"/>
    <xf numFmtId="0" fontId="0" fillId="26" borderId="0" xfId="0" applyFill="1"/>
    <xf numFmtId="0" fontId="12" fillId="27" borderId="14" xfId="0" applyFont="1" applyFill="1" applyBorder="1"/>
    <xf numFmtId="0" fontId="1" fillId="0" borderId="0" xfId="0" applyFont="1" applyAlignment="1">
      <alignment horizontal="right"/>
    </xf>
    <xf numFmtId="0" fontId="21" fillId="27" borderId="14" xfId="0" applyFont="1" applyFill="1" applyBorder="1"/>
    <xf numFmtId="1" fontId="21" fillId="27" borderId="14" xfId="0" applyNumberFormat="1" applyFont="1" applyFill="1" applyBorder="1"/>
    <xf numFmtId="44" fontId="21" fillId="27" borderId="14" xfId="0" applyNumberFormat="1" applyFont="1" applyFill="1" applyBorder="1"/>
    <xf numFmtId="44" fontId="22" fillId="27" borderId="14" xfId="0" applyNumberFormat="1" applyFont="1" applyFill="1" applyBorder="1"/>
    <xf numFmtId="0" fontId="24" fillId="0" borderId="0" xfId="0" applyFont="1"/>
    <xf numFmtId="44" fontId="24" fillId="0" borderId="0" xfId="0" applyNumberFormat="1" applyFont="1"/>
    <xf numFmtId="14" fontId="24" fillId="0" borderId="0" xfId="0" applyNumberFormat="1" applyFont="1"/>
    <xf numFmtId="0" fontId="24" fillId="0" borderId="0" xfId="0" applyFont="1" applyAlignment="1">
      <alignment vertical="center"/>
    </xf>
    <xf numFmtId="44" fontId="24" fillId="0" borderId="0" xfId="0" applyNumberFormat="1" applyFont="1" applyAlignment="1">
      <alignment vertical="center"/>
    </xf>
    <xf numFmtId="14" fontId="24" fillId="0" borderId="0" xfId="0" applyNumberFormat="1" applyFont="1" applyAlignment="1">
      <alignment vertical="center"/>
    </xf>
    <xf numFmtId="0" fontId="25" fillId="5" borderId="0" xfId="0" applyFont="1" applyFill="1" applyAlignment="1">
      <alignment horizontal="center" vertical="center"/>
    </xf>
    <xf numFmtId="44" fontId="25" fillId="5" borderId="0" xfId="0" applyNumberFormat="1" applyFont="1" applyFill="1" applyAlignment="1">
      <alignment horizontal="center" vertical="center"/>
    </xf>
    <xf numFmtId="44" fontId="0" fillId="0" borderId="0" xfId="1" applyFont="1"/>
    <xf numFmtId="44" fontId="0" fillId="3" borderId="6" xfId="0" applyNumberFormat="1" applyFill="1" applyBorder="1" applyAlignment="1">
      <alignment wrapText="1"/>
    </xf>
    <xf numFmtId="44" fontId="0" fillId="0" borderId="0" xfId="1" applyFont="1" applyAlignment="1">
      <alignment vertical="center" wrapText="1"/>
    </xf>
    <xf numFmtId="44" fontId="1" fillId="0" borderId="0" xfId="1" applyFont="1" applyAlignment="1">
      <alignment horizontal="center" vertical="center" wrapText="1"/>
    </xf>
    <xf numFmtId="0" fontId="0" fillId="12" borderId="0" xfId="0" applyFill="1"/>
    <xf numFmtId="0" fontId="0" fillId="8" borderId="0" xfId="0" applyFill="1"/>
    <xf numFmtId="0" fontId="9" fillId="9" borderId="13" xfId="0" applyFont="1" applyFill="1" applyBorder="1" applyAlignment="1">
      <alignment wrapText="1"/>
    </xf>
    <xf numFmtId="0" fontId="9" fillId="9" borderId="13" xfId="0" applyFont="1" applyFill="1" applyBorder="1" applyAlignment="1">
      <alignment vertical="top"/>
    </xf>
    <xf numFmtId="0" fontId="0" fillId="0" borderId="0" xfId="0"/>
    <xf numFmtId="0" fontId="0" fillId="6" borderId="0" xfId="0" applyFill="1" applyAlignment="1">
      <alignment horizontal="center"/>
    </xf>
    <xf numFmtId="0" fontId="8" fillId="6" borderId="0" xfId="0" applyFont="1" applyFill="1" applyAlignment="1">
      <alignment horizontal="center"/>
    </xf>
    <xf numFmtId="0" fontId="0" fillId="0" borderId="0" xfId="0" applyAlignment="1"/>
    <xf numFmtId="0" fontId="10" fillId="8" borderId="13" xfId="0" applyFont="1" applyFill="1" applyBorder="1" applyAlignment="1">
      <alignment horizontal="center" vertical="center" wrapText="1"/>
    </xf>
    <xf numFmtId="0" fontId="1" fillId="7" borderId="0" xfId="0" applyFont="1" applyFill="1" applyAlignment="1">
      <alignment horizontal="center" vertical="center" wrapText="1"/>
    </xf>
    <xf numFmtId="0" fontId="14" fillId="28" borderId="0" xfId="0" applyFont="1" applyFill="1" applyAlignment="1">
      <alignment horizontal="center"/>
    </xf>
    <xf numFmtId="0" fontId="10" fillId="8" borderId="13" xfId="0" applyFont="1" applyFill="1" applyBorder="1" applyAlignment="1"/>
    <xf numFmtId="166" fontId="0" fillId="12" borderId="8" xfId="0" applyNumberFormat="1" applyFill="1" applyBorder="1" applyAlignment="1">
      <alignment vertical="center"/>
    </xf>
    <xf numFmtId="166" fontId="0" fillId="12" borderId="15" xfId="0" applyNumberFormat="1" applyFill="1" applyBorder="1" applyAlignment="1">
      <alignment vertical="center"/>
    </xf>
    <xf numFmtId="166" fontId="0" fillId="16" borderId="8" xfId="0" applyNumberFormat="1" applyFill="1" applyBorder="1" applyAlignment="1">
      <alignment vertical="center"/>
    </xf>
    <xf numFmtId="166" fontId="0" fillId="16" borderId="15" xfId="0" applyNumberFormat="1" applyFill="1" applyBorder="1" applyAlignment="1">
      <alignment vertical="center"/>
    </xf>
    <xf numFmtId="0" fontId="18" fillId="20" borderId="0" xfId="0" applyFont="1" applyFill="1" applyAlignment="1">
      <alignment horizontal="center"/>
    </xf>
    <xf numFmtId="0" fontId="15" fillId="19" borderId="0" xfId="0" applyFont="1" applyFill="1" applyAlignment="1"/>
    <xf numFmtId="0" fontId="15" fillId="18" borderId="0" xfId="0" applyFont="1" applyFill="1" applyAlignment="1"/>
    <xf numFmtId="0" fontId="15" fillId="17" borderId="0" xfId="0" applyFont="1" applyFill="1" applyAlignment="1"/>
    <xf numFmtId="0" fontId="3" fillId="2" borderId="8" xfId="0" applyFont="1" applyFill="1" applyBorder="1" applyAlignment="1">
      <alignment horizontal="center" vertical="center"/>
    </xf>
    <xf numFmtId="0" fontId="3" fillId="2" borderId="15" xfId="0" applyFont="1" applyFill="1" applyBorder="1" applyAlignment="1">
      <alignment horizontal="center" vertical="center"/>
    </xf>
    <xf numFmtId="0" fontId="3" fillId="23" borderId="4" xfId="0" applyFont="1" applyFill="1" applyBorder="1" applyAlignment="1">
      <alignment horizontal="center" vertical="center"/>
    </xf>
    <xf numFmtId="0" fontId="3" fillId="23" borderId="8" xfId="0" applyFont="1" applyFill="1" applyBorder="1" applyAlignment="1">
      <alignment horizontal="center" vertical="center"/>
    </xf>
    <xf numFmtId="0" fontId="0" fillId="12" borderId="4" xfId="0" applyFill="1" applyBorder="1" applyAlignment="1">
      <alignment vertical="center" wrapText="1"/>
    </xf>
    <xf numFmtId="0" fontId="0" fillId="12" borderId="8" xfId="0" applyFill="1" applyBorder="1" applyAlignment="1">
      <alignment vertical="center" wrapText="1"/>
    </xf>
    <xf numFmtId="0" fontId="0" fillId="22" borderId="10" xfId="0" applyFill="1" applyBorder="1" applyAlignment="1">
      <alignment vertical="center"/>
    </xf>
    <xf numFmtId="0" fontId="0" fillId="22" borderId="7" xfId="0" applyFill="1" applyBorder="1" applyAlignment="1">
      <alignment vertical="center"/>
    </xf>
    <xf numFmtId="0" fontId="0" fillId="12" borderId="14" xfId="0" applyFill="1" applyBorder="1" applyAlignment="1">
      <alignment vertical="center"/>
    </xf>
    <xf numFmtId="0" fontId="0" fillId="24" borderId="4" xfId="0" applyFill="1" applyBorder="1" applyAlignment="1"/>
    <xf numFmtId="0" fontId="0" fillId="24" borderId="8" xfId="0" applyFill="1" applyBorder="1" applyAlignment="1"/>
    <xf numFmtId="0" fontId="0" fillId="22" borderId="4" xfId="0" applyFill="1" applyBorder="1" applyAlignment="1"/>
    <xf numFmtId="0" fontId="0" fillId="22" borderId="8" xfId="0" applyFill="1" applyBorder="1" applyAlignment="1"/>
    <xf numFmtId="0" fontId="19" fillId="25" borderId="4" xfId="0" applyFont="1" applyFill="1" applyBorder="1" applyAlignment="1">
      <alignment horizontal="center"/>
    </xf>
    <xf numFmtId="0" fontId="19" fillId="25" borderId="8" xfId="0" applyFont="1" applyFill="1" applyBorder="1" applyAlignment="1">
      <alignment horizontal="center"/>
    </xf>
    <xf numFmtId="0" fontId="15" fillId="18" borderId="4" xfId="0" applyFont="1" applyFill="1" applyBorder="1" applyAlignment="1"/>
    <xf numFmtId="0" fontId="15" fillId="18" borderId="8" xfId="0" applyFont="1" applyFill="1" applyBorder="1" applyAlignment="1"/>
    <xf numFmtId="0" fontId="15" fillId="25" borderId="4" xfId="0" applyFont="1" applyFill="1" applyBorder="1" applyAlignment="1"/>
    <xf numFmtId="0" fontId="15" fillId="25" borderId="8" xfId="0" applyFont="1" applyFill="1" applyBorder="1" applyAlignment="1"/>
    <xf numFmtId="0" fontId="3" fillId="24" borderId="4" xfId="0" applyFont="1" applyFill="1" applyBorder="1" applyAlignment="1">
      <alignment horizontal="center"/>
    </xf>
    <xf numFmtId="0" fontId="3" fillId="24" borderId="8" xfId="0" applyFont="1" applyFill="1" applyBorder="1" applyAlignment="1">
      <alignment horizontal="center"/>
    </xf>
    <xf numFmtId="0" fontId="23" fillId="20" borderId="4" xfId="0" applyFont="1" applyFill="1" applyBorder="1" applyAlignment="1"/>
    <xf numFmtId="0" fontId="23" fillId="20" borderId="8" xfId="0" applyFont="1" applyFill="1" applyBorder="1" applyAlignment="1"/>
    <xf numFmtId="0" fontId="20" fillId="19" borderId="4" xfId="0" applyFont="1" applyFill="1" applyBorder="1" applyAlignment="1"/>
    <xf numFmtId="0" fontId="20" fillId="19" borderId="8" xfId="0" applyFont="1" applyFill="1" applyBorder="1" applyAlignment="1"/>
    <xf numFmtId="0" fontId="20" fillId="18" borderId="4" xfId="0" applyFont="1" applyFill="1" applyBorder="1" applyAlignment="1"/>
    <xf numFmtId="0" fontId="20" fillId="18" borderId="8" xfId="0" applyFont="1" applyFill="1" applyBorder="1" applyAlignment="1"/>
  </cellXfs>
  <cellStyles count="4">
    <cellStyle name="Currency" xfId="1" builtinId="4"/>
    <cellStyle name="Hyperlink" xfId="3" builtinId="8"/>
    <cellStyle name="Normal" xfId="0" builtinId="0"/>
    <cellStyle name="Percent" xfId="2" builtinId="5"/>
  </cellStyles>
  <dxfs count="83">
    <dxf>
      <font>
        <b val="0"/>
        <i val="0"/>
        <strike val="0"/>
        <condense val="0"/>
        <extend val="0"/>
        <outline val="0"/>
        <shadow val="0"/>
        <u val="none"/>
        <vertAlign val="baseline"/>
        <sz val="14"/>
        <color theme="1"/>
        <name val="Gill Sans MT"/>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4"/>
        <color theme="1"/>
        <name val="Gill Sans MT"/>
        <family val="2"/>
        <scheme val="minor"/>
      </font>
    </dxf>
    <dxf>
      <font>
        <b val="0"/>
        <i val="0"/>
        <strike val="0"/>
        <condense val="0"/>
        <extend val="0"/>
        <outline val="0"/>
        <shadow val="0"/>
        <u val="none"/>
        <vertAlign val="baseline"/>
        <sz val="14"/>
        <color theme="1"/>
        <name val="Gill Sans MT"/>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4"/>
        <color theme="1"/>
        <name val="Gill Sans MT"/>
        <family val="2"/>
        <scheme val="minor"/>
      </font>
    </dxf>
    <dxf>
      <font>
        <b val="0"/>
        <i val="0"/>
        <strike val="0"/>
        <condense val="0"/>
        <extend val="0"/>
        <outline val="0"/>
        <shadow val="0"/>
        <u val="none"/>
        <vertAlign val="baseline"/>
        <sz val="14"/>
        <color theme="1"/>
        <name val="Gill Sans MT"/>
        <family val="2"/>
        <scheme val="minor"/>
      </font>
      <numFmt numFmtId="34" formatCode="_(&quot;$&quot;* #,##0.00_);_(&quot;$&quot;* \(#,##0.00\);_(&quot;$&quot;* &quot;-&quot;??_);_(@_)"/>
      <alignment horizontal="general" vertical="bottom" textRotation="0" wrapText="0" indent="0" justifyLastLine="0" shrinkToFit="0" readingOrder="0"/>
    </dxf>
    <dxf>
      <font>
        <b val="0"/>
        <i val="0"/>
        <strike val="0"/>
        <condense val="0"/>
        <extend val="0"/>
        <outline val="0"/>
        <shadow val="0"/>
        <u val="none"/>
        <vertAlign val="baseline"/>
        <sz val="14"/>
        <color theme="1"/>
        <name val="Gill Sans MT"/>
        <family val="2"/>
        <scheme val="minor"/>
      </font>
      <numFmt numFmtId="34" formatCode="_(&quot;$&quot;* #,##0.00_);_(&quot;$&quot;* \(#,##0.00\);_(&quot;$&quot;* &quot;-&quot;??_);_(@_)"/>
    </dxf>
    <dxf>
      <font>
        <b val="0"/>
        <i val="0"/>
        <strike val="0"/>
        <condense val="0"/>
        <extend val="0"/>
        <outline val="0"/>
        <shadow val="0"/>
        <u val="none"/>
        <vertAlign val="baseline"/>
        <sz val="14"/>
        <color theme="1"/>
        <name val="Gill Sans MT"/>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4"/>
        <color theme="1"/>
        <name val="Gill Sans MT"/>
        <family val="2"/>
        <scheme val="minor"/>
      </font>
    </dxf>
    <dxf>
      <font>
        <b val="0"/>
        <i val="0"/>
        <strike val="0"/>
        <condense val="0"/>
        <extend val="0"/>
        <outline val="0"/>
        <shadow val="0"/>
        <u val="none"/>
        <vertAlign val="baseline"/>
        <sz val="14"/>
        <color theme="1"/>
        <name val="Gill Sans MT"/>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4"/>
        <color theme="1"/>
        <name val="Gill Sans MT"/>
        <family val="2"/>
        <scheme val="minor"/>
      </font>
    </dxf>
    <dxf>
      <font>
        <b val="0"/>
        <i val="0"/>
        <strike val="0"/>
        <condense val="0"/>
        <extend val="0"/>
        <outline val="0"/>
        <shadow val="0"/>
        <u val="none"/>
        <vertAlign val="baseline"/>
        <sz val="14"/>
        <color theme="1"/>
        <name val="Gill Sans MT"/>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4"/>
        <color theme="1"/>
        <name val="Gill Sans MT"/>
        <family val="2"/>
        <scheme val="minor"/>
      </font>
    </dxf>
    <dxf>
      <font>
        <b val="0"/>
        <i val="0"/>
        <strike val="0"/>
        <condense val="0"/>
        <extend val="0"/>
        <outline val="0"/>
        <shadow val="0"/>
        <u val="none"/>
        <vertAlign val="baseline"/>
        <sz val="14"/>
        <color theme="1"/>
        <name val="Gill Sans MT"/>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4"/>
        <color theme="1"/>
        <name val="Gill Sans MT"/>
        <family val="2"/>
        <scheme val="minor"/>
      </font>
    </dxf>
    <dxf>
      <font>
        <b val="0"/>
        <i val="0"/>
        <strike val="0"/>
        <condense val="0"/>
        <extend val="0"/>
        <outline val="0"/>
        <shadow val="0"/>
        <u val="none"/>
        <vertAlign val="baseline"/>
        <sz val="14"/>
        <color theme="1"/>
        <name val="Gill Sans MT"/>
        <family val="2"/>
        <scheme val="minor"/>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4"/>
        <color theme="1"/>
        <name val="Gill Sans MT"/>
        <family val="2"/>
        <scheme val="minor"/>
      </font>
    </dxf>
    <dxf>
      <font>
        <b val="0"/>
        <i val="0"/>
        <strike val="0"/>
        <condense val="0"/>
        <extend val="0"/>
        <outline val="0"/>
        <shadow val="0"/>
        <u val="none"/>
        <vertAlign val="baseline"/>
        <sz val="14"/>
        <color theme="1"/>
        <name val="Gill Sans MT"/>
        <family val="2"/>
        <scheme val="minor"/>
      </font>
      <numFmt numFmtId="19" formatCode="m/d/yyyy"/>
      <alignment horizontal="general" vertical="bottom" textRotation="0" wrapText="0" indent="0" justifyLastLine="0" shrinkToFit="0" readingOrder="0"/>
    </dxf>
    <dxf>
      <font>
        <b val="0"/>
        <i val="0"/>
        <strike val="0"/>
        <condense val="0"/>
        <extend val="0"/>
        <outline val="0"/>
        <shadow val="0"/>
        <u val="none"/>
        <vertAlign val="baseline"/>
        <sz val="14"/>
        <color theme="1"/>
        <name val="Gill Sans MT"/>
        <family val="2"/>
        <scheme val="minor"/>
      </font>
    </dxf>
    <dxf>
      <font>
        <b val="0"/>
        <i val="0"/>
        <strike val="0"/>
        <condense val="0"/>
        <extend val="0"/>
        <outline val="0"/>
        <shadow val="0"/>
        <u val="none"/>
        <vertAlign val="baseline"/>
        <sz val="14"/>
        <color theme="1"/>
        <name val="Gill Sans MT"/>
        <family val="2"/>
        <scheme val="minor"/>
      </font>
      <numFmt numFmtId="19" formatCode="m/d/yyyy"/>
      <alignment horizontal="general" vertical="bottom" textRotation="0" wrapText="0" indent="0" justifyLastLine="0" shrinkToFit="0" readingOrder="0"/>
    </dxf>
    <dxf>
      <font>
        <b val="0"/>
        <i val="0"/>
        <strike val="0"/>
        <condense val="0"/>
        <extend val="0"/>
        <outline val="0"/>
        <shadow val="0"/>
        <u val="none"/>
        <vertAlign val="baseline"/>
        <sz val="14"/>
        <color theme="1"/>
        <name val="Gill Sans MT"/>
        <family val="2"/>
        <scheme val="minor"/>
      </font>
      <numFmt numFmtId="19" formatCode="m/d/yyyy"/>
    </dxf>
    <dxf>
      <font>
        <b val="0"/>
        <i val="0"/>
        <strike val="0"/>
        <condense val="0"/>
        <extend val="0"/>
        <outline val="0"/>
        <shadow val="0"/>
        <u val="none"/>
        <vertAlign val="baseline"/>
        <sz val="14"/>
        <color theme="1"/>
        <name val="Gill Sans MT"/>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4"/>
        <color theme="1"/>
        <name val="Gill Sans MT"/>
        <family val="2"/>
        <scheme val="minor"/>
      </font>
    </dxf>
    <dxf>
      <font>
        <b val="0"/>
        <i val="0"/>
        <strike val="0"/>
        <condense val="0"/>
        <extend val="0"/>
        <outline val="0"/>
        <shadow val="0"/>
        <u val="none"/>
        <vertAlign val="baseline"/>
        <sz val="14"/>
        <color theme="1"/>
        <name val="Gill Sans MT"/>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4"/>
        <color theme="1"/>
        <name val="Gill Sans MT"/>
        <family val="2"/>
        <scheme val="minor"/>
      </font>
    </dxf>
    <dxf>
      <font>
        <b val="0"/>
        <i val="0"/>
        <strike val="0"/>
        <condense val="0"/>
        <extend val="0"/>
        <outline val="0"/>
        <shadow val="0"/>
        <u val="none"/>
        <vertAlign val="baseline"/>
        <sz val="14"/>
        <color theme="1"/>
        <name val="Gill Sans MT"/>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4"/>
        <color theme="1"/>
        <name val="Gill Sans MT"/>
        <family val="2"/>
        <scheme val="minor"/>
      </font>
    </dxf>
    <dxf>
      <font>
        <b val="0"/>
        <i val="0"/>
        <strike val="0"/>
        <condense val="0"/>
        <extend val="0"/>
        <outline val="0"/>
        <shadow val="0"/>
        <u val="none"/>
        <vertAlign val="baseline"/>
        <sz val="14"/>
        <color theme="1"/>
        <name val="Gill Sans MT"/>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4"/>
        <color theme="1"/>
        <name val="Gill Sans MT"/>
        <family val="2"/>
        <scheme val="minor"/>
      </font>
    </dxf>
    <dxf>
      <font>
        <b val="0"/>
        <i val="0"/>
        <strike val="0"/>
        <condense val="0"/>
        <extend val="0"/>
        <outline val="0"/>
        <shadow val="0"/>
        <u val="none"/>
        <vertAlign val="baseline"/>
        <sz val="14"/>
        <color theme="1"/>
        <name val="Gill Sans MT"/>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4"/>
        <color theme="1"/>
        <name val="Gill Sans MT"/>
        <family val="2"/>
        <scheme val="minor"/>
      </font>
    </dxf>
    <dxf>
      <font>
        <b val="0"/>
        <i val="0"/>
        <strike val="0"/>
        <condense val="0"/>
        <extend val="0"/>
        <outline val="0"/>
        <shadow val="0"/>
        <u val="none"/>
        <vertAlign val="baseline"/>
        <sz val="14"/>
        <color theme="1"/>
        <name val="Gill Sans MT"/>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4"/>
        <color theme="1"/>
        <name val="Gill Sans MT"/>
        <family val="2"/>
        <scheme val="minor"/>
      </font>
    </dxf>
    <dxf>
      <font>
        <b val="0"/>
        <i val="0"/>
        <strike val="0"/>
        <condense val="0"/>
        <extend val="0"/>
        <outline val="0"/>
        <shadow val="0"/>
        <u val="none"/>
        <vertAlign val="baseline"/>
        <sz val="14"/>
        <color theme="1"/>
        <name val="Gill Sans MT"/>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4"/>
        <color theme="1"/>
        <name val="Gill Sans MT"/>
        <family val="2"/>
        <scheme val="minor"/>
      </font>
    </dxf>
    <dxf>
      <font>
        <b val="0"/>
        <i val="0"/>
        <strike val="0"/>
        <condense val="0"/>
        <extend val="0"/>
        <outline val="0"/>
        <shadow val="0"/>
        <u val="none"/>
        <vertAlign val="baseline"/>
        <sz val="14"/>
        <color theme="1"/>
        <name val="Gill Sans MT"/>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4"/>
        <color theme="1"/>
        <name val="Gill Sans MT"/>
        <family val="2"/>
        <scheme val="minor"/>
      </font>
    </dxf>
    <dxf>
      <font>
        <b val="0"/>
        <i val="0"/>
        <strike val="0"/>
        <condense val="0"/>
        <extend val="0"/>
        <outline val="0"/>
        <shadow val="0"/>
        <u val="none"/>
        <vertAlign val="baseline"/>
        <sz val="14"/>
        <color theme="1"/>
        <name val="Gill Sans MT"/>
        <family val="2"/>
        <scheme val="minor"/>
      </font>
      <alignment horizontal="general" vertical="bottom" textRotation="0" wrapText="0" indent="0" justifyLastLine="0" shrinkToFit="0" readingOrder="0"/>
    </dxf>
    <dxf>
      <font>
        <b/>
        <i val="0"/>
        <strike val="0"/>
        <condense val="0"/>
        <extend val="0"/>
        <outline val="0"/>
        <shadow val="0"/>
        <u val="none"/>
        <vertAlign val="baseline"/>
        <sz val="14"/>
        <color auto="1"/>
        <name val="Gill Sans MT"/>
        <family val="2"/>
        <scheme val="minor"/>
      </font>
      <fill>
        <patternFill patternType="solid">
          <fgColor indexed="64"/>
          <bgColor rgb="FFFFFF00"/>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167" formatCode="dd/mm/yyyy"/>
    </dxf>
    <dxf>
      <font>
        <b/>
        <i val="0"/>
        <strike val="0"/>
        <condense val="0"/>
        <extend val="0"/>
        <outline val="0"/>
        <shadow val="0"/>
        <u val="none"/>
        <vertAlign val="baseline"/>
        <sz val="11"/>
        <color theme="1"/>
        <name val="Gill Sans MT"/>
        <scheme val="minor"/>
      </font>
      <alignment horizontal="center" vertical="center" textRotation="0" wrapText="1" indent="0" justifyLastLine="0" shrinkToFit="0" readingOrder="0"/>
    </dxf>
    <dxf>
      <numFmt numFmtId="34" formatCode="_(&quot;$&quot;* #,##0.00_);_(&quot;$&quot;* \(#,##0.00\);_(&quot;$&quot;* &quot;-&quot;??_);_(@_)"/>
    </dxf>
    <dxf>
      <numFmt numFmtId="34" formatCode="_(&quot;$&quot;* #,##0.00_);_(&quot;$&quot;* \(#,##0.00\);_(&quot;$&quot;* &quot;-&quot;??_);_(@_)"/>
    </dxf>
    <dxf>
      <font>
        <strike val="0"/>
        <outline val="0"/>
        <shadow val="0"/>
        <u val="none"/>
        <vertAlign val="baseline"/>
        <sz val="11"/>
        <color theme="1"/>
        <name val="Gill Sans MT"/>
        <family val="2"/>
        <scheme val="minor"/>
      </font>
      <fill>
        <patternFill patternType="solid">
          <fgColor indexed="64"/>
          <bgColor theme="9" tint="0.59999389629810485"/>
        </patternFill>
      </fill>
    </dxf>
    <dxf>
      <font>
        <b val="0"/>
        <i val="0"/>
        <strike val="0"/>
        <condense val="0"/>
        <extend val="0"/>
        <outline val="0"/>
        <shadow val="0"/>
        <u val="none"/>
        <vertAlign val="baseline"/>
        <sz val="11"/>
        <color theme="1"/>
        <name val="Gill Sans MT"/>
        <family val="2"/>
        <scheme val="minor"/>
      </font>
      <fill>
        <patternFill patternType="solid">
          <fgColor indexed="64"/>
          <bgColor theme="9" tint="0.59999389629810485"/>
        </patternFill>
      </fill>
    </dxf>
    <dxf>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Gill Sans MT"/>
        <family val="2"/>
        <scheme val="minor"/>
      </font>
      <numFmt numFmtId="165" formatCode="0.0"/>
      <alignment horizontal="left" vertical="bottom" textRotation="0" wrapText="0" indent="15" justifyLastLine="0" shrinkToFit="0" readingOrder="0"/>
    </dxf>
    <dxf>
      <numFmt numFmtId="34" formatCode="_(&quot;$&quot;* #,##0.00_);_(&quot;$&quot;* \(#,##0.00\);_(&quot;$&quot;* &quot;-&quot;??_);_(@_)"/>
      <alignment horizontal="general" vertical="bottom" textRotation="0" wrapText="0" indent="0" justifyLastLine="0" shrinkToFit="0" readingOrder="0"/>
    </dxf>
    <dxf>
      <font>
        <b val="0"/>
        <i val="0"/>
        <strike val="0"/>
        <condense val="0"/>
        <extend val="0"/>
        <outline val="0"/>
        <shadow val="0"/>
        <u val="none"/>
        <vertAlign val="baseline"/>
        <sz val="11"/>
        <color theme="1"/>
        <name val="Gill Sans MT"/>
        <family val="2"/>
        <scheme val="minor"/>
      </font>
      <numFmt numFmtId="34" formatCode="_(&quot;$&quot;* #,##0.00_);_(&quot;$&quot;* \(#,##0.00\);_(&quot;$&quot;* &quot;-&quot;??_);_(@_)"/>
    </dxf>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dxf>
    <dxf>
      <numFmt numFmtId="19" formatCode="m/d/yyyy"/>
      <alignment horizontal="general" vertical="bottom" textRotation="0" wrapText="0" indent="0" justifyLastLine="0" shrinkToFit="0" readingOrder="0"/>
    </dxf>
    <dxf>
      <numFmt numFmtId="19" formatCode="m/d/yyyy"/>
    </dxf>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font>
        <b/>
        <i val="0"/>
        <strike val="0"/>
        <condense val="0"/>
        <extend val="0"/>
        <outline val="0"/>
        <shadow val="0"/>
        <u val="none"/>
        <vertAlign val="baseline"/>
        <sz val="11"/>
        <color auto="1"/>
        <name val="Gill Sans MT"/>
        <family val="2"/>
        <scheme val="minor"/>
      </font>
      <fill>
        <patternFill patternType="solid">
          <fgColor indexed="64"/>
          <bgColor rgb="FFFFFF00"/>
        </patternFill>
      </fill>
      <alignment horizontal="center" vertical="center" textRotation="0" wrapText="0" indent="0" justifyLastLine="0" shrinkToFit="0" readingOrder="0"/>
    </dxf>
    <dxf>
      <fill>
        <patternFill>
          <bgColor rgb="FFFFC000"/>
        </patternFill>
      </fill>
    </dxf>
    <dxf>
      <numFmt numFmtId="34" formatCode="_(&quot;$&quot;* #,##0.00_);_(&quot;$&quot;* \(#,##0.00\);_(&quot;$&quot;* &quot;-&quot;??_);_(@_)"/>
    </dxf>
    <dxf>
      <numFmt numFmtId="34" formatCode="_(&quot;$&quot;* #,##0.00_);_(&quot;$&quot;* \(#,##0.00\);_(&quot;$&quot;* &quot;-&quot;??_);_(@_)"/>
    </dxf>
    <dxf>
      <font>
        <strike val="0"/>
        <outline val="0"/>
        <shadow val="0"/>
        <u val="none"/>
        <vertAlign val="baseline"/>
        <sz val="11"/>
        <color theme="1"/>
        <name val="Gill Sans MT"/>
        <family val="2"/>
        <scheme val="minor"/>
      </font>
      <fill>
        <patternFill patternType="solid">
          <fgColor indexed="64"/>
          <bgColor theme="9" tint="0.59999389629810485"/>
        </patternFill>
      </fill>
    </dxf>
    <dxf>
      <font>
        <b val="0"/>
        <i val="0"/>
        <strike val="0"/>
        <condense val="0"/>
        <extend val="0"/>
        <outline val="0"/>
        <shadow val="0"/>
        <u val="none"/>
        <vertAlign val="baseline"/>
        <sz val="11"/>
        <color theme="1"/>
        <name val="Gill Sans MT"/>
        <family val="2"/>
        <scheme val="minor"/>
      </font>
      <fill>
        <patternFill patternType="solid">
          <fgColor indexed="64"/>
          <bgColor theme="9" tint="0.59999389629810485"/>
        </patternFill>
      </fill>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colors>
    <mruColors>
      <color rgb="FFFFFFFF"/>
      <color rgb="FF009900"/>
      <color rgb="FF008000"/>
      <color rgb="FF2C441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microsoft.com/office/2007/relationships/slicerCache" Target="slicerCaches/slicerCache7.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openxmlformats.org/officeDocument/2006/relationships/calcChain" Target="calcChain.xml"/><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sheetMetadata" Target="metadata.xml"/><Relationship Id="rId5" Type="http://schemas.openxmlformats.org/officeDocument/2006/relationships/worksheet" Target="worksheets/sheet5.xml"/><Relationship Id="rId15" Type="http://schemas.microsoft.com/office/2007/relationships/slicerCache" Target="slicerCaches/slicerCache4.xml"/><Relationship Id="rId23" Type="http://schemas.openxmlformats.org/officeDocument/2006/relationships/sharedStrings" Target="sharedStrings.xml"/><Relationship Id="rId10" Type="http://schemas.openxmlformats.org/officeDocument/2006/relationships/externalLink" Target="externalLinks/externalLink1.xml"/><Relationship Id="rId19"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4.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5.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6.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7.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3"/>
    </mc:Choice>
    <mc:Fallback>
      <c:style val="3"/>
    </mc:Fallback>
  </mc:AlternateContent>
  <c:pivotSource>
    <c:name>[Steve Excel Project.xlsx]Sheet4!PivotTable1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tx1">
                    <a:lumMod val="95000"/>
                    <a:lumOff val="5000"/>
                  </a:schemeClr>
                </a:solidFill>
              </a:rPr>
              <a:t>Sum</a:t>
            </a:r>
            <a:r>
              <a:rPr lang="en-US" sz="1600" b="1" baseline="0">
                <a:solidFill>
                  <a:schemeClr val="tx1">
                    <a:lumMod val="95000"/>
                    <a:lumOff val="5000"/>
                  </a:schemeClr>
                </a:solidFill>
              </a:rPr>
              <a:t> of Performance Score</a:t>
            </a:r>
            <a:endParaRPr lang="en-US" sz="1600" b="1">
              <a:solidFill>
                <a:schemeClr val="tx1">
                  <a:lumMod val="95000"/>
                  <a:lumOff val="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Sheet4!$B$13</c:f>
              <c:strCache>
                <c:ptCount val="1"/>
                <c:pt idx="0">
                  <c:v>Total</c:v>
                </c:pt>
              </c:strCache>
            </c:strRef>
          </c:tx>
          <c:spPr>
            <a:solidFill>
              <a:schemeClr val="accent1"/>
            </a:solidFill>
            <a:ln>
              <a:noFill/>
            </a:ln>
            <a:effectLst/>
            <a:sp3d/>
          </c:spPr>
          <c:invertIfNegative val="0"/>
          <c:cat>
            <c:strRef>
              <c:f>Sheet4!$A$14:$A$19</c:f>
              <c:strCache>
                <c:ptCount val="5"/>
                <c:pt idx="0">
                  <c:v>Finance</c:v>
                </c:pt>
                <c:pt idx="1">
                  <c:v>HR</c:v>
                </c:pt>
                <c:pt idx="2">
                  <c:v>IT</c:v>
                </c:pt>
                <c:pt idx="3">
                  <c:v>Marketing</c:v>
                </c:pt>
                <c:pt idx="4">
                  <c:v>Sales</c:v>
                </c:pt>
              </c:strCache>
            </c:strRef>
          </c:cat>
          <c:val>
            <c:numRef>
              <c:f>Sheet4!$B$14:$B$19</c:f>
              <c:numCache>
                <c:formatCode>General</c:formatCode>
                <c:ptCount val="5"/>
                <c:pt idx="0">
                  <c:v>1401</c:v>
                </c:pt>
                <c:pt idx="1">
                  <c:v>1704</c:v>
                </c:pt>
                <c:pt idx="2">
                  <c:v>2242</c:v>
                </c:pt>
                <c:pt idx="3">
                  <c:v>1581</c:v>
                </c:pt>
                <c:pt idx="4">
                  <c:v>1592</c:v>
                </c:pt>
              </c:numCache>
            </c:numRef>
          </c:val>
          <c:extLst>
            <c:ext xmlns:c16="http://schemas.microsoft.com/office/drawing/2014/chart" uri="{C3380CC4-5D6E-409C-BE32-E72D297353CC}">
              <c16:uniqueId val="{00000001-D87C-4147-AA50-E9E0A3613415}"/>
            </c:ext>
          </c:extLst>
        </c:ser>
        <c:dLbls>
          <c:showLegendKey val="0"/>
          <c:showVal val="0"/>
          <c:showCatName val="0"/>
          <c:showSerName val="0"/>
          <c:showPercent val="0"/>
          <c:showBubbleSize val="0"/>
        </c:dLbls>
        <c:gapWidth val="150"/>
        <c:shape val="box"/>
        <c:axId val="558731864"/>
        <c:axId val="558729704"/>
        <c:axId val="0"/>
      </c:bar3DChart>
      <c:catAx>
        <c:axId val="55873186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8729704"/>
        <c:crosses val="autoZero"/>
        <c:auto val="1"/>
        <c:lblAlgn val="ctr"/>
        <c:lblOffset val="100"/>
        <c:noMultiLvlLbl val="0"/>
      </c:catAx>
      <c:valAx>
        <c:axId val="5587297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873186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[Steve Excel Project.xlsx]Sheet4!PivotTable2</c:name>
    <c:fmtId val="7"/>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Sum of Bonus</a:t>
            </a:r>
            <a:r>
              <a:rPr lang="en-US" baseline="0"/>
              <a:t> Amount</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38100" dist="25400" dir="5400000" rotWithShape="0">
              <a:srgbClr val="000000">
                <a:alpha val="55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Sheet4!$B$3</c:f>
              <c:strCache>
                <c:ptCount val="1"/>
                <c:pt idx="0">
                  <c:v>Total</c:v>
                </c:pt>
              </c:strCache>
            </c:strRef>
          </c:tx>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38100" dist="25400" dir="5400000" rotWithShape="0">
                <a:srgbClr val="000000">
                  <a:alpha val="55000"/>
                </a:srgbClr>
              </a:outerShdw>
            </a:effectLst>
            <a:sp3d/>
          </c:spPr>
          <c:invertIfNegative val="0"/>
          <c:cat>
            <c:strRef>
              <c:f>Sheet4!$A$4:$A$9</c:f>
              <c:strCache>
                <c:ptCount val="5"/>
                <c:pt idx="0">
                  <c:v>Finance</c:v>
                </c:pt>
                <c:pt idx="1">
                  <c:v>HR</c:v>
                </c:pt>
                <c:pt idx="2">
                  <c:v>IT</c:v>
                </c:pt>
                <c:pt idx="3">
                  <c:v>Marketing</c:v>
                </c:pt>
                <c:pt idx="4">
                  <c:v>Sales</c:v>
                </c:pt>
              </c:strCache>
            </c:strRef>
          </c:cat>
          <c:val>
            <c:numRef>
              <c:f>Sheet4!$B$4:$B$9</c:f>
              <c:numCache>
                <c:formatCode>_("$"* #,##0.00_);_("$"* \(#,##0.00\);_("$"* "-"??_);_(@_)</c:formatCode>
                <c:ptCount val="5"/>
                <c:pt idx="0">
                  <c:v>26600</c:v>
                </c:pt>
                <c:pt idx="1">
                  <c:v>30550</c:v>
                </c:pt>
                <c:pt idx="2">
                  <c:v>41300</c:v>
                </c:pt>
                <c:pt idx="3">
                  <c:v>27400</c:v>
                </c:pt>
                <c:pt idx="4">
                  <c:v>28200</c:v>
                </c:pt>
              </c:numCache>
            </c:numRef>
          </c:val>
          <c:extLst>
            <c:ext xmlns:c16="http://schemas.microsoft.com/office/drawing/2014/chart" uri="{C3380CC4-5D6E-409C-BE32-E72D297353CC}">
              <c16:uniqueId val="{00000000-7CF6-4E85-AF29-A15424083060}"/>
            </c:ext>
          </c:extLst>
        </c:ser>
        <c:dLbls>
          <c:showLegendKey val="0"/>
          <c:showVal val="0"/>
          <c:showCatName val="0"/>
          <c:showSerName val="0"/>
          <c:showPercent val="0"/>
          <c:showBubbleSize val="0"/>
        </c:dLbls>
        <c:gapWidth val="150"/>
        <c:shape val="box"/>
        <c:axId val="597358824"/>
        <c:axId val="603987976"/>
        <c:axId val="0"/>
      </c:bar3DChart>
      <c:catAx>
        <c:axId val="59735882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03987976"/>
        <c:crosses val="autoZero"/>
        <c:auto val="1"/>
        <c:lblAlgn val="ctr"/>
        <c:lblOffset val="100"/>
        <c:noMultiLvlLbl val="0"/>
      </c:catAx>
      <c:valAx>
        <c:axId val="603987976"/>
        <c:scaling>
          <c:orientation val="minMax"/>
        </c:scaling>
        <c:delete val="0"/>
        <c:axPos val="l"/>
        <c:majorGridlines>
          <c:spPr>
            <a:ln w="9525" cap="flat" cmpd="sng" algn="ctr">
              <a:solidFill>
                <a:schemeClr val="tx2">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97358824"/>
        <c:crosses val="autoZero"/>
        <c:crossBetween val="between"/>
      </c:valAx>
      <c:dTable>
        <c:showHorzBorder val="1"/>
        <c:showVertBorder val="1"/>
        <c:showOutline val="1"/>
        <c:showKeys val="1"/>
        <c:spPr>
          <a:noFill/>
          <a:ln w="9525">
            <a:solidFill>
              <a:schemeClr val="tx2">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2"/>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[Steve Excel Project.xlsx]Sheet4!PivotTable4</c:name>
    <c:fmtId val="45"/>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solidFill>
                  <a:schemeClr val="tx1">
                    <a:lumMod val="95000"/>
                    <a:lumOff val="5000"/>
                  </a:schemeClr>
                </a:solidFill>
              </a:rPr>
              <a:t>No of employees in each dept.</a:t>
            </a:r>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1"/>
          <c:showCatName val="1"/>
          <c:showSerName val="0"/>
          <c:showPercent val="1"/>
          <c:showBubbleSize val="0"/>
          <c:extLst>
            <c:ext xmlns:c15="http://schemas.microsoft.com/office/drawing/2012/chart" uri="{CE6537A1-D6FC-4f65-9D91-7224C49458BB}"/>
          </c:extLst>
        </c:dLbl>
      </c:pivotFmt>
      <c:pivotFmt>
        <c:idx val="1"/>
      </c:pivotFmt>
      <c:pivotFmt>
        <c:idx val="2"/>
      </c:pivotFmt>
      <c:pivotFmt>
        <c:idx val="3"/>
      </c:pivotFmt>
      <c:pivotFmt>
        <c:idx val="4"/>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Sheet4!$B$22</c:f>
              <c:strCache>
                <c:ptCount val="1"/>
                <c:pt idx="0">
                  <c:v>Total</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D660-4D39-9848-62E52FBF8DDB}"/>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D660-4D39-9848-62E52FBF8DDB}"/>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D660-4D39-9848-62E52FBF8DDB}"/>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4-D660-4D39-9848-62E52FBF8DDB}"/>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D660-4D39-9848-62E52FBF8DDB}"/>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1-D660-4D39-9848-62E52FBF8DDB}"/>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2-D660-4D39-9848-62E52FBF8DDB}"/>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3-D660-4D39-9848-62E52FBF8DDB}"/>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4-D660-4D39-9848-62E52FBF8DDB}"/>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5-D660-4D39-9848-62E52FBF8DDB}"/>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Sheet4!$A$23:$A$28</c:f>
              <c:strCache>
                <c:ptCount val="5"/>
                <c:pt idx="0">
                  <c:v>Finance</c:v>
                </c:pt>
                <c:pt idx="1">
                  <c:v>HR</c:v>
                </c:pt>
                <c:pt idx="2">
                  <c:v>IT</c:v>
                </c:pt>
                <c:pt idx="3">
                  <c:v>Marketing</c:v>
                </c:pt>
                <c:pt idx="4">
                  <c:v>Sales</c:v>
                </c:pt>
              </c:strCache>
            </c:strRef>
          </c:cat>
          <c:val>
            <c:numRef>
              <c:f>Sheet4!$B$23:$B$28</c:f>
              <c:numCache>
                <c:formatCode>General</c:formatCode>
                <c:ptCount val="5"/>
                <c:pt idx="0">
                  <c:v>16</c:v>
                </c:pt>
                <c:pt idx="1">
                  <c:v>20</c:v>
                </c:pt>
                <c:pt idx="2">
                  <c:v>26</c:v>
                </c:pt>
                <c:pt idx="3">
                  <c:v>19</c:v>
                </c:pt>
                <c:pt idx="4">
                  <c:v>19</c:v>
                </c:pt>
              </c:numCache>
            </c:numRef>
          </c:val>
          <c:extLst>
            <c:ext xmlns:c16="http://schemas.microsoft.com/office/drawing/2014/chart" uri="{C3380CC4-5D6E-409C-BE32-E72D297353CC}">
              <c16:uniqueId val="{00000000-D660-4D39-9848-62E52FBF8DDB}"/>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[Steve Excel Project.xlsx]Sheet4!PivotTable10</c:name>
    <c:fmtId val="24"/>
  </c:pivotSource>
  <c:chart>
    <c:title>
      <c:tx>
        <c:rich>
          <a:bodyPr rot="0" spcFirstLastPara="1" vertOverflow="ellipsis" vert="horz" wrap="square" anchor="ctr" anchorCtr="1"/>
          <a:lstStyle/>
          <a:p>
            <a:pPr>
              <a:defRPr sz="1400" b="1" i="0" u="none" strike="noStrike" kern="1200" spc="0" baseline="0">
                <a:solidFill>
                  <a:schemeClr val="tx1">
                    <a:lumMod val="95000"/>
                    <a:lumOff val="5000"/>
                  </a:schemeClr>
                </a:solidFill>
                <a:latin typeface="+mn-lt"/>
                <a:ea typeface="+mn-ea"/>
                <a:cs typeface="+mn-cs"/>
              </a:defRPr>
            </a:pPr>
            <a:r>
              <a:rPr lang="en-US" sz="1400" b="1">
                <a:solidFill>
                  <a:schemeClr val="tx1">
                    <a:lumMod val="95000"/>
                    <a:lumOff val="5000"/>
                  </a:schemeClr>
                </a:solidFill>
              </a:rPr>
              <a:t>No of </a:t>
            </a:r>
            <a:r>
              <a:rPr lang="en-US" sz="1400" b="1" baseline="0">
                <a:solidFill>
                  <a:schemeClr val="tx1">
                    <a:lumMod val="95000"/>
                    <a:lumOff val="5000"/>
                  </a:schemeClr>
                </a:solidFill>
              </a:rPr>
              <a:t> Employees Recruited over the Years</a:t>
            </a:r>
            <a:endParaRPr lang="en-US" sz="1400" b="1">
              <a:solidFill>
                <a:schemeClr val="tx1">
                  <a:lumMod val="95000"/>
                  <a:lumOff val="5000"/>
                </a:schemeClr>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95000"/>
                  <a:lumOff val="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Sheet4!$B$72:$B$73</c:f>
              <c:strCache>
                <c:ptCount val="1"/>
                <c:pt idx="0">
                  <c:v>Finance</c:v>
                </c:pt>
              </c:strCache>
            </c:strRef>
          </c:tx>
          <c:spPr>
            <a:ln w="28575" cap="rnd">
              <a:solidFill>
                <a:schemeClr val="accent1"/>
              </a:solidFill>
              <a:round/>
            </a:ln>
            <a:effectLst/>
          </c:spPr>
          <c:marker>
            <c:symbol val="none"/>
          </c:marker>
          <c:cat>
            <c:strRef>
              <c:f>Sheet4!$A$74:$A$78</c:f>
              <c:strCache>
                <c:ptCount val="4"/>
                <c:pt idx="0">
                  <c:v>2019</c:v>
                </c:pt>
                <c:pt idx="1">
                  <c:v>2020</c:v>
                </c:pt>
                <c:pt idx="2">
                  <c:v>2021</c:v>
                </c:pt>
                <c:pt idx="3">
                  <c:v>2022</c:v>
                </c:pt>
              </c:strCache>
            </c:strRef>
          </c:cat>
          <c:val>
            <c:numRef>
              <c:f>Sheet4!$B$74:$B$78</c:f>
              <c:numCache>
                <c:formatCode>General</c:formatCode>
                <c:ptCount val="4"/>
                <c:pt idx="0">
                  <c:v>5</c:v>
                </c:pt>
                <c:pt idx="1">
                  <c:v>6</c:v>
                </c:pt>
                <c:pt idx="2">
                  <c:v>4</c:v>
                </c:pt>
                <c:pt idx="3">
                  <c:v>1</c:v>
                </c:pt>
              </c:numCache>
            </c:numRef>
          </c:val>
          <c:smooth val="0"/>
          <c:extLst>
            <c:ext xmlns:c16="http://schemas.microsoft.com/office/drawing/2014/chart" uri="{C3380CC4-5D6E-409C-BE32-E72D297353CC}">
              <c16:uniqueId val="{00000000-2D4E-47C9-B664-27AB33F2C83B}"/>
            </c:ext>
          </c:extLst>
        </c:ser>
        <c:ser>
          <c:idx val="1"/>
          <c:order val="1"/>
          <c:tx>
            <c:strRef>
              <c:f>Sheet4!$C$72:$C$73</c:f>
              <c:strCache>
                <c:ptCount val="1"/>
                <c:pt idx="0">
                  <c:v>HR</c:v>
                </c:pt>
              </c:strCache>
            </c:strRef>
          </c:tx>
          <c:spPr>
            <a:ln w="28575" cap="rnd">
              <a:solidFill>
                <a:schemeClr val="accent2"/>
              </a:solidFill>
              <a:round/>
            </a:ln>
            <a:effectLst/>
          </c:spPr>
          <c:marker>
            <c:symbol val="none"/>
          </c:marker>
          <c:cat>
            <c:strRef>
              <c:f>Sheet4!$A$74:$A$78</c:f>
              <c:strCache>
                <c:ptCount val="4"/>
                <c:pt idx="0">
                  <c:v>2019</c:v>
                </c:pt>
                <c:pt idx="1">
                  <c:v>2020</c:v>
                </c:pt>
                <c:pt idx="2">
                  <c:v>2021</c:v>
                </c:pt>
                <c:pt idx="3">
                  <c:v>2022</c:v>
                </c:pt>
              </c:strCache>
            </c:strRef>
          </c:cat>
          <c:val>
            <c:numRef>
              <c:f>Sheet4!$C$74:$C$78</c:f>
              <c:numCache>
                <c:formatCode>General</c:formatCode>
                <c:ptCount val="4"/>
                <c:pt idx="0">
                  <c:v>5</c:v>
                </c:pt>
                <c:pt idx="1">
                  <c:v>6</c:v>
                </c:pt>
                <c:pt idx="2">
                  <c:v>7</c:v>
                </c:pt>
                <c:pt idx="3">
                  <c:v>2</c:v>
                </c:pt>
              </c:numCache>
            </c:numRef>
          </c:val>
          <c:smooth val="0"/>
          <c:extLst>
            <c:ext xmlns:c16="http://schemas.microsoft.com/office/drawing/2014/chart" uri="{C3380CC4-5D6E-409C-BE32-E72D297353CC}">
              <c16:uniqueId val="{00000069-0702-431D-9344-D56C0170FB33}"/>
            </c:ext>
          </c:extLst>
        </c:ser>
        <c:ser>
          <c:idx val="2"/>
          <c:order val="2"/>
          <c:tx>
            <c:strRef>
              <c:f>Sheet4!$D$72:$D$73</c:f>
              <c:strCache>
                <c:ptCount val="1"/>
                <c:pt idx="0">
                  <c:v>IT</c:v>
                </c:pt>
              </c:strCache>
            </c:strRef>
          </c:tx>
          <c:spPr>
            <a:ln w="28575" cap="rnd">
              <a:solidFill>
                <a:schemeClr val="accent3"/>
              </a:solidFill>
              <a:round/>
            </a:ln>
            <a:effectLst/>
          </c:spPr>
          <c:marker>
            <c:symbol val="none"/>
          </c:marker>
          <c:cat>
            <c:strRef>
              <c:f>Sheet4!$A$74:$A$78</c:f>
              <c:strCache>
                <c:ptCount val="4"/>
                <c:pt idx="0">
                  <c:v>2019</c:v>
                </c:pt>
                <c:pt idx="1">
                  <c:v>2020</c:v>
                </c:pt>
                <c:pt idx="2">
                  <c:v>2021</c:v>
                </c:pt>
                <c:pt idx="3">
                  <c:v>2022</c:v>
                </c:pt>
              </c:strCache>
            </c:strRef>
          </c:cat>
          <c:val>
            <c:numRef>
              <c:f>Sheet4!$D$74:$D$78</c:f>
              <c:numCache>
                <c:formatCode>General</c:formatCode>
                <c:ptCount val="4"/>
                <c:pt idx="0">
                  <c:v>2</c:v>
                </c:pt>
                <c:pt idx="1">
                  <c:v>7</c:v>
                </c:pt>
                <c:pt idx="2">
                  <c:v>7</c:v>
                </c:pt>
                <c:pt idx="3">
                  <c:v>10</c:v>
                </c:pt>
              </c:numCache>
            </c:numRef>
          </c:val>
          <c:smooth val="0"/>
          <c:extLst>
            <c:ext xmlns:c16="http://schemas.microsoft.com/office/drawing/2014/chart" uri="{C3380CC4-5D6E-409C-BE32-E72D297353CC}">
              <c16:uniqueId val="{0000006B-0702-431D-9344-D56C0170FB33}"/>
            </c:ext>
          </c:extLst>
        </c:ser>
        <c:ser>
          <c:idx val="3"/>
          <c:order val="3"/>
          <c:tx>
            <c:strRef>
              <c:f>Sheet4!$E$72:$E$73</c:f>
              <c:strCache>
                <c:ptCount val="1"/>
                <c:pt idx="0">
                  <c:v>Marketing</c:v>
                </c:pt>
              </c:strCache>
            </c:strRef>
          </c:tx>
          <c:spPr>
            <a:ln w="28575" cap="rnd">
              <a:solidFill>
                <a:schemeClr val="accent4"/>
              </a:solidFill>
              <a:round/>
            </a:ln>
            <a:effectLst/>
          </c:spPr>
          <c:marker>
            <c:symbol val="none"/>
          </c:marker>
          <c:cat>
            <c:strRef>
              <c:f>Sheet4!$A$74:$A$78</c:f>
              <c:strCache>
                <c:ptCount val="4"/>
                <c:pt idx="0">
                  <c:v>2019</c:v>
                </c:pt>
                <c:pt idx="1">
                  <c:v>2020</c:v>
                </c:pt>
                <c:pt idx="2">
                  <c:v>2021</c:v>
                </c:pt>
                <c:pt idx="3">
                  <c:v>2022</c:v>
                </c:pt>
              </c:strCache>
            </c:strRef>
          </c:cat>
          <c:val>
            <c:numRef>
              <c:f>Sheet4!$E$74:$E$78</c:f>
              <c:numCache>
                <c:formatCode>General</c:formatCode>
                <c:ptCount val="4"/>
                <c:pt idx="0">
                  <c:v>3</c:v>
                </c:pt>
                <c:pt idx="1">
                  <c:v>9</c:v>
                </c:pt>
                <c:pt idx="2">
                  <c:v>4</c:v>
                </c:pt>
                <c:pt idx="3">
                  <c:v>3</c:v>
                </c:pt>
              </c:numCache>
            </c:numRef>
          </c:val>
          <c:smooth val="0"/>
          <c:extLst>
            <c:ext xmlns:c16="http://schemas.microsoft.com/office/drawing/2014/chart" uri="{C3380CC4-5D6E-409C-BE32-E72D297353CC}">
              <c16:uniqueId val="{0000006C-0702-431D-9344-D56C0170FB33}"/>
            </c:ext>
          </c:extLst>
        </c:ser>
        <c:ser>
          <c:idx val="4"/>
          <c:order val="4"/>
          <c:tx>
            <c:strRef>
              <c:f>Sheet4!$F$72:$F$73</c:f>
              <c:strCache>
                <c:ptCount val="1"/>
                <c:pt idx="0">
                  <c:v>Sales</c:v>
                </c:pt>
              </c:strCache>
            </c:strRef>
          </c:tx>
          <c:spPr>
            <a:ln w="28575" cap="rnd">
              <a:solidFill>
                <a:schemeClr val="accent5"/>
              </a:solidFill>
              <a:round/>
            </a:ln>
            <a:effectLst/>
          </c:spPr>
          <c:marker>
            <c:symbol val="none"/>
          </c:marker>
          <c:cat>
            <c:strRef>
              <c:f>Sheet4!$A$74:$A$78</c:f>
              <c:strCache>
                <c:ptCount val="4"/>
                <c:pt idx="0">
                  <c:v>2019</c:v>
                </c:pt>
                <c:pt idx="1">
                  <c:v>2020</c:v>
                </c:pt>
                <c:pt idx="2">
                  <c:v>2021</c:v>
                </c:pt>
                <c:pt idx="3">
                  <c:v>2022</c:v>
                </c:pt>
              </c:strCache>
            </c:strRef>
          </c:cat>
          <c:val>
            <c:numRef>
              <c:f>Sheet4!$F$74:$F$78</c:f>
              <c:numCache>
                <c:formatCode>General</c:formatCode>
                <c:ptCount val="4"/>
                <c:pt idx="0">
                  <c:v>2</c:v>
                </c:pt>
                <c:pt idx="1">
                  <c:v>3</c:v>
                </c:pt>
                <c:pt idx="2">
                  <c:v>9</c:v>
                </c:pt>
                <c:pt idx="3">
                  <c:v>5</c:v>
                </c:pt>
              </c:numCache>
            </c:numRef>
          </c:val>
          <c:smooth val="0"/>
          <c:extLst>
            <c:ext xmlns:c16="http://schemas.microsoft.com/office/drawing/2014/chart" uri="{C3380CC4-5D6E-409C-BE32-E72D297353CC}">
              <c16:uniqueId val="{0000006E-0702-431D-9344-D56C0170FB33}"/>
            </c:ext>
          </c:extLst>
        </c:ser>
        <c:dLbls>
          <c:showLegendKey val="0"/>
          <c:showVal val="0"/>
          <c:showCatName val="0"/>
          <c:showSerName val="0"/>
          <c:showPercent val="0"/>
          <c:showBubbleSize val="0"/>
        </c:dLbls>
        <c:smooth val="0"/>
        <c:axId val="1016490152"/>
        <c:axId val="1016490872"/>
      </c:lineChart>
      <c:catAx>
        <c:axId val="10164901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6490872"/>
        <c:crosses val="autoZero"/>
        <c:auto val="1"/>
        <c:lblAlgn val="ctr"/>
        <c:lblOffset val="100"/>
        <c:noMultiLvlLbl val="0"/>
      </c:catAx>
      <c:valAx>
        <c:axId val="1016490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64901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[Steve Excel Project.xlsx]Sheet4!PivotTable3</c:name>
    <c:fmtId val="77"/>
  </c:pivotSource>
  <c:chart>
    <c:title>
      <c:tx>
        <c:rich>
          <a:bodyPr rot="0" spcFirstLastPara="1" vertOverflow="ellipsis" vert="horz" wrap="square" anchor="ctr" anchorCtr="1"/>
          <a:lstStyle/>
          <a:p>
            <a:pPr>
              <a:defRPr sz="1400" b="0" i="0" u="none" strike="noStrike" kern="1200" spc="0" baseline="0">
                <a:solidFill>
                  <a:schemeClr val="tx1">
                    <a:lumMod val="95000"/>
                    <a:lumOff val="5000"/>
                  </a:schemeClr>
                </a:solidFill>
                <a:latin typeface="+mn-lt"/>
                <a:ea typeface="+mn-ea"/>
                <a:cs typeface="+mn-cs"/>
              </a:defRPr>
            </a:pPr>
            <a:r>
              <a:rPr lang="en-US" b="1">
                <a:solidFill>
                  <a:schemeClr val="tx1">
                    <a:lumMod val="95000"/>
                    <a:lumOff val="5000"/>
                  </a:schemeClr>
                </a:solidFill>
              </a:rPr>
              <a:t>Sum</a:t>
            </a:r>
            <a:r>
              <a:rPr lang="en-US" b="1" baseline="0">
                <a:solidFill>
                  <a:schemeClr val="tx1">
                    <a:lumMod val="95000"/>
                    <a:lumOff val="5000"/>
                  </a:schemeClr>
                </a:solidFill>
              </a:rPr>
              <a:t> of Performance over the Years</a:t>
            </a:r>
            <a:endParaRPr lang="en-US" b="1">
              <a:solidFill>
                <a:schemeClr val="tx1">
                  <a:lumMod val="95000"/>
                  <a:lumOff val="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95000"/>
                  <a:lumOff val="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Sheet4!$B$31</c:f>
              <c:strCache>
                <c:ptCount val="1"/>
                <c:pt idx="0">
                  <c:v>Total</c:v>
                </c:pt>
              </c:strCache>
            </c:strRef>
          </c:tx>
          <c:spPr>
            <a:ln w="28575" cap="rnd">
              <a:solidFill>
                <a:schemeClr val="accent1"/>
              </a:solidFill>
              <a:round/>
            </a:ln>
            <a:effectLst/>
          </c:spPr>
          <c:marker>
            <c:symbol val="none"/>
          </c:marker>
          <c:cat>
            <c:strRef>
              <c:f>Sheet4!$A$32:$A$36</c:f>
              <c:strCache>
                <c:ptCount val="4"/>
                <c:pt idx="0">
                  <c:v>2019</c:v>
                </c:pt>
                <c:pt idx="1">
                  <c:v>2020</c:v>
                </c:pt>
                <c:pt idx="2">
                  <c:v>2021</c:v>
                </c:pt>
                <c:pt idx="3">
                  <c:v>2022</c:v>
                </c:pt>
              </c:strCache>
            </c:strRef>
          </c:cat>
          <c:val>
            <c:numRef>
              <c:f>Sheet4!$B$32:$B$36</c:f>
              <c:numCache>
                <c:formatCode>General</c:formatCode>
                <c:ptCount val="4"/>
                <c:pt idx="0">
                  <c:v>445</c:v>
                </c:pt>
                <c:pt idx="1">
                  <c:v>516</c:v>
                </c:pt>
                <c:pt idx="2">
                  <c:v>352</c:v>
                </c:pt>
                <c:pt idx="3">
                  <c:v>88</c:v>
                </c:pt>
              </c:numCache>
            </c:numRef>
          </c:val>
          <c:smooth val="0"/>
          <c:extLst>
            <c:ext xmlns:c16="http://schemas.microsoft.com/office/drawing/2014/chart" uri="{C3380CC4-5D6E-409C-BE32-E72D297353CC}">
              <c16:uniqueId val="{00000000-79C3-4BD3-BB8D-12C658A25A5D}"/>
            </c:ext>
          </c:extLst>
        </c:ser>
        <c:dLbls>
          <c:showLegendKey val="0"/>
          <c:showVal val="0"/>
          <c:showCatName val="0"/>
          <c:showSerName val="0"/>
          <c:showPercent val="0"/>
          <c:showBubbleSize val="0"/>
        </c:dLbls>
        <c:smooth val="0"/>
        <c:axId val="668198368"/>
        <c:axId val="668192968"/>
      </c:lineChart>
      <c:catAx>
        <c:axId val="668198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8192968"/>
        <c:crosses val="autoZero"/>
        <c:auto val="1"/>
        <c:lblAlgn val="ctr"/>
        <c:lblOffset val="100"/>
        <c:noMultiLvlLbl val="0"/>
      </c:catAx>
      <c:valAx>
        <c:axId val="6681929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8198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[Steve Excel Project.xlsx]Sheet4!PivotTable6</c:name>
    <c:fmtId val="80"/>
  </c:pivotSource>
  <c:chart>
    <c:title>
      <c:tx>
        <c:rich>
          <a:bodyPr rot="0" spcFirstLastPara="1" vertOverflow="ellipsis" vert="horz" wrap="square" anchor="ctr" anchorCtr="1"/>
          <a:lstStyle/>
          <a:p>
            <a:pPr>
              <a:defRPr sz="1800" b="1" i="0" u="none" strike="noStrike" kern="1200" cap="all" baseline="0">
                <a:solidFill>
                  <a:schemeClr val="tx1">
                    <a:lumMod val="65000"/>
                    <a:lumOff val="35000"/>
                  </a:schemeClr>
                </a:solidFill>
                <a:latin typeface="+mn-lt"/>
                <a:ea typeface="+mn-ea"/>
                <a:cs typeface="+mn-cs"/>
              </a:defRPr>
            </a:pPr>
            <a:r>
              <a:rPr lang="en-US">
                <a:solidFill>
                  <a:schemeClr val="tx1">
                    <a:lumMod val="95000"/>
                    <a:lumOff val="5000"/>
                  </a:schemeClr>
                </a:solidFill>
              </a:rPr>
              <a:t>No of Employees </a:t>
            </a:r>
          </a:p>
        </c:rich>
      </c:tx>
      <c:overlay val="0"/>
      <c:spPr>
        <a:noFill/>
        <a:ln>
          <a:noFill/>
        </a:ln>
        <a:effectLst/>
      </c:spPr>
    </c:title>
    <c:autoTitleDeleted val="0"/>
    <c:pivotFmts>
      <c:pivotFmt>
        <c:idx val="0"/>
        <c:dLbl>
          <c:idx val="0"/>
          <c:delete val="1"/>
          <c:extLst>
            <c:ext xmlns:c15="http://schemas.microsoft.com/office/drawing/2012/chart" uri="{CE6537A1-D6FC-4f65-9D91-7224C49458BB}"/>
          </c:extLst>
        </c:dLbl>
      </c:pivotFmt>
      <c:pivotFmt>
        <c:idx val="1"/>
        <c:dLbl>
          <c:idx val="0"/>
          <c:delete val="1"/>
          <c:extLst>
            <c:ext xmlns:c15="http://schemas.microsoft.com/office/drawing/2012/chart" uri="{CE6537A1-D6FC-4f65-9D91-7224C49458BB}"/>
          </c:extLst>
        </c:dLbl>
      </c:pivotFmt>
      <c:pivotFmt>
        <c:idx val="2"/>
        <c:dLbl>
          <c:idx val="0"/>
          <c:delete val="1"/>
          <c:extLst>
            <c:ext xmlns:c15="http://schemas.microsoft.com/office/drawing/2012/chart" uri="{CE6537A1-D6FC-4f65-9D91-7224C49458BB}"/>
          </c:extLst>
        </c:dLbl>
      </c:pivotFmt>
      <c:pivotFmt>
        <c:idx val="3"/>
        <c:dLbl>
          <c:idx val="0"/>
          <c:delete val="1"/>
          <c:extLst>
            <c:ext xmlns:c15="http://schemas.microsoft.com/office/drawing/2012/chart" uri="{CE6537A1-D6FC-4f65-9D91-7224C49458BB}"/>
          </c:extLst>
        </c:dLbl>
      </c:pivotFmt>
      <c:pivotFmt>
        <c:idx val="4"/>
        <c:dLbl>
          <c:idx val="0"/>
          <c:delete val="1"/>
          <c:extLst>
            <c:ext xmlns:c15="http://schemas.microsoft.com/office/drawing/2012/chart" uri="{CE6537A1-D6FC-4f65-9D91-7224C49458BB}"/>
          </c:extLst>
        </c:dLbl>
      </c:pivotFmt>
      <c:pivotFmt>
        <c:idx val="5"/>
      </c:pivotFmt>
      <c:pivotFmt>
        <c:idx val="6"/>
      </c:pivotFmt>
      <c:pivotFmt>
        <c:idx val="7"/>
        <c:dLbl>
          <c:idx val="0"/>
          <c:delete val="1"/>
          <c:extLst>
            <c:ext xmlns:c15="http://schemas.microsoft.com/office/drawing/2012/chart" uri="{CE6537A1-D6FC-4f65-9D91-7224C49458BB}"/>
          </c:extLst>
        </c:dLbl>
      </c:pivotFmt>
      <c:pivotFmt>
        <c:idx val="8"/>
      </c:pivotFmt>
      <c:pivotFmt>
        <c:idx val="9"/>
      </c:pivotFmt>
      <c:pivotFmt>
        <c:idx val="10"/>
        <c:dLbl>
          <c:idx val="0"/>
          <c:delete val="1"/>
          <c:extLst>
            <c:ext xmlns:c15="http://schemas.microsoft.com/office/drawing/2012/chart" uri="{CE6537A1-D6FC-4f65-9D91-7224C49458BB}"/>
          </c:extLst>
        </c:dLbl>
      </c:pivotFmt>
      <c:pivotFmt>
        <c:idx val="11"/>
      </c:pivotFmt>
      <c:pivotFmt>
        <c:idx val="12"/>
      </c:pivotFmt>
      <c:pivotFmt>
        <c:idx val="13"/>
        <c:dLbl>
          <c:idx val="0"/>
          <c:delete val="1"/>
          <c:extLst>
            <c:ext xmlns:c15="http://schemas.microsoft.com/office/drawing/2012/chart" uri="{CE6537A1-D6FC-4f65-9D91-7224C49458BB}"/>
          </c:extLst>
        </c:dLbl>
      </c:pivotFmt>
      <c:pivotFmt>
        <c:idx val="14"/>
      </c:pivotFmt>
      <c:pivotFmt>
        <c:idx val="15"/>
      </c:pivotFmt>
      <c:pivotFmt>
        <c:idx val="16"/>
        <c:marker>
          <c:symbol val="none"/>
        </c:marker>
        <c:dLbl>
          <c:idx val="0"/>
          <c:spPr>
            <a:solidFill>
              <a:sysClr val="window" lastClr="FFFFFF">
                <a:alpha val="90000"/>
              </a:sysClr>
            </a:solidFill>
            <a:ln w="12700" cap="flat" cmpd="sng" algn="ctr">
              <a:solidFill>
                <a:srgbClr val="4D1434"/>
              </a:solidFill>
              <a:round/>
            </a:ln>
            <a:effectLst>
              <a:outerShdw blurRad="50800" dist="38100" dir="2700000" algn="tl" rotWithShape="0">
                <a:srgbClr val="4D143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7"/>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pivotFmt>
      <c:pivotFmt>
        <c:idx val="18"/>
        <c:spPr>
          <a:solidFill>
            <a:schemeClr val="accent2">
              <a:alpha val="90000"/>
            </a:schemeClr>
          </a:solidFill>
          <a:ln w="19050">
            <a:solidFill>
              <a:schemeClr val="accent2">
                <a:lumMod val="75000"/>
              </a:schemeClr>
            </a:solidFill>
          </a:ln>
          <a:effectLst>
            <a:innerShdw blurRad="114300">
              <a:schemeClr val="accent2">
                <a:lumMod val="75000"/>
              </a:schemeClr>
            </a:innerShdw>
          </a:effectLst>
          <a:scene3d>
            <a:camera prst="orthographicFront"/>
            <a:lightRig rig="threePt" dir="t"/>
          </a:scene3d>
          <a:sp3d contourW="19050" prstMaterial="flat">
            <a:contourClr>
              <a:schemeClr val="accent2">
                <a:lumMod val="75000"/>
              </a:schemeClr>
            </a:contourClr>
          </a:sp3d>
        </c:spPr>
      </c:pivotFmt>
      <c:pivotFmt>
        <c:idx val="19"/>
        <c:marker>
          <c:symbol val="none"/>
        </c:marker>
        <c:dLbl>
          <c:idx val="0"/>
          <c:spPr>
            <a:solidFill>
              <a:sysClr val="window" lastClr="FFFFFF">
                <a:alpha val="90000"/>
              </a:sysClr>
            </a:solidFill>
            <a:ln w="12700" cap="flat" cmpd="sng" algn="ctr">
              <a:solidFill>
                <a:srgbClr val="903163"/>
              </a:solidFill>
              <a:round/>
            </a:ln>
            <a:effectLst>
              <a:outerShdw blurRad="50800" dist="38100" dir="2700000" algn="tl" rotWithShape="0">
                <a:srgbClr val="903163">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2"/>
                  </a:solidFill>
                  <a:effectLst/>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0"/>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pivotFmt>
      <c:pivotFmt>
        <c:idx val="21"/>
        <c:spPr>
          <a:solidFill>
            <a:schemeClr val="accent2">
              <a:alpha val="90000"/>
            </a:schemeClr>
          </a:solidFill>
          <a:ln w="19050">
            <a:solidFill>
              <a:schemeClr val="accent2">
                <a:lumMod val="75000"/>
              </a:schemeClr>
            </a:solidFill>
          </a:ln>
          <a:effectLst>
            <a:innerShdw blurRad="114300">
              <a:schemeClr val="accent2">
                <a:lumMod val="75000"/>
              </a:schemeClr>
            </a:innerShdw>
          </a:effectLst>
          <a:scene3d>
            <a:camera prst="orthographicFront"/>
            <a:lightRig rig="threePt" dir="t"/>
          </a:scene3d>
          <a:sp3d contourW="19050" prstMaterial="flat">
            <a:contourClr>
              <a:schemeClr val="accent2">
                <a:lumMod val="75000"/>
              </a:schemeClr>
            </a:contourClr>
          </a:sp3d>
        </c:spPr>
      </c:pivotFmt>
      <c:pivotFmt>
        <c:idx val="22"/>
        <c:marker>
          <c:symbol val="none"/>
        </c:marker>
        <c:dLbl>
          <c:idx val="0"/>
          <c:spPr>
            <a:solidFill>
              <a:sysClr val="window" lastClr="FFFFFF">
                <a:alpha val="90000"/>
              </a:sysClr>
            </a:solidFill>
            <a:ln w="12700" cap="flat" cmpd="sng" algn="ctr">
              <a:solidFill>
                <a:srgbClr val="B2324B"/>
              </a:solidFill>
              <a:round/>
            </a:ln>
            <a:effectLst>
              <a:outerShdw blurRad="50800" dist="38100" dir="2700000" algn="tl" rotWithShape="0">
                <a:srgbClr val="B2324B">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3"/>
                  </a:solidFill>
                  <a:effectLst/>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3"/>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pivotFmt>
      <c:pivotFmt>
        <c:idx val="24"/>
        <c:spPr>
          <a:solidFill>
            <a:schemeClr val="accent2">
              <a:alpha val="90000"/>
            </a:schemeClr>
          </a:solidFill>
          <a:ln w="19050">
            <a:solidFill>
              <a:schemeClr val="accent2">
                <a:lumMod val="75000"/>
              </a:schemeClr>
            </a:solidFill>
          </a:ln>
          <a:effectLst>
            <a:innerShdw blurRad="114300">
              <a:schemeClr val="accent2">
                <a:lumMod val="75000"/>
              </a:schemeClr>
            </a:innerShdw>
          </a:effectLst>
          <a:scene3d>
            <a:camera prst="orthographicFront"/>
            <a:lightRig rig="threePt" dir="t"/>
          </a:scene3d>
          <a:sp3d contourW="19050" prstMaterial="flat">
            <a:contourClr>
              <a:schemeClr val="accent2">
                <a:lumMod val="75000"/>
              </a:schemeClr>
            </a:contourClr>
          </a:sp3d>
        </c:spPr>
      </c:pivotFmt>
      <c:pivotFmt>
        <c:idx val="25"/>
        <c:marker>
          <c:symbol val="none"/>
        </c:marker>
        <c:dLbl>
          <c:idx val="0"/>
          <c:spPr>
            <a:solidFill>
              <a:sysClr val="window" lastClr="FFFFFF">
                <a:alpha val="90000"/>
              </a:sysClr>
            </a:solidFill>
            <a:ln w="12700" cap="flat" cmpd="sng" algn="ctr">
              <a:solidFill>
                <a:srgbClr val="969FA7"/>
              </a:solidFill>
              <a:round/>
            </a:ln>
            <a:effectLst>
              <a:outerShdw blurRad="50800" dist="38100" dir="2700000" algn="tl" rotWithShape="0">
                <a:srgbClr val="969FA7">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4"/>
                  </a:solidFill>
                  <a:effectLst/>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6"/>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pivotFmt>
      <c:pivotFmt>
        <c:idx val="27"/>
        <c:spPr>
          <a:solidFill>
            <a:schemeClr val="accent2">
              <a:alpha val="90000"/>
            </a:schemeClr>
          </a:solidFill>
          <a:ln w="19050">
            <a:solidFill>
              <a:schemeClr val="accent2">
                <a:lumMod val="75000"/>
              </a:schemeClr>
            </a:solidFill>
          </a:ln>
          <a:effectLst>
            <a:innerShdw blurRad="114300">
              <a:schemeClr val="accent2">
                <a:lumMod val="75000"/>
              </a:schemeClr>
            </a:innerShdw>
          </a:effectLst>
          <a:scene3d>
            <a:camera prst="orthographicFront"/>
            <a:lightRig rig="threePt" dir="t"/>
          </a:scene3d>
          <a:sp3d contourW="19050" prstMaterial="flat">
            <a:contourClr>
              <a:schemeClr val="accent2">
                <a:lumMod val="75000"/>
              </a:schemeClr>
            </a:contourClr>
          </a:sp3d>
        </c:spPr>
      </c:pivotFmt>
      <c:pivotFmt>
        <c:idx val="28"/>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marker>
          <c:symbol val="none"/>
        </c:marker>
      </c:pivotFmt>
      <c:pivotFmt>
        <c:idx val="29"/>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marker>
          <c:symbol val="none"/>
        </c:marker>
        <c:dLbl>
          <c:idx val="0"/>
          <c:dLblPos val="bestFit"/>
          <c:showLegendKey val="0"/>
          <c:showVal val="1"/>
          <c:showCatName val="1"/>
          <c:showSerName val="0"/>
          <c:showPercent val="0"/>
          <c:showBubbleSize val="0"/>
          <c:extLst>
            <c:ext xmlns:c15="http://schemas.microsoft.com/office/drawing/2012/chart" uri="{CE6537A1-D6FC-4f65-9D91-7224C49458BB}"/>
          </c:extLst>
        </c:dLbl>
      </c:pivotFmt>
      <c:pivotFmt>
        <c:idx val="30"/>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marker>
          <c:symbol val="none"/>
        </c:marker>
        <c:dLbl>
          <c:idx val="0"/>
          <c:dLblPos val="bestFit"/>
          <c:showLegendKey val="0"/>
          <c:showVal val="1"/>
          <c:showCatName val="1"/>
          <c:showSerName val="0"/>
          <c:showPercent val="0"/>
          <c:showBubbleSize val="0"/>
          <c:extLst>
            <c:ext xmlns:c15="http://schemas.microsoft.com/office/drawing/2012/chart" uri="{CE6537A1-D6FC-4f65-9D91-7224C49458BB}"/>
          </c:extLst>
        </c:dLbl>
      </c:pivotFmt>
      <c:pivotFmt>
        <c:idx val="31"/>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marker>
          <c:symbol val="none"/>
        </c:marker>
        <c:dLbl>
          <c:idx val="0"/>
          <c:dLblPos val="bestFit"/>
          <c:showLegendKey val="0"/>
          <c:showVal val="1"/>
          <c:showCatName val="1"/>
          <c:showSerName val="0"/>
          <c:showPercent val="0"/>
          <c:showBubbleSize val="0"/>
          <c:extLst>
            <c:ext xmlns:c15="http://schemas.microsoft.com/office/drawing/2012/chart" uri="{CE6537A1-D6FC-4f65-9D91-7224C49458BB}"/>
          </c:extLst>
        </c:dLbl>
      </c:pivotFmt>
      <c:pivotFmt>
        <c:idx val="32"/>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marker>
          <c:symbol val="none"/>
        </c:marker>
        <c:dLbl>
          <c:idx val="0"/>
          <c:dLblPos val="bestFit"/>
          <c:showLegendKey val="0"/>
          <c:showVal val="1"/>
          <c:showCatName val="1"/>
          <c:showSerName val="0"/>
          <c:showPercent val="0"/>
          <c:showBubbleSize val="0"/>
          <c:extLst>
            <c:ext xmlns:c15="http://schemas.microsoft.com/office/drawing/2012/chart" uri="{CE6537A1-D6FC-4f65-9D91-7224C49458BB}"/>
          </c:extLst>
        </c:dLbl>
      </c:pivotFmt>
      <c:pivotFmt>
        <c:idx val="33"/>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marker>
          <c:symbol val="none"/>
        </c:marker>
        <c:dLbl>
          <c:idx val="0"/>
          <c:dLblPos val="bestFit"/>
          <c:showLegendKey val="0"/>
          <c:showVal val="1"/>
          <c:showCatName val="1"/>
          <c:showSerName val="0"/>
          <c:showPercent val="0"/>
          <c:showBubbleSize val="0"/>
          <c:extLst>
            <c:ext xmlns:c15="http://schemas.microsoft.com/office/drawing/2012/chart" uri="{CE6537A1-D6FC-4f65-9D91-7224C49458BB}"/>
          </c:extLst>
        </c:dLbl>
      </c:pivotFmt>
      <c:pivotFmt>
        <c:idx val="34"/>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marker>
          <c:symbol val="none"/>
        </c:marker>
        <c:dLbl>
          <c:idx val="0"/>
          <c:dLblPos val="bestFit"/>
          <c:showLegendKey val="0"/>
          <c:showVal val="1"/>
          <c:showCatName val="1"/>
          <c:showSerName val="0"/>
          <c:showPercent val="0"/>
          <c:showBubbleSize val="0"/>
          <c:extLst>
            <c:ext xmlns:c15="http://schemas.microsoft.com/office/drawing/2012/chart" uri="{CE6537A1-D6FC-4f65-9D91-7224C49458BB}"/>
          </c:extLst>
        </c:dLbl>
      </c:pivotFmt>
      <c:pivotFmt>
        <c:idx val="35"/>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marker>
          <c:symbol val="none"/>
        </c:marker>
        <c:dLbl>
          <c:idx val="0"/>
          <c:dLblPos val="bestFit"/>
          <c:showLegendKey val="0"/>
          <c:showVal val="1"/>
          <c:showCatName val="1"/>
          <c:showSerName val="0"/>
          <c:showPercent val="0"/>
          <c:showBubbleSize val="0"/>
          <c:extLst>
            <c:ext xmlns:c15="http://schemas.microsoft.com/office/drawing/2012/chart" uri="{CE6537A1-D6FC-4f65-9D91-7224C49458BB}"/>
          </c:extLst>
        </c:dLbl>
      </c:pivotFmt>
      <c:pivotFmt>
        <c:idx val="36"/>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marker>
          <c:symbol val="none"/>
        </c:marker>
        <c:dLbl>
          <c:idx val="0"/>
          <c:dLblPos val="bestFit"/>
          <c:showLegendKey val="0"/>
          <c:showVal val="1"/>
          <c:showCatName val="1"/>
          <c:showSerName val="0"/>
          <c:showPercent val="0"/>
          <c:showBubbleSize val="0"/>
          <c:extLst>
            <c:ext xmlns:c15="http://schemas.microsoft.com/office/drawing/2012/chart" uri="{CE6537A1-D6FC-4f65-9D91-7224C49458BB}"/>
          </c:extLst>
        </c:dLbl>
      </c:pivotFmt>
      <c:pivotFmt>
        <c:idx val="37"/>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marker>
          <c:symbol val="none"/>
        </c:marker>
        <c:dLbl>
          <c:idx val="0"/>
          <c:dLblPos val="bestFit"/>
          <c:showLegendKey val="0"/>
          <c:showVal val="1"/>
          <c:showCatName val="1"/>
          <c:showSerName val="0"/>
          <c:showPercent val="0"/>
          <c:showBubbleSize val="0"/>
          <c:extLst>
            <c:ext xmlns:c15="http://schemas.microsoft.com/office/drawing/2012/chart" uri="{CE6537A1-D6FC-4f65-9D91-7224C49458BB}"/>
          </c:extLst>
        </c:dLbl>
      </c:pivotFmt>
      <c:pivotFmt>
        <c:idx val="38"/>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marker>
          <c:symbol val="none"/>
        </c:marker>
        <c:dLbl>
          <c:idx val="0"/>
          <c:dLblPos val="bestFit"/>
          <c:showLegendKey val="0"/>
          <c:showVal val="1"/>
          <c:showCatName val="1"/>
          <c:showSerName val="0"/>
          <c:showPercent val="0"/>
          <c:showBubbleSize val="0"/>
          <c:extLst>
            <c:ext xmlns:c15="http://schemas.microsoft.com/office/drawing/2012/chart" uri="{CE6537A1-D6FC-4f65-9D91-7224C49458BB}"/>
          </c:extLst>
        </c:dLbl>
      </c:pivotFmt>
      <c:pivotFmt>
        <c:idx val="39"/>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marker>
          <c:symbol val="none"/>
        </c:marker>
        <c:dLbl>
          <c:idx val="0"/>
          <c:dLblPos val="bestFit"/>
          <c:showLegendKey val="0"/>
          <c:showVal val="1"/>
          <c:showCatName val="1"/>
          <c:showSerName val="0"/>
          <c:showPercent val="0"/>
          <c:showBubbleSize val="0"/>
          <c:extLst>
            <c:ext xmlns:c15="http://schemas.microsoft.com/office/drawing/2012/chart" uri="{CE6537A1-D6FC-4f65-9D91-7224C49458BB}"/>
          </c:extLst>
        </c:dLbl>
      </c:pivotFmt>
      <c:pivotFmt>
        <c:idx val="40"/>
        <c:dLbl>
          <c:idx val="0"/>
          <c:spPr>
            <a:solidFill>
              <a:sysClr val="window" lastClr="FFFFFF">
                <a:alpha val="90000"/>
              </a:sysClr>
            </a:solidFill>
            <a:ln w="12700" cap="flat" cmpd="sng" algn="ctr">
              <a:solidFill>
                <a:srgbClr val="4D1434"/>
              </a:solidFill>
              <a:round/>
            </a:ln>
            <a:effectLst>
              <a:outerShdw blurRad="50800" dist="38100" dir="2700000" algn="tl" rotWithShape="0">
                <a:srgbClr val="4D143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xForSave val="1"/>
            </c:ext>
          </c:extLst>
        </c:dLbl>
      </c:pivotFmt>
      <c:pivotFmt>
        <c:idx val="41"/>
        <c:dLbl>
          <c:idx val="0"/>
          <c:spPr>
            <a:solidFill>
              <a:sysClr val="window" lastClr="FFFFFF">
                <a:alpha val="90000"/>
              </a:sysClr>
            </a:solidFill>
            <a:ln w="12700" cap="flat" cmpd="sng" algn="ctr">
              <a:solidFill>
                <a:srgbClr val="4D1434"/>
              </a:solidFill>
              <a:round/>
            </a:ln>
            <a:effectLst>
              <a:outerShdw blurRad="50800" dist="38100" dir="2700000" algn="tl" rotWithShape="0">
                <a:srgbClr val="4D143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xForSave val="1"/>
            </c:ext>
          </c:extLst>
        </c:dLbl>
      </c:pivotFmt>
      <c:pivotFmt>
        <c:idx val="42"/>
        <c:dLbl>
          <c:idx val="0"/>
          <c:spPr>
            <a:solidFill>
              <a:sysClr val="window" lastClr="FFFFFF">
                <a:alpha val="90000"/>
              </a:sysClr>
            </a:solidFill>
            <a:ln w="12700" cap="flat" cmpd="sng" algn="ctr">
              <a:solidFill>
                <a:srgbClr val="4D1434"/>
              </a:solidFill>
              <a:round/>
            </a:ln>
            <a:effectLst>
              <a:outerShdw blurRad="50800" dist="38100" dir="2700000" algn="tl" rotWithShape="0">
                <a:srgbClr val="4D143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xForSave val="1"/>
            </c:ext>
          </c:extLst>
        </c:dLbl>
      </c:pivotFmt>
      <c:pivotFmt>
        <c:idx val="43"/>
        <c:dLbl>
          <c:idx val="0"/>
          <c:spPr>
            <a:solidFill>
              <a:sysClr val="window" lastClr="FFFFFF">
                <a:alpha val="90000"/>
              </a:sysClr>
            </a:solidFill>
            <a:ln w="12700" cap="flat" cmpd="sng" algn="ctr">
              <a:solidFill>
                <a:srgbClr val="4D1434"/>
              </a:solidFill>
              <a:round/>
            </a:ln>
            <a:effectLst>
              <a:outerShdw blurRad="50800" dist="38100" dir="2700000" algn="tl" rotWithShape="0">
                <a:srgbClr val="4D143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xForSave val="1"/>
            </c:ext>
          </c:extLst>
        </c:dLbl>
      </c:pivotFmt>
      <c:pivotFmt>
        <c:idx val="44"/>
        <c:dLbl>
          <c:idx val="0"/>
          <c:spPr>
            <a:solidFill>
              <a:sysClr val="window" lastClr="FFFFFF">
                <a:alpha val="90000"/>
              </a:sysClr>
            </a:solidFill>
            <a:ln w="12700" cap="flat" cmpd="sng" algn="ctr">
              <a:solidFill>
                <a:srgbClr val="903163"/>
              </a:solidFill>
              <a:round/>
            </a:ln>
            <a:effectLst>
              <a:outerShdw blurRad="50800" dist="38100" dir="2700000" algn="tl" rotWithShape="0">
                <a:srgbClr val="903163">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xForSave val="1"/>
            </c:ext>
          </c:extLst>
        </c:dLbl>
      </c:pivotFmt>
      <c:pivotFmt>
        <c:idx val="45"/>
        <c:dLbl>
          <c:idx val="0"/>
          <c:spPr>
            <a:solidFill>
              <a:sysClr val="window" lastClr="FFFFFF">
                <a:alpha val="90000"/>
              </a:sysClr>
            </a:solidFill>
            <a:ln w="12700" cap="flat" cmpd="sng" algn="ctr">
              <a:solidFill>
                <a:srgbClr val="903163"/>
              </a:solidFill>
              <a:round/>
            </a:ln>
            <a:effectLst>
              <a:outerShdw blurRad="50800" dist="38100" dir="2700000" algn="tl" rotWithShape="0">
                <a:srgbClr val="903163">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xForSave val="1"/>
            </c:ext>
          </c:extLst>
        </c:dLbl>
      </c:pivotFmt>
      <c:pivotFmt>
        <c:idx val="46"/>
        <c:dLbl>
          <c:idx val="0"/>
          <c:spPr>
            <a:solidFill>
              <a:sysClr val="window" lastClr="FFFFFF">
                <a:alpha val="90000"/>
              </a:sysClr>
            </a:solidFill>
            <a:ln w="12700" cap="flat" cmpd="sng" algn="ctr">
              <a:solidFill>
                <a:srgbClr val="903163"/>
              </a:solidFill>
              <a:round/>
            </a:ln>
            <a:effectLst>
              <a:outerShdw blurRad="50800" dist="38100" dir="2700000" algn="tl" rotWithShape="0">
                <a:srgbClr val="903163">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xForSave val="1"/>
            </c:ext>
          </c:extLst>
        </c:dLbl>
      </c:pivotFmt>
      <c:pivotFmt>
        <c:idx val="47"/>
        <c:dLbl>
          <c:idx val="0"/>
          <c:spPr>
            <a:solidFill>
              <a:sysClr val="window" lastClr="FFFFFF">
                <a:alpha val="90000"/>
              </a:sysClr>
            </a:solidFill>
            <a:ln w="12700" cap="flat" cmpd="sng" algn="ctr">
              <a:solidFill>
                <a:srgbClr val="903163"/>
              </a:solidFill>
              <a:round/>
            </a:ln>
            <a:effectLst>
              <a:outerShdw blurRad="50800" dist="38100" dir="2700000" algn="tl" rotWithShape="0">
                <a:srgbClr val="903163">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xForSave val="1"/>
            </c:ext>
          </c:extLst>
        </c:dLbl>
      </c:pivotFmt>
      <c:pivotFmt>
        <c:idx val="48"/>
        <c:dLbl>
          <c:idx val="0"/>
          <c:spPr>
            <a:solidFill>
              <a:sysClr val="window" lastClr="FFFFFF">
                <a:alpha val="90000"/>
              </a:sysClr>
            </a:solidFill>
            <a:ln w="12700" cap="flat" cmpd="sng" algn="ctr">
              <a:solidFill>
                <a:srgbClr val="B2324B"/>
              </a:solidFill>
              <a:round/>
            </a:ln>
            <a:effectLst>
              <a:outerShdw blurRad="50800" dist="38100" dir="2700000" algn="tl" rotWithShape="0">
                <a:srgbClr val="B2324B">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xForSave val="1"/>
            </c:ext>
          </c:extLst>
        </c:dLbl>
      </c:pivotFmt>
      <c:pivotFmt>
        <c:idx val="49"/>
        <c:dLbl>
          <c:idx val="0"/>
          <c:spPr>
            <a:solidFill>
              <a:sysClr val="window" lastClr="FFFFFF">
                <a:alpha val="90000"/>
              </a:sysClr>
            </a:solidFill>
            <a:ln w="12700" cap="flat" cmpd="sng" algn="ctr">
              <a:solidFill>
                <a:srgbClr val="B2324B"/>
              </a:solidFill>
              <a:round/>
            </a:ln>
            <a:effectLst>
              <a:outerShdw blurRad="50800" dist="38100" dir="2700000" algn="tl" rotWithShape="0">
                <a:srgbClr val="B2324B">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xForSave val="1"/>
            </c:ext>
          </c:extLst>
        </c:dLbl>
      </c:pivotFmt>
      <c:pivotFmt>
        <c:idx val="50"/>
        <c:dLbl>
          <c:idx val="0"/>
          <c:spPr>
            <a:solidFill>
              <a:sysClr val="window" lastClr="FFFFFF">
                <a:alpha val="90000"/>
              </a:sysClr>
            </a:solidFill>
            <a:ln w="12700" cap="flat" cmpd="sng" algn="ctr">
              <a:solidFill>
                <a:srgbClr val="B2324B"/>
              </a:solidFill>
              <a:round/>
            </a:ln>
            <a:effectLst>
              <a:outerShdw blurRad="50800" dist="38100" dir="2700000" algn="tl" rotWithShape="0">
                <a:srgbClr val="B2324B">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xForSave val="1"/>
            </c:ext>
          </c:extLst>
        </c:dLbl>
      </c:pivotFmt>
      <c:pivotFmt>
        <c:idx val="51"/>
        <c:dLbl>
          <c:idx val="0"/>
          <c:spPr>
            <a:solidFill>
              <a:sysClr val="window" lastClr="FFFFFF">
                <a:alpha val="90000"/>
              </a:sysClr>
            </a:solidFill>
            <a:ln w="12700" cap="flat" cmpd="sng" algn="ctr">
              <a:solidFill>
                <a:srgbClr val="B2324B"/>
              </a:solidFill>
              <a:round/>
            </a:ln>
            <a:effectLst>
              <a:outerShdw blurRad="50800" dist="38100" dir="2700000" algn="tl" rotWithShape="0">
                <a:srgbClr val="B2324B">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xForSave val="1"/>
            </c:ext>
          </c:extLst>
        </c:dLbl>
      </c:pivotFmt>
      <c:pivotFmt>
        <c:idx val="52"/>
        <c:dLbl>
          <c:idx val="0"/>
          <c:spPr>
            <a:solidFill>
              <a:sysClr val="window" lastClr="FFFFFF">
                <a:alpha val="90000"/>
              </a:sysClr>
            </a:solidFill>
            <a:ln w="12700" cap="flat" cmpd="sng" algn="ctr">
              <a:solidFill>
                <a:srgbClr val="969FA7"/>
              </a:solidFill>
              <a:round/>
            </a:ln>
            <a:effectLst>
              <a:outerShdw blurRad="50800" dist="38100" dir="2700000" algn="tl" rotWithShape="0">
                <a:srgbClr val="969FA7">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xForSave val="1"/>
            </c:ext>
          </c:extLst>
        </c:dLbl>
      </c:pivotFmt>
      <c:pivotFmt>
        <c:idx val="53"/>
        <c:dLbl>
          <c:idx val="0"/>
          <c:spPr>
            <a:solidFill>
              <a:sysClr val="window" lastClr="FFFFFF">
                <a:alpha val="90000"/>
              </a:sysClr>
            </a:solidFill>
            <a:ln w="12700" cap="flat" cmpd="sng" algn="ctr">
              <a:solidFill>
                <a:srgbClr val="969FA7"/>
              </a:solidFill>
              <a:round/>
            </a:ln>
            <a:effectLst>
              <a:outerShdw blurRad="50800" dist="38100" dir="2700000" algn="tl" rotWithShape="0">
                <a:srgbClr val="969FA7">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xForSave val="1"/>
            </c:ext>
          </c:extLst>
        </c:dLbl>
      </c:pivotFmt>
      <c:pivotFmt>
        <c:idx val="54"/>
        <c:dLbl>
          <c:idx val="0"/>
          <c:spPr>
            <a:solidFill>
              <a:sysClr val="window" lastClr="FFFFFF">
                <a:alpha val="90000"/>
              </a:sysClr>
            </a:solidFill>
            <a:ln w="12700" cap="flat" cmpd="sng" algn="ctr">
              <a:solidFill>
                <a:srgbClr val="969FA7"/>
              </a:solidFill>
              <a:round/>
            </a:ln>
            <a:effectLst>
              <a:outerShdw blurRad="50800" dist="38100" dir="2700000" algn="tl" rotWithShape="0">
                <a:srgbClr val="969FA7">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xForSave val="1"/>
            </c:ext>
          </c:extLst>
        </c:dLbl>
      </c:pivotFmt>
      <c:pivotFmt>
        <c:idx val="55"/>
        <c:dLbl>
          <c:idx val="0"/>
          <c:spPr>
            <a:solidFill>
              <a:sysClr val="window" lastClr="FFFFFF">
                <a:alpha val="90000"/>
              </a:sysClr>
            </a:solidFill>
            <a:ln w="12700" cap="flat" cmpd="sng" algn="ctr">
              <a:solidFill>
                <a:srgbClr val="969FA7"/>
              </a:solidFill>
              <a:round/>
            </a:ln>
            <a:effectLst>
              <a:outerShdw blurRad="50800" dist="38100" dir="2700000" algn="tl" rotWithShape="0">
                <a:srgbClr val="969FA7">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xForSave val="1"/>
            </c:ext>
          </c:extLst>
        </c:dLbl>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Sheet4!$B$46</c:f>
              <c:strCache>
                <c:ptCount val="1"/>
                <c:pt idx="0">
                  <c:v>Count of EmployeeID</c:v>
                </c:pt>
              </c:strCache>
            </c:strRef>
          </c:tx>
          <c:dPt>
            <c:idx val="0"/>
            <c:bubble3D val="0"/>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extLst>
              <c:ext xmlns:c16="http://schemas.microsoft.com/office/drawing/2014/chart" uri="{C3380CC4-5D6E-409C-BE32-E72D297353CC}">
                <c16:uniqueId val="{00000001-F648-418D-996E-020E8B0C6F80}"/>
              </c:ext>
            </c:extLst>
          </c:dPt>
          <c:dPt>
            <c:idx val="1"/>
            <c:bubble3D val="0"/>
            <c:spPr>
              <a:solidFill>
                <a:schemeClr val="accent2">
                  <a:alpha val="90000"/>
                </a:schemeClr>
              </a:solidFill>
              <a:ln w="19050">
                <a:solidFill>
                  <a:schemeClr val="accent2">
                    <a:lumMod val="75000"/>
                  </a:schemeClr>
                </a:solidFill>
              </a:ln>
              <a:effectLst>
                <a:innerShdw blurRad="114300">
                  <a:schemeClr val="accent2">
                    <a:lumMod val="75000"/>
                  </a:schemeClr>
                </a:innerShdw>
              </a:effectLst>
              <a:scene3d>
                <a:camera prst="orthographicFront"/>
                <a:lightRig rig="threePt" dir="t"/>
              </a:scene3d>
              <a:sp3d contourW="19050" prstMaterial="flat">
                <a:contourClr>
                  <a:schemeClr val="accent2">
                    <a:lumMod val="75000"/>
                  </a:schemeClr>
                </a:contourClr>
              </a:sp3d>
            </c:spPr>
            <c:extLst>
              <c:ext xmlns:c16="http://schemas.microsoft.com/office/drawing/2014/chart" uri="{C3380CC4-5D6E-409C-BE32-E72D297353CC}">
                <c16:uniqueId val="{00000003-F648-418D-996E-020E8B0C6F80}"/>
              </c:ext>
            </c:extLst>
          </c:dPt>
          <c:dLbls>
            <c:spPr>
              <a:solidFill>
                <a:sysClr val="window" lastClr="FFFFFF">
                  <a:alpha val="90000"/>
                </a:sysClr>
              </a:solidFill>
              <a:ln w="12700" cap="flat" cmpd="sng" algn="ctr">
                <a:solidFill>
                  <a:srgbClr val="4D1434"/>
                </a:solidFill>
                <a:round/>
              </a:ln>
              <a:effectLst>
                <a:outerShdw blurRad="50800" dist="38100" dir="2700000" algn="tl" rotWithShape="0">
                  <a:srgbClr val="4D143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bestFit"/>
            <c:showLegendKey val="0"/>
            <c:showVal val="1"/>
            <c:showCatName val="1"/>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Sheet4!$A$47:$A$49</c:f>
              <c:strCache>
                <c:ptCount val="2"/>
                <c:pt idx="0">
                  <c:v>Female</c:v>
                </c:pt>
                <c:pt idx="1">
                  <c:v>Male</c:v>
                </c:pt>
              </c:strCache>
            </c:strRef>
          </c:cat>
          <c:val>
            <c:numRef>
              <c:f>Sheet4!$B$47:$B$49</c:f>
              <c:numCache>
                <c:formatCode>General</c:formatCode>
                <c:ptCount val="2"/>
                <c:pt idx="0">
                  <c:v>50</c:v>
                </c:pt>
                <c:pt idx="1">
                  <c:v>50</c:v>
                </c:pt>
              </c:numCache>
            </c:numRef>
          </c:val>
          <c:extLst>
            <c:ext xmlns:c16="http://schemas.microsoft.com/office/drawing/2014/chart" uri="{C3380CC4-5D6E-409C-BE32-E72D297353CC}">
              <c16:uniqueId val="{00000004-F648-418D-996E-020E8B0C6F80}"/>
            </c:ext>
          </c:extLst>
        </c:ser>
        <c:ser>
          <c:idx val="1"/>
          <c:order val="1"/>
          <c:tx>
            <c:strRef>
              <c:f>Sheet4!$C$46</c:f>
              <c:strCache>
                <c:ptCount val="1"/>
                <c:pt idx="0">
                  <c:v>Sum of BonusAmount</c:v>
                </c:pt>
              </c:strCache>
            </c:strRef>
          </c:tx>
          <c:dPt>
            <c:idx val="0"/>
            <c:bubble3D val="0"/>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extLst>
              <c:ext xmlns:c16="http://schemas.microsoft.com/office/drawing/2014/chart" uri="{C3380CC4-5D6E-409C-BE32-E72D297353CC}">
                <c16:uniqueId val="{00000006-F648-418D-996E-020E8B0C6F80}"/>
              </c:ext>
            </c:extLst>
          </c:dPt>
          <c:dPt>
            <c:idx val="1"/>
            <c:bubble3D val="0"/>
            <c:spPr>
              <a:solidFill>
                <a:schemeClr val="accent2">
                  <a:alpha val="90000"/>
                </a:schemeClr>
              </a:solidFill>
              <a:ln w="19050">
                <a:solidFill>
                  <a:schemeClr val="accent2">
                    <a:lumMod val="75000"/>
                  </a:schemeClr>
                </a:solidFill>
              </a:ln>
              <a:effectLst>
                <a:innerShdw blurRad="114300">
                  <a:schemeClr val="accent2">
                    <a:lumMod val="75000"/>
                  </a:schemeClr>
                </a:innerShdw>
              </a:effectLst>
              <a:scene3d>
                <a:camera prst="orthographicFront"/>
                <a:lightRig rig="threePt" dir="t"/>
              </a:scene3d>
              <a:sp3d contourW="19050" prstMaterial="flat">
                <a:contourClr>
                  <a:schemeClr val="accent2">
                    <a:lumMod val="75000"/>
                  </a:schemeClr>
                </a:contourClr>
              </a:sp3d>
            </c:spPr>
            <c:extLst>
              <c:ext xmlns:c16="http://schemas.microsoft.com/office/drawing/2014/chart" uri="{C3380CC4-5D6E-409C-BE32-E72D297353CC}">
                <c16:uniqueId val="{00000008-F648-418D-996E-020E8B0C6F80}"/>
              </c:ext>
            </c:extLst>
          </c:dPt>
          <c:dLbls>
            <c:spPr>
              <a:solidFill>
                <a:sysClr val="window" lastClr="FFFFFF">
                  <a:alpha val="90000"/>
                </a:sysClr>
              </a:solidFill>
              <a:ln w="12700" cap="flat" cmpd="sng" algn="ctr">
                <a:solidFill>
                  <a:srgbClr val="903163"/>
                </a:solidFill>
                <a:round/>
              </a:ln>
              <a:effectLst>
                <a:outerShdw blurRad="50800" dist="38100" dir="2700000" algn="tl" rotWithShape="0">
                  <a:srgbClr val="903163">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2"/>
                    </a:solidFill>
                    <a:effectLst/>
                    <a:latin typeface="+mn-lt"/>
                    <a:ea typeface="+mn-ea"/>
                    <a:cs typeface="+mn-cs"/>
                  </a:defRPr>
                </a:pPr>
                <a:endParaRPr lang="en-US"/>
              </a:p>
            </c:txPr>
            <c:dLblPos val="bestFit"/>
            <c:showLegendKey val="0"/>
            <c:showVal val="1"/>
            <c:showCatName val="1"/>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Sheet4!$A$47:$A$49</c:f>
              <c:strCache>
                <c:ptCount val="2"/>
                <c:pt idx="0">
                  <c:v>Female</c:v>
                </c:pt>
                <c:pt idx="1">
                  <c:v>Male</c:v>
                </c:pt>
              </c:strCache>
            </c:strRef>
          </c:cat>
          <c:val>
            <c:numRef>
              <c:f>Sheet4!$C$47:$C$49</c:f>
              <c:numCache>
                <c:formatCode>General</c:formatCode>
                <c:ptCount val="2"/>
                <c:pt idx="0">
                  <c:v>77900</c:v>
                </c:pt>
                <c:pt idx="1">
                  <c:v>76150</c:v>
                </c:pt>
              </c:numCache>
            </c:numRef>
          </c:val>
          <c:extLst>
            <c:ext xmlns:c16="http://schemas.microsoft.com/office/drawing/2014/chart" uri="{C3380CC4-5D6E-409C-BE32-E72D297353CC}">
              <c16:uniqueId val="{00000009-F648-418D-996E-020E8B0C6F80}"/>
            </c:ext>
          </c:extLst>
        </c:ser>
        <c:ser>
          <c:idx val="2"/>
          <c:order val="2"/>
          <c:tx>
            <c:strRef>
              <c:f>Sheet4!$D$46</c:f>
              <c:strCache>
                <c:ptCount val="1"/>
                <c:pt idx="0">
                  <c:v>Sum of ProjectsCompleted</c:v>
                </c:pt>
              </c:strCache>
            </c:strRef>
          </c:tx>
          <c:dPt>
            <c:idx val="0"/>
            <c:bubble3D val="0"/>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extLst>
              <c:ext xmlns:c16="http://schemas.microsoft.com/office/drawing/2014/chart" uri="{C3380CC4-5D6E-409C-BE32-E72D297353CC}">
                <c16:uniqueId val="{0000000B-F648-418D-996E-020E8B0C6F80}"/>
              </c:ext>
            </c:extLst>
          </c:dPt>
          <c:dPt>
            <c:idx val="1"/>
            <c:bubble3D val="0"/>
            <c:spPr>
              <a:solidFill>
                <a:schemeClr val="accent2">
                  <a:alpha val="90000"/>
                </a:schemeClr>
              </a:solidFill>
              <a:ln w="19050">
                <a:solidFill>
                  <a:schemeClr val="accent2">
                    <a:lumMod val="75000"/>
                  </a:schemeClr>
                </a:solidFill>
              </a:ln>
              <a:effectLst>
                <a:innerShdw blurRad="114300">
                  <a:schemeClr val="accent2">
                    <a:lumMod val="75000"/>
                  </a:schemeClr>
                </a:innerShdw>
              </a:effectLst>
              <a:scene3d>
                <a:camera prst="orthographicFront"/>
                <a:lightRig rig="threePt" dir="t"/>
              </a:scene3d>
              <a:sp3d contourW="19050" prstMaterial="flat">
                <a:contourClr>
                  <a:schemeClr val="accent2">
                    <a:lumMod val="75000"/>
                  </a:schemeClr>
                </a:contourClr>
              </a:sp3d>
            </c:spPr>
            <c:extLst>
              <c:ext xmlns:c16="http://schemas.microsoft.com/office/drawing/2014/chart" uri="{C3380CC4-5D6E-409C-BE32-E72D297353CC}">
                <c16:uniqueId val="{0000000D-F648-418D-996E-020E8B0C6F80}"/>
              </c:ext>
            </c:extLst>
          </c:dPt>
          <c:dLbls>
            <c:spPr>
              <a:solidFill>
                <a:sysClr val="window" lastClr="FFFFFF">
                  <a:alpha val="90000"/>
                </a:sysClr>
              </a:solidFill>
              <a:ln w="12700" cap="flat" cmpd="sng" algn="ctr">
                <a:solidFill>
                  <a:srgbClr val="B2324B"/>
                </a:solidFill>
                <a:round/>
              </a:ln>
              <a:effectLst>
                <a:outerShdw blurRad="50800" dist="38100" dir="2700000" algn="tl" rotWithShape="0">
                  <a:srgbClr val="B2324B">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3"/>
                    </a:solidFill>
                    <a:effectLst/>
                    <a:latin typeface="+mn-lt"/>
                    <a:ea typeface="+mn-ea"/>
                    <a:cs typeface="+mn-cs"/>
                  </a:defRPr>
                </a:pPr>
                <a:endParaRPr lang="en-US"/>
              </a:p>
            </c:txPr>
            <c:dLblPos val="bestFit"/>
            <c:showLegendKey val="0"/>
            <c:showVal val="1"/>
            <c:showCatName val="1"/>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Sheet4!$A$47:$A$49</c:f>
              <c:strCache>
                <c:ptCount val="2"/>
                <c:pt idx="0">
                  <c:v>Female</c:v>
                </c:pt>
                <c:pt idx="1">
                  <c:v>Male</c:v>
                </c:pt>
              </c:strCache>
            </c:strRef>
          </c:cat>
          <c:val>
            <c:numRef>
              <c:f>Sheet4!$D$47:$D$49</c:f>
              <c:numCache>
                <c:formatCode>General</c:formatCode>
                <c:ptCount val="2"/>
                <c:pt idx="0">
                  <c:v>535</c:v>
                </c:pt>
                <c:pt idx="1">
                  <c:v>533</c:v>
                </c:pt>
              </c:numCache>
            </c:numRef>
          </c:val>
          <c:extLst>
            <c:ext xmlns:c16="http://schemas.microsoft.com/office/drawing/2014/chart" uri="{C3380CC4-5D6E-409C-BE32-E72D297353CC}">
              <c16:uniqueId val="{0000000E-F648-418D-996E-020E8B0C6F80}"/>
            </c:ext>
          </c:extLst>
        </c:ser>
        <c:ser>
          <c:idx val="3"/>
          <c:order val="3"/>
          <c:tx>
            <c:strRef>
              <c:f>Sheet4!$E$46</c:f>
              <c:strCache>
                <c:ptCount val="1"/>
                <c:pt idx="0">
                  <c:v>Sum of PerformanceScore</c:v>
                </c:pt>
              </c:strCache>
            </c:strRef>
          </c:tx>
          <c:dPt>
            <c:idx val="0"/>
            <c:bubble3D val="0"/>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extLst>
              <c:ext xmlns:c16="http://schemas.microsoft.com/office/drawing/2014/chart" uri="{C3380CC4-5D6E-409C-BE32-E72D297353CC}">
                <c16:uniqueId val="{00000010-F648-418D-996E-020E8B0C6F80}"/>
              </c:ext>
            </c:extLst>
          </c:dPt>
          <c:dPt>
            <c:idx val="1"/>
            <c:bubble3D val="0"/>
            <c:spPr>
              <a:solidFill>
                <a:schemeClr val="accent2">
                  <a:alpha val="90000"/>
                </a:schemeClr>
              </a:solidFill>
              <a:ln w="19050">
                <a:solidFill>
                  <a:schemeClr val="accent2">
                    <a:lumMod val="75000"/>
                  </a:schemeClr>
                </a:solidFill>
              </a:ln>
              <a:effectLst>
                <a:innerShdw blurRad="114300">
                  <a:schemeClr val="accent2">
                    <a:lumMod val="75000"/>
                  </a:schemeClr>
                </a:innerShdw>
              </a:effectLst>
              <a:scene3d>
                <a:camera prst="orthographicFront"/>
                <a:lightRig rig="threePt" dir="t"/>
              </a:scene3d>
              <a:sp3d contourW="19050" prstMaterial="flat">
                <a:contourClr>
                  <a:schemeClr val="accent2">
                    <a:lumMod val="75000"/>
                  </a:schemeClr>
                </a:contourClr>
              </a:sp3d>
            </c:spPr>
            <c:extLst>
              <c:ext xmlns:c16="http://schemas.microsoft.com/office/drawing/2014/chart" uri="{C3380CC4-5D6E-409C-BE32-E72D297353CC}">
                <c16:uniqueId val="{00000012-F648-418D-996E-020E8B0C6F80}"/>
              </c:ext>
            </c:extLst>
          </c:dPt>
          <c:dLbls>
            <c:spPr>
              <a:solidFill>
                <a:sysClr val="window" lastClr="FFFFFF">
                  <a:alpha val="90000"/>
                </a:sysClr>
              </a:solidFill>
              <a:ln w="12700" cap="flat" cmpd="sng" algn="ctr">
                <a:solidFill>
                  <a:srgbClr val="969FA7"/>
                </a:solidFill>
                <a:round/>
              </a:ln>
              <a:effectLst>
                <a:outerShdw blurRad="50800" dist="38100" dir="2700000" algn="tl" rotWithShape="0">
                  <a:srgbClr val="969FA7">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4"/>
                    </a:solidFill>
                    <a:effectLst/>
                    <a:latin typeface="+mn-lt"/>
                    <a:ea typeface="+mn-ea"/>
                    <a:cs typeface="+mn-cs"/>
                  </a:defRPr>
                </a:pPr>
                <a:endParaRPr lang="en-US"/>
              </a:p>
            </c:txPr>
            <c:dLblPos val="bestFit"/>
            <c:showLegendKey val="0"/>
            <c:showVal val="1"/>
            <c:showCatName val="1"/>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Sheet4!$A$47:$A$49</c:f>
              <c:strCache>
                <c:ptCount val="2"/>
                <c:pt idx="0">
                  <c:v>Female</c:v>
                </c:pt>
                <c:pt idx="1">
                  <c:v>Male</c:v>
                </c:pt>
              </c:strCache>
            </c:strRef>
          </c:cat>
          <c:val>
            <c:numRef>
              <c:f>Sheet4!$E$47:$E$49</c:f>
              <c:numCache>
                <c:formatCode>General</c:formatCode>
                <c:ptCount val="2"/>
                <c:pt idx="0">
                  <c:v>4293</c:v>
                </c:pt>
                <c:pt idx="1">
                  <c:v>4227</c:v>
                </c:pt>
              </c:numCache>
            </c:numRef>
          </c:val>
          <c:extLst>
            <c:ext xmlns:c16="http://schemas.microsoft.com/office/drawing/2014/chart" uri="{C3380CC4-5D6E-409C-BE32-E72D297353CC}">
              <c16:uniqueId val="{00000013-F648-418D-996E-020E8B0C6F80}"/>
            </c:ext>
          </c:extLst>
        </c:ser>
        <c:dLbls>
          <c:dLblPos val="bestFit"/>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[Steve Excel Project.xlsx]Sheet4!PivotTable7</c:name>
    <c:fmtId val="91"/>
  </c:pivotSource>
  <c:chart>
    <c:title>
      <c:tx>
        <c:rich>
          <a:bodyPr rot="0" spcFirstLastPara="1" vertOverflow="ellipsis" vert="horz" wrap="square" anchor="ctr" anchorCtr="1"/>
          <a:lstStyle/>
          <a:p>
            <a:pPr>
              <a:defRPr sz="1800" b="1" i="0" u="none" strike="noStrike" kern="1200" baseline="0">
                <a:solidFill>
                  <a:schemeClr val="tx1">
                    <a:lumMod val="95000"/>
                    <a:lumOff val="5000"/>
                  </a:schemeClr>
                </a:solidFill>
                <a:latin typeface="+mn-lt"/>
                <a:ea typeface="+mn-ea"/>
                <a:cs typeface="+mn-cs"/>
              </a:defRPr>
            </a:pPr>
            <a:r>
              <a:rPr lang="en-US">
                <a:solidFill>
                  <a:schemeClr val="tx1">
                    <a:lumMod val="95000"/>
                    <a:lumOff val="5000"/>
                  </a:schemeClr>
                </a:solidFill>
              </a:rPr>
              <a:t>Sum of Projects Completed in</a:t>
            </a:r>
            <a:r>
              <a:rPr lang="en-US" baseline="0">
                <a:solidFill>
                  <a:schemeClr val="tx1">
                    <a:lumMod val="95000"/>
                    <a:lumOff val="5000"/>
                  </a:schemeClr>
                </a:solidFill>
              </a:rPr>
              <a:t> each Year for the Two gender</a:t>
            </a:r>
            <a:r>
              <a:rPr lang="en-US">
                <a:solidFill>
                  <a:schemeClr val="tx1">
                    <a:lumMod val="95000"/>
                    <a:lumOff val="5000"/>
                  </a:schemeClr>
                </a:solidFill>
              </a:rPr>
              <a:t> </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tx1">
                  <a:lumMod val="95000"/>
                  <a:lumOff val="5000"/>
                </a:schemeClr>
              </a:solidFill>
              <a:latin typeface="+mn-lt"/>
              <a:ea typeface="+mn-ea"/>
              <a:cs typeface="+mn-cs"/>
            </a:defRPr>
          </a:pPr>
          <a:endParaRPr lang="en-US"/>
        </a:p>
      </c:txPr>
    </c:title>
    <c:autoTitleDeleted val="0"/>
    <c:pivotFmts>
      <c:pivotFmt>
        <c:idx val="0"/>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31750" cap="rnd" cmpd="sng" algn="ctr">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31750" cap="rnd" cmpd="sng" algn="ctr">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Sheet4!$B$52:$B$53</c:f>
              <c:strCache>
                <c:ptCount val="1"/>
                <c:pt idx="0">
                  <c:v>Female</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Sheet4!$A$54:$A$58</c:f>
              <c:strCache>
                <c:ptCount val="4"/>
                <c:pt idx="0">
                  <c:v>2019</c:v>
                </c:pt>
                <c:pt idx="1">
                  <c:v>2020</c:v>
                </c:pt>
                <c:pt idx="2">
                  <c:v>2021</c:v>
                </c:pt>
                <c:pt idx="3">
                  <c:v>2022</c:v>
                </c:pt>
              </c:strCache>
            </c:strRef>
          </c:cat>
          <c:val>
            <c:numRef>
              <c:f>Sheet4!$B$54:$B$58</c:f>
              <c:numCache>
                <c:formatCode>General</c:formatCode>
                <c:ptCount val="4"/>
                <c:pt idx="0">
                  <c:v>45</c:v>
                </c:pt>
                <c:pt idx="1">
                  <c:v>121</c:v>
                </c:pt>
                <c:pt idx="2">
                  <c:v>217</c:v>
                </c:pt>
                <c:pt idx="3">
                  <c:v>152</c:v>
                </c:pt>
              </c:numCache>
            </c:numRef>
          </c:val>
          <c:smooth val="0"/>
          <c:extLst>
            <c:ext xmlns:c16="http://schemas.microsoft.com/office/drawing/2014/chart" uri="{C3380CC4-5D6E-409C-BE32-E72D297353CC}">
              <c16:uniqueId val="{00000000-4E96-414C-98CE-496E73CA97AF}"/>
            </c:ext>
          </c:extLst>
        </c:ser>
        <c:ser>
          <c:idx val="1"/>
          <c:order val="1"/>
          <c:tx>
            <c:strRef>
              <c:f>Sheet4!$C$52:$C$53</c:f>
              <c:strCache>
                <c:ptCount val="1"/>
                <c:pt idx="0">
                  <c:v>Male</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Sheet4!$A$54:$A$58</c:f>
              <c:strCache>
                <c:ptCount val="4"/>
                <c:pt idx="0">
                  <c:v>2019</c:v>
                </c:pt>
                <c:pt idx="1">
                  <c:v>2020</c:v>
                </c:pt>
                <c:pt idx="2">
                  <c:v>2021</c:v>
                </c:pt>
                <c:pt idx="3">
                  <c:v>2022</c:v>
                </c:pt>
              </c:strCache>
            </c:strRef>
          </c:cat>
          <c:val>
            <c:numRef>
              <c:f>Sheet4!$C$54:$C$58</c:f>
              <c:numCache>
                <c:formatCode>General</c:formatCode>
                <c:ptCount val="4"/>
                <c:pt idx="0">
                  <c:v>144</c:v>
                </c:pt>
                <c:pt idx="1">
                  <c:v>208</c:v>
                </c:pt>
                <c:pt idx="2">
                  <c:v>122</c:v>
                </c:pt>
                <c:pt idx="3">
                  <c:v>59</c:v>
                </c:pt>
              </c:numCache>
            </c:numRef>
          </c:val>
          <c:smooth val="0"/>
          <c:extLst>
            <c:ext xmlns:c16="http://schemas.microsoft.com/office/drawing/2014/chart" uri="{C3380CC4-5D6E-409C-BE32-E72D297353CC}">
              <c16:uniqueId val="{00000001-4E96-414C-98CE-496E73CA97AF}"/>
            </c:ext>
          </c:extLst>
        </c:ser>
        <c:dLbls>
          <c:dLblPos val="ctr"/>
          <c:showLegendKey val="0"/>
          <c:showVal val="1"/>
          <c:showCatName val="0"/>
          <c:showSerName val="0"/>
          <c:showPercent val="0"/>
          <c:showBubbleSize val="0"/>
        </c:dLbls>
        <c:marker val="1"/>
        <c:smooth val="0"/>
        <c:axId val="509498080"/>
        <c:axId val="509499520"/>
      </c:lineChart>
      <c:catAx>
        <c:axId val="50949808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Hired Year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509499520"/>
        <c:crosses val="autoZero"/>
        <c:auto val="1"/>
        <c:lblAlgn val="ctr"/>
        <c:lblOffset val="100"/>
        <c:noMultiLvlLbl val="0"/>
      </c:catAx>
      <c:valAx>
        <c:axId val="509499520"/>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Projects Completed</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50949808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[Steve Excel Project.xlsx]Sheet4!PivotTable8</c:name>
    <c:fmtId val="95"/>
  </c:pivotSource>
  <c:chart>
    <c:title>
      <c:tx>
        <c:rich>
          <a:bodyPr rot="0" spcFirstLastPara="1" vertOverflow="ellipsis" vert="horz" wrap="square" anchor="ctr" anchorCtr="1"/>
          <a:lstStyle/>
          <a:p>
            <a:pPr>
              <a:defRPr sz="1600" b="1" i="0" u="none" strike="noStrike" kern="1200" baseline="0">
                <a:solidFill>
                  <a:schemeClr val="tx1">
                    <a:lumMod val="95000"/>
                    <a:lumOff val="5000"/>
                  </a:schemeClr>
                </a:solidFill>
                <a:latin typeface="+mn-lt"/>
                <a:ea typeface="+mn-ea"/>
                <a:cs typeface="+mn-cs"/>
              </a:defRPr>
            </a:pPr>
            <a:r>
              <a:rPr lang="en-US">
                <a:solidFill>
                  <a:schemeClr val="tx1">
                    <a:lumMod val="95000"/>
                    <a:lumOff val="5000"/>
                  </a:schemeClr>
                </a:solidFill>
              </a:rPr>
              <a:t>AVR.</a:t>
            </a:r>
            <a:r>
              <a:rPr lang="en-US" baseline="0">
                <a:solidFill>
                  <a:schemeClr val="tx1">
                    <a:lumMod val="95000"/>
                    <a:lumOff val="5000"/>
                  </a:schemeClr>
                </a:solidFill>
              </a:rPr>
              <a:t> Performance Score &amp; AVR. Bonus Amount for each Gender</a:t>
            </a:r>
            <a:endParaRPr lang="en-US">
              <a:solidFill>
                <a:schemeClr val="tx1">
                  <a:lumMod val="95000"/>
                  <a:lumOff val="5000"/>
                </a:schemeClr>
              </a:solidFill>
            </a:endParaRPr>
          </a:p>
        </c:rich>
      </c:tx>
      <c:layout>
        <c:manualLayout>
          <c:xMode val="edge"/>
          <c:yMode val="edge"/>
          <c:x val="0.10148588583026646"/>
          <c:y val="1.492537751950215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95000"/>
                  <a:lumOff val="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028186988514092"/>
          <c:y val="0.14687629183108819"/>
          <c:w val="0.55001150150757649"/>
          <c:h val="0.6233222538847849"/>
        </c:manualLayout>
      </c:layout>
      <c:barChart>
        <c:barDir val="bar"/>
        <c:grouping val="clustered"/>
        <c:varyColors val="0"/>
        <c:ser>
          <c:idx val="0"/>
          <c:order val="0"/>
          <c:tx>
            <c:strRef>
              <c:f>Sheet4!$B$61</c:f>
              <c:strCache>
                <c:ptCount val="1"/>
                <c:pt idx="0">
                  <c:v>Average of BonusAmount</c:v>
                </c:pt>
              </c:strCache>
            </c:strRef>
          </c:tx>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Sheet4!$A$62:$A$64</c:f>
              <c:strCache>
                <c:ptCount val="2"/>
                <c:pt idx="0">
                  <c:v>Female</c:v>
                </c:pt>
                <c:pt idx="1">
                  <c:v>Male</c:v>
                </c:pt>
              </c:strCache>
            </c:strRef>
          </c:cat>
          <c:val>
            <c:numRef>
              <c:f>Sheet4!$B$62:$B$64</c:f>
              <c:numCache>
                <c:formatCode>General</c:formatCode>
                <c:ptCount val="2"/>
                <c:pt idx="0">
                  <c:v>1558</c:v>
                </c:pt>
                <c:pt idx="1">
                  <c:v>1523</c:v>
                </c:pt>
              </c:numCache>
            </c:numRef>
          </c:val>
          <c:extLst>
            <c:ext xmlns:c16="http://schemas.microsoft.com/office/drawing/2014/chart" uri="{C3380CC4-5D6E-409C-BE32-E72D297353CC}">
              <c16:uniqueId val="{00000000-E817-406F-B4B8-C30208168DE2}"/>
            </c:ext>
          </c:extLst>
        </c:ser>
        <c:ser>
          <c:idx val="1"/>
          <c:order val="1"/>
          <c:tx>
            <c:strRef>
              <c:f>Sheet4!$C$61</c:f>
              <c:strCache>
                <c:ptCount val="1"/>
                <c:pt idx="0">
                  <c:v>Average of PerformanceScore</c:v>
                </c:pt>
              </c:strCache>
            </c:strRef>
          </c:tx>
          <c:spPr>
            <a:gradFill rotWithShape="1">
              <a:gsLst>
                <a:gs pos="0">
                  <a:schemeClr val="accent2">
                    <a:tint val="98000"/>
                    <a:lumMod val="110000"/>
                  </a:schemeClr>
                </a:gs>
                <a:gs pos="84000">
                  <a:schemeClr val="accent2">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Sheet4!$A$62:$A$64</c:f>
              <c:strCache>
                <c:ptCount val="2"/>
                <c:pt idx="0">
                  <c:v>Female</c:v>
                </c:pt>
                <c:pt idx="1">
                  <c:v>Male</c:v>
                </c:pt>
              </c:strCache>
            </c:strRef>
          </c:cat>
          <c:val>
            <c:numRef>
              <c:f>Sheet4!$C$62:$C$64</c:f>
              <c:numCache>
                <c:formatCode>0</c:formatCode>
                <c:ptCount val="2"/>
                <c:pt idx="0">
                  <c:v>85.86</c:v>
                </c:pt>
                <c:pt idx="1">
                  <c:v>84.54</c:v>
                </c:pt>
              </c:numCache>
            </c:numRef>
          </c:val>
          <c:extLst>
            <c:ext xmlns:c16="http://schemas.microsoft.com/office/drawing/2014/chart" uri="{C3380CC4-5D6E-409C-BE32-E72D297353CC}">
              <c16:uniqueId val="{00000001-E817-406F-B4B8-C30208168DE2}"/>
            </c:ext>
          </c:extLst>
        </c:ser>
        <c:dLbls>
          <c:dLblPos val="outEnd"/>
          <c:showLegendKey val="0"/>
          <c:showVal val="1"/>
          <c:showCatName val="0"/>
          <c:showSerName val="0"/>
          <c:showPercent val="0"/>
          <c:showBubbleSize val="0"/>
        </c:dLbls>
        <c:gapWidth val="115"/>
        <c:overlap val="-20"/>
        <c:axId val="646360904"/>
        <c:axId val="646361264"/>
      </c:barChart>
      <c:catAx>
        <c:axId val="646360904"/>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6361264"/>
        <c:crosses val="autoZero"/>
        <c:auto val="1"/>
        <c:lblAlgn val="ctr"/>
        <c:lblOffset val="100"/>
        <c:noMultiLvlLbl val="0"/>
      </c:catAx>
      <c:valAx>
        <c:axId val="6463612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636090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4904-4B2F-B75C-4F0B07005A31}"/>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4904-4B2F-B75C-4F0B07005A31}"/>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4904-4B2F-B75C-4F0B07005A31}"/>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4-4904-4B2F-B75C-4F0B07005A31}"/>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4904-4B2F-B75C-4F0B07005A31}"/>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1-4904-4B2F-B75C-4F0B07005A31}"/>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2-4904-4B2F-B75C-4F0B07005A31}"/>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3-4904-4B2F-B75C-4F0B07005A31}"/>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4-4904-4B2F-B75C-4F0B07005A31}"/>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5-4904-4B2F-B75C-4F0B07005A31}"/>
                </c:ext>
              </c:extLst>
            </c:dLbl>
            <c:spPr>
              <a:noFill/>
              <a:ln>
                <a:noFill/>
              </a:ln>
              <a:effectLst/>
            </c:sp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'Employee Performance Data Clean'!$P$4:$P$8</c:f>
              <c:strCache>
                <c:ptCount val="5"/>
                <c:pt idx="0">
                  <c:v>IT</c:v>
                </c:pt>
                <c:pt idx="1">
                  <c:v>HR</c:v>
                </c:pt>
                <c:pt idx="2">
                  <c:v>Finance</c:v>
                </c:pt>
                <c:pt idx="3">
                  <c:v>Marketing</c:v>
                </c:pt>
                <c:pt idx="4">
                  <c:v>Sales</c:v>
                </c:pt>
              </c:strCache>
            </c:strRef>
          </c:cat>
          <c:val>
            <c:numRef>
              <c:f>'Employee Performance Data Clean'!$Q$4:$Q$8</c:f>
              <c:numCache>
                <c:formatCode>General</c:formatCode>
                <c:ptCount val="5"/>
                <c:pt idx="0">
                  <c:v>26</c:v>
                </c:pt>
                <c:pt idx="1">
                  <c:v>20</c:v>
                </c:pt>
                <c:pt idx="2">
                  <c:v>16</c:v>
                </c:pt>
                <c:pt idx="3">
                  <c:v>19</c:v>
                </c:pt>
                <c:pt idx="4">
                  <c:v>19</c:v>
                </c:pt>
              </c:numCache>
            </c:numRef>
          </c:val>
          <c:extLst>
            <c:ext xmlns:c16="http://schemas.microsoft.com/office/drawing/2014/chart" uri="{C3380CC4-5D6E-409C-BE32-E72D297353CC}">
              <c16:uniqueId val="{00000000-4904-4B2F-B75C-4F0B07005A31}"/>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[Steve Excel Project.xlsx]Sheet4!PivotTable1</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Sheet4!$B$13</c:f>
              <c:strCache>
                <c:ptCount val="1"/>
                <c:pt idx="0">
                  <c:v>Total</c:v>
                </c:pt>
              </c:strCache>
            </c:strRef>
          </c:tx>
          <c:spPr>
            <a:solidFill>
              <a:schemeClr val="accent1"/>
            </a:solidFill>
            <a:ln>
              <a:noFill/>
            </a:ln>
            <a:effectLst/>
            <a:sp3d/>
          </c:spPr>
          <c:invertIfNegative val="0"/>
          <c:cat>
            <c:strRef>
              <c:f>Sheet4!$A$14:$A$19</c:f>
              <c:strCache>
                <c:ptCount val="5"/>
                <c:pt idx="0">
                  <c:v>Finance</c:v>
                </c:pt>
                <c:pt idx="1">
                  <c:v>HR</c:v>
                </c:pt>
                <c:pt idx="2">
                  <c:v>IT</c:v>
                </c:pt>
                <c:pt idx="3">
                  <c:v>Marketing</c:v>
                </c:pt>
                <c:pt idx="4">
                  <c:v>Sales</c:v>
                </c:pt>
              </c:strCache>
            </c:strRef>
          </c:cat>
          <c:val>
            <c:numRef>
              <c:f>Sheet4!$B$14:$B$19</c:f>
              <c:numCache>
                <c:formatCode>General</c:formatCode>
                <c:ptCount val="5"/>
                <c:pt idx="0">
                  <c:v>1401</c:v>
                </c:pt>
                <c:pt idx="1">
                  <c:v>1704</c:v>
                </c:pt>
                <c:pt idx="2">
                  <c:v>2242</c:v>
                </c:pt>
                <c:pt idx="3">
                  <c:v>1581</c:v>
                </c:pt>
                <c:pt idx="4">
                  <c:v>1592</c:v>
                </c:pt>
              </c:numCache>
            </c:numRef>
          </c:val>
          <c:extLst>
            <c:ext xmlns:c16="http://schemas.microsoft.com/office/drawing/2014/chart" uri="{C3380CC4-5D6E-409C-BE32-E72D297353CC}">
              <c16:uniqueId val="{00000002-709A-40EB-958D-75B357703497}"/>
            </c:ext>
          </c:extLst>
        </c:ser>
        <c:dLbls>
          <c:showLegendKey val="0"/>
          <c:showVal val="0"/>
          <c:showCatName val="0"/>
          <c:showSerName val="0"/>
          <c:showPercent val="0"/>
          <c:showBubbleSize val="0"/>
        </c:dLbls>
        <c:gapWidth val="150"/>
        <c:shape val="box"/>
        <c:axId val="558731864"/>
        <c:axId val="558729704"/>
        <c:axId val="0"/>
      </c:bar3DChart>
      <c:catAx>
        <c:axId val="55873186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8729704"/>
        <c:crosses val="autoZero"/>
        <c:auto val="1"/>
        <c:lblAlgn val="ctr"/>
        <c:lblOffset val="100"/>
        <c:noMultiLvlLbl val="0"/>
      </c:catAx>
      <c:valAx>
        <c:axId val="5587297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873186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[Steve Excel Project.xlsx]Sheet4!PivotTable2</c:name>
    <c:fmtId val="1"/>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38100" dist="25400" dir="5400000" rotWithShape="0">
              <a:srgbClr val="000000">
                <a:alpha val="55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Sheet4!$B$3</c:f>
              <c:strCache>
                <c:ptCount val="1"/>
                <c:pt idx="0">
                  <c:v>Total</c:v>
                </c:pt>
              </c:strCache>
            </c:strRef>
          </c:tx>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38100" dist="25400" dir="5400000" rotWithShape="0">
                <a:srgbClr val="000000">
                  <a:alpha val="55000"/>
                </a:srgbClr>
              </a:outerShdw>
            </a:effectLst>
            <a:sp3d/>
          </c:spPr>
          <c:invertIfNegative val="0"/>
          <c:cat>
            <c:strRef>
              <c:f>Sheet4!$A$4:$A$9</c:f>
              <c:strCache>
                <c:ptCount val="5"/>
                <c:pt idx="0">
                  <c:v>Finance</c:v>
                </c:pt>
                <c:pt idx="1">
                  <c:v>HR</c:v>
                </c:pt>
                <c:pt idx="2">
                  <c:v>IT</c:v>
                </c:pt>
                <c:pt idx="3">
                  <c:v>Marketing</c:v>
                </c:pt>
                <c:pt idx="4">
                  <c:v>Sales</c:v>
                </c:pt>
              </c:strCache>
            </c:strRef>
          </c:cat>
          <c:val>
            <c:numRef>
              <c:f>Sheet4!$B$4:$B$9</c:f>
              <c:numCache>
                <c:formatCode>_("$"* #,##0.00_);_("$"* \(#,##0.00\);_("$"* "-"??_);_(@_)</c:formatCode>
                <c:ptCount val="5"/>
                <c:pt idx="0">
                  <c:v>26600</c:v>
                </c:pt>
                <c:pt idx="1">
                  <c:v>30550</c:v>
                </c:pt>
                <c:pt idx="2">
                  <c:v>41300</c:v>
                </c:pt>
                <c:pt idx="3">
                  <c:v>27400</c:v>
                </c:pt>
                <c:pt idx="4">
                  <c:v>28200</c:v>
                </c:pt>
              </c:numCache>
            </c:numRef>
          </c:val>
          <c:extLst>
            <c:ext xmlns:c16="http://schemas.microsoft.com/office/drawing/2014/chart" uri="{C3380CC4-5D6E-409C-BE32-E72D297353CC}">
              <c16:uniqueId val="{00000000-7742-4CCC-993B-2C7C10A161C9}"/>
            </c:ext>
          </c:extLst>
        </c:ser>
        <c:dLbls>
          <c:showLegendKey val="0"/>
          <c:showVal val="0"/>
          <c:showCatName val="0"/>
          <c:showSerName val="0"/>
          <c:showPercent val="0"/>
          <c:showBubbleSize val="0"/>
        </c:dLbls>
        <c:gapWidth val="150"/>
        <c:shape val="box"/>
        <c:axId val="597358824"/>
        <c:axId val="603987976"/>
        <c:axId val="0"/>
      </c:bar3DChart>
      <c:catAx>
        <c:axId val="59735882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03987976"/>
        <c:crosses val="autoZero"/>
        <c:auto val="1"/>
        <c:lblAlgn val="ctr"/>
        <c:lblOffset val="100"/>
        <c:noMultiLvlLbl val="0"/>
      </c:catAx>
      <c:valAx>
        <c:axId val="603987976"/>
        <c:scaling>
          <c:orientation val="minMax"/>
        </c:scaling>
        <c:delete val="0"/>
        <c:axPos val="l"/>
        <c:majorGridlines>
          <c:spPr>
            <a:ln w="9525" cap="flat" cmpd="sng" algn="ctr">
              <a:solidFill>
                <a:schemeClr val="tx2">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97358824"/>
        <c:crosses val="autoZero"/>
        <c:crossBetween val="between"/>
      </c:valAx>
      <c:dTable>
        <c:showHorzBorder val="1"/>
        <c:showVertBorder val="1"/>
        <c:showOutline val="1"/>
        <c:showKeys val="1"/>
        <c:spPr>
          <a:noFill/>
          <a:ln w="9525">
            <a:solidFill>
              <a:schemeClr val="tx2">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2"/>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[Steve Excel Project.xlsx]Sheet4!PivotTable4</c:name>
    <c:fmtId val="26"/>
  </c:pivotSource>
  <c:chart>
    <c:title>
      <c:overlay val="0"/>
    </c:title>
    <c:autoTitleDeleted val="0"/>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1"/>
        <c:spPr>
          <a:solidFill>
            <a:schemeClr val="accent2"/>
          </a:solidFill>
          <a:ln>
            <a:noFill/>
          </a:ln>
          <a:effectLst>
            <a:outerShdw blurRad="63500" sx="102000" sy="102000" algn="ctr" rotWithShape="0">
              <a:prstClr val="black">
                <a:alpha val="20000"/>
              </a:prstClr>
            </a:outerShdw>
          </a:effectLst>
        </c:spPr>
      </c:pivotFmt>
      <c:pivotFmt>
        <c:idx val="2"/>
        <c:spPr>
          <a:solidFill>
            <a:schemeClr val="accent4"/>
          </a:solidFill>
          <a:ln>
            <a:noFill/>
          </a:ln>
          <a:effectLst>
            <a:outerShdw blurRad="63500" sx="102000" sy="102000" algn="ctr" rotWithShape="0">
              <a:prstClr val="black">
                <a:alpha val="20000"/>
              </a:prstClr>
            </a:outerShdw>
          </a:effectLst>
        </c:spPr>
      </c:pivotFmt>
      <c:pivotFmt>
        <c:idx val="3"/>
        <c:spPr>
          <a:solidFill>
            <a:schemeClr val="accent1"/>
          </a:solidFill>
          <a:ln>
            <a:noFill/>
          </a:ln>
          <a:effectLst>
            <a:outerShdw blurRad="63500" sx="102000" sy="102000" algn="ctr" rotWithShape="0">
              <a:prstClr val="black">
                <a:alpha val="20000"/>
              </a:prstClr>
            </a:outerShdw>
          </a:effectLst>
        </c:spPr>
      </c:pivotFmt>
      <c:pivotFmt>
        <c:idx val="4"/>
        <c:spPr>
          <a:solidFill>
            <a:schemeClr val="accent3"/>
          </a:solidFill>
          <a:ln>
            <a:noFill/>
          </a:ln>
          <a:effectLst>
            <a:outerShdw blurRad="63500" sx="102000" sy="102000" algn="ctr" rotWithShape="0">
              <a:prstClr val="black">
                <a:alpha val="20000"/>
              </a:prstClr>
            </a:outerShdw>
          </a:effectLst>
        </c:spPr>
      </c:pivotFmt>
      <c:pivotFmt>
        <c:idx val="5"/>
        <c:marker>
          <c:symbol val="none"/>
        </c:marker>
        <c:dLbl>
          <c:idx val="0"/>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Sheet4!$B$22</c:f>
              <c:strCache>
                <c:ptCount val="1"/>
                <c:pt idx="0">
                  <c:v>Total</c:v>
                </c:pt>
              </c:strCache>
            </c:strRef>
          </c:tx>
          <c:dLbls>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showLeaderLines val="1"/>
            <c:extLst>
              <c:ext xmlns:c15="http://schemas.microsoft.com/office/drawing/2012/chart" uri="{CE6537A1-D6FC-4f65-9D91-7224C49458BB}"/>
            </c:extLst>
          </c:dLbls>
          <c:cat>
            <c:strRef>
              <c:f>Sheet4!$A$23:$A$28</c:f>
              <c:strCache>
                <c:ptCount val="5"/>
                <c:pt idx="0">
                  <c:v>Finance</c:v>
                </c:pt>
                <c:pt idx="1">
                  <c:v>HR</c:v>
                </c:pt>
                <c:pt idx="2">
                  <c:v>IT</c:v>
                </c:pt>
                <c:pt idx="3">
                  <c:v>Marketing</c:v>
                </c:pt>
                <c:pt idx="4">
                  <c:v>Sales</c:v>
                </c:pt>
              </c:strCache>
            </c:strRef>
          </c:cat>
          <c:val>
            <c:numRef>
              <c:f>Sheet4!$B$23:$B$28</c:f>
              <c:numCache>
                <c:formatCode>General</c:formatCode>
                <c:ptCount val="5"/>
                <c:pt idx="0">
                  <c:v>16</c:v>
                </c:pt>
                <c:pt idx="1">
                  <c:v>20</c:v>
                </c:pt>
                <c:pt idx="2">
                  <c:v>26</c:v>
                </c:pt>
                <c:pt idx="3">
                  <c:v>19</c:v>
                </c:pt>
                <c:pt idx="4">
                  <c:v>19</c:v>
                </c:pt>
              </c:numCache>
            </c:numRef>
          </c:val>
          <c:extLst>
            <c:ext xmlns:c16="http://schemas.microsoft.com/office/drawing/2014/chart" uri="{C3380CC4-5D6E-409C-BE32-E72D297353CC}">
              <c16:uniqueId val="{00000008-D7A7-4E09-B0D2-B776297B3D2B}"/>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[Steve Excel Project.xlsx]Sheet4!PivotTable3</c:name>
    <c:fmtId val="6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Sheet4!$B$31</c:f>
              <c:strCache>
                <c:ptCount val="1"/>
                <c:pt idx="0">
                  <c:v>Total</c:v>
                </c:pt>
              </c:strCache>
            </c:strRef>
          </c:tx>
          <c:spPr>
            <a:ln w="28575" cap="rnd">
              <a:solidFill>
                <a:schemeClr val="accent1"/>
              </a:solidFill>
              <a:round/>
            </a:ln>
            <a:effectLst/>
          </c:spPr>
          <c:marker>
            <c:symbol val="none"/>
          </c:marker>
          <c:cat>
            <c:strRef>
              <c:f>Sheet4!$A$32:$A$36</c:f>
              <c:strCache>
                <c:ptCount val="4"/>
                <c:pt idx="0">
                  <c:v>2019</c:v>
                </c:pt>
                <c:pt idx="1">
                  <c:v>2020</c:v>
                </c:pt>
                <c:pt idx="2">
                  <c:v>2021</c:v>
                </c:pt>
                <c:pt idx="3">
                  <c:v>2022</c:v>
                </c:pt>
              </c:strCache>
            </c:strRef>
          </c:cat>
          <c:val>
            <c:numRef>
              <c:f>Sheet4!$B$32:$B$36</c:f>
              <c:numCache>
                <c:formatCode>General</c:formatCode>
                <c:ptCount val="4"/>
                <c:pt idx="0">
                  <c:v>445</c:v>
                </c:pt>
                <c:pt idx="1">
                  <c:v>516</c:v>
                </c:pt>
                <c:pt idx="2">
                  <c:v>352</c:v>
                </c:pt>
                <c:pt idx="3">
                  <c:v>88</c:v>
                </c:pt>
              </c:numCache>
            </c:numRef>
          </c:val>
          <c:smooth val="0"/>
          <c:extLst>
            <c:ext xmlns:c16="http://schemas.microsoft.com/office/drawing/2014/chart" uri="{C3380CC4-5D6E-409C-BE32-E72D297353CC}">
              <c16:uniqueId val="{00000000-693E-4EEA-AF5A-EAC774197269}"/>
            </c:ext>
          </c:extLst>
        </c:ser>
        <c:dLbls>
          <c:showLegendKey val="0"/>
          <c:showVal val="0"/>
          <c:showCatName val="0"/>
          <c:showSerName val="0"/>
          <c:showPercent val="0"/>
          <c:showBubbleSize val="0"/>
        </c:dLbls>
        <c:smooth val="0"/>
        <c:axId val="673339560"/>
        <c:axId val="673337040"/>
      </c:lineChart>
      <c:catAx>
        <c:axId val="67333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3337040"/>
        <c:crosses val="autoZero"/>
        <c:auto val="1"/>
        <c:lblAlgn val="ctr"/>
        <c:lblOffset val="100"/>
        <c:noMultiLvlLbl val="0"/>
      </c:catAx>
      <c:valAx>
        <c:axId val="6733370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33395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[Steve Excel Project.xlsx]Sheet4!PivotTable6</c:name>
    <c:fmtId val="7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pivotFmt>
      <c:pivotFmt>
        <c:idx val="22"/>
        <c:spPr>
          <a:solidFill>
            <a:schemeClr val="accent1"/>
          </a:solidFill>
          <a:ln w="25400">
            <a:solidFill>
              <a:schemeClr val="lt1"/>
            </a:solidFill>
          </a:ln>
          <a:effectLst/>
          <a:sp3d contourW="25400">
            <a:contourClr>
              <a:schemeClr val="lt1"/>
            </a:contourClr>
          </a:sp3d>
        </c:spPr>
      </c:pivotFmt>
      <c:pivotFmt>
        <c:idx val="23"/>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Sheet4!$B$46</c:f>
              <c:strCache>
                <c:ptCount val="1"/>
                <c:pt idx="0">
                  <c:v>Count of EmployeeID</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4E24-409A-966E-7C4FD1EB0E70}"/>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4E24-409A-966E-7C4FD1EB0E70}"/>
              </c:ext>
            </c:extLst>
          </c:dPt>
          <c:cat>
            <c:strRef>
              <c:f>Sheet4!$A$47:$A$49</c:f>
              <c:strCache>
                <c:ptCount val="2"/>
                <c:pt idx="0">
                  <c:v>Female</c:v>
                </c:pt>
                <c:pt idx="1">
                  <c:v>Male</c:v>
                </c:pt>
              </c:strCache>
            </c:strRef>
          </c:cat>
          <c:val>
            <c:numRef>
              <c:f>Sheet4!$B$47:$B$49</c:f>
              <c:numCache>
                <c:formatCode>General</c:formatCode>
                <c:ptCount val="2"/>
                <c:pt idx="0">
                  <c:v>50</c:v>
                </c:pt>
                <c:pt idx="1">
                  <c:v>50</c:v>
                </c:pt>
              </c:numCache>
            </c:numRef>
          </c:val>
          <c:extLst>
            <c:ext xmlns:c16="http://schemas.microsoft.com/office/drawing/2014/chart" uri="{C3380CC4-5D6E-409C-BE32-E72D297353CC}">
              <c16:uniqueId val="{00000000-2243-4B79-A6EF-7A7F06030F5D}"/>
            </c:ext>
          </c:extLst>
        </c:ser>
        <c:ser>
          <c:idx val="1"/>
          <c:order val="1"/>
          <c:tx>
            <c:strRef>
              <c:f>Sheet4!$C$46</c:f>
              <c:strCache>
                <c:ptCount val="1"/>
                <c:pt idx="0">
                  <c:v>Sum of BonusAmount</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5-4E24-409A-966E-7C4FD1EB0E70}"/>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7-4E24-409A-966E-7C4FD1EB0E70}"/>
              </c:ext>
            </c:extLst>
          </c:dPt>
          <c:cat>
            <c:strRef>
              <c:f>Sheet4!$A$47:$A$49</c:f>
              <c:strCache>
                <c:ptCount val="2"/>
                <c:pt idx="0">
                  <c:v>Female</c:v>
                </c:pt>
                <c:pt idx="1">
                  <c:v>Male</c:v>
                </c:pt>
              </c:strCache>
            </c:strRef>
          </c:cat>
          <c:val>
            <c:numRef>
              <c:f>Sheet4!$C$47:$C$49</c:f>
              <c:numCache>
                <c:formatCode>General</c:formatCode>
                <c:ptCount val="2"/>
                <c:pt idx="0">
                  <c:v>77900</c:v>
                </c:pt>
                <c:pt idx="1">
                  <c:v>76150</c:v>
                </c:pt>
              </c:numCache>
            </c:numRef>
          </c:val>
          <c:extLst>
            <c:ext xmlns:c16="http://schemas.microsoft.com/office/drawing/2014/chart" uri="{C3380CC4-5D6E-409C-BE32-E72D297353CC}">
              <c16:uniqueId val="{00000001-2243-4B79-A6EF-7A7F06030F5D}"/>
            </c:ext>
          </c:extLst>
        </c:ser>
        <c:ser>
          <c:idx val="2"/>
          <c:order val="2"/>
          <c:tx>
            <c:strRef>
              <c:f>Sheet4!$D$46</c:f>
              <c:strCache>
                <c:ptCount val="1"/>
                <c:pt idx="0">
                  <c:v>Sum of ProjectsCompleted</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9-4E24-409A-966E-7C4FD1EB0E70}"/>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B-4E24-409A-966E-7C4FD1EB0E70}"/>
              </c:ext>
            </c:extLst>
          </c:dPt>
          <c:cat>
            <c:strRef>
              <c:f>Sheet4!$A$47:$A$49</c:f>
              <c:strCache>
                <c:ptCount val="2"/>
                <c:pt idx="0">
                  <c:v>Female</c:v>
                </c:pt>
                <c:pt idx="1">
                  <c:v>Male</c:v>
                </c:pt>
              </c:strCache>
            </c:strRef>
          </c:cat>
          <c:val>
            <c:numRef>
              <c:f>Sheet4!$D$47:$D$49</c:f>
              <c:numCache>
                <c:formatCode>General</c:formatCode>
                <c:ptCount val="2"/>
                <c:pt idx="0">
                  <c:v>535</c:v>
                </c:pt>
                <c:pt idx="1">
                  <c:v>533</c:v>
                </c:pt>
              </c:numCache>
            </c:numRef>
          </c:val>
          <c:extLst>
            <c:ext xmlns:c16="http://schemas.microsoft.com/office/drawing/2014/chart" uri="{C3380CC4-5D6E-409C-BE32-E72D297353CC}">
              <c16:uniqueId val="{00000002-2243-4B79-A6EF-7A7F06030F5D}"/>
            </c:ext>
          </c:extLst>
        </c:ser>
        <c:ser>
          <c:idx val="3"/>
          <c:order val="3"/>
          <c:tx>
            <c:strRef>
              <c:f>Sheet4!$E$46</c:f>
              <c:strCache>
                <c:ptCount val="1"/>
                <c:pt idx="0">
                  <c:v>Sum of PerformanceScore</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D-4E24-409A-966E-7C4FD1EB0E70}"/>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F-4E24-409A-966E-7C4FD1EB0E70}"/>
              </c:ext>
            </c:extLst>
          </c:dPt>
          <c:cat>
            <c:strRef>
              <c:f>Sheet4!$A$47:$A$49</c:f>
              <c:strCache>
                <c:ptCount val="2"/>
                <c:pt idx="0">
                  <c:v>Female</c:v>
                </c:pt>
                <c:pt idx="1">
                  <c:v>Male</c:v>
                </c:pt>
              </c:strCache>
            </c:strRef>
          </c:cat>
          <c:val>
            <c:numRef>
              <c:f>Sheet4!$E$47:$E$49</c:f>
              <c:numCache>
                <c:formatCode>General</c:formatCode>
                <c:ptCount val="2"/>
                <c:pt idx="0">
                  <c:v>4293</c:v>
                </c:pt>
                <c:pt idx="1">
                  <c:v>4227</c:v>
                </c:pt>
              </c:numCache>
            </c:numRef>
          </c:val>
          <c:extLst>
            <c:ext xmlns:c16="http://schemas.microsoft.com/office/drawing/2014/chart" uri="{C3380CC4-5D6E-409C-BE32-E72D297353CC}">
              <c16:uniqueId val="{00000003-2243-4B79-A6EF-7A7F06030F5D}"/>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[Steve Excel Project.xlsx]Sheet4!PivotTable7</c:name>
    <c:fmtId val="87"/>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31750" cap="rnd">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Sheet4!$B$52:$B$53</c:f>
              <c:strCache>
                <c:ptCount val="1"/>
                <c:pt idx="0">
                  <c:v>Female</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Sheet4!$A$54:$A$58</c:f>
              <c:strCache>
                <c:ptCount val="4"/>
                <c:pt idx="0">
                  <c:v>2019</c:v>
                </c:pt>
                <c:pt idx="1">
                  <c:v>2020</c:v>
                </c:pt>
                <c:pt idx="2">
                  <c:v>2021</c:v>
                </c:pt>
                <c:pt idx="3">
                  <c:v>2022</c:v>
                </c:pt>
              </c:strCache>
            </c:strRef>
          </c:cat>
          <c:val>
            <c:numRef>
              <c:f>Sheet4!$B$54:$B$58</c:f>
              <c:numCache>
                <c:formatCode>General</c:formatCode>
                <c:ptCount val="4"/>
                <c:pt idx="0">
                  <c:v>45</c:v>
                </c:pt>
                <c:pt idx="1">
                  <c:v>121</c:v>
                </c:pt>
                <c:pt idx="2">
                  <c:v>217</c:v>
                </c:pt>
                <c:pt idx="3">
                  <c:v>152</c:v>
                </c:pt>
              </c:numCache>
            </c:numRef>
          </c:val>
          <c:smooth val="0"/>
          <c:extLst>
            <c:ext xmlns:c16="http://schemas.microsoft.com/office/drawing/2014/chart" uri="{C3380CC4-5D6E-409C-BE32-E72D297353CC}">
              <c16:uniqueId val="{00000000-5E66-4520-9D78-E95CEB798006}"/>
            </c:ext>
          </c:extLst>
        </c:ser>
        <c:ser>
          <c:idx val="1"/>
          <c:order val="1"/>
          <c:tx>
            <c:strRef>
              <c:f>Sheet4!$C$52:$C$53</c:f>
              <c:strCache>
                <c:ptCount val="1"/>
                <c:pt idx="0">
                  <c:v>Male</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Sheet4!$A$54:$A$58</c:f>
              <c:strCache>
                <c:ptCount val="4"/>
                <c:pt idx="0">
                  <c:v>2019</c:v>
                </c:pt>
                <c:pt idx="1">
                  <c:v>2020</c:v>
                </c:pt>
                <c:pt idx="2">
                  <c:v>2021</c:v>
                </c:pt>
                <c:pt idx="3">
                  <c:v>2022</c:v>
                </c:pt>
              </c:strCache>
            </c:strRef>
          </c:cat>
          <c:val>
            <c:numRef>
              <c:f>Sheet4!$C$54:$C$58</c:f>
              <c:numCache>
                <c:formatCode>General</c:formatCode>
                <c:ptCount val="4"/>
                <c:pt idx="0">
                  <c:v>144</c:v>
                </c:pt>
                <c:pt idx="1">
                  <c:v>208</c:v>
                </c:pt>
                <c:pt idx="2">
                  <c:v>122</c:v>
                </c:pt>
                <c:pt idx="3">
                  <c:v>59</c:v>
                </c:pt>
              </c:numCache>
            </c:numRef>
          </c:val>
          <c:smooth val="0"/>
          <c:extLst>
            <c:ext xmlns:c16="http://schemas.microsoft.com/office/drawing/2014/chart" uri="{C3380CC4-5D6E-409C-BE32-E72D297353CC}">
              <c16:uniqueId val="{00000001-5E66-4520-9D78-E95CEB798006}"/>
            </c:ext>
          </c:extLst>
        </c:ser>
        <c:dLbls>
          <c:dLblPos val="ctr"/>
          <c:showLegendKey val="0"/>
          <c:showVal val="1"/>
          <c:showCatName val="0"/>
          <c:showSerName val="0"/>
          <c:showPercent val="0"/>
          <c:showBubbleSize val="0"/>
        </c:dLbls>
        <c:marker val="1"/>
        <c:smooth val="0"/>
        <c:axId val="509498080"/>
        <c:axId val="509499520"/>
      </c:lineChart>
      <c:catAx>
        <c:axId val="509498080"/>
        <c:scaling>
          <c:orientation val="minMax"/>
        </c:scaling>
        <c:delete val="0"/>
        <c:axPos val="b"/>
        <c:title>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509499520"/>
        <c:crosses val="autoZero"/>
        <c:auto val="1"/>
        <c:lblAlgn val="ctr"/>
        <c:lblOffset val="100"/>
        <c:noMultiLvlLbl val="0"/>
      </c:catAx>
      <c:valAx>
        <c:axId val="509499520"/>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50949808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[Steve Excel Project.xlsx]Sheet4!PivotTable8</c:name>
    <c:fmtId val="89"/>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Sheet4!$B$61</c:f>
              <c:strCache>
                <c:ptCount val="1"/>
                <c:pt idx="0">
                  <c:v>Average of BonusAmount</c:v>
                </c:pt>
              </c:strCache>
            </c:strRef>
          </c:tx>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Sheet4!$A$62:$A$64</c:f>
              <c:strCache>
                <c:ptCount val="2"/>
                <c:pt idx="0">
                  <c:v>Female</c:v>
                </c:pt>
                <c:pt idx="1">
                  <c:v>Male</c:v>
                </c:pt>
              </c:strCache>
            </c:strRef>
          </c:cat>
          <c:val>
            <c:numRef>
              <c:f>Sheet4!$B$62:$B$64</c:f>
              <c:numCache>
                <c:formatCode>General</c:formatCode>
                <c:ptCount val="2"/>
                <c:pt idx="0">
                  <c:v>1558</c:v>
                </c:pt>
                <c:pt idx="1">
                  <c:v>1523</c:v>
                </c:pt>
              </c:numCache>
            </c:numRef>
          </c:val>
          <c:extLst>
            <c:ext xmlns:c16="http://schemas.microsoft.com/office/drawing/2014/chart" uri="{C3380CC4-5D6E-409C-BE32-E72D297353CC}">
              <c16:uniqueId val="{00000000-9E2A-48EB-A728-0FE12C2C6954}"/>
            </c:ext>
          </c:extLst>
        </c:ser>
        <c:ser>
          <c:idx val="1"/>
          <c:order val="1"/>
          <c:tx>
            <c:strRef>
              <c:f>Sheet4!$C$61</c:f>
              <c:strCache>
                <c:ptCount val="1"/>
                <c:pt idx="0">
                  <c:v>Average of PerformanceScore</c:v>
                </c:pt>
              </c:strCache>
            </c:strRef>
          </c:tx>
          <c:spPr>
            <a:gradFill rotWithShape="1">
              <a:gsLst>
                <a:gs pos="0">
                  <a:schemeClr val="accent2">
                    <a:tint val="98000"/>
                    <a:lumMod val="110000"/>
                  </a:schemeClr>
                </a:gs>
                <a:gs pos="84000">
                  <a:schemeClr val="accent2">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Sheet4!$A$62:$A$64</c:f>
              <c:strCache>
                <c:ptCount val="2"/>
                <c:pt idx="0">
                  <c:v>Female</c:v>
                </c:pt>
                <c:pt idx="1">
                  <c:v>Male</c:v>
                </c:pt>
              </c:strCache>
            </c:strRef>
          </c:cat>
          <c:val>
            <c:numRef>
              <c:f>Sheet4!$C$62:$C$64</c:f>
              <c:numCache>
                <c:formatCode>0</c:formatCode>
                <c:ptCount val="2"/>
                <c:pt idx="0">
                  <c:v>85.86</c:v>
                </c:pt>
                <c:pt idx="1">
                  <c:v>84.54</c:v>
                </c:pt>
              </c:numCache>
            </c:numRef>
          </c:val>
          <c:extLst>
            <c:ext xmlns:c16="http://schemas.microsoft.com/office/drawing/2014/chart" uri="{C3380CC4-5D6E-409C-BE32-E72D297353CC}">
              <c16:uniqueId val="{00000001-9E2A-48EB-A728-0FE12C2C6954}"/>
            </c:ext>
          </c:extLst>
        </c:ser>
        <c:dLbls>
          <c:dLblPos val="outEnd"/>
          <c:showLegendKey val="0"/>
          <c:showVal val="1"/>
          <c:showCatName val="0"/>
          <c:showSerName val="0"/>
          <c:showPercent val="0"/>
          <c:showBubbleSize val="0"/>
        </c:dLbls>
        <c:gapWidth val="115"/>
        <c:overlap val="-20"/>
        <c:axId val="646360904"/>
        <c:axId val="646361264"/>
      </c:barChart>
      <c:catAx>
        <c:axId val="646360904"/>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6361264"/>
        <c:crosses val="autoZero"/>
        <c:auto val="1"/>
        <c:lblAlgn val="ctr"/>
        <c:lblOffset val="100"/>
        <c:noMultiLvlLbl val="0"/>
      </c:catAx>
      <c:valAx>
        <c:axId val="6463612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636090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[Steve Excel Project.xlsx]Sheet4!PivotTable10</c:name>
    <c:fmtId val="22"/>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Sheet4!$B$72:$B$73</c:f>
              <c:strCache>
                <c:ptCount val="1"/>
                <c:pt idx="0">
                  <c:v>Finance</c:v>
                </c:pt>
              </c:strCache>
            </c:strRef>
          </c:tx>
          <c:spPr>
            <a:ln w="28575" cap="rnd">
              <a:solidFill>
                <a:schemeClr val="accent1"/>
              </a:solidFill>
              <a:round/>
            </a:ln>
            <a:effectLst/>
          </c:spPr>
          <c:marker>
            <c:symbol val="none"/>
          </c:marker>
          <c:cat>
            <c:strRef>
              <c:f>Sheet4!$A$74:$A$78</c:f>
              <c:strCache>
                <c:ptCount val="4"/>
                <c:pt idx="0">
                  <c:v>2019</c:v>
                </c:pt>
                <c:pt idx="1">
                  <c:v>2020</c:v>
                </c:pt>
                <c:pt idx="2">
                  <c:v>2021</c:v>
                </c:pt>
                <c:pt idx="3">
                  <c:v>2022</c:v>
                </c:pt>
              </c:strCache>
            </c:strRef>
          </c:cat>
          <c:val>
            <c:numRef>
              <c:f>Sheet4!$B$74:$B$78</c:f>
              <c:numCache>
                <c:formatCode>General</c:formatCode>
                <c:ptCount val="4"/>
                <c:pt idx="0">
                  <c:v>5</c:v>
                </c:pt>
                <c:pt idx="1">
                  <c:v>6</c:v>
                </c:pt>
                <c:pt idx="2">
                  <c:v>4</c:v>
                </c:pt>
                <c:pt idx="3">
                  <c:v>1</c:v>
                </c:pt>
              </c:numCache>
            </c:numRef>
          </c:val>
          <c:smooth val="0"/>
          <c:extLst>
            <c:ext xmlns:c16="http://schemas.microsoft.com/office/drawing/2014/chart" uri="{C3380CC4-5D6E-409C-BE32-E72D297353CC}">
              <c16:uniqueId val="{00000000-C756-483B-B8B9-A3A8A1ED73FA}"/>
            </c:ext>
          </c:extLst>
        </c:ser>
        <c:ser>
          <c:idx val="1"/>
          <c:order val="1"/>
          <c:tx>
            <c:strRef>
              <c:f>Sheet4!$C$72:$C$73</c:f>
              <c:strCache>
                <c:ptCount val="1"/>
                <c:pt idx="0">
                  <c:v>HR</c:v>
                </c:pt>
              </c:strCache>
            </c:strRef>
          </c:tx>
          <c:spPr>
            <a:ln w="28575" cap="rnd">
              <a:solidFill>
                <a:schemeClr val="accent2"/>
              </a:solidFill>
              <a:round/>
            </a:ln>
            <a:effectLst/>
          </c:spPr>
          <c:marker>
            <c:symbol val="none"/>
          </c:marker>
          <c:cat>
            <c:strRef>
              <c:f>Sheet4!$A$74:$A$78</c:f>
              <c:strCache>
                <c:ptCount val="4"/>
                <c:pt idx="0">
                  <c:v>2019</c:v>
                </c:pt>
                <c:pt idx="1">
                  <c:v>2020</c:v>
                </c:pt>
                <c:pt idx="2">
                  <c:v>2021</c:v>
                </c:pt>
                <c:pt idx="3">
                  <c:v>2022</c:v>
                </c:pt>
              </c:strCache>
            </c:strRef>
          </c:cat>
          <c:val>
            <c:numRef>
              <c:f>Sheet4!$C$74:$C$78</c:f>
              <c:numCache>
                <c:formatCode>General</c:formatCode>
                <c:ptCount val="4"/>
                <c:pt idx="0">
                  <c:v>5</c:v>
                </c:pt>
                <c:pt idx="1">
                  <c:v>6</c:v>
                </c:pt>
                <c:pt idx="2">
                  <c:v>7</c:v>
                </c:pt>
                <c:pt idx="3">
                  <c:v>2</c:v>
                </c:pt>
              </c:numCache>
            </c:numRef>
          </c:val>
          <c:smooth val="0"/>
          <c:extLst>
            <c:ext xmlns:c16="http://schemas.microsoft.com/office/drawing/2014/chart" uri="{C3380CC4-5D6E-409C-BE32-E72D297353CC}">
              <c16:uniqueId val="{00000069-4B92-4E56-A5AF-933B6FFEBB6A}"/>
            </c:ext>
          </c:extLst>
        </c:ser>
        <c:ser>
          <c:idx val="2"/>
          <c:order val="2"/>
          <c:tx>
            <c:strRef>
              <c:f>Sheet4!$D$72:$D$73</c:f>
              <c:strCache>
                <c:ptCount val="1"/>
                <c:pt idx="0">
                  <c:v>IT</c:v>
                </c:pt>
              </c:strCache>
            </c:strRef>
          </c:tx>
          <c:spPr>
            <a:ln w="28575" cap="rnd">
              <a:solidFill>
                <a:schemeClr val="accent3"/>
              </a:solidFill>
              <a:round/>
            </a:ln>
            <a:effectLst/>
          </c:spPr>
          <c:marker>
            <c:symbol val="none"/>
          </c:marker>
          <c:cat>
            <c:strRef>
              <c:f>Sheet4!$A$74:$A$78</c:f>
              <c:strCache>
                <c:ptCount val="4"/>
                <c:pt idx="0">
                  <c:v>2019</c:v>
                </c:pt>
                <c:pt idx="1">
                  <c:v>2020</c:v>
                </c:pt>
                <c:pt idx="2">
                  <c:v>2021</c:v>
                </c:pt>
                <c:pt idx="3">
                  <c:v>2022</c:v>
                </c:pt>
              </c:strCache>
            </c:strRef>
          </c:cat>
          <c:val>
            <c:numRef>
              <c:f>Sheet4!$D$74:$D$78</c:f>
              <c:numCache>
                <c:formatCode>General</c:formatCode>
                <c:ptCount val="4"/>
                <c:pt idx="0">
                  <c:v>2</c:v>
                </c:pt>
                <c:pt idx="1">
                  <c:v>7</c:v>
                </c:pt>
                <c:pt idx="2">
                  <c:v>7</c:v>
                </c:pt>
                <c:pt idx="3">
                  <c:v>10</c:v>
                </c:pt>
              </c:numCache>
            </c:numRef>
          </c:val>
          <c:smooth val="0"/>
          <c:extLst>
            <c:ext xmlns:c16="http://schemas.microsoft.com/office/drawing/2014/chart" uri="{C3380CC4-5D6E-409C-BE32-E72D297353CC}">
              <c16:uniqueId val="{0000006B-4B92-4E56-A5AF-933B6FFEBB6A}"/>
            </c:ext>
          </c:extLst>
        </c:ser>
        <c:ser>
          <c:idx val="3"/>
          <c:order val="3"/>
          <c:tx>
            <c:strRef>
              <c:f>Sheet4!$E$72:$E$73</c:f>
              <c:strCache>
                <c:ptCount val="1"/>
                <c:pt idx="0">
                  <c:v>Marketing</c:v>
                </c:pt>
              </c:strCache>
            </c:strRef>
          </c:tx>
          <c:spPr>
            <a:ln w="28575" cap="rnd">
              <a:solidFill>
                <a:schemeClr val="accent4"/>
              </a:solidFill>
              <a:round/>
            </a:ln>
            <a:effectLst/>
          </c:spPr>
          <c:marker>
            <c:symbol val="none"/>
          </c:marker>
          <c:cat>
            <c:strRef>
              <c:f>Sheet4!$A$74:$A$78</c:f>
              <c:strCache>
                <c:ptCount val="4"/>
                <c:pt idx="0">
                  <c:v>2019</c:v>
                </c:pt>
                <c:pt idx="1">
                  <c:v>2020</c:v>
                </c:pt>
                <c:pt idx="2">
                  <c:v>2021</c:v>
                </c:pt>
                <c:pt idx="3">
                  <c:v>2022</c:v>
                </c:pt>
              </c:strCache>
            </c:strRef>
          </c:cat>
          <c:val>
            <c:numRef>
              <c:f>Sheet4!$E$74:$E$78</c:f>
              <c:numCache>
                <c:formatCode>General</c:formatCode>
                <c:ptCount val="4"/>
                <c:pt idx="0">
                  <c:v>3</c:v>
                </c:pt>
                <c:pt idx="1">
                  <c:v>9</c:v>
                </c:pt>
                <c:pt idx="2">
                  <c:v>4</c:v>
                </c:pt>
                <c:pt idx="3">
                  <c:v>3</c:v>
                </c:pt>
              </c:numCache>
            </c:numRef>
          </c:val>
          <c:smooth val="0"/>
          <c:extLst>
            <c:ext xmlns:c16="http://schemas.microsoft.com/office/drawing/2014/chart" uri="{C3380CC4-5D6E-409C-BE32-E72D297353CC}">
              <c16:uniqueId val="{0000006C-4B92-4E56-A5AF-933B6FFEBB6A}"/>
            </c:ext>
          </c:extLst>
        </c:ser>
        <c:ser>
          <c:idx val="4"/>
          <c:order val="4"/>
          <c:tx>
            <c:strRef>
              <c:f>Sheet4!$F$72:$F$73</c:f>
              <c:strCache>
                <c:ptCount val="1"/>
                <c:pt idx="0">
                  <c:v>Sales</c:v>
                </c:pt>
              </c:strCache>
            </c:strRef>
          </c:tx>
          <c:spPr>
            <a:ln w="28575" cap="rnd">
              <a:solidFill>
                <a:schemeClr val="accent5"/>
              </a:solidFill>
              <a:round/>
            </a:ln>
            <a:effectLst/>
          </c:spPr>
          <c:marker>
            <c:symbol val="none"/>
          </c:marker>
          <c:cat>
            <c:strRef>
              <c:f>Sheet4!$A$74:$A$78</c:f>
              <c:strCache>
                <c:ptCount val="4"/>
                <c:pt idx="0">
                  <c:v>2019</c:v>
                </c:pt>
                <c:pt idx="1">
                  <c:v>2020</c:v>
                </c:pt>
                <c:pt idx="2">
                  <c:v>2021</c:v>
                </c:pt>
                <c:pt idx="3">
                  <c:v>2022</c:v>
                </c:pt>
              </c:strCache>
            </c:strRef>
          </c:cat>
          <c:val>
            <c:numRef>
              <c:f>Sheet4!$F$74:$F$78</c:f>
              <c:numCache>
                <c:formatCode>General</c:formatCode>
                <c:ptCount val="4"/>
                <c:pt idx="0">
                  <c:v>2</c:v>
                </c:pt>
                <c:pt idx="1">
                  <c:v>3</c:v>
                </c:pt>
                <c:pt idx="2">
                  <c:v>9</c:v>
                </c:pt>
                <c:pt idx="3">
                  <c:v>5</c:v>
                </c:pt>
              </c:numCache>
            </c:numRef>
          </c:val>
          <c:smooth val="0"/>
          <c:extLst>
            <c:ext xmlns:c16="http://schemas.microsoft.com/office/drawing/2014/chart" uri="{C3380CC4-5D6E-409C-BE32-E72D297353CC}">
              <c16:uniqueId val="{0000006E-4B92-4E56-A5AF-933B6FFEBB6A}"/>
            </c:ext>
          </c:extLst>
        </c:ser>
        <c:dLbls>
          <c:showLegendKey val="0"/>
          <c:showVal val="0"/>
          <c:showCatName val="0"/>
          <c:showSerName val="0"/>
          <c:showPercent val="0"/>
          <c:showBubbleSize val="0"/>
        </c:dLbls>
        <c:smooth val="0"/>
        <c:axId val="1016490152"/>
        <c:axId val="1016490872"/>
      </c:lineChart>
      <c:catAx>
        <c:axId val="1016490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6490872"/>
        <c:crosses val="autoZero"/>
        <c:auto val="1"/>
        <c:lblAlgn val="ctr"/>
        <c:lblOffset val="100"/>
        <c:noMultiLvlLbl val="0"/>
      </c:catAx>
      <c:valAx>
        <c:axId val="1016490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64901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1">
  <a:schemeClr val="accent1"/>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hyperlink" Target="#'Dashboard page 3'!A1"/><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hyperlink" Target="#'Dashboard page 2'!A1"/><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hyperlink" Target="#Dashboard!A1"/><Relationship Id="rId5" Type="http://schemas.openxmlformats.org/officeDocument/2006/relationships/image" Target="../media/image5.png"/><Relationship Id="rId15" Type="http://schemas.openxmlformats.org/officeDocument/2006/relationships/chart" Target="../charts/chart4.xml"/><Relationship Id="rId10" Type="http://schemas.openxmlformats.org/officeDocument/2006/relationships/chart" Target="../charts/chart2.xml"/><Relationship Id="rId4" Type="http://schemas.openxmlformats.org/officeDocument/2006/relationships/image" Target="../media/image4.svg"/><Relationship Id="rId9" Type="http://schemas.openxmlformats.org/officeDocument/2006/relationships/chart" Target="../charts/chart1.xml"/><Relationship Id="rId1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9.png"/><Relationship Id="rId3" Type="http://schemas.openxmlformats.org/officeDocument/2006/relationships/image" Target="../media/image2.svg"/><Relationship Id="rId7" Type="http://schemas.openxmlformats.org/officeDocument/2006/relationships/image" Target="../media/image6.svg"/><Relationship Id="rId12" Type="http://schemas.openxmlformats.org/officeDocument/2006/relationships/chart" Target="../charts/chart5.xml"/><Relationship Id="rId2" Type="http://schemas.openxmlformats.org/officeDocument/2006/relationships/image" Target="../media/image1.png"/><Relationship Id="rId1" Type="http://schemas.openxmlformats.org/officeDocument/2006/relationships/hyperlink" Target="#Dashboard!A1"/><Relationship Id="rId6" Type="http://schemas.openxmlformats.org/officeDocument/2006/relationships/image" Target="../media/image5.png"/><Relationship Id="rId11" Type="http://schemas.openxmlformats.org/officeDocument/2006/relationships/hyperlink" Target="#'Dashboard page 3'!A1"/><Relationship Id="rId5" Type="http://schemas.openxmlformats.org/officeDocument/2006/relationships/image" Target="../media/image4.svg"/><Relationship Id="rId10" Type="http://schemas.openxmlformats.org/officeDocument/2006/relationships/hyperlink" Target="#'Dashboard page 2'!A1"/><Relationship Id="rId4" Type="http://schemas.openxmlformats.org/officeDocument/2006/relationships/image" Target="../media/image3.png"/><Relationship Id="rId9" Type="http://schemas.openxmlformats.org/officeDocument/2006/relationships/image" Target="../media/image8.svg"/></Relationships>
</file>

<file path=xl/drawings/_rels/drawing3.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7.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6.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hyperlink" Target="#'Dashboard page 3'!A1"/><Relationship Id="rId5" Type="http://schemas.openxmlformats.org/officeDocument/2006/relationships/image" Target="../media/image5.png"/><Relationship Id="rId15" Type="http://schemas.openxmlformats.org/officeDocument/2006/relationships/image" Target="../media/image10.png"/><Relationship Id="rId10" Type="http://schemas.openxmlformats.org/officeDocument/2006/relationships/hyperlink" Target="#'Dashboard page 2'!A1"/><Relationship Id="rId4" Type="http://schemas.openxmlformats.org/officeDocument/2006/relationships/image" Target="../media/image4.svg"/><Relationship Id="rId9" Type="http://schemas.openxmlformats.org/officeDocument/2006/relationships/hyperlink" Target="#Dashboard!A1"/><Relationship Id="rId14"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8" Type="http://schemas.openxmlformats.org/officeDocument/2006/relationships/chart" Target="../charts/chart17.xml"/><Relationship Id="rId3" Type="http://schemas.openxmlformats.org/officeDocument/2006/relationships/chart" Target="../charts/chart12.xml"/><Relationship Id="rId7" Type="http://schemas.openxmlformats.org/officeDocument/2006/relationships/chart" Target="../charts/chart16.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5.xml"/><Relationship Id="rId5" Type="http://schemas.openxmlformats.org/officeDocument/2006/relationships/chart" Target="../charts/chart14.xml"/><Relationship Id="rId4"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oneCellAnchor>
    <xdr:from>
      <xdr:col>14</xdr:col>
      <xdr:colOff>106680</xdr:colOff>
      <xdr:row>2</xdr:row>
      <xdr:rowOff>274320</xdr:rowOff>
    </xdr:from>
    <xdr:ext cx="2270760" cy="264560"/>
    <xdr:sp macro="" textlink="">
      <xdr:nvSpPr>
        <xdr:cNvPr id="3" name="TextBox 2">
          <a:extLst>
            <a:ext uri="{FF2B5EF4-FFF2-40B4-BE49-F238E27FC236}">
              <a16:creationId xmlns:a16="http://schemas.microsoft.com/office/drawing/2014/main" id="{4BFBF697-124E-9DD8-6850-B07E43AA481A}"/>
            </a:ext>
          </a:extLst>
        </xdr:cNvPr>
        <xdr:cNvSpPr txBox="1"/>
      </xdr:nvSpPr>
      <xdr:spPr>
        <a:xfrm>
          <a:off x="8641080" y="640080"/>
          <a:ext cx="22707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1100"/>
        </a:p>
      </xdr:txBody>
    </xdr:sp>
    <xdr:clientData/>
  </xdr:oneCellAnchor>
  <xdr:twoCellAnchor>
    <xdr:from>
      <xdr:col>0</xdr:col>
      <xdr:colOff>312420</xdr:colOff>
      <xdr:row>0</xdr:row>
      <xdr:rowOff>222885</xdr:rowOff>
    </xdr:from>
    <xdr:to>
      <xdr:col>10</xdr:col>
      <xdr:colOff>365760</xdr:colOff>
      <xdr:row>4</xdr:row>
      <xdr:rowOff>110490</xdr:rowOff>
    </xdr:to>
    <xdr:sp macro="" textlink="">
      <xdr:nvSpPr>
        <xdr:cNvPr id="1026" name="Text Box 2">
          <a:extLst>
            <a:ext uri="{FF2B5EF4-FFF2-40B4-BE49-F238E27FC236}">
              <a16:creationId xmlns:a16="http://schemas.microsoft.com/office/drawing/2014/main" id="{5CDF5735-2D31-91F7-A35C-F88FDB1FF785}"/>
            </a:ext>
          </a:extLst>
        </xdr:cNvPr>
        <xdr:cNvSpPr txBox="1">
          <a:spLocks noChangeArrowheads="1"/>
        </xdr:cNvSpPr>
      </xdr:nvSpPr>
      <xdr:spPr bwMode="auto">
        <a:xfrm flipV="1">
          <a:off x="312420" y="222885"/>
          <a:ext cx="6149340" cy="811530"/>
        </a:xfrm>
        <a:prstGeom prst="rect">
          <a:avLst/>
        </a:prstGeom>
        <a:noFill/>
        <a:ln w="9525">
          <a:noFill/>
          <a:miter lim="800000"/>
          <a:headEnd/>
          <a:tailEnd/>
        </a:ln>
      </xdr:spPr>
      <xdr:txBody>
        <a:bodyPr vertOverflow="clip" wrap="square" lIns="36576" tIns="32004" rIns="0" bIns="0" anchor="t" upright="1"/>
        <a:lstStyle/>
        <a:p>
          <a:pPr algn="l" rtl="0">
            <a:defRPr sz="1000"/>
          </a:pPr>
          <a:r>
            <a:rPr lang="en-US" sz="4000" b="1" i="0" u="none" strike="noStrike" baseline="0">
              <a:ln w="0" cap="rnd" cmpd="dbl">
                <a:solidFill>
                  <a:schemeClr val="bg1"/>
                </a:solidFill>
                <a:prstDash val="solid"/>
                <a:round/>
              </a:ln>
              <a:solidFill>
                <a:schemeClr val="bg1"/>
              </a:solidFill>
              <a:latin typeface="Built Titling Sb" panose="020B0706030202080204" pitchFamily="34" charset="0"/>
              <a:cs typeface="Calibri"/>
            </a:rPr>
            <a:t>Employee Performance </a:t>
          </a:r>
          <a:r>
            <a:rPr lang="en-US" sz="4000" b="0" i="0" u="none" strike="noStrike" baseline="0">
              <a:ln w="0" cap="rnd" cmpd="dbl">
                <a:solidFill>
                  <a:schemeClr val="bg1"/>
                </a:solidFill>
                <a:prstDash val="solid"/>
                <a:round/>
              </a:ln>
              <a:solidFill>
                <a:schemeClr val="bg1"/>
              </a:solidFill>
              <a:latin typeface="Built Titling Sb" panose="020B0706030202080204" pitchFamily="34" charset="0"/>
              <a:cs typeface="Calibri"/>
            </a:rPr>
            <a:t>Dashboard</a:t>
          </a:r>
        </a:p>
      </xdr:txBody>
    </xdr:sp>
    <xdr:clientData/>
  </xdr:twoCellAnchor>
  <xdr:twoCellAnchor>
    <xdr:from>
      <xdr:col>5</xdr:col>
      <xdr:colOff>160020</xdr:colOff>
      <xdr:row>5</xdr:row>
      <xdr:rowOff>95250</xdr:rowOff>
    </xdr:from>
    <xdr:to>
      <xdr:col>10</xdr:col>
      <xdr:colOff>114300</xdr:colOff>
      <xdr:row>10</xdr:row>
      <xdr:rowOff>186690</xdr:rowOff>
    </xdr:to>
    <xdr:sp macro="" textlink="">
      <xdr:nvSpPr>
        <xdr:cNvPr id="8" name="Rectangle 7">
          <a:extLst>
            <a:ext uri="{FF2B5EF4-FFF2-40B4-BE49-F238E27FC236}">
              <a16:creationId xmlns:a16="http://schemas.microsoft.com/office/drawing/2014/main" id="{B8B6AF40-8C35-B1FB-5D6D-4AD6D0C1FA12}"/>
            </a:ext>
          </a:extLst>
        </xdr:cNvPr>
        <xdr:cNvSpPr/>
      </xdr:nvSpPr>
      <xdr:spPr>
        <a:xfrm>
          <a:off x="3208020" y="1247775"/>
          <a:ext cx="3002280" cy="1234440"/>
        </a:xfrm>
        <a:prstGeom prst="rect">
          <a:avLst/>
        </a:prstGeom>
        <a:solidFill>
          <a:schemeClr val="accent1"/>
        </a:solidFill>
        <a:ln>
          <a:noFill/>
        </a:ln>
        <a:effectLst>
          <a:outerShdw blurRad="50800" dist="50800" dir="5400000" sx="1000" sy="1000" algn="ctr" rotWithShape="0">
            <a:srgbClr val="000000">
              <a:alpha val="63000"/>
            </a:srgbClr>
          </a:outerShdw>
          <a:softEdge rad="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endParaRPr lang="en-US" sz="3200">
            <a:solidFill>
              <a:schemeClr val="bg1"/>
            </a:solidFill>
          </a:endParaRPr>
        </a:p>
      </xdr:txBody>
    </xdr:sp>
    <xdr:clientData/>
  </xdr:twoCellAnchor>
  <xdr:twoCellAnchor>
    <xdr:from>
      <xdr:col>15</xdr:col>
      <xdr:colOff>53340</xdr:colOff>
      <xdr:row>5</xdr:row>
      <xdr:rowOff>83820</xdr:rowOff>
    </xdr:from>
    <xdr:to>
      <xdr:col>20</xdr:col>
      <xdr:colOff>7620</xdr:colOff>
      <xdr:row>10</xdr:row>
      <xdr:rowOff>175260</xdr:rowOff>
    </xdr:to>
    <xdr:sp macro="" textlink="">
      <xdr:nvSpPr>
        <xdr:cNvPr id="9" name="Rectangle 8">
          <a:extLst>
            <a:ext uri="{FF2B5EF4-FFF2-40B4-BE49-F238E27FC236}">
              <a16:creationId xmlns:a16="http://schemas.microsoft.com/office/drawing/2014/main" id="{BE6FA0A6-FC98-433F-9056-F3C165EB0954}"/>
            </a:ext>
          </a:extLst>
        </xdr:cNvPr>
        <xdr:cNvSpPr/>
      </xdr:nvSpPr>
      <xdr:spPr>
        <a:xfrm>
          <a:off x="9416415" y="1236345"/>
          <a:ext cx="3002280" cy="1234440"/>
        </a:xfrm>
        <a:prstGeom prst="rect">
          <a:avLst/>
        </a:prstGeom>
        <a:ln>
          <a:noFill/>
        </a:ln>
        <a:effectLst>
          <a:softEdge rad="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endParaRPr lang="en-US" sz="4400" b="0" i="0" u="none" strike="noStrike">
            <a:solidFill>
              <a:schemeClr val="bg1"/>
            </a:solidFill>
            <a:latin typeface="Calibri"/>
            <a:cs typeface="Calibri"/>
          </a:endParaRPr>
        </a:p>
      </xdr:txBody>
    </xdr:sp>
    <xdr:clientData/>
  </xdr:twoCellAnchor>
  <xdr:twoCellAnchor>
    <xdr:from>
      <xdr:col>10</xdr:col>
      <xdr:colOff>213360</xdr:colOff>
      <xdr:row>5</xdr:row>
      <xdr:rowOff>83820</xdr:rowOff>
    </xdr:from>
    <xdr:to>
      <xdr:col>14</xdr:col>
      <xdr:colOff>777240</xdr:colOff>
      <xdr:row>10</xdr:row>
      <xdr:rowOff>175260</xdr:rowOff>
    </xdr:to>
    <xdr:sp macro="" textlink="">
      <xdr:nvSpPr>
        <xdr:cNvPr id="10" name="Rectangle 9">
          <a:extLst>
            <a:ext uri="{FF2B5EF4-FFF2-40B4-BE49-F238E27FC236}">
              <a16:creationId xmlns:a16="http://schemas.microsoft.com/office/drawing/2014/main" id="{B83291B8-2C39-46EC-B978-8382EEE55E97}"/>
            </a:ext>
          </a:extLst>
        </xdr:cNvPr>
        <xdr:cNvSpPr/>
      </xdr:nvSpPr>
      <xdr:spPr>
        <a:xfrm>
          <a:off x="6309360" y="1045845"/>
          <a:ext cx="3002280" cy="996315"/>
        </a:xfrm>
        <a:prstGeom prst="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r>
            <a:rPr lang="en-US" sz="4800" b="1" i="0" u="none" strike="noStrike">
              <a:solidFill>
                <a:schemeClr val="bg1"/>
              </a:solidFill>
              <a:latin typeface="Calibri"/>
              <a:cs typeface="Calibri"/>
            </a:rPr>
            <a:t> </a:t>
          </a:r>
        </a:p>
      </xdr:txBody>
    </xdr:sp>
    <xdr:clientData/>
  </xdr:twoCellAnchor>
  <xdr:twoCellAnchor>
    <xdr:from>
      <xdr:col>11</xdr:col>
      <xdr:colOff>556260</xdr:colOff>
      <xdr:row>0</xdr:row>
      <xdr:rowOff>121920</xdr:rowOff>
    </xdr:from>
    <xdr:to>
      <xdr:col>19</xdr:col>
      <xdr:colOff>266700</xdr:colOff>
      <xdr:row>4</xdr:row>
      <xdr:rowOff>30480</xdr:rowOff>
    </xdr:to>
    <xdr:sp macro="" textlink="">
      <xdr:nvSpPr>
        <xdr:cNvPr id="7" name="Rectangle 6">
          <a:extLst>
            <a:ext uri="{FF2B5EF4-FFF2-40B4-BE49-F238E27FC236}">
              <a16:creationId xmlns:a16="http://schemas.microsoft.com/office/drawing/2014/main" id="{391CD790-1675-03B0-E621-5E304E0ED69E}"/>
            </a:ext>
          </a:extLst>
        </xdr:cNvPr>
        <xdr:cNvSpPr/>
      </xdr:nvSpPr>
      <xdr:spPr>
        <a:xfrm>
          <a:off x="7261860" y="121920"/>
          <a:ext cx="4806315" cy="83248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r"/>
          <a:endParaRPr lang="en-US" sz="5400">
            <a:solidFill>
              <a:schemeClr val="accent4">
                <a:lumMod val="40000"/>
                <a:lumOff val="60000"/>
              </a:schemeClr>
            </a:solidFill>
          </a:endParaRPr>
        </a:p>
      </xdr:txBody>
    </xdr:sp>
    <xdr:clientData/>
  </xdr:twoCellAnchor>
  <xdr:twoCellAnchor>
    <xdr:from>
      <xdr:col>13</xdr:col>
      <xdr:colOff>20665</xdr:colOff>
      <xdr:row>1</xdr:row>
      <xdr:rowOff>41408</xdr:rowOff>
    </xdr:from>
    <xdr:to>
      <xdr:col>17</xdr:col>
      <xdr:colOff>400050</xdr:colOff>
      <xdr:row>3</xdr:row>
      <xdr:rowOff>150050</xdr:rowOff>
    </xdr:to>
    <xdr:sp macro="" textlink="">
      <xdr:nvSpPr>
        <xdr:cNvPr id="6" name="TextBox 5">
          <a:extLst>
            <a:ext uri="{FF2B5EF4-FFF2-40B4-BE49-F238E27FC236}">
              <a16:creationId xmlns:a16="http://schemas.microsoft.com/office/drawing/2014/main" id="{DD414CCC-237C-F2C4-11AA-878ADE14147F}"/>
            </a:ext>
          </a:extLst>
        </xdr:cNvPr>
        <xdr:cNvSpPr txBox="1"/>
      </xdr:nvSpPr>
      <xdr:spPr>
        <a:xfrm>
          <a:off x="7945465" y="270008"/>
          <a:ext cx="3036860" cy="5753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2800">
              <a:solidFill>
                <a:srgbClr val="FFFFFF"/>
              </a:solidFill>
            </a:rPr>
            <a:t>No. of Employee</a:t>
          </a:r>
          <a:r>
            <a:rPr lang="en-US" sz="2800" baseline="0">
              <a:solidFill>
                <a:srgbClr val="FFFFFF"/>
              </a:solidFill>
            </a:rPr>
            <a:t> =</a:t>
          </a:r>
          <a:r>
            <a:rPr lang="en-US" sz="2800">
              <a:solidFill>
                <a:srgbClr val="FFFFFF"/>
              </a:solidFill>
            </a:rPr>
            <a:t> </a:t>
          </a:r>
        </a:p>
      </xdr:txBody>
    </xdr:sp>
    <xdr:clientData/>
  </xdr:twoCellAnchor>
  <xdr:twoCellAnchor>
    <xdr:from>
      <xdr:col>12</xdr:col>
      <xdr:colOff>99000</xdr:colOff>
      <xdr:row>0</xdr:row>
      <xdr:rowOff>167389</xdr:rowOff>
    </xdr:from>
    <xdr:to>
      <xdr:col>13</xdr:col>
      <xdr:colOff>45440</xdr:colOff>
      <xdr:row>3</xdr:row>
      <xdr:rowOff>120518</xdr:rowOff>
    </xdr:to>
    <xdr:pic>
      <xdr:nvPicPr>
        <xdr:cNvPr id="12" name="Graphic 11" descr="Employee badge with solid fill">
          <a:extLst>
            <a:ext uri="{FF2B5EF4-FFF2-40B4-BE49-F238E27FC236}">
              <a16:creationId xmlns:a16="http://schemas.microsoft.com/office/drawing/2014/main" id="{80C66864-762E-0EF9-FD90-935770FADC18}"/>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414200" y="167389"/>
          <a:ext cx="556040" cy="553204"/>
        </a:xfrm>
        <a:prstGeom prst="rect">
          <a:avLst/>
        </a:prstGeom>
      </xdr:spPr>
    </xdr:pic>
    <xdr:clientData/>
  </xdr:twoCellAnchor>
  <xdr:twoCellAnchor>
    <xdr:from>
      <xdr:col>5</xdr:col>
      <xdr:colOff>255270</xdr:colOff>
      <xdr:row>5</xdr:row>
      <xdr:rowOff>173355</xdr:rowOff>
    </xdr:from>
    <xdr:to>
      <xdr:col>10</xdr:col>
      <xdr:colOff>49530</xdr:colOff>
      <xdr:row>7</xdr:row>
      <xdr:rowOff>209551</xdr:rowOff>
    </xdr:to>
    <xdr:sp macro="" textlink="">
      <xdr:nvSpPr>
        <xdr:cNvPr id="13" name="TextBox 12">
          <a:extLst>
            <a:ext uri="{FF2B5EF4-FFF2-40B4-BE49-F238E27FC236}">
              <a16:creationId xmlns:a16="http://schemas.microsoft.com/office/drawing/2014/main" id="{5913826B-E2AC-F298-8054-E66261FAA463}"/>
            </a:ext>
          </a:extLst>
        </xdr:cNvPr>
        <xdr:cNvSpPr txBox="1"/>
      </xdr:nvSpPr>
      <xdr:spPr>
        <a:xfrm>
          <a:off x="3303270" y="1325880"/>
          <a:ext cx="2842260" cy="493396"/>
        </a:xfrm>
        <a:prstGeom prst="rect">
          <a:avLst/>
        </a:prstGeom>
        <a:solidFill>
          <a:schemeClr val="accent1">
            <a:lumMod val="50000"/>
          </a:schemeClr>
        </a:solidFill>
        <a:ln w="9525" cap="rnd" cmpd="sng">
          <a:noFill/>
        </a:ln>
        <a:effectLst>
          <a:softEdge rad="38100"/>
        </a:effectLst>
      </xdr:spPr>
      <xdr:style>
        <a:lnRef idx="0">
          <a:scrgbClr r="0" g="0" b="0"/>
        </a:lnRef>
        <a:fillRef idx="0">
          <a:scrgbClr r="0" g="0" b="0"/>
        </a:fillRef>
        <a:effectRef idx="0">
          <a:scrgbClr r="0" g="0" b="0"/>
        </a:effectRef>
        <a:fontRef idx="minor">
          <a:schemeClr val="dk1"/>
        </a:fontRef>
      </xdr:style>
      <xdr:txBody>
        <a:bodyPr vertOverflow="clip" horzOverflow="clip" wrap="square" lIns="91440" rtlCol="0" anchor="ctr"/>
        <a:lstStyle/>
        <a:p>
          <a:pPr algn="ctr"/>
          <a:r>
            <a:rPr lang="en-US" sz="1800" b="1">
              <a:solidFill>
                <a:schemeClr val="bg1"/>
              </a:solidFill>
            </a:rPr>
            <a:t>Average Bonus Amount</a:t>
          </a:r>
        </a:p>
      </xdr:txBody>
    </xdr:sp>
    <xdr:clientData/>
  </xdr:twoCellAnchor>
  <xdr:twoCellAnchor>
    <xdr:from>
      <xdr:col>10</xdr:col>
      <xdr:colOff>331469</xdr:colOff>
      <xdr:row>5</xdr:row>
      <xdr:rowOff>150495</xdr:rowOff>
    </xdr:from>
    <xdr:to>
      <xdr:col>14</xdr:col>
      <xdr:colOff>714374</xdr:colOff>
      <xdr:row>8</xdr:row>
      <xdr:rowOff>20955</xdr:rowOff>
    </xdr:to>
    <xdr:sp macro="" textlink="">
      <xdr:nvSpPr>
        <xdr:cNvPr id="14" name="TextBox 13">
          <a:extLst>
            <a:ext uri="{FF2B5EF4-FFF2-40B4-BE49-F238E27FC236}">
              <a16:creationId xmlns:a16="http://schemas.microsoft.com/office/drawing/2014/main" id="{BC24756D-2218-0DC0-71BC-073E5D3C21FF}"/>
            </a:ext>
          </a:extLst>
        </xdr:cNvPr>
        <xdr:cNvSpPr txBox="1"/>
      </xdr:nvSpPr>
      <xdr:spPr>
        <a:xfrm>
          <a:off x="6427469" y="1303020"/>
          <a:ext cx="2821305" cy="556260"/>
        </a:xfrm>
        <a:prstGeom prst="rect">
          <a:avLst/>
        </a:prstGeom>
        <a:solidFill>
          <a:schemeClr val="accent1">
            <a:lumMod val="50000"/>
          </a:schemeClr>
        </a:solidFill>
        <a:ln w="9525" cap="rnd" cmpd="sng">
          <a:noFill/>
        </a:ln>
        <a:effectLst>
          <a:softEdge rad="38100"/>
        </a:effectLst>
      </xdr:spPr>
      <xdr:style>
        <a:lnRef idx="0">
          <a:scrgbClr r="0" g="0" b="0"/>
        </a:lnRef>
        <a:fillRef idx="0">
          <a:scrgbClr r="0" g="0" b="0"/>
        </a:fillRef>
        <a:effectRef idx="0">
          <a:scrgbClr r="0" g="0" b="0"/>
        </a:effectRef>
        <a:fontRef idx="minor">
          <a:schemeClr val="dk1"/>
        </a:fontRef>
      </xdr:style>
      <xdr:txBody>
        <a:bodyPr vertOverflow="clip" horzOverflow="clip" wrap="square" lIns="91440" rtlCol="0" anchor="ctr"/>
        <a:lstStyle/>
        <a:p>
          <a:pPr algn="ctr"/>
          <a:r>
            <a:rPr lang="en-US" sz="1400" b="1">
              <a:solidFill>
                <a:schemeClr val="bg1"/>
              </a:solidFill>
            </a:rPr>
            <a:t>Average Performance</a:t>
          </a:r>
          <a:r>
            <a:rPr lang="en-US" sz="1400" b="1" baseline="0">
              <a:solidFill>
                <a:schemeClr val="bg1"/>
              </a:solidFill>
            </a:rPr>
            <a:t> </a:t>
          </a:r>
          <a:r>
            <a:rPr lang="en-US" sz="1400" b="1">
              <a:solidFill>
                <a:schemeClr val="bg1"/>
              </a:solidFill>
            </a:rPr>
            <a:t>Score</a:t>
          </a:r>
        </a:p>
      </xdr:txBody>
    </xdr:sp>
    <xdr:clientData/>
  </xdr:twoCellAnchor>
  <xdr:twoCellAnchor>
    <xdr:from>
      <xdr:col>15</xdr:col>
      <xdr:colOff>209549</xdr:colOff>
      <xdr:row>5</xdr:row>
      <xdr:rowOff>135255</xdr:rowOff>
    </xdr:from>
    <xdr:to>
      <xdr:col>19</xdr:col>
      <xdr:colOff>495300</xdr:colOff>
      <xdr:row>8</xdr:row>
      <xdr:rowOff>5715</xdr:rowOff>
    </xdr:to>
    <xdr:sp macro="" textlink="">
      <xdr:nvSpPr>
        <xdr:cNvPr id="15" name="TextBox 14">
          <a:extLst>
            <a:ext uri="{FF2B5EF4-FFF2-40B4-BE49-F238E27FC236}">
              <a16:creationId xmlns:a16="http://schemas.microsoft.com/office/drawing/2014/main" id="{3DE4EFFF-A3A6-C4C4-32A2-3C990D594D85}"/>
            </a:ext>
          </a:extLst>
        </xdr:cNvPr>
        <xdr:cNvSpPr txBox="1"/>
      </xdr:nvSpPr>
      <xdr:spPr>
        <a:xfrm>
          <a:off x="9572624" y="1287780"/>
          <a:ext cx="2724151" cy="556260"/>
        </a:xfrm>
        <a:prstGeom prst="rect">
          <a:avLst/>
        </a:prstGeom>
        <a:solidFill>
          <a:schemeClr val="accent1">
            <a:lumMod val="50000"/>
          </a:schemeClr>
        </a:solidFill>
        <a:ln w="9525" cap="rnd" cmpd="sng">
          <a:noFill/>
        </a:ln>
        <a:effectLst>
          <a:softEdge rad="38100"/>
        </a:effectLst>
      </xdr:spPr>
      <xdr:style>
        <a:lnRef idx="0">
          <a:scrgbClr r="0" g="0" b="0"/>
        </a:lnRef>
        <a:fillRef idx="0">
          <a:scrgbClr r="0" g="0" b="0"/>
        </a:fillRef>
        <a:effectRef idx="0">
          <a:scrgbClr r="0" g="0" b="0"/>
        </a:effectRef>
        <a:fontRef idx="minor">
          <a:schemeClr val="dk1"/>
        </a:fontRef>
      </xdr:style>
      <xdr:txBody>
        <a:bodyPr vertOverflow="clip" horzOverflow="clip" wrap="square" lIns="91440" rtlCol="0" anchor="ctr"/>
        <a:lstStyle/>
        <a:p>
          <a:pPr algn="ctr"/>
          <a:r>
            <a:rPr lang="en-US" sz="1400" b="1">
              <a:solidFill>
                <a:schemeClr val="bg1"/>
              </a:solidFill>
            </a:rPr>
            <a:t>Average Attendance Rate</a:t>
          </a:r>
        </a:p>
      </xdr:txBody>
    </xdr:sp>
    <xdr:clientData/>
  </xdr:twoCellAnchor>
  <xdr:twoCellAnchor>
    <xdr:from>
      <xdr:col>0</xdr:col>
      <xdr:colOff>83820</xdr:colOff>
      <xdr:row>5</xdr:row>
      <xdr:rowOff>76200</xdr:rowOff>
    </xdr:from>
    <xdr:to>
      <xdr:col>5</xdr:col>
      <xdr:colOff>38100</xdr:colOff>
      <xdr:row>10</xdr:row>
      <xdr:rowOff>167640</xdr:rowOff>
    </xdr:to>
    <xdr:sp macro="" textlink="">
      <xdr:nvSpPr>
        <xdr:cNvPr id="18" name="Rectangle 17">
          <a:extLst>
            <a:ext uri="{FF2B5EF4-FFF2-40B4-BE49-F238E27FC236}">
              <a16:creationId xmlns:a16="http://schemas.microsoft.com/office/drawing/2014/main" id="{4070C39C-E557-77AA-1EF9-9A4834678585}"/>
            </a:ext>
          </a:extLst>
        </xdr:cNvPr>
        <xdr:cNvSpPr/>
      </xdr:nvSpPr>
      <xdr:spPr>
        <a:xfrm>
          <a:off x="83820" y="1038225"/>
          <a:ext cx="3002280" cy="996315"/>
        </a:xfrm>
        <a:prstGeom prst="rect">
          <a:avLst/>
        </a:prstGeom>
        <a:solidFill>
          <a:schemeClr val="accent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endParaRPr lang="en-US" sz="3200" b="0" i="0" u="none" strike="noStrike">
            <a:solidFill>
              <a:schemeClr val="bg1"/>
            </a:solidFill>
            <a:latin typeface="Calibri"/>
            <a:cs typeface="Calibri"/>
          </a:endParaRPr>
        </a:p>
      </xdr:txBody>
    </xdr:sp>
    <xdr:clientData/>
  </xdr:twoCellAnchor>
  <xdr:twoCellAnchor>
    <xdr:from>
      <xdr:col>0</xdr:col>
      <xdr:colOff>247650</xdr:colOff>
      <xdr:row>5</xdr:row>
      <xdr:rowOff>118110</xdr:rowOff>
    </xdr:from>
    <xdr:to>
      <xdr:col>4</xdr:col>
      <xdr:colOff>523876</xdr:colOff>
      <xdr:row>7</xdr:row>
      <xdr:rowOff>219075</xdr:rowOff>
    </xdr:to>
    <xdr:sp macro="" textlink="">
      <xdr:nvSpPr>
        <xdr:cNvPr id="19" name="TextBox 18">
          <a:extLst>
            <a:ext uri="{FF2B5EF4-FFF2-40B4-BE49-F238E27FC236}">
              <a16:creationId xmlns:a16="http://schemas.microsoft.com/office/drawing/2014/main" id="{447B8A96-C2FB-4E5E-ACE3-D1112ABB20FF}"/>
            </a:ext>
          </a:extLst>
        </xdr:cNvPr>
        <xdr:cNvSpPr txBox="1"/>
      </xdr:nvSpPr>
      <xdr:spPr>
        <a:xfrm>
          <a:off x="247650" y="1270635"/>
          <a:ext cx="2714626" cy="558165"/>
        </a:xfrm>
        <a:prstGeom prst="rect">
          <a:avLst/>
        </a:prstGeom>
        <a:solidFill>
          <a:schemeClr val="accent1">
            <a:lumMod val="50000"/>
          </a:schemeClr>
        </a:solidFill>
        <a:ln w="9525" cap="rnd" cmpd="sng">
          <a:noFill/>
        </a:ln>
        <a:effectLst>
          <a:softEdge rad="38100"/>
        </a:effectLst>
      </xdr:spPr>
      <xdr:style>
        <a:lnRef idx="0">
          <a:scrgbClr r="0" g="0" b="0"/>
        </a:lnRef>
        <a:fillRef idx="0">
          <a:scrgbClr r="0" g="0" b="0"/>
        </a:fillRef>
        <a:effectRef idx="0">
          <a:scrgbClr r="0" g="0" b="0"/>
        </a:effectRef>
        <a:fontRef idx="minor">
          <a:schemeClr val="dk1"/>
        </a:fontRef>
      </xdr:style>
      <xdr:txBody>
        <a:bodyPr vertOverflow="clip" horzOverflow="clip" wrap="square" lIns="91440" rtlCol="0" anchor="ctr"/>
        <a:lstStyle/>
        <a:p>
          <a:pPr algn="ctr"/>
          <a:r>
            <a:rPr lang="en-US" sz="1800" b="1">
              <a:solidFill>
                <a:schemeClr val="bg1"/>
              </a:solidFill>
            </a:rPr>
            <a:t>Total  Bonus Amount</a:t>
          </a:r>
        </a:p>
      </xdr:txBody>
    </xdr:sp>
    <xdr:clientData/>
  </xdr:twoCellAnchor>
  <xdr:twoCellAnchor>
    <xdr:from>
      <xdr:col>0</xdr:col>
      <xdr:colOff>68580</xdr:colOff>
      <xdr:row>14</xdr:row>
      <xdr:rowOff>203835</xdr:rowOff>
    </xdr:from>
    <xdr:to>
      <xdr:col>5</xdr:col>
      <xdr:colOff>7620</xdr:colOff>
      <xdr:row>50</xdr:row>
      <xdr:rowOff>152400</xdr:rowOff>
    </xdr:to>
    <xdr:sp macro="" textlink="">
      <xdr:nvSpPr>
        <xdr:cNvPr id="20" name="Rectangle 19">
          <a:extLst>
            <a:ext uri="{FF2B5EF4-FFF2-40B4-BE49-F238E27FC236}">
              <a16:creationId xmlns:a16="http://schemas.microsoft.com/office/drawing/2014/main" id="{E98EA9C6-8F40-1952-6A89-B242F1E77394}"/>
            </a:ext>
          </a:extLst>
        </xdr:cNvPr>
        <xdr:cNvSpPr/>
      </xdr:nvSpPr>
      <xdr:spPr>
        <a:xfrm>
          <a:off x="68580" y="3413760"/>
          <a:ext cx="2987040" cy="772096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295276</xdr:colOff>
      <xdr:row>7</xdr:row>
      <xdr:rowOff>180975</xdr:rowOff>
    </xdr:from>
    <xdr:to>
      <xdr:col>1</xdr:col>
      <xdr:colOff>266698</xdr:colOff>
      <xdr:row>10</xdr:row>
      <xdr:rowOff>76197</xdr:rowOff>
    </xdr:to>
    <xdr:pic>
      <xdr:nvPicPr>
        <xdr:cNvPr id="22" name="Graphic 21" descr="Money with solid fill">
          <a:extLst>
            <a:ext uri="{FF2B5EF4-FFF2-40B4-BE49-F238E27FC236}">
              <a16:creationId xmlns:a16="http://schemas.microsoft.com/office/drawing/2014/main" id="{1BB426A9-6BFA-C8F5-1465-E9FF2105C456}"/>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295276" y="1790700"/>
          <a:ext cx="581022" cy="581022"/>
        </a:xfrm>
        <a:prstGeom prst="rect">
          <a:avLst/>
        </a:prstGeom>
      </xdr:spPr>
    </xdr:pic>
    <xdr:clientData/>
  </xdr:twoCellAnchor>
  <xdr:twoCellAnchor>
    <xdr:from>
      <xdr:col>0</xdr:col>
      <xdr:colOff>45719</xdr:colOff>
      <xdr:row>5</xdr:row>
      <xdr:rowOff>66674</xdr:rowOff>
    </xdr:from>
    <xdr:to>
      <xdr:col>6</xdr:col>
      <xdr:colOff>9524</xdr:colOff>
      <xdr:row>10</xdr:row>
      <xdr:rowOff>161924</xdr:rowOff>
    </xdr:to>
    <xdr:sp macro="" textlink="Sheet4!P4">
      <xdr:nvSpPr>
        <xdr:cNvPr id="24" name="Rectangle 23">
          <a:extLst>
            <a:ext uri="{FF2B5EF4-FFF2-40B4-BE49-F238E27FC236}">
              <a16:creationId xmlns:a16="http://schemas.microsoft.com/office/drawing/2014/main" id="{7823D29A-706D-4E8D-98B5-5FF82EC9A35A}"/>
            </a:ext>
          </a:extLst>
        </xdr:cNvPr>
        <xdr:cNvSpPr/>
      </xdr:nvSpPr>
      <xdr:spPr>
        <a:xfrm>
          <a:off x="45719" y="1028699"/>
          <a:ext cx="3621405" cy="100012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E14207DB-AED0-4A14-8731-1FA74B803013}" type="TxLink">
            <a:rPr lang="en-US" sz="1100" b="0" i="0" u="none" strike="noStrike">
              <a:solidFill>
                <a:srgbClr val="000000"/>
              </a:solidFill>
              <a:latin typeface="Calibri"/>
              <a:cs typeface="Calibri"/>
            </a:rPr>
            <a:pPr algn="ctr"/>
            <a:t> </a:t>
          </a:fld>
          <a:endParaRPr lang="en-US" sz="3200" b="1">
            <a:solidFill>
              <a:schemeClr val="bg1"/>
            </a:solidFill>
          </a:endParaRPr>
        </a:p>
      </xdr:txBody>
    </xdr:sp>
    <xdr:clientData/>
  </xdr:twoCellAnchor>
  <xdr:twoCellAnchor>
    <xdr:from>
      <xdr:col>5</xdr:col>
      <xdr:colOff>150494</xdr:colOff>
      <xdr:row>5</xdr:row>
      <xdr:rowOff>19049</xdr:rowOff>
    </xdr:from>
    <xdr:to>
      <xdr:col>11</xdr:col>
      <xdr:colOff>114299</xdr:colOff>
      <xdr:row>10</xdr:row>
      <xdr:rowOff>161924</xdr:rowOff>
    </xdr:to>
    <xdr:sp macro="" textlink="'Employee Performance Data Clean'!R15">
      <xdr:nvSpPr>
        <xdr:cNvPr id="25" name="Rectangle 24">
          <a:extLst>
            <a:ext uri="{FF2B5EF4-FFF2-40B4-BE49-F238E27FC236}">
              <a16:creationId xmlns:a16="http://schemas.microsoft.com/office/drawing/2014/main" id="{EC47F22E-53DB-587B-0635-F69A8454347C}"/>
            </a:ext>
          </a:extLst>
        </xdr:cNvPr>
        <xdr:cNvSpPr/>
      </xdr:nvSpPr>
      <xdr:spPr>
        <a:xfrm>
          <a:off x="3198494" y="1171574"/>
          <a:ext cx="4859655" cy="128587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35E8349E-A022-4E4E-9230-EC8E00D90EBF}" type="TxLink">
            <a:rPr lang="en-US" sz="4000" b="1" i="0" u="none" strike="noStrike">
              <a:solidFill>
                <a:schemeClr val="bg1"/>
              </a:solidFill>
              <a:latin typeface="Gill Sans MT"/>
              <a:cs typeface="Calibri"/>
            </a:rPr>
            <a:pPr algn="ctr"/>
            <a:t> $1,541 </a:t>
          </a:fld>
          <a:endParaRPr lang="en-US" sz="4000" b="1">
            <a:solidFill>
              <a:schemeClr val="bg1"/>
            </a:solidFill>
          </a:endParaRPr>
        </a:p>
      </xdr:txBody>
    </xdr:sp>
    <xdr:clientData/>
  </xdr:twoCellAnchor>
  <xdr:twoCellAnchor editAs="oneCell">
    <xdr:from>
      <xdr:col>5</xdr:col>
      <xdr:colOff>466726</xdr:colOff>
      <xdr:row>7</xdr:row>
      <xdr:rowOff>209550</xdr:rowOff>
    </xdr:from>
    <xdr:to>
      <xdr:col>6</xdr:col>
      <xdr:colOff>438148</xdr:colOff>
      <xdr:row>10</xdr:row>
      <xdr:rowOff>104772</xdr:rowOff>
    </xdr:to>
    <xdr:pic>
      <xdr:nvPicPr>
        <xdr:cNvPr id="26" name="Graphic 25" descr="Money with solid fill">
          <a:extLst>
            <a:ext uri="{FF2B5EF4-FFF2-40B4-BE49-F238E27FC236}">
              <a16:creationId xmlns:a16="http://schemas.microsoft.com/office/drawing/2014/main" id="{D64700B4-813E-164A-0F7C-D46F11145948}"/>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3514726" y="1819275"/>
          <a:ext cx="581022" cy="581022"/>
        </a:xfrm>
        <a:prstGeom prst="rect">
          <a:avLst/>
        </a:prstGeom>
      </xdr:spPr>
    </xdr:pic>
    <xdr:clientData/>
  </xdr:twoCellAnchor>
  <xdr:twoCellAnchor editAs="oneCell">
    <xdr:from>
      <xdr:col>11</xdr:col>
      <xdr:colOff>285750</xdr:colOff>
      <xdr:row>8</xdr:row>
      <xdr:rowOff>38099</xdr:rowOff>
    </xdr:from>
    <xdr:to>
      <xdr:col>12</xdr:col>
      <xdr:colOff>180975</xdr:colOff>
      <xdr:row>10</xdr:row>
      <xdr:rowOff>85724</xdr:rowOff>
    </xdr:to>
    <xdr:pic>
      <xdr:nvPicPr>
        <xdr:cNvPr id="28" name="Graphic 27" descr="Checkmark with solid fill">
          <a:extLst>
            <a:ext uri="{FF2B5EF4-FFF2-40B4-BE49-F238E27FC236}">
              <a16:creationId xmlns:a16="http://schemas.microsoft.com/office/drawing/2014/main" id="{1664DC7C-2A73-EF0B-50E6-E365ECB513F2}"/>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991350" y="1876424"/>
          <a:ext cx="504825" cy="504825"/>
        </a:xfrm>
        <a:prstGeom prst="rect">
          <a:avLst/>
        </a:prstGeom>
      </xdr:spPr>
    </xdr:pic>
    <xdr:clientData/>
  </xdr:twoCellAnchor>
  <xdr:twoCellAnchor>
    <xdr:from>
      <xdr:col>12</xdr:col>
      <xdr:colOff>381000</xdr:colOff>
      <xdr:row>6</xdr:row>
      <xdr:rowOff>133350</xdr:rowOff>
    </xdr:from>
    <xdr:to>
      <xdr:col>14</xdr:col>
      <xdr:colOff>57150</xdr:colOff>
      <xdr:row>10</xdr:row>
      <xdr:rowOff>180974</xdr:rowOff>
    </xdr:to>
    <xdr:sp macro="" textlink="'Employee Performance Data Clean'!R16">
      <xdr:nvSpPr>
        <xdr:cNvPr id="29" name="Rectangle 28">
          <a:extLst>
            <a:ext uri="{FF2B5EF4-FFF2-40B4-BE49-F238E27FC236}">
              <a16:creationId xmlns:a16="http://schemas.microsoft.com/office/drawing/2014/main" id="{A1CD7CB3-97B8-7256-DC73-E8D4745C72C5}"/>
            </a:ext>
          </a:extLst>
        </xdr:cNvPr>
        <xdr:cNvSpPr/>
      </xdr:nvSpPr>
      <xdr:spPr>
        <a:xfrm>
          <a:off x="7696200" y="1514475"/>
          <a:ext cx="895350" cy="96202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DAFC9283-5E78-475B-9C64-ADC5DEBD8FCF}" type="TxLink">
            <a:rPr lang="en-US" sz="4400" b="1" i="0" u="none" strike="noStrike">
              <a:solidFill>
                <a:schemeClr val="bg1"/>
              </a:solidFill>
              <a:latin typeface="Gill Sans MT"/>
              <a:cs typeface="Calibri"/>
            </a:rPr>
            <a:pPr algn="ctr"/>
            <a:t>85</a:t>
          </a:fld>
          <a:endParaRPr lang="en-US" sz="4400" b="1">
            <a:solidFill>
              <a:schemeClr val="bg1"/>
            </a:solidFill>
          </a:endParaRPr>
        </a:p>
      </xdr:txBody>
    </xdr:sp>
    <xdr:clientData/>
  </xdr:twoCellAnchor>
  <xdr:twoCellAnchor editAs="oneCell">
    <xdr:from>
      <xdr:col>16</xdr:col>
      <xdr:colOff>161926</xdr:colOff>
      <xdr:row>8</xdr:row>
      <xdr:rowOff>0</xdr:rowOff>
    </xdr:from>
    <xdr:to>
      <xdr:col>17</xdr:col>
      <xdr:colOff>66676</xdr:colOff>
      <xdr:row>10</xdr:row>
      <xdr:rowOff>57150</xdr:rowOff>
    </xdr:to>
    <xdr:pic>
      <xdr:nvPicPr>
        <xdr:cNvPr id="31" name="Graphic 30" descr="Briefcase with solid fill">
          <a:extLst>
            <a:ext uri="{FF2B5EF4-FFF2-40B4-BE49-F238E27FC236}">
              <a16:creationId xmlns:a16="http://schemas.microsoft.com/office/drawing/2014/main" id="{4246B55D-AA37-CB7E-CE7D-B9E808482118}"/>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0134601" y="1838325"/>
          <a:ext cx="514350" cy="514350"/>
        </a:xfrm>
        <a:prstGeom prst="rect">
          <a:avLst/>
        </a:prstGeom>
      </xdr:spPr>
    </xdr:pic>
    <xdr:clientData/>
  </xdr:twoCellAnchor>
  <xdr:twoCellAnchor>
    <xdr:from>
      <xdr:col>17</xdr:col>
      <xdr:colOff>28575</xdr:colOff>
      <xdr:row>7</xdr:row>
      <xdr:rowOff>133350</xdr:rowOff>
    </xdr:from>
    <xdr:to>
      <xdr:col>18</xdr:col>
      <xdr:colOff>523875</xdr:colOff>
      <xdr:row>10</xdr:row>
      <xdr:rowOff>171449</xdr:rowOff>
    </xdr:to>
    <xdr:sp macro="" textlink="'Employee Performance Data Clean'!R17">
      <xdr:nvSpPr>
        <xdr:cNvPr id="1024" name="Rectangle 1023">
          <a:extLst>
            <a:ext uri="{FF2B5EF4-FFF2-40B4-BE49-F238E27FC236}">
              <a16:creationId xmlns:a16="http://schemas.microsoft.com/office/drawing/2014/main" id="{A4704465-CC8D-965C-CB5D-33A66C0C940B}"/>
            </a:ext>
          </a:extLst>
        </xdr:cNvPr>
        <xdr:cNvSpPr/>
      </xdr:nvSpPr>
      <xdr:spPr>
        <a:xfrm>
          <a:off x="10610850" y="1743075"/>
          <a:ext cx="1104900" cy="72389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F70A0422-4DB8-4496-B601-A8E6DCD7A28A}" type="TxLink">
            <a:rPr lang="en-US" sz="4400" b="1" i="0" u="none" strike="noStrike">
              <a:solidFill>
                <a:schemeClr val="bg1"/>
              </a:solidFill>
              <a:latin typeface="Gill Sans MT"/>
              <a:cs typeface="Calibri"/>
            </a:rPr>
            <a:pPr algn="ctr"/>
            <a:t>95</a:t>
          </a:fld>
          <a:endParaRPr lang="en-US" sz="4400" b="1">
            <a:solidFill>
              <a:schemeClr val="bg1"/>
            </a:solidFill>
          </a:endParaRPr>
        </a:p>
      </xdr:txBody>
    </xdr:sp>
    <xdr:clientData/>
  </xdr:twoCellAnchor>
  <xdr:twoCellAnchor>
    <xdr:from>
      <xdr:col>5</xdr:col>
      <xdr:colOff>123825</xdr:colOff>
      <xdr:row>14</xdr:row>
      <xdr:rowOff>180975</xdr:rowOff>
    </xdr:from>
    <xdr:to>
      <xdr:col>19</xdr:col>
      <xdr:colOff>590550</xdr:colOff>
      <xdr:row>50</xdr:row>
      <xdr:rowOff>123825</xdr:rowOff>
    </xdr:to>
    <xdr:sp macro="" textlink="">
      <xdr:nvSpPr>
        <xdr:cNvPr id="1027" name="Rectangle 1026">
          <a:extLst>
            <a:ext uri="{FF2B5EF4-FFF2-40B4-BE49-F238E27FC236}">
              <a16:creationId xmlns:a16="http://schemas.microsoft.com/office/drawing/2014/main" id="{8A1D88DF-365C-5FFC-F0DF-6802BBB38237}"/>
            </a:ext>
          </a:extLst>
        </xdr:cNvPr>
        <xdr:cNvSpPr/>
      </xdr:nvSpPr>
      <xdr:spPr>
        <a:xfrm>
          <a:off x="3171825" y="3390900"/>
          <a:ext cx="10458450" cy="81724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ln cmpd="sng">
              <a:solidFill>
                <a:schemeClr val="bg1"/>
              </a:solidFill>
            </a:ln>
          </a:endParaRPr>
        </a:p>
      </xdr:txBody>
    </xdr:sp>
    <xdr:clientData/>
  </xdr:twoCellAnchor>
  <xdr:twoCellAnchor>
    <xdr:from>
      <xdr:col>11</xdr:col>
      <xdr:colOff>403860</xdr:colOff>
      <xdr:row>0</xdr:row>
      <xdr:rowOff>102870</xdr:rowOff>
    </xdr:from>
    <xdr:to>
      <xdr:col>19</xdr:col>
      <xdr:colOff>114300</xdr:colOff>
      <xdr:row>4</xdr:row>
      <xdr:rowOff>11430</xdr:rowOff>
    </xdr:to>
    <xdr:sp macro="" textlink="'Employee Performance Data Clean'!R14">
      <xdr:nvSpPr>
        <xdr:cNvPr id="1032" name="Rectangle 1031">
          <a:extLst>
            <a:ext uri="{FF2B5EF4-FFF2-40B4-BE49-F238E27FC236}">
              <a16:creationId xmlns:a16="http://schemas.microsoft.com/office/drawing/2014/main" id="{80814D06-834C-4D49-A64A-5B83F2F58D5D}"/>
            </a:ext>
          </a:extLst>
        </xdr:cNvPr>
        <xdr:cNvSpPr/>
      </xdr:nvSpPr>
      <xdr:spPr>
        <a:xfrm>
          <a:off x="7109460" y="102870"/>
          <a:ext cx="4806315" cy="83248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r"/>
          <a:fld id="{D29557BD-13E8-46D3-BF8F-B98EDCC37460}" type="TxLink">
            <a:rPr lang="en-US" sz="4400" b="1" i="0" u="none" strike="noStrike">
              <a:solidFill>
                <a:schemeClr val="bg1"/>
              </a:solidFill>
              <a:latin typeface="Gill Sans MT"/>
              <a:cs typeface="Calibri"/>
            </a:rPr>
            <a:pPr algn="r"/>
            <a:t>100</a:t>
          </a:fld>
          <a:endParaRPr lang="en-US" sz="4400" b="1">
            <a:solidFill>
              <a:schemeClr val="bg1"/>
            </a:solidFill>
          </a:endParaRPr>
        </a:p>
      </xdr:txBody>
    </xdr:sp>
    <xdr:clientData/>
  </xdr:twoCellAnchor>
  <xdr:twoCellAnchor>
    <xdr:from>
      <xdr:col>5</xdr:col>
      <xdr:colOff>295275</xdr:colOff>
      <xdr:row>17</xdr:row>
      <xdr:rowOff>142876</xdr:rowOff>
    </xdr:from>
    <xdr:to>
      <xdr:col>12</xdr:col>
      <xdr:colOff>247650</xdr:colOff>
      <xdr:row>31</xdr:row>
      <xdr:rowOff>180976</xdr:rowOff>
    </xdr:to>
    <xdr:graphicFrame macro="">
      <xdr:nvGraphicFramePr>
        <xdr:cNvPr id="4" name="Chart 3">
          <a:extLst>
            <a:ext uri="{FF2B5EF4-FFF2-40B4-BE49-F238E27FC236}">
              <a16:creationId xmlns:a16="http://schemas.microsoft.com/office/drawing/2014/main" id="{788C363C-0EBE-4287-A920-18961E5162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0</xdr:col>
      <xdr:colOff>200025</xdr:colOff>
      <xdr:row>17</xdr:row>
      <xdr:rowOff>186687</xdr:rowOff>
    </xdr:from>
    <xdr:to>
      <xdr:col>4</xdr:col>
      <xdr:colOff>457200</xdr:colOff>
      <xdr:row>30</xdr:row>
      <xdr:rowOff>219074</xdr:rowOff>
    </xdr:to>
    <mc:AlternateContent xmlns:mc="http://schemas.openxmlformats.org/markup-compatibility/2006" xmlns:a14="http://schemas.microsoft.com/office/drawing/2010/main">
      <mc:Choice Requires="a14">
        <xdr:graphicFrame macro="">
          <xdr:nvGraphicFramePr>
            <xdr:cNvPr id="5" name="Department">
              <a:extLst>
                <a:ext uri="{FF2B5EF4-FFF2-40B4-BE49-F238E27FC236}">
                  <a16:creationId xmlns:a16="http://schemas.microsoft.com/office/drawing/2014/main" id="{D602C774-BF92-3BD7-1904-ECDFEF122D99}"/>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200025" y="3625212"/>
              <a:ext cx="2695575" cy="30041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9526</xdr:colOff>
      <xdr:row>7</xdr:row>
      <xdr:rowOff>133350</xdr:rowOff>
    </xdr:from>
    <xdr:to>
      <xdr:col>5</xdr:col>
      <xdr:colOff>123826</xdr:colOff>
      <xdr:row>10</xdr:row>
      <xdr:rowOff>123824</xdr:rowOff>
    </xdr:to>
    <xdr:sp macro="" textlink="'Employee Performance Data Clean'!R13">
      <xdr:nvSpPr>
        <xdr:cNvPr id="11" name="Rectangle 10">
          <a:extLst>
            <a:ext uri="{FF2B5EF4-FFF2-40B4-BE49-F238E27FC236}">
              <a16:creationId xmlns:a16="http://schemas.microsoft.com/office/drawing/2014/main" id="{1C2676BB-8D38-0D46-3CD8-AD2630A0408D}"/>
            </a:ext>
          </a:extLst>
        </xdr:cNvPr>
        <xdr:cNvSpPr/>
      </xdr:nvSpPr>
      <xdr:spPr>
        <a:xfrm>
          <a:off x="619126" y="1743075"/>
          <a:ext cx="2552700" cy="67627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3F7E2179-1C0A-40D6-A5B7-20BE4FDEBAF1}" type="TxLink">
            <a:rPr lang="en-US" sz="3600" b="1" i="0" u="none" strike="noStrike">
              <a:solidFill>
                <a:schemeClr val="bg1"/>
              </a:solidFill>
              <a:latin typeface="Gill Sans MT"/>
              <a:cs typeface="Calibri"/>
            </a:rPr>
            <a:pPr algn="ctr"/>
            <a:t> $154,050 </a:t>
          </a:fld>
          <a:endParaRPr lang="en-US" sz="3600" b="1">
            <a:solidFill>
              <a:schemeClr val="bg1"/>
            </a:solidFill>
          </a:endParaRPr>
        </a:p>
      </xdr:txBody>
    </xdr:sp>
    <xdr:clientData/>
  </xdr:twoCellAnchor>
  <xdr:twoCellAnchor>
    <xdr:from>
      <xdr:col>12</xdr:col>
      <xdr:colOff>409575</xdr:colOff>
      <xdr:row>17</xdr:row>
      <xdr:rowOff>133350</xdr:rowOff>
    </xdr:from>
    <xdr:to>
      <xdr:col>19</xdr:col>
      <xdr:colOff>438150</xdr:colOff>
      <xdr:row>31</xdr:row>
      <xdr:rowOff>171450</xdr:rowOff>
    </xdr:to>
    <xdr:graphicFrame macro="">
      <xdr:nvGraphicFramePr>
        <xdr:cNvPr id="17" name="Chart 16">
          <a:extLst>
            <a:ext uri="{FF2B5EF4-FFF2-40B4-BE49-F238E27FC236}">
              <a16:creationId xmlns:a16="http://schemas.microsoft.com/office/drawing/2014/main" id="{269FC5B5-0B22-4AD3-BED4-C793B87549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0</xdr:col>
      <xdr:colOff>219074</xdr:colOff>
      <xdr:row>31</xdr:row>
      <xdr:rowOff>180975</xdr:rowOff>
    </xdr:from>
    <xdr:to>
      <xdr:col>4</xdr:col>
      <xdr:colOff>428625</xdr:colOff>
      <xdr:row>46</xdr:row>
      <xdr:rowOff>38100</xdr:rowOff>
    </xdr:to>
    <mc:AlternateContent xmlns:mc="http://schemas.openxmlformats.org/markup-compatibility/2006" xmlns:a14="http://schemas.microsoft.com/office/drawing/2010/main">
      <mc:Choice Requires="a14">
        <xdr:graphicFrame macro="">
          <xdr:nvGraphicFramePr>
            <xdr:cNvPr id="1028" name="Years (HireDate)">
              <a:extLst>
                <a:ext uri="{FF2B5EF4-FFF2-40B4-BE49-F238E27FC236}">
                  <a16:creationId xmlns:a16="http://schemas.microsoft.com/office/drawing/2014/main" id="{34729943-378D-90BF-1A55-2C560223EBE6}"/>
                </a:ext>
              </a:extLst>
            </xdr:cNvPr>
            <xdr:cNvGraphicFramePr/>
          </xdr:nvGraphicFramePr>
          <xdr:xfrm>
            <a:off x="0" y="0"/>
            <a:ext cx="0" cy="0"/>
          </xdr:xfrm>
          <a:graphic>
            <a:graphicData uri="http://schemas.microsoft.com/office/drawing/2010/slicer">
              <sle:slicer xmlns:sle="http://schemas.microsoft.com/office/drawing/2010/slicer" name="Years (HireDate)"/>
            </a:graphicData>
          </a:graphic>
        </xdr:graphicFrame>
      </mc:Choice>
      <mc:Fallback xmlns="">
        <xdr:sp macro="" textlink="">
          <xdr:nvSpPr>
            <xdr:cNvPr id="0" name=""/>
            <xdr:cNvSpPr>
              <a:spLocks noTextEdit="1"/>
            </xdr:cNvSpPr>
          </xdr:nvSpPr>
          <xdr:spPr>
            <a:xfrm>
              <a:off x="219074" y="7277100"/>
              <a:ext cx="2647951" cy="3286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24</xdr:col>
      <xdr:colOff>552450</xdr:colOff>
      <xdr:row>18</xdr:row>
      <xdr:rowOff>47625</xdr:rowOff>
    </xdr:from>
    <xdr:ext cx="184731" cy="255904"/>
    <xdr:sp macro="" textlink="">
      <xdr:nvSpPr>
        <xdr:cNvPr id="1025" name="TextBox 1024">
          <a:extLst>
            <a:ext uri="{FF2B5EF4-FFF2-40B4-BE49-F238E27FC236}">
              <a16:creationId xmlns:a16="http://schemas.microsoft.com/office/drawing/2014/main" id="{090C34A6-DAFC-A466-994E-B89A3FBE4C8D}"/>
            </a:ext>
          </a:extLst>
        </xdr:cNvPr>
        <xdr:cNvSpPr txBox="1"/>
      </xdr:nvSpPr>
      <xdr:spPr>
        <a:xfrm>
          <a:off x="15401925" y="3714750"/>
          <a:ext cx="184731" cy="2559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kern="1200"/>
        </a:p>
      </xdr:txBody>
    </xdr:sp>
    <xdr:clientData/>
  </xdr:oneCellAnchor>
  <xdr:twoCellAnchor>
    <xdr:from>
      <xdr:col>0</xdr:col>
      <xdr:colOff>76200</xdr:colOff>
      <xdr:row>11</xdr:row>
      <xdr:rowOff>152400</xdr:rowOff>
    </xdr:from>
    <xdr:to>
      <xdr:col>6</xdr:col>
      <xdr:colOff>266700</xdr:colOff>
      <xdr:row>14</xdr:row>
      <xdr:rowOff>0</xdr:rowOff>
    </xdr:to>
    <xdr:sp macro="" textlink="">
      <xdr:nvSpPr>
        <xdr:cNvPr id="1031" name="Rectangle: Rounded Corners 1030">
          <a:hlinkClick xmlns:r="http://schemas.openxmlformats.org/officeDocument/2006/relationships" r:id="rId11"/>
          <a:extLst>
            <a:ext uri="{FF2B5EF4-FFF2-40B4-BE49-F238E27FC236}">
              <a16:creationId xmlns:a16="http://schemas.microsoft.com/office/drawing/2014/main" id="{62E86483-20E7-75DF-5B64-C627D5C97FB6}"/>
            </a:ext>
          </a:extLst>
        </xdr:cNvPr>
        <xdr:cNvSpPr/>
      </xdr:nvSpPr>
      <xdr:spPr>
        <a:xfrm>
          <a:off x="76200" y="2676525"/>
          <a:ext cx="3848100" cy="533400"/>
        </a:xfrm>
        <a:prstGeom prst="roundRect">
          <a:avLst/>
        </a:prstGeom>
        <a:solidFill>
          <a:schemeClr val="tx1">
            <a:lumMod val="95000"/>
            <a:lumOff val="5000"/>
          </a:schemeClr>
        </a:solidFill>
        <a:ln>
          <a:noFill/>
        </a:ln>
        <a:effectLst>
          <a:softEdge rad="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Ins="91440" rtlCol="0" anchor="ctr"/>
        <a:lstStyle/>
        <a:p>
          <a:pPr algn="ctr"/>
          <a:r>
            <a:rPr lang="en-US" sz="2400" b="1">
              <a:solidFill>
                <a:schemeClr val="accent6">
                  <a:lumMod val="20000"/>
                  <a:lumOff val="80000"/>
                </a:schemeClr>
              </a:solidFill>
            </a:rPr>
            <a:t>Departmental Insights</a:t>
          </a:r>
          <a:endParaRPr lang="en-US" sz="2400" b="1" kern="1200">
            <a:solidFill>
              <a:schemeClr val="accent6">
                <a:lumMod val="20000"/>
                <a:lumOff val="80000"/>
              </a:schemeClr>
            </a:solidFill>
          </a:endParaRPr>
        </a:p>
      </xdr:txBody>
    </xdr:sp>
    <xdr:clientData/>
  </xdr:twoCellAnchor>
  <xdr:twoCellAnchor>
    <xdr:from>
      <xdr:col>7</xdr:col>
      <xdr:colOff>19050</xdr:colOff>
      <xdr:row>11</xdr:row>
      <xdr:rowOff>161925</xdr:rowOff>
    </xdr:from>
    <xdr:to>
      <xdr:col>13</xdr:col>
      <xdr:colOff>209550</xdr:colOff>
      <xdr:row>14</xdr:row>
      <xdr:rowOff>9525</xdr:rowOff>
    </xdr:to>
    <xdr:sp macro="" textlink="">
      <xdr:nvSpPr>
        <xdr:cNvPr id="1034" name="Rectangle: Rounded Corners 1033">
          <a:hlinkClick xmlns:r="http://schemas.openxmlformats.org/officeDocument/2006/relationships" r:id="rId12"/>
          <a:extLst>
            <a:ext uri="{FF2B5EF4-FFF2-40B4-BE49-F238E27FC236}">
              <a16:creationId xmlns:a16="http://schemas.microsoft.com/office/drawing/2014/main" id="{4E11B29E-82A2-A085-8C86-790CEFB96CDE}"/>
            </a:ext>
          </a:extLst>
        </xdr:cNvPr>
        <xdr:cNvSpPr/>
      </xdr:nvSpPr>
      <xdr:spPr>
        <a:xfrm>
          <a:off x="4286250" y="2686050"/>
          <a:ext cx="3848100" cy="533400"/>
        </a:xfrm>
        <a:prstGeom prst="roundRect">
          <a:avLst/>
        </a:prstGeom>
        <a:solidFill>
          <a:schemeClr val="tx1">
            <a:lumMod val="95000"/>
            <a:lumOff val="5000"/>
          </a:schemeClr>
        </a:solidFill>
        <a:ln>
          <a:noFill/>
        </a:ln>
        <a:effectLst>
          <a:softEdge rad="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Ins="91440" rtlCol="0" anchor="ctr"/>
        <a:lstStyle/>
        <a:p>
          <a:pPr algn="ctr"/>
          <a:r>
            <a:rPr lang="en-US" sz="2400" b="1">
              <a:solidFill>
                <a:schemeClr val="accent6">
                  <a:lumMod val="20000"/>
                  <a:lumOff val="80000"/>
                </a:schemeClr>
              </a:solidFill>
            </a:rPr>
            <a:t>Performance Insights</a:t>
          </a:r>
          <a:endParaRPr lang="en-US" sz="2400" b="1" kern="1200">
            <a:solidFill>
              <a:schemeClr val="accent6">
                <a:lumMod val="20000"/>
                <a:lumOff val="80000"/>
              </a:schemeClr>
            </a:solidFill>
          </a:endParaRPr>
        </a:p>
      </xdr:txBody>
    </xdr:sp>
    <xdr:clientData/>
  </xdr:twoCellAnchor>
  <xdr:twoCellAnchor>
    <xdr:from>
      <xdr:col>14</xdr:col>
      <xdr:colOff>38100</xdr:colOff>
      <xdr:row>11</xdr:row>
      <xdr:rowOff>171450</xdr:rowOff>
    </xdr:from>
    <xdr:to>
      <xdr:col>20</xdr:col>
      <xdr:colOff>9525</xdr:colOff>
      <xdr:row>14</xdr:row>
      <xdr:rowOff>19050</xdr:rowOff>
    </xdr:to>
    <xdr:sp macro="" textlink="">
      <xdr:nvSpPr>
        <xdr:cNvPr id="1035" name="Rectangle: Rounded Corners 1034">
          <a:hlinkClick xmlns:r="http://schemas.openxmlformats.org/officeDocument/2006/relationships" r:id="rId13"/>
          <a:extLst>
            <a:ext uri="{FF2B5EF4-FFF2-40B4-BE49-F238E27FC236}">
              <a16:creationId xmlns:a16="http://schemas.microsoft.com/office/drawing/2014/main" id="{D9441D90-7093-4CF4-A2ED-7B1012AF1EAB}"/>
            </a:ext>
          </a:extLst>
        </xdr:cNvPr>
        <xdr:cNvSpPr/>
      </xdr:nvSpPr>
      <xdr:spPr>
        <a:xfrm>
          <a:off x="8572500" y="2695575"/>
          <a:ext cx="3848100" cy="533400"/>
        </a:xfrm>
        <a:prstGeom prst="roundRect">
          <a:avLst/>
        </a:prstGeom>
        <a:solidFill>
          <a:schemeClr val="tx1">
            <a:lumMod val="95000"/>
            <a:lumOff val="5000"/>
          </a:schemeClr>
        </a:solidFill>
        <a:ln>
          <a:noFill/>
        </a:ln>
        <a:effectLst>
          <a:softEdge rad="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Ins="91440" rtlCol="0" anchor="ctr"/>
        <a:lstStyle/>
        <a:p>
          <a:pPr algn="ctr"/>
          <a:r>
            <a:rPr lang="en-US" sz="2400" b="1">
              <a:solidFill>
                <a:schemeClr val="accent6">
                  <a:lumMod val="20000"/>
                  <a:lumOff val="80000"/>
                </a:schemeClr>
              </a:solidFill>
            </a:rPr>
            <a:t>Gender Analysis</a:t>
          </a:r>
          <a:endParaRPr lang="en-US" sz="2400" b="1" kern="1200">
            <a:solidFill>
              <a:schemeClr val="accent6">
                <a:lumMod val="20000"/>
                <a:lumOff val="80000"/>
              </a:schemeClr>
            </a:solidFill>
          </a:endParaRPr>
        </a:p>
      </xdr:txBody>
    </xdr:sp>
    <xdr:clientData/>
  </xdr:twoCellAnchor>
  <xdr:twoCellAnchor>
    <xdr:from>
      <xdr:col>5</xdr:col>
      <xdr:colOff>323849</xdr:colOff>
      <xdr:row>32</xdr:row>
      <xdr:rowOff>180976</xdr:rowOff>
    </xdr:from>
    <xdr:to>
      <xdr:col>12</xdr:col>
      <xdr:colOff>123825</xdr:colOff>
      <xdr:row>47</xdr:row>
      <xdr:rowOff>104775</xdr:rowOff>
    </xdr:to>
    <xdr:graphicFrame macro="">
      <xdr:nvGraphicFramePr>
        <xdr:cNvPr id="1040" name="Chart 1039">
          <a:extLst>
            <a:ext uri="{FF2B5EF4-FFF2-40B4-BE49-F238E27FC236}">
              <a16:creationId xmlns:a16="http://schemas.microsoft.com/office/drawing/2014/main" id="{54D7EFF8-108B-4593-BA2E-B9F5E834AB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12</xdr:col>
      <xdr:colOff>371474</xdr:colOff>
      <xdr:row>32</xdr:row>
      <xdr:rowOff>152399</xdr:rowOff>
    </xdr:from>
    <xdr:to>
      <xdr:col>19</xdr:col>
      <xdr:colOff>352424</xdr:colOff>
      <xdr:row>47</xdr:row>
      <xdr:rowOff>104774</xdr:rowOff>
    </xdr:to>
    <xdr:graphicFrame macro="">
      <xdr:nvGraphicFramePr>
        <xdr:cNvPr id="2" name="Chart 1">
          <a:extLst>
            <a:ext uri="{FF2B5EF4-FFF2-40B4-BE49-F238E27FC236}">
              <a16:creationId xmlns:a16="http://schemas.microsoft.com/office/drawing/2014/main" id="{BEA6F496-5BF0-4972-8DBF-BCD4768C57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8</xdr:col>
      <xdr:colOff>190499</xdr:colOff>
      <xdr:row>15</xdr:row>
      <xdr:rowOff>28575</xdr:rowOff>
    </xdr:from>
    <xdr:to>
      <xdr:col>16</xdr:col>
      <xdr:colOff>428625</xdr:colOff>
      <xdr:row>17</xdr:row>
      <xdr:rowOff>9524</xdr:rowOff>
    </xdr:to>
    <xdr:sp macro="" textlink="'Employee Performance Data Clean'!R15">
      <xdr:nvSpPr>
        <xdr:cNvPr id="21" name="Rectangle 20">
          <a:extLst>
            <a:ext uri="{FF2B5EF4-FFF2-40B4-BE49-F238E27FC236}">
              <a16:creationId xmlns:a16="http://schemas.microsoft.com/office/drawing/2014/main" id="{DC271194-80D1-F0DC-D588-BF3B663A5BF2}"/>
            </a:ext>
          </a:extLst>
        </xdr:cNvPr>
        <xdr:cNvSpPr/>
      </xdr:nvSpPr>
      <xdr:spPr>
        <a:xfrm>
          <a:off x="5067299" y="3467100"/>
          <a:ext cx="6572251" cy="43814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r>
            <a:rPr lang="en-US" sz="2400" b="1" i="0" u="none" strike="noStrike">
              <a:solidFill>
                <a:schemeClr val="bg1"/>
              </a:solidFill>
              <a:latin typeface="Gill Sans MT"/>
              <a:cs typeface="Calibri"/>
            </a:rPr>
            <a:t>Welcome</a:t>
          </a:r>
          <a:r>
            <a:rPr lang="en-US" sz="2400" b="1" i="0" u="none" strike="noStrike" baseline="0">
              <a:solidFill>
                <a:schemeClr val="bg1"/>
              </a:solidFill>
              <a:latin typeface="Gill Sans MT"/>
              <a:cs typeface="Calibri"/>
            </a:rPr>
            <a:t> to Departmental  Insights Page</a:t>
          </a:r>
          <a:endParaRPr lang="en-US" sz="2400" b="1">
            <a:solidFill>
              <a:schemeClr val="bg1"/>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14</xdr:col>
      <xdr:colOff>60961</xdr:colOff>
      <xdr:row>2</xdr:row>
      <xdr:rowOff>133350</xdr:rowOff>
    </xdr:from>
    <xdr:ext cx="2270760" cy="264560"/>
    <xdr:sp macro="" textlink="">
      <xdr:nvSpPr>
        <xdr:cNvPr id="2" name="TextBox 1">
          <a:extLst>
            <a:ext uri="{FF2B5EF4-FFF2-40B4-BE49-F238E27FC236}">
              <a16:creationId xmlns:a16="http://schemas.microsoft.com/office/drawing/2014/main" id="{5B60DA14-F2C8-4E06-B41B-DD26355F0944}"/>
            </a:ext>
          </a:extLst>
        </xdr:cNvPr>
        <xdr:cNvSpPr txBox="1"/>
      </xdr:nvSpPr>
      <xdr:spPr>
        <a:xfrm>
          <a:off x="8595361" y="590550"/>
          <a:ext cx="22707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1100"/>
        </a:p>
      </xdr:txBody>
    </xdr:sp>
    <xdr:clientData/>
  </xdr:oneCellAnchor>
  <xdr:twoCellAnchor>
    <xdr:from>
      <xdr:col>0</xdr:col>
      <xdr:colOff>161926</xdr:colOff>
      <xdr:row>0</xdr:row>
      <xdr:rowOff>120015</xdr:rowOff>
    </xdr:from>
    <xdr:to>
      <xdr:col>10</xdr:col>
      <xdr:colOff>215266</xdr:colOff>
      <xdr:row>4</xdr:row>
      <xdr:rowOff>17145</xdr:rowOff>
    </xdr:to>
    <xdr:sp macro="" textlink="">
      <xdr:nvSpPr>
        <xdr:cNvPr id="3" name="Text Box 2">
          <a:hlinkClick xmlns:r="http://schemas.openxmlformats.org/officeDocument/2006/relationships" r:id="rId1"/>
          <a:extLst>
            <a:ext uri="{FF2B5EF4-FFF2-40B4-BE49-F238E27FC236}">
              <a16:creationId xmlns:a16="http://schemas.microsoft.com/office/drawing/2014/main" id="{634C14D5-3308-4505-A5B5-877E85573723}"/>
            </a:ext>
          </a:extLst>
        </xdr:cNvPr>
        <xdr:cNvSpPr txBox="1">
          <a:spLocks noChangeArrowheads="1"/>
        </xdr:cNvSpPr>
      </xdr:nvSpPr>
      <xdr:spPr bwMode="auto">
        <a:xfrm flipV="1">
          <a:off x="161926" y="120015"/>
          <a:ext cx="6149340" cy="811530"/>
        </a:xfrm>
        <a:prstGeom prst="rect">
          <a:avLst/>
        </a:prstGeom>
        <a:noFill/>
        <a:ln w="9525">
          <a:noFill/>
          <a:miter lim="800000"/>
          <a:headEnd/>
          <a:tailEnd/>
        </a:ln>
      </xdr:spPr>
      <xdr:txBody>
        <a:bodyPr vertOverflow="clip" wrap="square" lIns="36576" tIns="32004" rIns="0" bIns="0" anchor="t" upright="1"/>
        <a:lstStyle/>
        <a:p>
          <a:pPr algn="l" rtl="0">
            <a:defRPr sz="1000"/>
          </a:pPr>
          <a:r>
            <a:rPr lang="en-US" sz="4000" b="1" i="0" u="none" strike="noStrike" baseline="0">
              <a:ln w="0" cap="rnd" cmpd="dbl">
                <a:solidFill>
                  <a:schemeClr val="bg1"/>
                </a:solidFill>
                <a:prstDash val="solid"/>
                <a:round/>
              </a:ln>
              <a:solidFill>
                <a:schemeClr val="bg1"/>
              </a:solidFill>
              <a:latin typeface="Built Titling Sb" panose="020B0706030202080204" pitchFamily="34" charset="0"/>
              <a:cs typeface="Calibri"/>
            </a:rPr>
            <a:t>Employee Performance Dashboard</a:t>
          </a:r>
        </a:p>
      </xdr:txBody>
    </xdr:sp>
    <xdr:clientData/>
  </xdr:twoCellAnchor>
  <xdr:twoCellAnchor>
    <xdr:from>
      <xdr:col>5</xdr:col>
      <xdr:colOff>123828</xdr:colOff>
      <xdr:row>5</xdr:row>
      <xdr:rowOff>1905</xdr:rowOff>
    </xdr:from>
    <xdr:to>
      <xdr:col>7</xdr:col>
      <xdr:colOff>609601</xdr:colOff>
      <xdr:row>10</xdr:row>
      <xdr:rowOff>93345</xdr:rowOff>
    </xdr:to>
    <xdr:sp macro="" textlink="">
      <xdr:nvSpPr>
        <xdr:cNvPr id="4" name="Rectangle 3">
          <a:extLst>
            <a:ext uri="{FF2B5EF4-FFF2-40B4-BE49-F238E27FC236}">
              <a16:creationId xmlns:a16="http://schemas.microsoft.com/office/drawing/2014/main" id="{5ADA2B9A-E71C-49E4-A7C2-F121BAD00DE9}"/>
            </a:ext>
          </a:extLst>
        </xdr:cNvPr>
        <xdr:cNvSpPr/>
      </xdr:nvSpPr>
      <xdr:spPr>
        <a:xfrm>
          <a:off x="3171828" y="1144905"/>
          <a:ext cx="3124198" cy="1234440"/>
        </a:xfrm>
        <a:prstGeom prst="rect">
          <a:avLst/>
        </a:prstGeom>
        <a:solidFill>
          <a:schemeClr val="accent1"/>
        </a:solidFill>
        <a:ln>
          <a:noFill/>
        </a:ln>
        <a:effectLst>
          <a:outerShdw blurRad="50800" dist="50800" dir="5400000" sx="1000" sy="1000" algn="ctr" rotWithShape="0">
            <a:srgbClr val="000000">
              <a:alpha val="63000"/>
            </a:srgbClr>
          </a:outerShdw>
          <a:softEdge rad="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endParaRPr lang="en-US" sz="3200">
            <a:solidFill>
              <a:schemeClr val="bg1"/>
            </a:solidFill>
          </a:endParaRPr>
        </a:p>
      </xdr:txBody>
    </xdr:sp>
    <xdr:clientData/>
  </xdr:twoCellAnchor>
  <xdr:twoCellAnchor>
    <xdr:from>
      <xdr:col>9</xdr:col>
      <xdr:colOff>826771</xdr:colOff>
      <xdr:row>5</xdr:row>
      <xdr:rowOff>0</xdr:rowOff>
    </xdr:from>
    <xdr:to>
      <xdr:col>12</xdr:col>
      <xdr:colOff>57150</xdr:colOff>
      <xdr:row>10</xdr:row>
      <xdr:rowOff>91440</xdr:rowOff>
    </xdr:to>
    <xdr:sp macro="" textlink="">
      <xdr:nvSpPr>
        <xdr:cNvPr id="5" name="Rectangle 4">
          <a:extLst>
            <a:ext uri="{FF2B5EF4-FFF2-40B4-BE49-F238E27FC236}">
              <a16:creationId xmlns:a16="http://schemas.microsoft.com/office/drawing/2014/main" id="{8368DEAB-0F95-41DB-9675-95621D258DBD}"/>
            </a:ext>
          </a:extLst>
        </xdr:cNvPr>
        <xdr:cNvSpPr/>
      </xdr:nvSpPr>
      <xdr:spPr>
        <a:xfrm>
          <a:off x="9437371" y="1143000"/>
          <a:ext cx="2735579" cy="1234440"/>
        </a:xfrm>
        <a:prstGeom prst="rect">
          <a:avLst/>
        </a:prstGeom>
        <a:ln>
          <a:noFill/>
        </a:ln>
        <a:effectLst>
          <a:softEdge rad="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endParaRPr lang="en-US" sz="4400" b="0" i="0" u="none" strike="noStrike">
            <a:solidFill>
              <a:schemeClr val="bg1"/>
            </a:solidFill>
            <a:latin typeface="Calibri"/>
            <a:cs typeface="Calibri"/>
          </a:endParaRPr>
        </a:p>
      </xdr:txBody>
    </xdr:sp>
    <xdr:clientData/>
  </xdr:twoCellAnchor>
  <xdr:twoCellAnchor>
    <xdr:from>
      <xdr:col>7</xdr:col>
      <xdr:colOff>723900</xdr:colOff>
      <xdr:row>5</xdr:row>
      <xdr:rowOff>0</xdr:rowOff>
    </xdr:from>
    <xdr:to>
      <xdr:col>9</xdr:col>
      <xdr:colOff>714375</xdr:colOff>
      <xdr:row>10</xdr:row>
      <xdr:rowOff>91440</xdr:rowOff>
    </xdr:to>
    <xdr:sp macro="" textlink="">
      <xdr:nvSpPr>
        <xdr:cNvPr id="6" name="Rectangle 5">
          <a:extLst>
            <a:ext uri="{FF2B5EF4-FFF2-40B4-BE49-F238E27FC236}">
              <a16:creationId xmlns:a16="http://schemas.microsoft.com/office/drawing/2014/main" id="{99A8FD75-D794-4723-982B-9B7EC6F0B175}"/>
            </a:ext>
          </a:extLst>
        </xdr:cNvPr>
        <xdr:cNvSpPr/>
      </xdr:nvSpPr>
      <xdr:spPr>
        <a:xfrm>
          <a:off x="6410325" y="1143000"/>
          <a:ext cx="2914650" cy="1234440"/>
        </a:xfrm>
        <a:prstGeom prst="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r>
            <a:rPr lang="en-US" sz="4800" b="1" i="0" u="none" strike="noStrike">
              <a:solidFill>
                <a:schemeClr val="bg1"/>
              </a:solidFill>
              <a:latin typeface="Calibri"/>
              <a:cs typeface="Calibri"/>
            </a:rPr>
            <a:t> </a:t>
          </a:r>
        </a:p>
      </xdr:txBody>
    </xdr:sp>
    <xdr:clientData/>
  </xdr:twoCellAnchor>
  <xdr:twoCellAnchor>
    <xdr:from>
      <xdr:col>7</xdr:col>
      <xdr:colOff>1013461</xdr:colOff>
      <xdr:row>0</xdr:row>
      <xdr:rowOff>57150</xdr:rowOff>
    </xdr:from>
    <xdr:to>
      <xdr:col>11</xdr:col>
      <xdr:colOff>742950</xdr:colOff>
      <xdr:row>3</xdr:row>
      <xdr:rowOff>80010</xdr:rowOff>
    </xdr:to>
    <xdr:sp macro="" textlink="">
      <xdr:nvSpPr>
        <xdr:cNvPr id="7" name="Rectangle 6">
          <a:extLst>
            <a:ext uri="{FF2B5EF4-FFF2-40B4-BE49-F238E27FC236}">
              <a16:creationId xmlns:a16="http://schemas.microsoft.com/office/drawing/2014/main" id="{230B2050-3FBD-4108-A550-24C7B3AFECB2}"/>
            </a:ext>
          </a:extLst>
        </xdr:cNvPr>
        <xdr:cNvSpPr/>
      </xdr:nvSpPr>
      <xdr:spPr>
        <a:xfrm>
          <a:off x="6699886" y="57150"/>
          <a:ext cx="5044439" cy="70866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r"/>
          <a:endParaRPr lang="en-US" sz="5400">
            <a:solidFill>
              <a:schemeClr val="accent4">
                <a:lumMod val="40000"/>
                <a:lumOff val="60000"/>
              </a:schemeClr>
            </a:solidFill>
          </a:endParaRPr>
        </a:p>
      </xdr:txBody>
    </xdr:sp>
    <xdr:clientData/>
  </xdr:twoCellAnchor>
  <xdr:twoCellAnchor>
    <xdr:from>
      <xdr:col>8</xdr:col>
      <xdr:colOff>527396</xdr:colOff>
      <xdr:row>0</xdr:row>
      <xdr:rowOff>148088</xdr:rowOff>
    </xdr:from>
    <xdr:to>
      <xdr:col>11</xdr:col>
      <xdr:colOff>63370</xdr:colOff>
      <xdr:row>3</xdr:row>
      <xdr:rowOff>37655</xdr:rowOff>
    </xdr:to>
    <xdr:sp macro="" textlink="">
      <xdr:nvSpPr>
        <xdr:cNvPr id="8" name="TextBox 7">
          <a:extLst>
            <a:ext uri="{FF2B5EF4-FFF2-40B4-BE49-F238E27FC236}">
              <a16:creationId xmlns:a16="http://schemas.microsoft.com/office/drawing/2014/main" id="{B333B92F-8872-4C81-8C0F-DD5911105AC2}"/>
            </a:ext>
          </a:extLst>
        </xdr:cNvPr>
        <xdr:cNvSpPr txBox="1"/>
      </xdr:nvSpPr>
      <xdr:spPr>
        <a:xfrm>
          <a:off x="7785446" y="148088"/>
          <a:ext cx="3279299" cy="5753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2800">
              <a:solidFill>
                <a:srgbClr val="FFFFFF"/>
              </a:solidFill>
            </a:rPr>
            <a:t>Total Employee</a:t>
          </a:r>
          <a:r>
            <a:rPr lang="en-US" sz="2800" baseline="0">
              <a:solidFill>
                <a:srgbClr val="FFFFFF"/>
              </a:solidFill>
            </a:rPr>
            <a:t> =</a:t>
          </a:r>
          <a:r>
            <a:rPr lang="en-US" sz="2800">
              <a:solidFill>
                <a:srgbClr val="FFFFFF"/>
              </a:solidFill>
            </a:rPr>
            <a:t> </a:t>
          </a:r>
        </a:p>
      </xdr:txBody>
    </xdr:sp>
    <xdr:clientData/>
  </xdr:twoCellAnchor>
  <xdr:twoCellAnchor>
    <xdr:from>
      <xdr:col>7</xdr:col>
      <xdr:colOff>1434406</xdr:colOff>
      <xdr:row>0</xdr:row>
      <xdr:rowOff>35944</xdr:rowOff>
    </xdr:from>
    <xdr:to>
      <xdr:col>8</xdr:col>
      <xdr:colOff>418821</xdr:colOff>
      <xdr:row>2</xdr:row>
      <xdr:rowOff>227198</xdr:rowOff>
    </xdr:to>
    <xdr:pic>
      <xdr:nvPicPr>
        <xdr:cNvPr id="9" name="Graphic 8" descr="Employee badge with solid fill">
          <a:extLst>
            <a:ext uri="{FF2B5EF4-FFF2-40B4-BE49-F238E27FC236}">
              <a16:creationId xmlns:a16="http://schemas.microsoft.com/office/drawing/2014/main" id="{DD82A38B-9401-4ABF-9316-593EB15B9AF9}"/>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7120831" y="35944"/>
          <a:ext cx="556040" cy="648454"/>
        </a:xfrm>
        <a:prstGeom prst="rect">
          <a:avLst/>
        </a:prstGeom>
      </xdr:spPr>
    </xdr:pic>
    <xdr:clientData/>
  </xdr:twoCellAnchor>
  <xdr:twoCellAnchor>
    <xdr:from>
      <xdr:col>5</xdr:col>
      <xdr:colOff>171452</xdr:colOff>
      <xdr:row>5</xdr:row>
      <xdr:rowOff>89535</xdr:rowOff>
    </xdr:from>
    <xdr:to>
      <xdr:col>7</xdr:col>
      <xdr:colOff>469611</xdr:colOff>
      <xdr:row>7</xdr:row>
      <xdr:rowOff>125731</xdr:rowOff>
    </xdr:to>
    <xdr:sp macro="" textlink="">
      <xdr:nvSpPr>
        <xdr:cNvPr id="10" name="TextBox 9">
          <a:extLst>
            <a:ext uri="{FF2B5EF4-FFF2-40B4-BE49-F238E27FC236}">
              <a16:creationId xmlns:a16="http://schemas.microsoft.com/office/drawing/2014/main" id="{D84A5055-9F87-4801-B358-0C8BB49F4253}"/>
            </a:ext>
          </a:extLst>
        </xdr:cNvPr>
        <xdr:cNvSpPr txBox="1"/>
      </xdr:nvSpPr>
      <xdr:spPr>
        <a:xfrm>
          <a:off x="3219452" y="1232535"/>
          <a:ext cx="2936584" cy="493396"/>
        </a:xfrm>
        <a:prstGeom prst="rect">
          <a:avLst/>
        </a:prstGeom>
        <a:solidFill>
          <a:schemeClr val="accent1">
            <a:lumMod val="50000"/>
          </a:schemeClr>
        </a:solidFill>
        <a:ln w="9525" cap="rnd" cmpd="sng">
          <a:noFill/>
        </a:ln>
        <a:effectLst>
          <a:softEdge rad="38100"/>
        </a:effectLst>
      </xdr:spPr>
      <xdr:style>
        <a:lnRef idx="0">
          <a:scrgbClr r="0" g="0" b="0"/>
        </a:lnRef>
        <a:fillRef idx="0">
          <a:scrgbClr r="0" g="0" b="0"/>
        </a:fillRef>
        <a:effectRef idx="0">
          <a:scrgbClr r="0" g="0" b="0"/>
        </a:effectRef>
        <a:fontRef idx="minor">
          <a:schemeClr val="dk1"/>
        </a:fontRef>
      </xdr:style>
      <xdr:txBody>
        <a:bodyPr vertOverflow="clip" horzOverflow="clip" wrap="square" lIns="91440" rtlCol="0" anchor="ctr"/>
        <a:lstStyle/>
        <a:p>
          <a:pPr algn="ctr"/>
          <a:r>
            <a:rPr lang="en-US" sz="1800" b="1">
              <a:solidFill>
                <a:schemeClr val="bg1"/>
              </a:solidFill>
            </a:rPr>
            <a:t>Average Bonus Amount</a:t>
          </a:r>
        </a:p>
      </xdr:txBody>
    </xdr:sp>
    <xdr:clientData/>
  </xdr:twoCellAnchor>
  <xdr:twoCellAnchor>
    <xdr:from>
      <xdr:col>7</xdr:col>
      <xdr:colOff>792435</xdr:colOff>
      <xdr:row>5</xdr:row>
      <xdr:rowOff>104775</xdr:rowOff>
    </xdr:from>
    <xdr:to>
      <xdr:col>9</xdr:col>
      <xdr:colOff>592612</xdr:colOff>
      <xdr:row>7</xdr:row>
      <xdr:rowOff>203835</xdr:rowOff>
    </xdr:to>
    <xdr:sp macro="" textlink="">
      <xdr:nvSpPr>
        <xdr:cNvPr id="11" name="TextBox 10">
          <a:extLst>
            <a:ext uri="{FF2B5EF4-FFF2-40B4-BE49-F238E27FC236}">
              <a16:creationId xmlns:a16="http://schemas.microsoft.com/office/drawing/2014/main" id="{158B63FA-2981-477E-9FC5-9792CD91A505}"/>
            </a:ext>
          </a:extLst>
        </xdr:cNvPr>
        <xdr:cNvSpPr txBox="1"/>
      </xdr:nvSpPr>
      <xdr:spPr>
        <a:xfrm>
          <a:off x="6478860" y="1247775"/>
          <a:ext cx="2724352" cy="556260"/>
        </a:xfrm>
        <a:prstGeom prst="rect">
          <a:avLst/>
        </a:prstGeom>
        <a:solidFill>
          <a:schemeClr val="accent1">
            <a:lumMod val="50000"/>
          </a:schemeClr>
        </a:solidFill>
        <a:ln w="9525" cap="rnd" cmpd="sng">
          <a:noFill/>
        </a:ln>
        <a:effectLst>
          <a:softEdge rad="38100"/>
        </a:effectLst>
      </xdr:spPr>
      <xdr:style>
        <a:lnRef idx="0">
          <a:scrgbClr r="0" g="0" b="0"/>
        </a:lnRef>
        <a:fillRef idx="0">
          <a:scrgbClr r="0" g="0" b="0"/>
        </a:fillRef>
        <a:effectRef idx="0">
          <a:scrgbClr r="0" g="0" b="0"/>
        </a:effectRef>
        <a:fontRef idx="minor">
          <a:schemeClr val="dk1"/>
        </a:fontRef>
      </xdr:style>
      <xdr:txBody>
        <a:bodyPr vertOverflow="clip" horzOverflow="clip" wrap="square" lIns="91440" rtlCol="0" anchor="ctr"/>
        <a:lstStyle/>
        <a:p>
          <a:pPr algn="ctr"/>
          <a:r>
            <a:rPr lang="en-US" sz="1400" b="1">
              <a:solidFill>
                <a:schemeClr val="bg1"/>
              </a:solidFill>
            </a:rPr>
            <a:t>Average Performance</a:t>
          </a:r>
          <a:r>
            <a:rPr lang="en-US" sz="1400" b="1" baseline="0">
              <a:solidFill>
                <a:schemeClr val="bg1"/>
              </a:solidFill>
            </a:rPr>
            <a:t> </a:t>
          </a:r>
          <a:r>
            <a:rPr lang="en-US" sz="1400" b="1">
              <a:solidFill>
                <a:schemeClr val="bg1"/>
              </a:solidFill>
            </a:rPr>
            <a:t>Score</a:t>
          </a:r>
        </a:p>
      </xdr:txBody>
    </xdr:sp>
    <xdr:clientData/>
  </xdr:twoCellAnchor>
  <xdr:twoCellAnchor>
    <xdr:from>
      <xdr:col>9</xdr:col>
      <xdr:colOff>982980</xdr:colOff>
      <xdr:row>5</xdr:row>
      <xdr:rowOff>51435</xdr:rowOff>
    </xdr:from>
    <xdr:to>
      <xdr:col>11</xdr:col>
      <xdr:colOff>1076685</xdr:colOff>
      <xdr:row>7</xdr:row>
      <xdr:rowOff>150495</xdr:rowOff>
    </xdr:to>
    <xdr:sp macro="" textlink="">
      <xdr:nvSpPr>
        <xdr:cNvPr id="12" name="TextBox 11">
          <a:extLst>
            <a:ext uri="{FF2B5EF4-FFF2-40B4-BE49-F238E27FC236}">
              <a16:creationId xmlns:a16="http://schemas.microsoft.com/office/drawing/2014/main" id="{354829B5-1967-414C-9422-53479AF66207}"/>
            </a:ext>
          </a:extLst>
        </xdr:cNvPr>
        <xdr:cNvSpPr txBox="1"/>
      </xdr:nvSpPr>
      <xdr:spPr>
        <a:xfrm>
          <a:off x="9593580" y="1194435"/>
          <a:ext cx="2484480" cy="556260"/>
        </a:xfrm>
        <a:prstGeom prst="rect">
          <a:avLst/>
        </a:prstGeom>
        <a:solidFill>
          <a:schemeClr val="accent1">
            <a:lumMod val="50000"/>
          </a:schemeClr>
        </a:solidFill>
        <a:ln w="9525" cap="rnd" cmpd="sng">
          <a:noFill/>
        </a:ln>
        <a:effectLst>
          <a:softEdge rad="38100"/>
        </a:effectLst>
      </xdr:spPr>
      <xdr:style>
        <a:lnRef idx="0">
          <a:scrgbClr r="0" g="0" b="0"/>
        </a:lnRef>
        <a:fillRef idx="0">
          <a:scrgbClr r="0" g="0" b="0"/>
        </a:fillRef>
        <a:effectRef idx="0">
          <a:scrgbClr r="0" g="0" b="0"/>
        </a:effectRef>
        <a:fontRef idx="minor">
          <a:schemeClr val="dk1"/>
        </a:fontRef>
      </xdr:style>
      <xdr:txBody>
        <a:bodyPr vertOverflow="clip" horzOverflow="clip" wrap="square" lIns="91440" rtlCol="0" anchor="ctr"/>
        <a:lstStyle/>
        <a:p>
          <a:pPr algn="ctr"/>
          <a:r>
            <a:rPr lang="en-US" sz="1400" b="1">
              <a:solidFill>
                <a:schemeClr val="bg1"/>
              </a:solidFill>
            </a:rPr>
            <a:t>Average Attendance Rate</a:t>
          </a:r>
        </a:p>
      </xdr:txBody>
    </xdr:sp>
    <xdr:clientData/>
  </xdr:twoCellAnchor>
  <xdr:twoCellAnchor>
    <xdr:from>
      <xdr:col>0</xdr:col>
      <xdr:colOff>38101</xdr:colOff>
      <xdr:row>4</xdr:row>
      <xdr:rowOff>211455</xdr:rowOff>
    </xdr:from>
    <xdr:to>
      <xdr:col>4</xdr:col>
      <xdr:colOff>601981</xdr:colOff>
      <xdr:row>10</xdr:row>
      <xdr:rowOff>74295</xdr:rowOff>
    </xdr:to>
    <xdr:sp macro="" textlink="">
      <xdr:nvSpPr>
        <xdr:cNvPr id="13" name="Rectangle 12">
          <a:extLst>
            <a:ext uri="{FF2B5EF4-FFF2-40B4-BE49-F238E27FC236}">
              <a16:creationId xmlns:a16="http://schemas.microsoft.com/office/drawing/2014/main" id="{8E7E301D-7928-4811-94CE-B22E5B5408EC}"/>
            </a:ext>
          </a:extLst>
        </xdr:cNvPr>
        <xdr:cNvSpPr/>
      </xdr:nvSpPr>
      <xdr:spPr>
        <a:xfrm>
          <a:off x="38101" y="1125855"/>
          <a:ext cx="3002280" cy="1234440"/>
        </a:xfrm>
        <a:prstGeom prst="rect">
          <a:avLst/>
        </a:prstGeom>
        <a:solidFill>
          <a:schemeClr val="accent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endParaRPr lang="en-US" sz="3200" b="0" i="0" u="none" strike="noStrike">
            <a:solidFill>
              <a:schemeClr val="bg1"/>
            </a:solidFill>
            <a:latin typeface="Calibri"/>
            <a:cs typeface="Calibri"/>
          </a:endParaRPr>
        </a:p>
      </xdr:txBody>
    </xdr:sp>
    <xdr:clientData/>
  </xdr:twoCellAnchor>
  <xdr:twoCellAnchor>
    <xdr:from>
      <xdr:col>0</xdr:col>
      <xdr:colOff>201931</xdr:colOff>
      <xdr:row>5</xdr:row>
      <xdr:rowOff>24765</xdr:rowOff>
    </xdr:from>
    <xdr:to>
      <xdr:col>4</xdr:col>
      <xdr:colOff>478157</xdr:colOff>
      <xdr:row>7</xdr:row>
      <xdr:rowOff>125730</xdr:rowOff>
    </xdr:to>
    <xdr:sp macro="" textlink="">
      <xdr:nvSpPr>
        <xdr:cNvPr id="14" name="TextBox 13">
          <a:extLst>
            <a:ext uri="{FF2B5EF4-FFF2-40B4-BE49-F238E27FC236}">
              <a16:creationId xmlns:a16="http://schemas.microsoft.com/office/drawing/2014/main" id="{667F3B55-9C85-45A6-984E-221145CF9D84}"/>
            </a:ext>
          </a:extLst>
        </xdr:cNvPr>
        <xdr:cNvSpPr txBox="1"/>
      </xdr:nvSpPr>
      <xdr:spPr>
        <a:xfrm>
          <a:off x="201931" y="1167765"/>
          <a:ext cx="2714626" cy="558165"/>
        </a:xfrm>
        <a:prstGeom prst="rect">
          <a:avLst/>
        </a:prstGeom>
        <a:solidFill>
          <a:schemeClr val="accent1">
            <a:lumMod val="50000"/>
          </a:schemeClr>
        </a:solidFill>
        <a:ln w="9525" cap="rnd" cmpd="sng">
          <a:noFill/>
        </a:ln>
        <a:effectLst>
          <a:softEdge rad="38100"/>
        </a:effectLst>
      </xdr:spPr>
      <xdr:style>
        <a:lnRef idx="0">
          <a:scrgbClr r="0" g="0" b="0"/>
        </a:lnRef>
        <a:fillRef idx="0">
          <a:scrgbClr r="0" g="0" b="0"/>
        </a:fillRef>
        <a:effectRef idx="0">
          <a:scrgbClr r="0" g="0" b="0"/>
        </a:effectRef>
        <a:fontRef idx="minor">
          <a:schemeClr val="dk1"/>
        </a:fontRef>
      </xdr:style>
      <xdr:txBody>
        <a:bodyPr vertOverflow="clip" horzOverflow="clip" wrap="square" lIns="91440" rtlCol="0" anchor="ctr"/>
        <a:lstStyle/>
        <a:p>
          <a:pPr algn="ctr"/>
          <a:r>
            <a:rPr lang="en-US" sz="1800" b="1">
              <a:solidFill>
                <a:schemeClr val="bg1"/>
              </a:solidFill>
            </a:rPr>
            <a:t>Total  Bonus Amount</a:t>
          </a:r>
        </a:p>
      </xdr:txBody>
    </xdr:sp>
    <xdr:clientData/>
  </xdr:twoCellAnchor>
  <xdr:twoCellAnchor>
    <xdr:from>
      <xdr:col>0</xdr:col>
      <xdr:colOff>22861</xdr:colOff>
      <xdr:row>14</xdr:row>
      <xdr:rowOff>110489</xdr:rowOff>
    </xdr:from>
    <xdr:to>
      <xdr:col>4</xdr:col>
      <xdr:colOff>571501</xdr:colOff>
      <xdr:row>46</xdr:row>
      <xdr:rowOff>219075</xdr:rowOff>
    </xdr:to>
    <xdr:sp macro="" textlink="">
      <xdr:nvSpPr>
        <xdr:cNvPr id="15" name="Rectangle 14">
          <a:extLst>
            <a:ext uri="{FF2B5EF4-FFF2-40B4-BE49-F238E27FC236}">
              <a16:creationId xmlns:a16="http://schemas.microsoft.com/office/drawing/2014/main" id="{F2E5FE4F-6C29-448C-9BA2-4611A1C87DDA}"/>
            </a:ext>
          </a:extLst>
        </xdr:cNvPr>
        <xdr:cNvSpPr/>
      </xdr:nvSpPr>
      <xdr:spPr>
        <a:xfrm>
          <a:off x="22861" y="3310889"/>
          <a:ext cx="2987040" cy="7080886"/>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249557</xdr:colOff>
      <xdr:row>7</xdr:row>
      <xdr:rowOff>87630</xdr:rowOff>
    </xdr:from>
    <xdr:to>
      <xdr:col>1</xdr:col>
      <xdr:colOff>220979</xdr:colOff>
      <xdr:row>9</xdr:row>
      <xdr:rowOff>211452</xdr:rowOff>
    </xdr:to>
    <xdr:pic>
      <xdr:nvPicPr>
        <xdr:cNvPr id="16" name="Graphic 15" descr="Money with solid fill">
          <a:extLst>
            <a:ext uri="{FF2B5EF4-FFF2-40B4-BE49-F238E27FC236}">
              <a16:creationId xmlns:a16="http://schemas.microsoft.com/office/drawing/2014/main" id="{BED001BF-04B6-4194-8A9B-D227E75710F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249557" y="1687830"/>
          <a:ext cx="581022" cy="581022"/>
        </a:xfrm>
        <a:prstGeom prst="rect">
          <a:avLst/>
        </a:prstGeom>
      </xdr:spPr>
    </xdr:pic>
    <xdr:clientData/>
  </xdr:twoCellAnchor>
  <xdr:twoCellAnchor>
    <xdr:from>
      <xdr:col>0</xdr:col>
      <xdr:colOff>0</xdr:colOff>
      <xdr:row>4</xdr:row>
      <xdr:rowOff>201929</xdr:rowOff>
    </xdr:from>
    <xdr:to>
      <xdr:col>5</xdr:col>
      <xdr:colOff>573405</xdr:colOff>
      <xdr:row>10</xdr:row>
      <xdr:rowOff>68579</xdr:rowOff>
    </xdr:to>
    <xdr:sp macro="" textlink="Sheet4!P4">
      <xdr:nvSpPr>
        <xdr:cNvPr id="17" name="Rectangle 16">
          <a:extLst>
            <a:ext uri="{FF2B5EF4-FFF2-40B4-BE49-F238E27FC236}">
              <a16:creationId xmlns:a16="http://schemas.microsoft.com/office/drawing/2014/main" id="{E6AEED2A-3E7D-454B-9862-E56719FBF717}"/>
            </a:ext>
          </a:extLst>
        </xdr:cNvPr>
        <xdr:cNvSpPr/>
      </xdr:nvSpPr>
      <xdr:spPr>
        <a:xfrm>
          <a:off x="0" y="1116329"/>
          <a:ext cx="3621405" cy="12382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E14207DB-AED0-4A14-8731-1FA74B803013}" type="TxLink">
            <a:rPr lang="en-US" sz="1100" b="0" i="0" u="none" strike="noStrike">
              <a:solidFill>
                <a:srgbClr val="000000"/>
              </a:solidFill>
              <a:latin typeface="Calibri"/>
              <a:cs typeface="Calibri"/>
            </a:rPr>
            <a:pPr algn="ctr"/>
            <a:t> </a:t>
          </a:fld>
          <a:endParaRPr lang="en-US" sz="3200" b="1">
            <a:solidFill>
              <a:schemeClr val="bg1"/>
            </a:solidFill>
          </a:endParaRPr>
        </a:p>
      </xdr:txBody>
    </xdr:sp>
    <xdr:clientData/>
  </xdr:twoCellAnchor>
  <xdr:twoCellAnchor>
    <xdr:from>
      <xdr:col>5</xdr:col>
      <xdr:colOff>171450</xdr:colOff>
      <xdr:row>4</xdr:row>
      <xdr:rowOff>173354</xdr:rowOff>
    </xdr:from>
    <xdr:to>
      <xdr:col>11</xdr:col>
      <xdr:colOff>135255</xdr:colOff>
      <xdr:row>10</xdr:row>
      <xdr:rowOff>87629</xdr:rowOff>
    </xdr:to>
    <xdr:sp macro="" textlink="$Z$13">
      <xdr:nvSpPr>
        <xdr:cNvPr id="18" name="Rectangle 17">
          <a:extLst>
            <a:ext uri="{FF2B5EF4-FFF2-40B4-BE49-F238E27FC236}">
              <a16:creationId xmlns:a16="http://schemas.microsoft.com/office/drawing/2014/main" id="{D4F3542A-2A02-4906-85D9-7306C4230B85}"/>
            </a:ext>
          </a:extLst>
        </xdr:cNvPr>
        <xdr:cNvSpPr/>
      </xdr:nvSpPr>
      <xdr:spPr>
        <a:xfrm>
          <a:off x="3219450" y="1087754"/>
          <a:ext cx="3621405" cy="128587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15E89FAC-213E-42D2-8E8F-C395BEBE1B4F}" type="TxLink">
            <a:rPr lang="en-US" sz="4000" b="1" i="0" u="none" strike="noStrike">
              <a:solidFill>
                <a:schemeClr val="bg1"/>
              </a:solidFill>
              <a:latin typeface="Calibri"/>
              <a:cs typeface="Calibri"/>
            </a:rPr>
            <a:pPr algn="ctr"/>
            <a:t> </a:t>
          </a:fld>
          <a:endParaRPr lang="en-US" sz="4000" b="1">
            <a:solidFill>
              <a:schemeClr val="bg1"/>
            </a:solidFill>
          </a:endParaRPr>
        </a:p>
      </xdr:txBody>
    </xdr:sp>
    <xdr:clientData/>
  </xdr:twoCellAnchor>
  <xdr:twoCellAnchor editAs="oneCell">
    <xdr:from>
      <xdr:col>7</xdr:col>
      <xdr:colOff>1397541</xdr:colOff>
      <xdr:row>7</xdr:row>
      <xdr:rowOff>173354</xdr:rowOff>
    </xdr:from>
    <xdr:to>
      <xdr:col>8</xdr:col>
      <xdr:colOff>256933</xdr:colOff>
      <xdr:row>9</xdr:row>
      <xdr:rowOff>220979</xdr:rowOff>
    </xdr:to>
    <xdr:pic>
      <xdr:nvPicPr>
        <xdr:cNvPr id="20" name="Graphic 19" descr="Checkmark with solid fill">
          <a:extLst>
            <a:ext uri="{FF2B5EF4-FFF2-40B4-BE49-F238E27FC236}">
              <a16:creationId xmlns:a16="http://schemas.microsoft.com/office/drawing/2014/main" id="{6BE4F8BF-8451-4FAB-AE97-D0C49C2A246C}"/>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7083966" y="1773554"/>
          <a:ext cx="431017" cy="504825"/>
        </a:xfrm>
        <a:prstGeom prst="rect">
          <a:avLst/>
        </a:prstGeom>
      </xdr:spPr>
    </xdr:pic>
    <xdr:clientData/>
  </xdr:twoCellAnchor>
  <xdr:twoCellAnchor>
    <xdr:from>
      <xdr:col>12</xdr:col>
      <xdr:colOff>192406</xdr:colOff>
      <xdr:row>6</xdr:row>
      <xdr:rowOff>59055</xdr:rowOff>
    </xdr:from>
    <xdr:to>
      <xdr:col>13</xdr:col>
      <xdr:colOff>478156</xdr:colOff>
      <xdr:row>10</xdr:row>
      <xdr:rowOff>106679</xdr:rowOff>
    </xdr:to>
    <xdr:sp macro="" textlink="$Z$18">
      <xdr:nvSpPr>
        <xdr:cNvPr id="21" name="Rectangle 20">
          <a:extLst>
            <a:ext uri="{FF2B5EF4-FFF2-40B4-BE49-F238E27FC236}">
              <a16:creationId xmlns:a16="http://schemas.microsoft.com/office/drawing/2014/main" id="{05CEA8B8-52B7-488C-8EB6-084E0E14A6A3}"/>
            </a:ext>
          </a:extLst>
        </xdr:cNvPr>
        <xdr:cNvSpPr/>
      </xdr:nvSpPr>
      <xdr:spPr>
        <a:xfrm>
          <a:off x="7507606" y="1430655"/>
          <a:ext cx="895350" cy="96202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D4142ED2-5E24-42EE-844A-01026D4E7C0A}" type="TxLink">
            <a:rPr lang="en-US" sz="4400" b="1" i="0" u="none" strike="noStrike">
              <a:solidFill>
                <a:schemeClr val="bg1"/>
              </a:solidFill>
              <a:latin typeface="Calibri"/>
              <a:cs typeface="Calibri"/>
            </a:rPr>
            <a:pPr algn="ctr"/>
            <a:t> </a:t>
          </a:fld>
          <a:endParaRPr lang="en-US" sz="4400" b="1">
            <a:solidFill>
              <a:schemeClr val="bg1"/>
            </a:solidFill>
          </a:endParaRPr>
        </a:p>
      </xdr:txBody>
    </xdr:sp>
    <xdr:clientData/>
  </xdr:twoCellAnchor>
  <xdr:twoCellAnchor editAs="oneCell">
    <xdr:from>
      <xdr:col>9</xdr:col>
      <xdr:colOff>1592582</xdr:colOff>
      <xdr:row>7</xdr:row>
      <xdr:rowOff>144780</xdr:rowOff>
    </xdr:from>
    <xdr:to>
      <xdr:col>10</xdr:col>
      <xdr:colOff>428169</xdr:colOff>
      <xdr:row>9</xdr:row>
      <xdr:rowOff>201930</xdr:rowOff>
    </xdr:to>
    <xdr:pic>
      <xdr:nvPicPr>
        <xdr:cNvPr id="22" name="Graphic 21" descr="Briefcase with solid fill">
          <a:extLst>
            <a:ext uri="{FF2B5EF4-FFF2-40B4-BE49-F238E27FC236}">
              <a16:creationId xmlns:a16="http://schemas.microsoft.com/office/drawing/2014/main" id="{3927E1EE-D676-476B-BD6B-4AF81FDC6611}"/>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10203182" y="1744980"/>
          <a:ext cx="464362" cy="514350"/>
        </a:xfrm>
        <a:prstGeom prst="rect">
          <a:avLst/>
        </a:prstGeom>
      </xdr:spPr>
    </xdr:pic>
    <xdr:clientData/>
  </xdr:twoCellAnchor>
  <xdr:twoCellAnchor>
    <xdr:from>
      <xdr:col>5</xdr:col>
      <xdr:colOff>352425</xdr:colOff>
      <xdr:row>7</xdr:row>
      <xdr:rowOff>66675</xdr:rowOff>
    </xdr:from>
    <xdr:to>
      <xdr:col>7</xdr:col>
      <xdr:colOff>578820</xdr:colOff>
      <xdr:row>10</xdr:row>
      <xdr:rowOff>57150</xdr:rowOff>
    </xdr:to>
    <xdr:sp macro="" textlink="'Employee Performance Data Clean'!R15">
      <xdr:nvSpPr>
        <xdr:cNvPr id="23" name="Rectangle 22">
          <a:extLst>
            <a:ext uri="{FF2B5EF4-FFF2-40B4-BE49-F238E27FC236}">
              <a16:creationId xmlns:a16="http://schemas.microsoft.com/office/drawing/2014/main" id="{9FC08A84-CEBC-43C3-B3DA-6653B1025819}"/>
            </a:ext>
          </a:extLst>
        </xdr:cNvPr>
        <xdr:cNvSpPr/>
      </xdr:nvSpPr>
      <xdr:spPr>
        <a:xfrm>
          <a:off x="3400425" y="1666875"/>
          <a:ext cx="2864820" cy="67627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367FE927-6873-4670-A83C-BEE88088B850}" type="TxLink">
            <a:rPr lang="en-US" sz="4400" b="1" i="0" u="none" strike="noStrike">
              <a:solidFill>
                <a:schemeClr val="bg1"/>
              </a:solidFill>
              <a:latin typeface="Gill Sans MT"/>
              <a:cs typeface="Calibri"/>
            </a:rPr>
            <a:pPr algn="ctr"/>
            <a:t> $1,541 </a:t>
          </a:fld>
          <a:endParaRPr lang="en-US" sz="4400" b="1">
            <a:solidFill>
              <a:schemeClr val="bg1"/>
            </a:solidFill>
          </a:endParaRPr>
        </a:p>
      </xdr:txBody>
    </xdr:sp>
    <xdr:clientData/>
  </xdr:twoCellAnchor>
  <xdr:twoCellAnchor>
    <xdr:from>
      <xdr:col>5</xdr:col>
      <xdr:colOff>87633</xdr:colOff>
      <xdr:row>14</xdr:row>
      <xdr:rowOff>97155</xdr:rowOff>
    </xdr:from>
    <xdr:to>
      <xdr:col>11</xdr:col>
      <xdr:colOff>1095375</xdr:colOff>
      <xdr:row>33</xdr:row>
      <xdr:rowOff>76201</xdr:rowOff>
    </xdr:to>
    <xdr:sp macro="" textlink="">
      <xdr:nvSpPr>
        <xdr:cNvPr id="24" name="Rectangle 23">
          <a:extLst>
            <a:ext uri="{FF2B5EF4-FFF2-40B4-BE49-F238E27FC236}">
              <a16:creationId xmlns:a16="http://schemas.microsoft.com/office/drawing/2014/main" id="{A3E91700-89FA-4620-9EC1-1D1C477E695F}"/>
            </a:ext>
          </a:extLst>
        </xdr:cNvPr>
        <xdr:cNvSpPr/>
      </xdr:nvSpPr>
      <xdr:spPr>
        <a:xfrm>
          <a:off x="3135633" y="3297555"/>
          <a:ext cx="8961117" cy="3865246"/>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ln cmpd="sng">
              <a:solidFill>
                <a:schemeClr val="bg1"/>
              </a:solidFill>
            </a:ln>
          </a:endParaRPr>
        </a:p>
      </xdr:txBody>
    </xdr:sp>
    <xdr:clientData/>
  </xdr:twoCellAnchor>
  <xdr:twoCellAnchor>
    <xdr:from>
      <xdr:col>0</xdr:col>
      <xdr:colOff>506732</xdr:colOff>
      <xdr:row>7</xdr:row>
      <xdr:rowOff>59055</xdr:rowOff>
    </xdr:from>
    <xdr:to>
      <xdr:col>5</xdr:col>
      <xdr:colOff>11432</xdr:colOff>
      <xdr:row>10</xdr:row>
      <xdr:rowOff>49529</xdr:rowOff>
    </xdr:to>
    <xdr:sp macro="" textlink="$Z$8">
      <xdr:nvSpPr>
        <xdr:cNvPr id="28" name="Rectangle 27">
          <a:extLst>
            <a:ext uri="{FF2B5EF4-FFF2-40B4-BE49-F238E27FC236}">
              <a16:creationId xmlns:a16="http://schemas.microsoft.com/office/drawing/2014/main" id="{774766F8-0200-4C23-AB8E-8DE5BC654B8E}"/>
            </a:ext>
          </a:extLst>
        </xdr:cNvPr>
        <xdr:cNvSpPr/>
      </xdr:nvSpPr>
      <xdr:spPr>
        <a:xfrm>
          <a:off x="506732" y="1659255"/>
          <a:ext cx="2552700" cy="67627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F599BBB2-A793-420E-ABCC-F1855B0107BF}" type="TxLink">
            <a:rPr lang="en-US" sz="3600" b="1" i="0" u="none" strike="noStrike">
              <a:solidFill>
                <a:schemeClr val="bg1"/>
              </a:solidFill>
              <a:latin typeface="Calibri"/>
              <a:cs typeface="Calibri"/>
            </a:rPr>
            <a:pPr algn="ctr"/>
            <a:t> </a:t>
          </a:fld>
          <a:endParaRPr lang="en-US" sz="3600" b="1">
            <a:solidFill>
              <a:schemeClr val="bg1"/>
            </a:solidFill>
          </a:endParaRPr>
        </a:p>
      </xdr:txBody>
    </xdr:sp>
    <xdr:clientData/>
  </xdr:twoCellAnchor>
  <xdr:oneCellAnchor>
    <xdr:from>
      <xdr:col>24</xdr:col>
      <xdr:colOff>116206</xdr:colOff>
      <xdr:row>17</xdr:row>
      <xdr:rowOff>182880</xdr:rowOff>
    </xdr:from>
    <xdr:ext cx="184731" cy="255904"/>
    <xdr:sp macro="" textlink="">
      <xdr:nvSpPr>
        <xdr:cNvPr id="32" name="TextBox 31">
          <a:extLst>
            <a:ext uri="{FF2B5EF4-FFF2-40B4-BE49-F238E27FC236}">
              <a16:creationId xmlns:a16="http://schemas.microsoft.com/office/drawing/2014/main" id="{4ACDC61B-15D6-49DA-B1F9-506EACB373EE}"/>
            </a:ext>
          </a:extLst>
        </xdr:cNvPr>
        <xdr:cNvSpPr txBox="1"/>
      </xdr:nvSpPr>
      <xdr:spPr>
        <a:xfrm>
          <a:off x="15356206" y="3611880"/>
          <a:ext cx="184731" cy="2559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kern="1200"/>
        </a:p>
      </xdr:txBody>
    </xdr:sp>
    <xdr:clientData/>
  </xdr:oneCellAnchor>
  <xdr:twoCellAnchor>
    <xdr:from>
      <xdr:col>0</xdr:col>
      <xdr:colOff>30481</xdr:colOff>
      <xdr:row>11</xdr:row>
      <xdr:rowOff>59055</xdr:rowOff>
    </xdr:from>
    <xdr:to>
      <xdr:col>5</xdr:col>
      <xdr:colOff>847725</xdr:colOff>
      <xdr:row>13</xdr:row>
      <xdr:rowOff>135255</xdr:rowOff>
    </xdr:to>
    <xdr:sp macro="" textlink="">
      <xdr:nvSpPr>
        <xdr:cNvPr id="33" name="Rectangle: Rounded Corners 32">
          <a:hlinkClick xmlns:r="http://schemas.openxmlformats.org/officeDocument/2006/relationships" r:id="rId1"/>
          <a:extLst>
            <a:ext uri="{FF2B5EF4-FFF2-40B4-BE49-F238E27FC236}">
              <a16:creationId xmlns:a16="http://schemas.microsoft.com/office/drawing/2014/main" id="{C3F3771D-9FB1-412F-99E0-C1E9789F0B8C}"/>
            </a:ext>
          </a:extLst>
        </xdr:cNvPr>
        <xdr:cNvSpPr/>
      </xdr:nvSpPr>
      <xdr:spPr>
        <a:xfrm>
          <a:off x="30481" y="2573655"/>
          <a:ext cx="3865244" cy="533400"/>
        </a:xfrm>
        <a:prstGeom prst="roundRect">
          <a:avLst/>
        </a:prstGeom>
        <a:solidFill>
          <a:schemeClr val="tx1">
            <a:lumMod val="95000"/>
            <a:lumOff val="5000"/>
          </a:schemeClr>
        </a:solidFill>
        <a:ln>
          <a:noFill/>
        </a:ln>
        <a:effectLst>
          <a:softEdge rad="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Ins="91440" rtlCol="0" anchor="ctr"/>
        <a:lstStyle/>
        <a:p>
          <a:pPr algn="ctr"/>
          <a:r>
            <a:rPr lang="en-US" sz="2400" b="1">
              <a:solidFill>
                <a:schemeClr val="accent6">
                  <a:lumMod val="20000"/>
                  <a:lumOff val="80000"/>
                </a:schemeClr>
              </a:solidFill>
            </a:rPr>
            <a:t>Departmental Insights</a:t>
          </a:r>
          <a:endParaRPr lang="en-US" sz="2400" b="1" kern="1200">
            <a:solidFill>
              <a:schemeClr val="accent6">
                <a:lumMod val="20000"/>
                <a:lumOff val="80000"/>
              </a:schemeClr>
            </a:solidFill>
          </a:endParaRPr>
        </a:p>
      </xdr:txBody>
    </xdr:sp>
    <xdr:clientData/>
  </xdr:twoCellAnchor>
  <xdr:twoCellAnchor>
    <xdr:from>
      <xdr:col>6</xdr:col>
      <xdr:colOff>30483</xdr:colOff>
      <xdr:row>11</xdr:row>
      <xdr:rowOff>68580</xdr:rowOff>
    </xdr:from>
    <xdr:to>
      <xdr:col>8</xdr:col>
      <xdr:colOff>685801</xdr:colOff>
      <xdr:row>13</xdr:row>
      <xdr:rowOff>144780</xdr:rowOff>
    </xdr:to>
    <xdr:sp macro="" textlink="">
      <xdr:nvSpPr>
        <xdr:cNvPr id="34" name="Rectangle: Rounded Corners 33">
          <a:hlinkClick xmlns:r="http://schemas.openxmlformats.org/officeDocument/2006/relationships" r:id="rId10"/>
          <a:extLst>
            <a:ext uri="{FF2B5EF4-FFF2-40B4-BE49-F238E27FC236}">
              <a16:creationId xmlns:a16="http://schemas.microsoft.com/office/drawing/2014/main" id="{030BF554-9A32-4CE3-A722-B5458AD2C189}"/>
            </a:ext>
          </a:extLst>
        </xdr:cNvPr>
        <xdr:cNvSpPr/>
      </xdr:nvSpPr>
      <xdr:spPr>
        <a:xfrm>
          <a:off x="4164333" y="2583180"/>
          <a:ext cx="3779518" cy="533400"/>
        </a:xfrm>
        <a:prstGeom prst="roundRect">
          <a:avLst/>
        </a:prstGeom>
        <a:solidFill>
          <a:schemeClr val="tx1">
            <a:lumMod val="95000"/>
            <a:lumOff val="5000"/>
          </a:schemeClr>
        </a:solidFill>
        <a:ln>
          <a:noFill/>
        </a:ln>
        <a:effectLst>
          <a:softEdge rad="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Ins="91440" rtlCol="0" anchor="ctr"/>
        <a:lstStyle/>
        <a:p>
          <a:pPr algn="ctr"/>
          <a:r>
            <a:rPr lang="en-US" sz="2400" b="1">
              <a:solidFill>
                <a:schemeClr val="accent6">
                  <a:lumMod val="20000"/>
                  <a:lumOff val="80000"/>
                </a:schemeClr>
              </a:solidFill>
            </a:rPr>
            <a:t>Performance Insights</a:t>
          </a:r>
          <a:endParaRPr lang="en-US" sz="2400" b="1" kern="1200">
            <a:solidFill>
              <a:schemeClr val="accent6">
                <a:lumMod val="20000"/>
                <a:lumOff val="80000"/>
              </a:schemeClr>
            </a:solidFill>
          </a:endParaRPr>
        </a:p>
      </xdr:txBody>
    </xdr:sp>
    <xdr:clientData/>
  </xdr:twoCellAnchor>
  <xdr:twoCellAnchor>
    <xdr:from>
      <xdr:col>8</xdr:col>
      <xdr:colOff>935356</xdr:colOff>
      <xdr:row>11</xdr:row>
      <xdr:rowOff>97155</xdr:rowOff>
    </xdr:from>
    <xdr:to>
      <xdr:col>11</xdr:col>
      <xdr:colOff>1068706</xdr:colOff>
      <xdr:row>13</xdr:row>
      <xdr:rowOff>173355</xdr:rowOff>
    </xdr:to>
    <xdr:sp macro="" textlink="">
      <xdr:nvSpPr>
        <xdr:cNvPr id="35" name="Rectangle: Rounded Corners 34">
          <a:hlinkClick xmlns:r="http://schemas.openxmlformats.org/officeDocument/2006/relationships" r:id="rId11"/>
          <a:extLst>
            <a:ext uri="{FF2B5EF4-FFF2-40B4-BE49-F238E27FC236}">
              <a16:creationId xmlns:a16="http://schemas.microsoft.com/office/drawing/2014/main" id="{9E6A9EEE-75EE-4D30-ABCD-38F928DA6CF7}"/>
            </a:ext>
          </a:extLst>
        </xdr:cNvPr>
        <xdr:cNvSpPr/>
      </xdr:nvSpPr>
      <xdr:spPr>
        <a:xfrm>
          <a:off x="8193406" y="2611755"/>
          <a:ext cx="3876675" cy="533400"/>
        </a:xfrm>
        <a:prstGeom prst="roundRect">
          <a:avLst/>
        </a:prstGeom>
        <a:solidFill>
          <a:schemeClr val="tx1">
            <a:lumMod val="95000"/>
            <a:lumOff val="5000"/>
          </a:schemeClr>
        </a:solidFill>
        <a:ln>
          <a:noFill/>
        </a:ln>
        <a:effectLst>
          <a:softEdge rad="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Ins="91440" rtlCol="0" anchor="ctr"/>
        <a:lstStyle/>
        <a:p>
          <a:pPr algn="ctr"/>
          <a:r>
            <a:rPr lang="en-US" sz="2400" b="1"/>
            <a:t>Gender Analysis</a:t>
          </a:r>
          <a:endParaRPr lang="en-US" sz="2400" b="1" kern="1200">
            <a:solidFill>
              <a:schemeClr val="accent6">
                <a:lumMod val="20000"/>
                <a:lumOff val="80000"/>
              </a:schemeClr>
            </a:solidFill>
          </a:endParaRPr>
        </a:p>
      </xdr:txBody>
    </xdr:sp>
    <xdr:clientData/>
  </xdr:twoCellAnchor>
  <xdr:twoCellAnchor>
    <xdr:from>
      <xdr:col>0</xdr:col>
      <xdr:colOff>561975</xdr:colOff>
      <xdr:row>7</xdr:row>
      <xdr:rowOff>114300</xdr:rowOff>
    </xdr:from>
    <xdr:to>
      <xdr:col>5</xdr:col>
      <xdr:colOff>209551</xdr:colOff>
      <xdr:row>10</xdr:row>
      <xdr:rowOff>28575</xdr:rowOff>
    </xdr:to>
    <xdr:sp macro="" textlink="'Employee Performance Data Clean'!R13">
      <xdr:nvSpPr>
        <xdr:cNvPr id="36" name="Rectangle 35">
          <a:extLst>
            <a:ext uri="{FF2B5EF4-FFF2-40B4-BE49-F238E27FC236}">
              <a16:creationId xmlns:a16="http://schemas.microsoft.com/office/drawing/2014/main" id="{1884FD53-537B-5A35-4290-CA650493333F}"/>
            </a:ext>
          </a:extLst>
        </xdr:cNvPr>
        <xdr:cNvSpPr/>
      </xdr:nvSpPr>
      <xdr:spPr>
        <a:xfrm>
          <a:off x="561975" y="1714500"/>
          <a:ext cx="2695576" cy="60007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8BA7C3B7-8108-4EBA-91B7-EF2D430CA95C}" type="TxLink">
            <a:rPr lang="en-US" sz="3600" b="1" i="0" u="none" strike="noStrike">
              <a:solidFill>
                <a:schemeClr val="bg1"/>
              </a:solidFill>
              <a:latin typeface="Gill Sans MT"/>
              <a:cs typeface="Calibri"/>
            </a:rPr>
            <a:pPr algn="ctr"/>
            <a:t> $154,050 </a:t>
          </a:fld>
          <a:endParaRPr lang="en-US" sz="3600" b="1">
            <a:solidFill>
              <a:schemeClr val="bg1"/>
            </a:solidFill>
          </a:endParaRPr>
        </a:p>
      </xdr:txBody>
    </xdr:sp>
    <xdr:clientData/>
  </xdr:twoCellAnchor>
  <xdr:twoCellAnchor>
    <xdr:from>
      <xdr:col>7</xdr:col>
      <xdr:colOff>1201861</xdr:colOff>
      <xdr:row>7</xdr:row>
      <xdr:rowOff>57150</xdr:rowOff>
    </xdr:from>
    <xdr:to>
      <xdr:col>9</xdr:col>
      <xdr:colOff>367712</xdr:colOff>
      <xdr:row>10</xdr:row>
      <xdr:rowOff>47625</xdr:rowOff>
    </xdr:to>
    <xdr:sp macro="" textlink="'Employee Performance Data Clean'!R16">
      <xdr:nvSpPr>
        <xdr:cNvPr id="37" name="Rectangle 36">
          <a:extLst>
            <a:ext uri="{FF2B5EF4-FFF2-40B4-BE49-F238E27FC236}">
              <a16:creationId xmlns:a16="http://schemas.microsoft.com/office/drawing/2014/main" id="{61F5203C-76E7-1B02-F56D-411112E1FB46}"/>
            </a:ext>
          </a:extLst>
        </xdr:cNvPr>
        <xdr:cNvSpPr/>
      </xdr:nvSpPr>
      <xdr:spPr>
        <a:xfrm>
          <a:off x="6888286" y="1657350"/>
          <a:ext cx="2090026" cy="67627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2ACAFF55-344C-42F4-9973-36142902A050}" type="TxLink">
            <a:rPr lang="en-US" sz="4000" b="1" i="0" u="none" strike="noStrike">
              <a:solidFill>
                <a:schemeClr val="bg1"/>
              </a:solidFill>
              <a:latin typeface="Gill Sans MT"/>
              <a:cs typeface="Calibri"/>
            </a:rPr>
            <a:pPr algn="ctr"/>
            <a:t>85</a:t>
          </a:fld>
          <a:endParaRPr lang="en-US" sz="4000" b="1">
            <a:solidFill>
              <a:schemeClr val="bg1"/>
            </a:solidFill>
          </a:endParaRPr>
        </a:p>
      </xdr:txBody>
    </xdr:sp>
    <xdr:clientData/>
  </xdr:twoCellAnchor>
  <xdr:twoCellAnchor>
    <xdr:from>
      <xdr:col>9</xdr:col>
      <xdr:colOff>1428750</xdr:colOff>
      <xdr:row>7</xdr:row>
      <xdr:rowOff>104775</xdr:rowOff>
    </xdr:from>
    <xdr:to>
      <xdr:col>12</xdr:col>
      <xdr:colOff>21062</xdr:colOff>
      <xdr:row>10</xdr:row>
      <xdr:rowOff>95250</xdr:rowOff>
    </xdr:to>
    <xdr:sp macro="" textlink="'Employee Performance Data Clean'!R17">
      <xdr:nvSpPr>
        <xdr:cNvPr id="38" name="Rectangle 37">
          <a:extLst>
            <a:ext uri="{FF2B5EF4-FFF2-40B4-BE49-F238E27FC236}">
              <a16:creationId xmlns:a16="http://schemas.microsoft.com/office/drawing/2014/main" id="{068C9345-00F9-4747-8B2C-AFA3B1122BD1}"/>
            </a:ext>
          </a:extLst>
        </xdr:cNvPr>
        <xdr:cNvSpPr/>
      </xdr:nvSpPr>
      <xdr:spPr>
        <a:xfrm>
          <a:off x="10039350" y="1704975"/>
          <a:ext cx="2097512" cy="67627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BC854FE6-7E9D-433C-A1F8-7CE38303EB7B}" type="TxLink">
            <a:rPr lang="en-US" sz="4400" b="1" i="0" u="none" strike="noStrike">
              <a:solidFill>
                <a:schemeClr val="bg1"/>
              </a:solidFill>
              <a:latin typeface="Gill Sans MT"/>
              <a:cs typeface="Calibri"/>
            </a:rPr>
            <a:pPr algn="ctr"/>
            <a:t>95</a:t>
          </a:fld>
          <a:endParaRPr lang="en-US" sz="4400" b="1">
            <a:solidFill>
              <a:schemeClr val="bg1"/>
            </a:solidFill>
          </a:endParaRPr>
        </a:p>
      </xdr:txBody>
    </xdr:sp>
    <xdr:clientData/>
  </xdr:twoCellAnchor>
  <xdr:twoCellAnchor>
    <xdr:from>
      <xdr:col>9</xdr:col>
      <xdr:colOff>1590676</xdr:colOff>
      <xdr:row>0</xdr:row>
      <xdr:rowOff>76200</xdr:rowOff>
    </xdr:from>
    <xdr:to>
      <xdr:col>11</xdr:col>
      <xdr:colOff>819151</xdr:colOff>
      <xdr:row>3</xdr:row>
      <xdr:rowOff>66675</xdr:rowOff>
    </xdr:to>
    <xdr:sp macro="" textlink="'Employee Performance Data Clean'!R14">
      <xdr:nvSpPr>
        <xdr:cNvPr id="39" name="Rectangle 38">
          <a:extLst>
            <a:ext uri="{FF2B5EF4-FFF2-40B4-BE49-F238E27FC236}">
              <a16:creationId xmlns:a16="http://schemas.microsoft.com/office/drawing/2014/main" id="{74A99FE5-2A80-AE84-D05D-B0A41738B970}"/>
            </a:ext>
          </a:extLst>
        </xdr:cNvPr>
        <xdr:cNvSpPr/>
      </xdr:nvSpPr>
      <xdr:spPr>
        <a:xfrm>
          <a:off x="10201276" y="76200"/>
          <a:ext cx="1619250" cy="67627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EA9037FB-05EA-4C9F-A42C-1689C4684F90}" type="TxLink">
            <a:rPr lang="en-US" sz="4400" b="1" i="0" u="none" strike="noStrike">
              <a:solidFill>
                <a:schemeClr val="bg1"/>
              </a:solidFill>
              <a:latin typeface="Gill Sans MT"/>
              <a:cs typeface="Calibri"/>
            </a:rPr>
            <a:pPr algn="ctr"/>
            <a:t>100</a:t>
          </a:fld>
          <a:endParaRPr lang="en-US" sz="4400" b="1">
            <a:solidFill>
              <a:schemeClr val="bg1"/>
            </a:solidFill>
          </a:endParaRPr>
        </a:p>
      </xdr:txBody>
    </xdr:sp>
    <xdr:clientData/>
  </xdr:twoCellAnchor>
  <xdr:twoCellAnchor>
    <xdr:from>
      <xdr:col>5</xdr:col>
      <xdr:colOff>363856</xdr:colOff>
      <xdr:row>17</xdr:row>
      <xdr:rowOff>78104</xdr:rowOff>
    </xdr:from>
    <xdr:to>
      <xdr:col>11</xdr:col>
      <xdr:colOff>781051</xdr:colOff>
      <xdr:row>31</xdr:row>
      <xdr:rowOff>219076</xdr:rowOff>
    </xdr:to>
    <xdr:graphicFrame macro="">
      <xdr:nvGraphicFramePr>
        <xdr:cNvPr id="41" name="Chart 40">
          <a:extLst>
            <a:ext uri="{FF2B5EF4-FFF2-40B4-BE49-F238E27FC236}">
              <a16:creationId xmlns:a16="http://schemas.microsoft.com/office/drawing/2014/main" id="{6E5C8EC4-7FB0-48E4-B006-7BC4E33D9F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0</xdr:col>
      <xdr:colOff>200024</xdr:colOff>
      <xdr:row>30</xdr:row>
      <xdr:rowOff>76200</xdr:rowOff>
    </xdr:from>
    <xdr:to>
      <xdr:col>4</xdr:col>
      <xdr:colOff>342899</xdr:colOff>
      <xdr:row>43</xdr:row>
      <xdr:rowOff>152400</xdr:rowOff>
    </xdr:to>
    <mc:AlternateContent xmlns:mc="http://schemas.openxmlformats.org/markup-compatibility/2006" xmlns:a14="http://schemas.microsoft.com/office/drawing/2010/main">
      <mc:Choice Requires="a14">
        <xdr:graphicFrame macro="">
          <xdr:nvGraphicFramePr>
            <xdr:cNvPr id="42" name="Department 1">
              <a:extLst>
                <a:ext uri="{FF2B5EF4-FFF2-40B4-BE49-F238E27FC236}">
                  <a16:creationId xmlns:a16="http://schemas.microsoft.com/office/drawing/2014/main" id="{DD8DE850-F5DA-9082-ABF0-9163A3DDD24E}"/>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200024" y="6477000"/>
              <a:ext cx="2581275" cy="3162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188594</xdr:colOff>
      <xdr:row>17</xdr:row>
      <xdr:rowOff>93346</xdr:rowOff>
    </xdr:from>
    <xdr:to>
      <xdr:col>4</xdr:col>
      <xdr:colOff>380999</xdr:colOff>
      <xdr:row>29</xdr:row>
      <xdr:rowOff>142876</xdr:rowOff>
    </xdr:to>
    <mc:AlternateContent xmlns:mc="http://schemas.openxmlformats.org/markup-compatibility/2006" xmlns:a14="http://schemas.microsoft.com/office/drawing/2010/main">
      <mc:Choice Requires="a14">
        <xdr:graphicFrame macro="">
          <xdr:nvGraphicFramePr>
            <xdr:cNvPr id="43" name="Years (HireDate) 1">
              <a:extLst>
                <a:ext uri="{FF2B5EF4-FFF2-40B4-BE49-F238E27FC236}">
                  <a16:creationId xmlns:a16="http://schemas.microsoft.com/office/drawing/2014/main" id="{5372F726-27DC-38B6-BDC9-712F9DD76CDB}"/>
                </a:ext>
              </a:extLst>
            </xdr:cNvPr>
            <xdr:cNvGraphicFramePr/>
          </xdr:nvGraphicFramePr>
          <xdr:xfrm>
            <a:off x="0" y="0"/>
            <a:ext cx="0" cy="0"/>
          </xdr:xfrm>
          <a:graphic>
            <a:graphicData uri="http://schemas.microsoft.com/office/drawing/2010/slicer">
              <sle:slicer xmlns:sle="http://schemas.microsoft.com/office/drawing/2010/slicer" name="Years (HireDate) 1"/>
            </a:graphicData>
          </a:graphic>
        </xdr:graphicFrame>
      </mc:Choice>
      <mc:Fallback xmlns="">
        <xdr:sp macro="" textlink="">
          <xdr:nvSpPr>
            <xdr:cNvPr id="0" name=""/>
            <xdr:cNvSpPr>
              <a:spLocks noTextEdit="1"/>
            </xdr:cNvSpPr>
          </xdr:nvSpPr>
          <xdr:spPr>
            <a:xfrm>
              <a:off x="188594" y="3522346"/>
              <a:ext cx="2630805" cy="279273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361950</xdr:colOff>
      <xdr:row>7</xdr:row>
      <xdr:rowOff>28573</xdr:rowOff>
    </xdr:from>
    <xdr:to>
      <xdr:col>5</xdr:col>
      <xdr:colOff>950897</xdr:colOff>
      <xdr:row>10</xdr:row>
      <xdr:rowOff>30477</xdr:rowOff>
    </xdr:to>
    <xdr:pic>
      <xdr:nvPicPr>
        <xdr:cNvPr id="26" name="Graphic 25" descr="Money with solid fill">
          <a:extLst>
            <a:ext uri="{FF2B5EF4-FFF2-40B4-BE49-F238E27FC236}">
              <a16:creationId xmlns:a16="http://schemas.microsoft.com/office/drawing/2014/main" id="{4A784C28-4E94-5F75-4014-716AD3F4B4DE}"/>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3409950" y="1628773"/>
          <a:ext cx="588947" cy="687704"/>
        </a:xfrm>
        <a:prstGeom prst="rect">
          <a:avLst/>
        </a:prstGeom>
      </xdr:spPr>
    </xdr:pic>
    <xdr:clientData/>
  </xdr:twoCellAnchor>
  <xdr:twoCellAnchor editAs="oneCell">
    <xdr:from>
      <xdr:col>6</xdr:col>
      <xdr:colOff>240033</xdr:colOff>
      <xdr:row>14</xdr:row>
      <xdr:rowOff>144780</xdr:rowOff>
    </xdr:from>
    <xdr:to>
      <xdr:col>10</xdr:col>
      <xdr:colOff>188361</xdr:colOff>
      <xdr:row>17</xdr:row>
      <xdr:rowOff>80826</xdr:rowOff>
    </xdr:to>
    <xdr:pic>
      <xdr:nvPicPr>
        <xdr:cNvPr id="19" name="Picture 18">
          <a:extLst>
            <a:ext uri="{FF2B5EF4-FFF2-40B4-BE49-F238E27FC236}">
              <a16:creationId xmlns:a16="http://schemas.microsoft.com/office/drawing/2014/main" id="{727D4CE2-BB3B-D090-34A0-BCD8C9234DE7}"/>
            </a:ext>
          </a:extLst>
        </xdr:cNvPr>
        <xdr:cNvPicPr>
          <a:picLocks noChangeAspect="1"/>
        </xdr:cNvPicPr>
      </xdr:nvPicPr>
      <xdr:blipFill>
        <a:blip xmlns:r="http://schemas.openxmlformats.org/officeDocument/2006/relationships" r:embed="rId13"/>
        <a:stretch>
          <a:fillRect/>
        </a:stretch>
      </xdr:blipFill>
      <xdr:spPr>
        <a:xfrm>
          <a:off x="4373883" y="3345180"/>
          <a:ext cx="6053853" cy="62184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5</xdr:col>
      <xdr:colOff>76201</xdr:colOff>
      <xdr:row>5</xdr:row>
      <xdr:rowOff>1905</xdr:rowOff>
    </xdr:from>
    <xdr:to>
      <xdr:col>10</xdr:col>
      <xdr:colOff>30481</xdr:colOff>
      <xdr:row>10</xdr:row>
      <xdr:rowOff>93345</xdr:rowOff>
    </xdr:to>
    <xdr:sp macro="" textlink="">
      <xdr:nvSpPr>
        <xdr:cNvPr id="4" name="Rectangle 3">
          <a:extLst>
            <a:ext uri="{FF2B5EF4-FFF2-40B4-BE49-F238E27FC236}">
              <a16:creationId xmlns:a16="http://schemas.microsoft.com/office/drawing/2014/main" id="{CE6F4A72-C1BB-4B36-99B9-046EAC728BA9}"/>
            </a:ext>
          </a:extLst>
        </xdr:cNvPr>
        <xdr:cNvSpPr/>
      </xdr:nvSpPr>
      <xdr:spPr>
        <a:xfrm>
          <a:off x="3124201" y="1144905"/>
          <a:ext cx="3002280" cy="1234440"/>
        </a:xfrm>
        <a:prstGeom prst="rect">
          <a:avLst/>
        </a:prstGeom>
        <a:solidFill>
          <a:schemeClr val="accent1"/>
        </a:solidFill>
        <a:ln>
          <a:noFill/>
        </a:ln>
        <a:effectLst>
          <a:outerShdw blurRad="50800" dist="50800" dir="5400000" sx="1000" sy="1000" algn="ctr" rotWithShape="0">
            <a:srgbClr val="000000">
              <a:alpha val="63000"/>
            </a:srgbClr>
          </a:outerShdw>
          <a:softEdge rad="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endParaRPr lang="en-US" sz="3200">
            <a:solidFill>
              <a:schemeClr val="bg1"/>
            </a:solidFill>
          </a:endParaRPr>
        </a:p>
      </xdr:txBody>
    </xdr:sp>
    <xdr:clientData/>
  </xdr:twoCellAnchor>
  <xdr:oneCellAnchor>
    <xdr:from>
      <xdr:col>14</xdr:col>
      <xdr:colOff>60961</xdr:colOff>
      <xdr:row>2</xdr:row>
      <xdr:rowOff>133350</xdr:rowOff>
    </xdr:from>
    <xdr:ext cx="2270760" cy="264560"/>
    <xdr:sp macro="" textlink="">
      <xdr:nvSpPr>
        <xdr:cNvPr id="2" name="TextBox 1">
          <a:extLst>
            <a:ext uri="{FF2B5EF4-FFF2-40B4-BE49-F238E27FC236}">
              <a16:creationId xmlns:a16="http://schemas.microsoft.com/office/drawing/2014/main" id="{DE7FC88C-41BB-4A28-B182-8839CB8F32BC}"/>
            </a:ext>
          </a:extLst>
        </xdr:cNvPr>
        <xdr:cNvSpPr txBox="1"/>
      </xdr:nvSpPr>
      <xdr:spPr>
        <a:xfrm>
          <a:off x="8595361" y="590550"/>
          <a:ext cx="22707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1100"/>
        </a:p>
      </xdr:txBody>
    </xdr:sp>
    <xdr:clientData/>
  </xdr:oneCellAnchor>
  <xdr:twoCellAnchor>
    <xdr:from>
      <xdr:col>0</xdr:col>
      <xdr:colOff>161926</xdr:colOff>
      <xdr:row>0</xdr:row>
      <xdr:rowOff>120015</xdr:rowOff>
    </xdr:from>
    <xdr:to>
      <xdr:col>10</xdr:col>
      <xdr:colOff>215266</xdr:colOff>
      <xdr:row>4</xdr:row>
      <xdr:rowOff>17145</xdr:rowOff>
    </xdr:to>
    <xdr:sp macro="" textlink="">
      <xdr:nvSpPr>
        <xdr:cNvPr id="3" name="Text Box 2">
          <a:extLst>
            <a:ext uri="{FF2B5EF4-FFF2-40B4-BE49-F238E27FC236}">
              <a16:creationId xmlns:a16="http://schemas.microsoft.com/office/drawing/2014/main" id="{19BFC574-E67E-4CFD-907F-B08FC2D0015D}"/>
            </a:ext>
          </a:extLst>
        </xdr:cNvPr>
        <xdr:cNvSpPr txBox="1">
          <a:spLocks noChangeArrowheads="1"/>
        </xdr:cNvSpPr>
      </xdr:nvSpPr>
      <xdr:spPr bwMode="auto">
        <a:xfrm flipV="1">
          <a:off x="161926" y="120015"/>
          <a:ext cx="6149340" cy="811530"/>
        </a:xfrm>
        <a:prstGeom prst="rect">
          <a:avLst/>
        </a:prstGeom>
        <a:noFill/>
        <a:ln w="9525">
          <a:noFill/>
          <a:miter lim="800000"/>
          <a:headEnd/>
          <a:tailEnd/>
        </a:ln>
      </xdr:spPr>
      <xdr:txBody>
        <a:bodyPr vertOverflow="clip" wrap="square" lIns="36576" tIns="32004" rIns="0" bIns="0" anchor="t" upright="1"/>
        <a:lstStyle/>
        <a:p>
          <a:pPr algn="l" rtl="0">
            <a:defRPr sz="1000"/>
          </a:pPr>
          <a:r>
            <a:rPr lang="en-US" sz="4000" b="1" i="0" u="none" strike="noStrike" baseline="0">
              <a:ln w="0" cap="rnd" cmpd="dbl">
                <a:solidFill>
                  <a:schemeClr val="bg1"/>
                </a:solidFill>
                <a:prstDash val="solid"/>
                <a:round/>
              </a:ln>
              <a:solidFill>
                <a:schemeClr val="bg1"/>
              </a:solidFill>
              <a:latin typeface="Built Titling Sb" panose="020B0706030202080204" pitchFamily="34" charset="0"/>
              <a:cs typeface="Calibri"/>
            </a:rPr>
            <a:t>Employee Performance Dashboard</a:t>
          </a:r>
        </a:p>
      </xdr:txBody>
    </xdr:sp>
    <xdr:clientData/>
  </xdr:twoCellAnchor>
  <xdr:twoCellAnchor>
    <xdr:from>
      <xdr:col>15</xdr:col>
      <xdr:colOff>226696</xdr:colOff>
      <xdr:row>4</xdr:row>
      <xdr:rowOff>219075</xdr:rowOff>
    </xdr:from>
    <xdr:to>
      <xdr:col>20</xdr:col>
      <xdr:colOff>180976</xdr:colOff>
      <xdr:row>10</xdr:row>
      <xdr:rowOff>81915</xdr:rowOff>
    </xdr:to>
    <xdr:sp macro="" textlink="">
      <xdr:nvSpPr>
        <xdr:cNvPr id="5" name="Rectangle 4">
          <a:extLst>
            <a:ext uri="{FF2B5EF4-FFF2-40B4-BE49-F238E27FC236}">
              <a16:creationId xmlns:a16="http://schemas.microsoft.com/office/drawing/2014/main" id="{F89C557A-FD48-4F19-AFB4-CF28EE75F0D6}"/>
            </a:ext>
          </a:extLst>
        </xdr:cNvPr>
        <xdr:cNvSpPr/>
      </xdr:nvSpPr>
      <xdr:spPr>
        <a:xfrm>
          <a:off x="9370696" y="1133475"/>
          <a:ext cx="3002280" cy="1234440"/>
        </a:xfrm>
        <a:prstGeom prst="rect">
          <a:avLst/>
        </a:prstGeom>
        <a:ln>
          <a:noFill/>
        </a:ln>
        <a:effectLst>
          <a:softEdge rad="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endParaRPr lang="en-US" sz="4400" b="0" i="0" u="none" strike="noStrike">
            <a:solidFill>
              <a:schemeClr val="bg1"/>
            </a:solidFill>
            <a:latin typeface="Calibri"/>
            <a:cs typeface="Calibri"/>
          </a:endParaRPr>
        </a:p>
      </xdr:txBody>
    </xdr:sp>
    <xdr:clientData/>
  </xdr:twoCellAnchor>
  <xdr:twoCellAnchor>
    <xdr:from>
      <xdr:col>10</xdr:col>
      <xdr:colOff>167641</xdr:colOff>
      <xdr:row>4</xdr:row>
      <xdr:rowOff>219075</xdr:rowOff>
    </xdr:from>
    <xdr:to>
      <xdr:col>15</xdr:col>
      <xdr:colOff>121921</xdr:colOff>
      <xdr:row>10</xdr:row>
      <xdr:rowOff>81915</xdr:rowOff>
    </xdr:to>
    <xdr:sp macro="" textlink="">
      <xdr:nvSpPr>
        <xdr:cNvPr id="6" name="Rectangle 5">
          <a:extLst>
            <a:ext uri="{FF2B5EF4-FFF2-40B4-BE49-F238E27FC236}">
              <a16:creationId xmlns:a16="http://schemas.microsoft.com/office/drawing/2014/main" id="{16651F3C-77F3-4257-ABBD-7439B417395E}"/>
            </a:ext>
          </a:extLst>
        </xdr:cNvPr>
        <xdr:cNvSpPr/>
      </xdr:nvSpPr>
      <xdr:spPr>
        <a:xfrm>
          <a:off x="6263641" y="1133475"/>
          <a:ext cx="3002280" cy="1234440"/>
        </a:xfrm>
        <a:prstGeom prst="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r>
            <a:rPr lang="en-US" sz="4800" b="1" i="0" u="none" strike="noStrike">
              <a:solidFill>
                <a:schemeClr val="bg1"/>
              </a:solidFill>
              <a:latin typeface="Calibri"/>
              <a:cs typeface="Calibri"/>
            </a:rPr>
            <a:t> </a:t>
          </a:r>
        </a:p>
      </xdr:txBody>
    </xdr:sp>
    <xdr:clientData/>
  </xdr:twoCellAnchor>
  <xdr:twoCellAnchor>
    <xdr:from>
      <xdr:col>11</xdr:col>
      <xdr:colOff>510541</xdr:colOff>
      <xdr:row>0</xdr:row>
      <xdr:rowOff>83819</xdr:rowOff>
    </xdr:from>
    <xdr:to>
      <xdr:col>19</xdr:col>
      <xdr:colOff>342900</xdr:colOff>
      <xdr:row>3</xdr:row>
      <xdr:rowOff>106680</xdr:rowOff>
    </xdr:to>
    <xdr:sp macro="" textlink="">
      <xdr:nvSpPr>
        <xdr:cNvPr id="7" name="Rectangle 6">
          <a:extLst>
            <a:ext uri="{FF2B5EF4-FFF2-40B4-BE49-F238E27FC236}">
              <a16:creationId xmlns:a16="http://schemas.microsoft.com/office/drawing/2014/main" id="{73EDEA55-E359-4E9B-8638-A0AC6D42D5C2}"/>
            </a:ext>
          </a:extLst>
        </xdr:cNvPr>
        <xdr:cNvSpPr/>
      </xdr:nvSpPr>
      <xdr:spPr>
        <a:xfrm>
          <a:off x="7216141" y="83819"/>
          <a:ext cx="4709159" cy="70866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r"/>
          <a:endParaRPr lang="en-US" sz="5400">
            <a:solidFill>
              <a:schemeClr val="accent4">
                <a:lumMod val="40000"/>
                <a:lumOff val="60000"/>
              </a:schemeClr>
            </a:solidFill>
          </a:endParaRPr>
        </a:p>
      </xdr:txBody>
    </xdr:sp>
    <xdr:clientData/>
  </xdr:twoCellAnchor>
  <xdr:twoCellAnchor>
    <xdr:from>
      <xdr:col>13</xdr:col>
      <xdr:colOff>134966</xdr:colOff>
      <xdr:row>0</xdr:row>
      <xdr:rowOff>167138</xdr:rowOff>
    </xdr:from>
    <xdr:to>
      <xdr:col>17</xdr:col>
      <xdr:colOff>499615</xdr:colOff>
      <xdr:row>3</xdr:row>
      <xdr:rowOff>56705</xdr:rowOff>
    </xdr:to>
    <xdr:sp macro="" textlink="">
      <xdr:nvSpPr>
        <xdr:cNvPr id="8" name="TextBox 7">
          <a:extLst>
            <a:ext uri="{FF2B5EF4-FFF2-40B4-BE49-F238E27FC236}">
              <a16:creationId xmlns:a16="http://schemas.microsoft.com/office/drawing/2014/main" id="{BEABC92C-6B61-456C-BBD9-57567EACDFD6}"/>
            </a:ext>
          </a:extLst>
        </xdr:cNvPr>
        <xdr:cNvSpPr txBox="1"/>
      </xdr:nvSpPr>
      <xdr:spPr>
        <a:xfrm>
          <a:off x="8059766" y="167138"/>
          <a:ext cx="2803049" cy="5753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2800">
              <a:solidFill>
                <a:srgbClr val="FFFFFF"/>
              </a:solidFill>
            </a:rPr>
            <a:t>Total Employee</a:t>
          </a:r>
          <a:r>
            <a:rPr lang="en-US" sz="2800" baseline="0">
              <a:solidFill>
                <a:srgbClr val="FFFFFF"/>
              </a:solidFill>
            </a:rPr>
            <a:t> =</a:t>
          </a:r>
          <a:r>
            <a:rPr lang="en-US" sz="2800">
              <a:solidFill>
                <a:srgbClr val="FFFFFF"/>
              </a:solidFill>
            </a:rPr>
            <a:t> </a:t>
          </a:r>
        </a:p>
      </xdr:txBody>
    </xdr:sp>
    <xdr:clientData/>
  </xdr:twoCellAnchor>
  <xdr:twoCellAnchor>
    <xdr:from>
      <xdr:col>12</xdr:col>
      <xdr:colOff>114241</xdr:colOff>
      <xdr:row>0</xdr:row>
      <xdr:rowOff>64519</xdr:rowOff>
    </xdr:from>
    <xdr:to>
      <xdr:col>13</xdr:col>
      <xdr:colOff>60681</xdr:colOff>
      <xdr:row>3</xdr:row>
      <xdr:rowOff>27173</xdr:rowOff>
    </xdr:to>
    <xdr:pic>
      <xdr:nvPicPr>
        <xdr:cNvPr id="9" name="Graphic 8" descr="Employee badge with solid fill">
          <a:extLst>
            <a:ext uri="{FF2B5EF4-FFF2-40B4-BE49-F238E27FC236}">
              <a16:creationId xmlns:a16="http://schemas.microsoft.com/office/drawing/2014/main" id="{7652C08D-FB81-4A15-996C-B8F8056C0D86}"/>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429441" y="64519"/>
          <a:ext cx="556040" cy="648454"/>
        </a:xfrm>
        <a:prstGeom prst="rect">
          <a:avLst/>
        </a:prstGeom>
      </xdr:spPr>
    </xdr:pic>
    <xdr:clientData/>
  </xdr:twoCellAnchor>
  <xdr:twoCellAnchor>
    <xdr:from>
      <xdr:col>5</xdr:col>
      <xdr:colOff>209551</xdr:colOff>
      <xdr:row>5</xdr:row>
      <xdr:rowOff>80010</xdr:rowOff>
    </xdr:from>
    <xdr:to>
      <xdr:col>10</xdr:col>
      <xdr:colOff>3811</xdr:colOff>
      <xdr:row>7</xdr:row>
      <xdr:rowOff>116206</xdr:rowOff>
    </xdr:to>
    <xdr:sp macro="" textlink="">
      <xdr:nvSpPr>
        <xdr:cNvPr id="10" name="TextBox 9">
          <a:extLst>
            <a:ext uri="{FF2B5EF4-FFF2-40B4-BE49-F238E27FC236}">
              <a16:creationId xmlns:a16="http://schemas.microsoft.com/office/drawing/2014/main" id="{0F4D176F-C6F5-49C9-A44F-B212C7BF532B}"/>
            </a:ext>
          </a:extLst>
        </xdr:cNvPr>
        <xdr:cNvSpPr txBox="1"/>
      </xdr:nvSpPr>
      <xdr:spPr>
        <a:xfrm>
          <a:off x="3257551" y="1223010"/>
          <a:ext cx="2842260" cy="493396"/>
        </a:xfrm>
        <a:prstGeom prst="rect">
          <a:avLst/>
        </a:prstGeom>
        <a:solidFill>
          <a:schemeClr val="accent1">
            <a:lumMod val="50000"/>
          </a:schemeClr>
        </a:solidFill>
        <a:ln w="9525" cap="rnd" cmpd="sng">
          <a:noFill/>
        </a:ln>
        <a:effectLst>
          <a:softEdge rad="38100"/>
        </a:effectLst>
      </xdr:spPr>
      <xdr:style>
        <a:lnRef idx="0">
          <a:scrgbClr r="0" g="0" b="0"/>
        </a:lnRef>
        <a:fillRef idx="0">
          <a:scrgbClr r="0" g="0" b="0"/>
        </a:fillRef>
        <a:effectRef idx="0">
          <a:scrgbClr r="0" g="0" b="0"/>
        </a:effectRef>
        <a:fontRef idx="minor">
          <a:schemeClr val="dk1"/>
        </a:fontRef>
      </xdr:style>
      <xdr:txBody>
        <a:bodyPr vertOverflow="clip" horzOverflow="clip" wrap="square" lIns="91440" rtlCol="0" anchor="ctr"/>
        <a:lstStyle/>
        <a:p>
          <a:pPr algn="ctr"/>
          <a:r>
            <a:rPr lang="en-US" sz="1800" b="1">
              <a:solidFill>
                <a:schemeClr val="bg1"/>
              </a:solidFill>
            </a:rPr>
            <a:t>Average Bonus Amount</a:t>
          </a:r>
        </a:p>
      </xdr:txBody>
    </xdr:sp>
    <xdr:clientData/>
  </xdr:twoCellAnchor>
  <xdr:twoCellAnchor>
    <xdr:from>
      <xdr:col>10</xdr:col>
      <xdr:colOff>285750</xdr:colOff>
      <xdr:row>5</xdr:row>
      <xdr:rowOff>57150</xdr:rowOff>
    </xdr:from>
    <xdr:to>
      <xdr:col>15</xdr:col>
      <xdr:colOff>59055</xdr:colOff>
      <xdr:row>7</xdr:row>
      <xdr:rowOff>156210</xdr:rowOff>
    </xdr:to>
    <xdr:sp macro="" textlink="">
      <xdr:nvSpPr>
        <xdr:cNvPr id="11" name="TextBox 10">
          <a:extLst>
            <a:ext uri="{FF2B5EF4-FFF2-40B4-BE49-F238E27FC236}">
              <a16:creationId xmlns:a16="http://schemas.microsoft.com/office/drawing/2014/main" id="{5457D813-87ED-44E2-A17F-334B9C0F9C18}"/>
            </a:ext>
          </a:extLst>
        </xdr:cNvPr>
        <xdr:cNvSpPr txBox="1"/>
      </xdr:nvSpPr>
      <xdr:spPr>
        <a:xfrm>
          <a:off x="6381750" y="1200150"/>
          <a:ext cx="2821305" cy="556260"/>
        </a:xfrm>
        <a:prstGeom prst="rect">
          <a:avLst/>
        </a:prstGeom>
        <a:solidFill>
          <a:schemeClr val="accent1">
            <a:lumMod val="50000"/>
          </a:schemeClr>
        </a:solidFill>
        <a:ln w="9525" cap="rnd" cmpd="sng">
          <a:noFill/>
        </a:ln>
        <a:effectLst>
          <a:softEdge rad="38100"/>
        </a:effectLst>
      </xdr:spPr>
      <xdr:style>
        <a:lnRef idx="0">
          <a:scrgbClr r="0" g="0" b="0"/>
        </a:lnRef>
        <a:fillRef idx="0">
          <a:scrgbClr r="0" g="0" b="0"/>
        </a:fillRef>
        <a:effectRef idx="0">
          <a:scrgbClr r="0" g="0" b="0"/>
        </a:effectRef>
        <a:fontRef idx="minor">
          <a:schemeClr val="dk1"/>
        </a:fontRef>
      </xdr:style>
      <xdr:txBody>
        <a:bodyPr vertOverflow="clip" horzOverflow="clip" wrap="square" lIns="91440" rtlCol="0" anchor="ctr"/>
        <a:lstStyle/>
        <a:p>
          <a:pPr algn="ctr"/>
          <a:r>
            <a:rPr lang="en-US" sz="1400" b="1">
              <a:solidFill>
                <a:schemeClr val="bg1"/>
              </a:solidFill>
            </a:rPr>
            <a:t>Average Performance</a:t>
          </a:r>
          <a:r>
            <a:rPr lang="en-US" sz="1400" b="1" baseline="0">
              <a:solidFill>
                <a:schemeClr val="bg1"/>
              </a:solidFill>
            </a:rPr>
            <a:t> </a:t>
          </a:r>
          <a:r>
            <a:rPr lang="en-US" sz="1400" b="1">
              <a:solidFill>
                <a:schemeClr val="bg1"/>
              </a:solidFill>
            </a:rPr>
            <a:t>Score</a:t>
          </a:r>
        </a:p>
      </xdr:txBody>
    </xdr:sp>
    <xdr:clientData/>
  </xdr:twoCellAnchor>
  <xdr:twoCellAnchor>
    <xdr:from>
      <xdr:col>0</xdr:col>
      <xdr:colOff>38101</xdr:colOff>
      <xdr:row>4</xdr:row>
      <xdr:rowOff>211455</xdr:rowOff>
    </xdr:from>
    <xdr:to>
      <xdr:col>4</xdr:col>
      <xdr:colOff>601981</xdr:colOff>
      <xdr:row>10</xdr:row>
      <xdr:rowOff>74295</xdr:rowOff>
    </xdr:to>
    <xdr:sp macro="" textlink="">
      <xdr:nvSpPr>
        <xdr:cNvPr id="13" name="Rectangle 12">
          <a:extLst>
            <a:ext uri="{FF2B5EF4-FFF2-40B4-BE49-F238E27FC236}">
              <a16:creationId xmlns:a16="http://schemas.microsoft.com/office/drawing/2014/main" id="{045DC4DF-82CA-4F5D-A0DF-481D6398CE6E}"/>
            </a:ext>
          </a:extLst>
        </xdr:cNvPr>
        <xdr:cNvSpPr/>
      </xdr:nvSpPr>
      <xdr:spPr>
        <a:xfrm>
          <a:off x="38101" y="1125855"/>
          <a:ext cx="3002280" cy="1234440"/>
        </a:xfrm>
        <a:prstGeom prst="rect">
          <a:avLst/>
        </a:prstGeom>
        <a:solidFill>
          <a:schemeClr val="accent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endParaRPr lang="en-US" sz="3200" b="0" i="0" u="none" strike="noStrike">
            <a:solidFill>
              <a:schemeClr val="bg1"/>
            </a:solidFill>
            <a:latin typeface="Calibri"/>
            <a:cs typeface="Calibri"/>
          </a:endParaRPr>
        </a:p>
      </xdr:txBody>
    </xdr:sp>
    <xdr:clientData/>
  </xdr:twoCellAnchor>
  <xdr:twoCellAnchor>
    <xdr:from>
      <xdr:col>15</xdr:col>
      <xdr:colOff>382905</xdr:colOff>
      <xdr:row>5</xdr:row>
      <xdr:rowOff>41910</xdr:rowOff>
    </xdr:from>
    <xdr:to>
      <xdr:col>20</xdr:col>
      <xdr:colOff>59056</xdr:colOff>
      <xdr:row>7</xdr:row>
      <xdr:rowOff>140970</xdr:rowOff>
    </xdr:to>
    <xdr:sp macro="" textlink="">
      <xdr:nvSpPr>
        <xdr:cNvPr id="12" name="TextBox 11">
          <a:extLst>
            <a:ext uri="{FF2B5EF4-FFF2-40B4-BE49-F238E27FC236}">
              <a16:creationId xmlns:a16="http://schemas.microsoft.com/office/drawing/2014/main" id="{86819A00-1F86-4CB6-8E0E-8E6C78E6B384}"/>
            </a:ext>
          </a:extLst>
        </xdr:cNvPr>
        <xdr:cNvSpPr txBox="1"/>
      </xdr:nvSpPr>
      <xdr:spPr>
        <a:xfrm>
          <a:off x="9526905" y="1184910"/>
          <a:ext cx="2724151" cy="556260"/>
        </a:xfrm>
        <a:prstGeom prst="rect">
          <a:avLst/>
        </a:prstGeom>
        <a:solidFill>
          <a:schemeClr val="accent1">
            <a:lumMod val="50000"/>
          </a:schemeClr>
        </a:solidFill>
        <a:ln w="9525" cap="rnd" cmpd="sng">
          <a:noFill/>
        </a:ln>
        <a:effectLst>
          <a:softEdge rad="38100"/>
        </a:effectLst>
      </xdr:spPr>
      <xdr:style>
        <a:lnRef idx="0">
          <a:scrgbClr r="0" g="0" b="0"/>
        </a:lnRef>
        <a:fillRef idx="0">
          <a:scrgbClr r="0" g="0" b="0"/>
        </a:fillRef>
        <a:effectRef idx="0">
          <a:scrgbClr r="0" g="0" b="0"/>
        </a:effectRef>
        <a:fontRef idx="minor">
          <a:schemeClr val="dk1"/>
        </a:fontRef>
      </xdr:style>
      <xdr:txBody>
        <a:bodyPr vertOverflow="clip" horzOverflow="clip" wrap="square" lIns="91440" rtlCol="0" anchor="ctr"/>
        <a:lstStyle/>
        <a:p>
          <a:pPr algn="ctr"/>
          <a:r>
            <a:rPr lang="en-US" sz="1400" b="1">
              <a:solidFill>
                <a:schemeClr val="bg1"/>
              </a:solidFill>
            </a:rPr>
            <a:t>Average Attendance Rate</a:t>
          </a:r>
        </a:p>
      </xdr:txBody>
    </xdr:sp>
    <xdr:clientData/>
  </xdr:twoCellAnchor>
  <xdr:twoCellAnchor>
    <xdr:from>
      <xdr:col>0</xdr:col>
      <xdr:colOff>32386</xdr:colOff>
      <xdr:row>15</xdr:row>
      <xdr:rowOff>28575</xdr:rowOff>
    </xdr:from>
    <xdr:to>
      <xdr:col>4</xdr:col>
      <xdr:colOff>581026</xdr:colOff>
      <xdr:row>51</xdr:row>
      <xdr:rowOff>100332</xdr:rowOff>
    </xdr:to>
    <xdr:sp macro="" textlink="">
      <xdr:nvSpPr>
        <xdr:cNvPr id="15" name="Rectangle 14">
          <a:extLst>
            <a:ext uri="{FF2B5EF4-FFF2-40B4-BE49-F238E27FC236}">
              <a16:creationId xmlns:a16="http://schemas.microsoft.com/office/drawing/2014/main" id="{989E81A8-B9A4-4A39-B075-3CFEBAD5AF83}"/>
            </a:ext>
          </a:extLst>
        </xdr:cNvPr>
        <xdr:cNvSpPr/>
      </xdr:nvSpPr>
      <xdr:spPr>
        <a:xfrm>
          <a:off x="32386" y="3457575"/>
          <a:ext cx="2987040" cy="8301357"/>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201931</xdr:colOff>
      <xdr:row>5</xdr:row>
      <xdr:rowOff>24765</xdr:rowOff>
    </xdr:from>
    <xdr:to>
      <xdr:col>4</xdr:col>
      <xdr:colOff>478157</xdr:colOff>
      <xdr:row>7</xdr:row>
      <xdr:rowOff>125730</xdr:rowOff>
    </xdr:to>
    <xdr:sp macro="" textlink="">
      <xdr:nvSpPr>
        <xdr:cNvPr id="14" name="TextBox 13">
          <a:extLst>
            <a:ext uri="{FF2B5EF4-FFF2-40B4-BE49-F238E27FC236}">
              <a16:creationId xmlns:a16="http://schemas.microsoft.com/office/drawing/2014/main" id="{4FFE2B47-A2D2-4043-AD15-CB8894657A03}"/>
            </a:ext>
          </a:extLst>
        </xdr:cNvPr>
        <xdr:cNvSpPr txBox="1"/>
      </xdr:nvSpPr>
      <xdr:spPr>
        <a:xfrm>
          <a:off x="201931" y="1167765"/>
          <a:ext cx="2714626" cy="558165"/>
        </a:xfrm>
        <a:prstGeom prst="rect">
          <a:avLst/>
        </a:prstGeom>
        <a:solidFill>
          <a:schemeClr val="accent1">
            <a:lumMod val="50000"/>
          </a:schemeClr>
        </a:solidFill>
        <a:ln w="9525" cap="rnd" cmpd="sng">
          <a:noFill/>
        </a:ln>
        <a:effectLst>
          <a:softEdge rad="38100"/>
        </a:effectLst>
      </xdr:spPr>
      <xdr:style>
        <a:lnRef idx="0">
          <a:scrgbClr r="0" g="0" b="0"/>
        </a:lnRef>
        <a:fillRef idx="0">
          <a:scrgbClr r="0" g="0" b="0"/>
        </a:fillRef>
        <a:effectRef idx="0">
          <a:scrgbClr r="0" g="0" b="0"/>
        </a:effectRef>
        <a:fontRef idx="minor">
          <a:schemeClr val="dk1"/>
        </a:fontRef>
      </xdr:style>
      <xdr:txBody>
        <a:bodyPr vertOverflow="clip" horzOverflow="clip" wrap="square" lIns="91440" rtlCol="0" anchor="ctr"/>
        <a:lstStyle/>
        <a:p>
          <a:pPr algn="ctr"/>
          <a:r>
            <a:rPr lang="en-US" sz="1800" b="1">
              <a:solidFill>
                <a:schemeClr val="bg1"/>
              </a:solidFill>
            </a:rPr>
            <a:t>Total  Bonus Amount</a:t>
          </a:r>
        </a:p>
      </xdr:txBody>
    </xdr:sp>
    <xdr:clientData/>
  </xdr:twoCellAnchor>
  <xdr:twoCellAnchor editAs="oneCell">
    <xdr:from>
      <xdr:col>0</xdr:col>
      <xdr:colOff>163832</xdr:colOff>
      <xdr:row>7</xdr:row>
      <xdr:rowOff>87630</xdr:rowOff>
    </xdr:from>
    <xdr:to>
      <xdr:col>1</xdr:col>
      <xdr:colOff>135254</xdr:colOff>
      <xdr:row>9</xdr:row>
      <xdr:rowOff>211452</xdr:rowOff>
    </xdr:to>
    <xdr:pic>
      <xdr:nvPicPr>
        <xdr:cNvPr id="16" name="Graphic 15" descr="Money with solid fill">
          <a:extLst>
            <a:ext uri="{FF2B5EF4-FFF2-40B4-BE49-F238E27FC236}">
              <a16:creationId xmlns:a16="http://schemas.microsoft.com/office/drawing/2014/main" id="{AA1D97B8-4AFE-482F-BF4A-A5BD4AA3E9E2}"/>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63832" y="1687830"/>
          <a:ext cx="581022" cy="581022"/>
        </a:xfrm>
        <a:prstGeom prst="rect">
          <a:avLst/>
        </a:prstGeom>
      </xdr:spPr>
    </xdr:pic>
    <xdr:clientData/>
  </xdr:twoCellAnchor>
  <xdr:twoCellAnchor>
    <xdr:from>
      <xdr:col>0</xdr:col>
      <xdr:colOff>0</xdr:colOff>
      <xdr:row>4</xdr:row>
      <xdr:rowOff>201929</xdr:rowOff>
    </xdr:from>
    <xdr:to>
      <xdr:col>5</xdr:col>
      <xdr:colOff>573405</xdr:colOff>
      <xdr:row>10</xdr:row>
      <xdr:rowOff>68579</xdr:rowOff>
    </xdr:to>
    <xdr:sp macro="" textlink="Sheet4!P4">
      <xdr:nvSpPr>
        <xdr:cNvPr id="17" name="Rectangle 16">
          <a:extLst>
            <a:ext uri="{FF2B5EF4-FFF2-40B4-BE49-F238E27FC236}">
              <a16:creationId xmlns:a16="http://schemas.microsoft.com/office/drawing/2014/main" id="{9B440476-D472-4516-B2B0-8A3189DA1001}"/>
            </a:ext>
          </a:extLst>
        </xdr:cNvPr>
        <xdr:cNvSpPr/>
      </xdr:nvSpPr>
      <xdr:spPr>
        <a:xfrm>
          <a:off x="0" y="1116329"/>
          <a:ext cx="3621405" cy="12382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E14207DB-AED0-4A14-8731-1FA74B803013}" type="TxLink">
            <a:rPr lang="en-US" sz="1100" b="0" i="0" u="none" strike="noStrike">
              <a:solidFill>
                <a:srgbClr val="000000"/>
              </a:solidFill>
              <a:latin typeface="Calibri"/>
              <a:cs typeface="Calibri"/>
            </a:rPr>
            <a:pPr algn="ctr"/>
            <a:t> </a:t>
          </a:fld>
          <a:endParaRPr lang="en-US" sz="3200" b="1">
            <a:solidFill>
              <a:schemeClr val="bg1"/>
            </a:solidFill>
          </a:endParaRPr>
        </a:p>
      </xdr:txBody>
    </xdr:sp>
    <xdr:clientData/>
  </xdr:twoCellAnchor>
  <xdr:twoCellAnchor>
    <xdr:from>
      <xdr:col>5</xdr:col>
      <xdr:colOff>171450</xdr:colOff>
      <xdr:row>4</xdr:row>
      <xdr:rowOff>173354</xdr:rowOff>
    </xdr:from>
    <xdr:to>
      <xdr:col>11</xdr:col>
      <xdr:colOff>135255</xdr:colOff>
      <xdr:row>10</xdr:row>
      <xdr:rowOff>87629</xdr:rowOff>
    </xdr:to>
    <xdr:sp macro="" textlink="$AA$13">
      <xdr:nvSpPr>
        <xdr:cNvPr id="18" name="Rectangle 17">
          <a:extLst>
            <a:ext uri="{FF2B5EF4-FFF2-40B4-BE49-F238E27FC236}">
              <a16:creationId xmlns:a16="http://schemas.microsoft.com/office/drawing/2014/main" id="{95B0E56D-72CF-4A24-B9F0-EC1BEB8F9EA3}"/>
            </a:ext>
          </a:extLst>
        </xdr:cNvPr>
        <xdr:cNvSpPr/>
      </xdr:nvSpPr>
      <xdr:spPr>
        <a:xfrm>
          <a:off x="3219450" y="1087754"/>
          <a:ext cx="3621405" cy="128587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15E89FAC-213E-42D2-8E8F-C395BEBE1B4F}" type="TxLink">
            <a:rPr lang="en-US" sz="4000" b="1" i="0" u="none" strike="noStrike">
              <a:solidFill>
                <a:schemeClr val="bg1"/>
              </a:solidFill>
              <a:latin typeface="Calibri"/>
              <a:cs typeface="Calibri"/>
            </a:rPr>
            <a:pPr algn="ctr"/>
            <a:t> </a:t>
          </a:fld>
          <a:endParaRPr lang="en-US" sz="4000" b="1">
            <a:solidFill>
              <a:schemeClr val="bg1"/>
            </a:solidFill>
          </a:endParaRPr>
        </a:p>
      </xdr:txBody>
    </xdr:sp>
    <xdr:clientData/>
  </xdr:twoCellAnchor>
  <xdr:twoCellAnchor editAs="oneCell">
    <xdr:from>
      <xdr:col>5</xdr:col>
      <xdr:colOff>382907</xdr:colOff>
      <xdr:row>7</xdr:row>
      <xdr:rowOff>97155</xdr:rowOff>
    </xdr:from>
    <xdr:to>
      <xdr:col>6</xdr:col>
      <xdr:colOff>354329</xdr:colOff>
      <xdr:row>9</xdr:row>
      <xdr:rowOff>220977</xdr:rowOff>
    </xdr:to>
    <xdr:pic>
      <xdr:nvPicPr>
        <xdr:cNvPr id="19" name="Graphic 18" descr="Money with solid fill">
          <a:extLst>
            <a:ext uri="{FF2B5EF4-FFF2-40B4-BE49-F238E27FC236}">
              <a16:creationId xmlns:a16="http://schemas.microsoft.com/office/drawing/2014/main" id="{F3C91ED6-F2A3-4A53-BE88-46151C7E0337}"/>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3430907" y="1697355"/>
          <a:ext cx="581022" cy="581022"/>
        </a:xfrm>
        <a:prstGeom prst="rect">
          <a:avLst/>
        </a:prstGeom>
      </xdr:spPr>
    </xdr:pic>
    <xdr:clientData/>
  </xdr:twoCellAnchor>
  <xdr:twoCellAnchor editAs="oneCell">
    <xdr:from>
      <xdr:col>11</xdr:col>
      <xdr:colOff>240031</xdr:colOff>
      <xdr:row>7</xdr:row>
      <xdr:rowOff>173354</xdr:rowOff>
    </xdr:from>
    <xdr:to>
      <xdr:col>12</xdr:col>
      <xdr:colOff>135256</xdr:colOff>
      <xdr:row>9</xdr:row>
      <xdr:rowOff>220979</xdr:rowOff>
    </xdr:to>
    <xdr:pic>
      <xdr:nvPicPr>
        <xdr:cNvPr id="20" name="Graphic 19" descr="Checkmark with solid fill">
          <a:extLst>
            <a:ext uri="{FF2B5EF4-FFF2-40B4-BE49-F238E27FC236}">
              <a16:creationId xmlns:a16="http://schemas.microsoft.com/office/drawing/2014/main" id="{D76A011A-FBB0-44EF-9708-1105E54A227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945631" y="1773554"/>
          <a:ext cx="504825" cy="504825"/>
        </a:xfrm>
        <a:prstGeom prst="rect">
          <a:avLst/>
        </a:prstGeom>
      </xdr:spPr>
    </xdr:pic>
    <xdr:clientData/>
  </xdr:twoCellAnchor>
  <xdr:twoCellAnchor>
    <xdr:from>
      <xdr:col>12</xdr:col>
      <xdr:colOff>192406</xdr:colOff>
      <xdr:row>6</xdr:row>
      <xdr:rowOff>59055</xdr:rowOff>
    </xdr:from>
    <xdr:to>
      <xdr:col>13</xdr:col>
      <xdr:colOff>478156</xdr:colOff>
      <xdr:row>10</xdr:row>
      <xdr:rowOff>106679</xdr:rowOff>
    </xdr:to>
    <xdr:sp macro="" textlink="$AA$19">
      <xdr:nvSpPr>
        <xdr:cNvPr id="21" name="Rectangle 20">
          <a:extLst>
            <a:ext uri="{FF2B5EF4-FFF2-40B4-BE49-F238E27FC236}">
              <a16:creationId xmlns:a16="http://schemas.microsoft.com/office/drawing/2014/main" id="{F8637D3B-10E3-4A76-B790-8D9AD8E08702}"/>
            </a:ext>
          </a:extLst>
        </xdr:cNvPr>
        <xdr:cNvSpPr/>
      </xdr:nvSpPr>
      <xdr:spPr>
        <a:xfrm>
          <a:off x="7507606" y="1430655"/>
          <a:ext cx="895350" cy="96202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D4142ED2-5E24-42EE-844A-01026D4E7C0A}" type="TxLink">
            <a:rPr lang="en-US" sz="4400" b="1" i="0" u="none" strike="noStrike">
              <a:solidFill>
                <a:schemeClr val="bg1"/>
              </a:solidFill>
              <a:latin typeface="Calibri"/>
              <a:cs typeface="Calibri"/>
            </a:rPr>
            <a:pPr algn="ctr"/>
            <a:t> </a:t>
          </a:fld>
          <a:endParaRPr lang="en-US" sz="4400" b="1">
            <a:solidFill>
              <a:schemeClr val="bg1"/>
            </a:solidFill>
          </a:endParaRPr>
        </a:p>
      </xdr:txBody>
    </xdr:sp>
    <xdr:clientData/>
  </xdr:twoCellAnchor>
  <xdr:twoCellAnchor editAs="oneCell">
    <xdr:from>
      <xdr:col>16</xdr:col>
      <xdr:colOff>306707</xdr:colOff>
      <xdr:row>7</xdr:row>
      <xdr:rowOff>135255</xdr:rowOff>
    </xdr:from>
    <xdr:to>
      <xdr:col>17</xdr:col>
      <xdr:colOff>211457</xdr:colOff>
      <xdr:row>9</xdr:row>
      <xdr:rowOff>192405</xdr:rowOff>
    </xdr:to>
    <xdr:pic>
      <xdr:nvPicPr>
        <xdr:cNvPr id="22" name="Graphic 21" descr="Briefcase with solid fill">
          <a:extLst>
            <a:ext uri="{FF2B5EF4-FFF2-40B4-BE49-F238E27FC236}">
              <a16:creationId xmlns:a16="http://schemas.microsoft.com/office/drawing/2014/main" id="{7246550B-F8BA-4BF9-87B9-D862C38D1879}"/>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0060307" y="1735455"/>
          <a:ext cx="514350" cy="514350"/>
        </a:xfrm>
        <a:prstGeom prst="rect">
          <a:avLst/>
        </a:prstGeom>
      </xdr:spPr>
    </xdr:pic>
    <xdr:clientData/>
  </xdr:twoCellAnchor>
  <xdr:twoCellAnchor>
    <xdr:from>
      <xdr:col>12</xdr:col>
      <xdr:colOff>129540</xdr:colOff>
      <xdr:row>7</xdr:row>
      <xdr:rowOff>38100</xdr:rowOff>
    </xdr:from>
    <xdr:to>
      <xdr:col>14</xdr:col>
      <xdr:colOff>15240</xdr:colOff>
      <xdr:row>10</xdr:row>
      <xdr:rowOff>76199</xdr:rowOff>
    </xdr:to>
    <xdr:sp macro="" textlink="'Employee Performance Data Clean'!$R$16">
      <xdr:nvSpPr>
        <xdr:cNvPr id="23" name="Rectangle 22">
          <a:extLst>
            <a:ext uri="{FF2B5EF4-FFF2-40B4-BE49-F238E27FC236}">
              <a16:creationId xmlns:a16="http://schemas.microsoft.com/office/drawing/2014/main" id="{0B7E326B-0259-42F7-BE95-9937D87C3957}"/>
            </a:ext>
          </a:extLst>
        </xdr:cNvPr>
        <xdr:cNvSpPr/>
      </xdr:nvSpPr>
      <xdr:spPr>
        <a:xfrm>
          <a:off x="7444740" y="1638300"/>
          <a:ext cx="1104900" cy="72389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D1801C8B-1F56-4A8E-8441-268A22238D1C}" type="TxLink">
            <a:rPr lang="en-US" sz="4400" b="1" i="0" u="none" strike="noStrike">
              <a:solidFill>
                <a:schemeClr val="bg1"/>
              </a:solidFill>
              <a:latin typeface="Gill Sans MT"/>
              <a:cs typeface="Calibri"/>
            </a:rPr>
            <a:pPr algn="ctr"/>
            <a:t>85</a:t>
          </a:fld>
          <a:endParaRPr lang="en-US" sz="4400" b="1">
            <a:solidFill>
              <a:schemeClr val="bg1"/>
            </a:solidFill>
          </a:endParaRPr>
        </a:p>
      </xdr:txBody>
    </xdr:sp>
    <xdr:clientData/>
  </xdr:twoCellAnchor>
  <xdr:twoCellAnchor>
    <xdr:from>
      <xdr:col>5</xdr:col>
      <xdr:colOff>87631</xdr:colOff>
      <xdr:row>15</xdr:row>
      <xdr:rowOff>38100</xdr:rowOff>
    </xdr:from>
    <xdr:to>
      <xdr:col>20</xdr:col>
      <xdr:colOff>163831</xdr:colOff>
      <xdr:row>51</xdr:row>
      <xdr:rowOff>114301</xdr:rowOff>
    </xdr:to>
    <xdr:sp macro="" textlink="">
      <xdr:nvSpPr>
        <xdr:cNvPr id="24" name="Rectangle 23">
          <a:extLst>
            <a:ext uri="{FF2B5EF4-FFF2-40B4-BE49-F238E27FC236}">
              <a16:creationId xmlns:a16="http://schemas.microsoft.com/office/drawing/2014/main" id="{34D9979E-AD4F-4E4A-ACB3-2F55ACB8BDE9}"/>
            </a:ext>
          </a:extLst>
        </xdr:cNvPr>
        <xdr:cNvSpPr/>
      </xdr:nvSpPr>
      <xdr:spPr>
        <a:xfrm>
          <a:off x="3135631" y="3467100"/>
          <a:ext cx="9220200" cy="830580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ln cmpd="sng">
              <a:solidFill>
                <a:schemeClr val="bg1"/>
              </a:solidFill>
            </a:ln>
          </a:endParaRPr>
        </a:p>
      </xdr:txBody>
    </xdr:sp>
    <xdr:clientData/>
  </xdr:twoCellAnchor>
  <xdr:twoCellAnchor>
    <xdr:from>
      <xdr:col>11</xdr:col>
      <xdr:colOff>358141</xdr:colOff>
      <xdr:row>0</xdr:row>
      <xdr:rowOff>0</xdr:rowOff>
    </xdr:from>
    <xdr:to>
      <xdr:col>19</xdr:col>
      <xdr:colOff>287656</xdr:colOff>
      <xdr:row>3</xdr:row>
      <xdr:rowOff>146685</xdr:rowOff>
    </xdr:to>
    <xdr:sp macro="" textlink="$AA$10">
      <xdr:nvSpPr>
        <xdr:cNvPr id="25" name="Rectangle 24">
          <a:extLst>
            <a:ext uri="{FF2B5EF4-FFF2-40B4-BE49-F238E27FC236}">
              <a16:creationId xmlns:a16="http://schemas.microsoft.com/office/drawing/2014/main" id="{46474E56-4F5C-4B88-B74A-133F83A1A42F}"/>
            </a:ext>
          </a:extLst>
        </xdr:cNvPr>
        <xdr:cNvSpPr/>
      </xdr:nvSpPr>
      <xdr:spPr>
        <a:xfrm>
          <a:off x="7063741" y="0"/>
          <a:ext cx="4806315" cy="83248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r"/>
          <a:fld id="{1E58AE5A-C3A4-46C8-A3FE-A9CB9A75FAE2}" type="TxLink">
            <a:rPr lang="en-US" sz="5400" b="1" i="0" u="none" strike="noStrike">
              <a:solidFill>
                <a:schemeClr val="accent4">
                  <a:lumMod val="40000"/>
                  <a:lumOff val="60000"/>
                </a:schemeClr>
              </a:solidFill>
              <a:latin typeface="Calibri"/>
              <a:cs typeface="Calibri"/>
            </a:rPr>
            <a:pPr algn="r"/>
            <a:t> </a:t>
          </a:fld>
          <a:endParaRPr lang="en-US" sz="5400" b="1">
            <a:solidFill>
              <a:schemeClr val="accent4">
                <a:lumMod val="40000"/>
                <a:lumOff val="60000"/>
              </a:schemeClr>
            </a:solidFill>
          </a:endParaRPr>
        </a:p>
      </xdr:txBody>
    </xdr:sp>
    <xdr:clientData/>
  </xdr:twoCellAnchor>
  <xdr:twoCellAnchor>
    <xdr:from>
      <xdr:col>0</xdr:col>
      <xdr:colOff>506732</xdr:colOff>
      <xdr:row>7</xdr:row>
      <xdr:rowOff>59055</xdr:rowOff>
    </xdr:from>
    <xdr:to>
      <xdr:col>5</xdr:col>
      <xdr:colOff>11432</xdr:colOff>
      <xdr:row>10</xdr:row>
      <xdr:rowOff>49529</xdr:rowOff>
    </xdr:to>
    <xdr:sp macro="" textlink="$AA$8">
      <xdr:nvSpPr>
        <xdr:cNvPr id="28" name="Rectangle 27">
          <a:extLst>
            <a:ext uri="{FF2B5EF4-FFF2-40B4-BE49-F238E27FC236}">
              <a16:creationId xmlns:a16="http://schemas.microsoft.com/office/drawing/2014/main" id="{A0BF9C5D-1911-42D5-A8F2-3F7BCB024C5B}"/>
            </a:ext>
          </a:extLst>
        </xdr:cNvPr>
        <xdr:cNvSpPr/>
      </xdr:nvSpPr>
      <xdr:spPr>
        <a:xfrm>
          <a:off x="506732" y="1659255"/>
          <a:ext cx="2552700" cy="67627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F599BBB2-A793-420E-ABCC-F1855B0107BF}" type="TxLink">
            <a:rPr lang="en-US" sz="3600" b="1" i="0" u="none" strike="noStrike">
              <a:solidFill>
                <a:schemeClr val="bg1"/>
              </a:solidFill>
              <a:latin typeface="Calibri"/>
              <a:cs typeface="Calibri"/>
            </a:rPr>
            <a:pPr algn="ctr"/>
            <a:t> </a:t>
          </a:fld>
          <a:endParaRPr lang="en-US" sz="3600" b="1">
            <a:solidFill>
              <a:schemeClr val="bg1"/>
            </a:solidFill>
          </a:endParaRPr>
        </a:p>
      </xdr:txBody>
    </xdr:sp>
    <xdr:clientData/>
  </xdr:twoCellAnchor>
  <xdr:oneCellAnchor>
    <xdr:from>
      <xdr:col>25</xdr:col>
      <xdr:colOff>116206</xdr:colOff>
      <xdr:row>18</xdr:row>
      <xdr:rowOff>182880</xdr:rowOff>
    </xdr:from>
    <xdr:ext cx="184731" cy="255904"/>
    <xdr:sp macro="" textlink="">
      <xdr:nvSpPr>
        <xdr:cNvPr id="32" name="TextBox 31">
          <a:extLst>
            <a:ext uri="{FF2B5EF4-FFF2-40B4-BE49-F238E27FC236}">
              <a16:creationId xmlns:a16="http://schemas.microsoft.com/office/drawing/2014/main" id="{6AC3C72A-5D74-41EF-8B23-35DB10A4B8ED}"/>
            </a:ext>
          </a:extLst>
        </xdr:cNvPr>
        <xdr:cNvSpPr txBox="1"/>
      </xdr:nvSpPr>
      <xdr:spPr>
        <a:xfrm>
          <a:off x="15356206" y="3611880"/>
          <a:ext cx="184731" cy="2559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kern="1200"/>
        </a:p>
      </xdr:txBody>
    </xdr:sp>
    <xdr:clientData/>
  </xdr:oneCellAnchor>
  <xdr:twoCellAnchor>
    <xdr:from>
      <xdr:col>0</xdr:col>
      <xdr:colOff>30481</xdr:colOff>
      <xdr:row>11</xdr:row>
      <xdr:rowOff>59055</xdr:rowOff>
    </xdr:from>
    <xdr:to>
      <xdr:col>6</xdr:col>
      <xdr:colOff>220981</xdr:colOff>
      <xdr:row>13</xdr:row>
      <xdr:rowOff>135255</xdr:rowOff>
    </xdr:to>
    <xdr:sp macro="" textlink="">
      <xdr:nvSpPr>
        <xdr:cNvPr id="33" name="Rectangle: Rounded Corners 32">
          <a:hlinkClick xmlns:r="http://schemas.openxmlformats.org/officeDocument/2006/relationships" r:id="rId9"/>
          <a:extLst>
            <a:ext uri="{FF2B5EF4-FFF2-40B4-BE49-F238E27FC236}">
              <a16:creationId xmlns:a16="http://schemas.microsoft.com/office/drawing/2014/main" id="{1F6E3AD2-8FE8-4398-9C00-07E07A108C85}"/>
            </a:ext>
          </a:extLst>
        </xdr:cNvPr>
        <xdr:cNvSpPr/>
      </xdr:nvSpPr>
      <xdr:spPr>
        <a:xfrm>
          <a:off x="30481" y="2573655"/>
          <a:ext cx="3848100" cy="533400"/>
        </a:xfrm>
        <a:prstGeom prst="roundRect">
          <a:avLst/>
        </a:prstGeom>
        <a:solidFill>
          <a:schemeClr val="tx1">
            <a:lumMod val="95000"/>
            <a:lumOff val="5000"/>
          </a:schemeClr>
        </a:solidFill>
        <a:ln>
          <a:noFill/>
        </a:ln>
        <a:effectLst>
          <a:softEdge rad="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Ins="91440" rtlCol="0" anchor="ctr"/>
        <a:lstStyle/>
        <a:p>
          <a:pPr algn="ctr"/>
          <a:r>
            <a:rPr lang="en-US" sz="2400" b="1">
              <a:solidFill>
                <a:schemeClr val="accent6">
                  <a:lumMod val="20000"/>
                  <a:lumOff val="80000"/>
                </a:schemeClr>
              </a:solidFill>
            </a:rPr>
            <a:t>Departmental Insights</a:t>
          </a:r>
          <a:endParaRPr lang="en-US" sz="2400" b="1" kern="1200">
            <a:solidFill>
              <a:schemeClr val="accent6">
                <a:lumMod val="20000"/>
                <a:lumOff val="80000"/>
              </a:schemeClr>
            </a:solidFill>
          </a:endParaRPr>
        </a:p>
      </xdr:txBody>
    </xdr:sp>
    <xdr:clientData/>
  </xdr:twoCellAnchor>
  <xdr:twoCellAnchor>
    <xdr:from>
      <xdr:col>6</xdr:col>
      <xdr:colOff>582931</xdr:colOff>
      <xdr:row>11</xdr:row>
      <xdr:rowOff>68580</xdr:rowOff>
    </xdr:from>
    <xdr:to>
      <xdr:col>13</xdr:col>
      <xdr:colOff>163831</xdr:colOff>
      <xdr:row>13</xdr:row>
      <xdr:rowOff>144780</xdr:rowOff>
    </xdr:to>
    <xdr:sp macro="" textlink="">
      <xdr:nvSpPr>
        <xdr:cNvPr id="34" name="Rectangle: Rounded Corners 33">
          <a:hlinkClick xmlns:r="http://schemas.openxmlformats.org/officeDocument/2006/relationships" r:id="rId10"/>
          <a:extLst>
            <a:ext uri="{FF2B5EF4-FFF2-40B4-BE49-F238E27FC236}">
              <a16:creationId xmlns:a16="http://schemas.microsoft.com/office/drawing/2014/main" id="{3B5E17B4-FAD1-493A-824C-8818635AD7D2}"/>
            </a:ext>
          </a:extLst>
        </xdr:cNvPr>
        <xdr:cNvSpPr/>
      </xdr:nvSpPr>
      <xdr:spPr>
        <a:xfrm>
          <a:off x="4240531" y="2583180"/>
          <a:ext cx="3848100" cy="533400"/>
        </a:xfrm>
        <a:prstGeom prst="roundRect">
          <a:avLst/>
        </a:prstGeom>
        <a:solidFill>
          <a:schemeClr val="tx1">
            <a:lumMod val="95000"/>
            <a:lumOff val="5000"/>
          </a:schemeClr>
        </a:solidFill>
        <a:ln>
          <a:noFill/>
        </a:ln>
        <a:effectLst>
          <a:softEdge rad="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Ins="91440" rtlCol="0" anchor="ctr"/>
        <a:lstStyle/>
        <a:p>
          <a:pPr algn="ctr"/>
          <a:r>
            <a:rPr lang="en-US" sz="2400" b="1">
              <a:solidFill>
                <a:schemeClr val="accent6">
                  <a:lumMod val="20000"/>
                  <a:lumOff val="80000"/>
                </a:schemeClr>
              </a:solidFill>
            </a:rPr>
            <a:t>Performance Insights</a:t>
          </a:r>
          <a:endParaRPr lang="en-US" sz="2400" b="1" kern="1200">
            <a:solidFill>
              <a:schemeClr val="accent6">
                <a:lumMod val="20000"/>
                <a:lumOff val="80000"/>
              </a:schemeClr>
            </a:solidFill>
          </a:endParaRPr>
        </a:p>
      </xdr:txBody>
    </xdr:sp>
    <xdr:clientData/>
  </xdr:twoCellAnchor>
  <xdr:twoCellAnchor>
    <xdr:from>
      <xdr:col>13</xdr:col>
      <xdr:colOff>601981</xdr:colOff>
      <xdr:row>11</xdr:row>
      <xdr:rowOff>78105</xdr:rowOff>
    </xdr:from>
    <xdr:to>
      <xdr:col>20</xdr:col>
      <xdr:colOff>182881</xdr:colOff>
      <xdr:row>13</xdr:row>
      <xdr:rowOff>154305</xdr:rowOff>
    </xdr:to>
    <xdr:sp macro="" textlink="">
      <xdr:nvSpPr>
        <xdr:cNvPr id="35" name="Rectangle: Rounded Corners 34">
          <a:hlinkClick xmlns:r="http://schemas.openxmlformats.org/officeDocument/2006/relationships" r:id="rId11"/>
          <a:extLst>
            <a:ext uri="{FF2B5EF4-FFF2-40B4-BE49-F238E27FC236}">
              <a16:creationId xmlns:a16="http://schemas.microsoft.com/office/drawing/2014/main" id="{DFF9774B-365D-40CF-8690-FDE7B7B6D832}"/>
            </a:ext>
          </a:extLst>
        </xdr:cNvPr>
        <xdr:cNvSpPr/>
      </xdr:nvSpPr>
      <xdr:spPr>
        <a:xfrm>
          <a:off x="8526781" y="2592705"/>
          <a:ext cx="3848100" cy="533400"/>
        </a:xfrm>
        <a:prstGeom prst="roundRect">
          <a:avLst/>
        </a:prstGeom>
        <a:solidFill>
          <a:schemeClr val="tx1">
            <a:lumMod val="95000"/>
            <a:lumOff val="5000"/>
          </a:schemeClr>
        </a:solidFill>
        <a:ln>
          <a:noFill/>
        </a:ln>
        <a:effectLst>
          <a:softEdge rad="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Ins="91440" rtlCol="0" anchor="ctr"/>
        <a:lstStyle/>
        <a:p>
          <a:pPr algn="ctr"/>
          <a:r>
            <a:rPr lang="en-US" sz="2400" b="1"/>
            <a:t>Gender Analysis</a:t>
          </a:r>
          <a:endParaRPr lang="en-US" sz="2400" b="1" kern="1200">
            <a:solidFill>
              <a:schemeClr val="accent6">
                <a:lumMod val="20000"/>
                <a:lumOff val="80000"/>
              </a:schemeClr>
            </a:solidFill>
          </a:endParaRPr>
        </a:p>
      </xdr:txBody>
    </xdr:sp>
    <xdr:clientData/>
  </xdr:twoCellAnchor>
  <xdr:twoCellAnchor>
    <xdr:from>
      <xdr:col>17</xdr:col>
      <xdr:colOff>251460</xdr:colOff>
      <xdr:row>7</xdr:row>
      <xdr:rowOff>38100</xdr:rowOff>
    </xdr:from>
    <xdr:to>
      <xdr:col>19</xdr:col>
      <xdr:colOff>137160</xdr:colOff>
      <xdr:row>10</xdr:row>
      <xdr:rowOff>76199</xdr:rowOff>
    </xdr:to>
    <xdr:sp macro="" textlink="'Employee Performance Data Clean'!$R$17">
      <xdr:nvSpPr>
        <xdr:cNvPr id="36" name="Rectangle 35">
          <a:extLst>
            <a:ext uri="{FF2B5EF4-FFF2-40B4-BE49-F238E27FC236}">
              <a16:creationId xmlns:a16="http://schemas.microsoft.com/office/drawing/2014/main" id="{98327716-04E2-5587-7171-15F131FBC2A4}"/>
            </a:ext>
          </a:extLst>
        </xdr:cNvPr>
        <xdr:cNvSpPr/>
      </xdr:nvSpPr>
      <xdr:spPr>
        <a:xfrm>
          <a:off x="10614660" y="1638300"/>
          <a:ext cx="1104900" cy="72389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743F5A1B-87E6-4983-98C1-29AF52DE16CE}" type="TxLink">
            <a:rPr lang="en-US" sz="4400" b="1" i="0" u="none" strike="noStrike">
              <a:solidFill>
                <a:schemeClr val="bg1"/>
              </a:solidFill>
              <a:latin typeface="Gill Sans MT"/>
              <a:cs typeface="Calibri"/>
            </a:rPr>
            <a:pPr algn="ctr"/>
            <a:t>95</a:t>
          </a:fld>
          <a:endParaRPr lang="en-US" sz="4400" b="1">
            <a:solidFill>
              <a:schemeClr val="bg1"/>
            </a:solidFill>
          </a:endParaRPr>
        </a:p>
      </xdr:txBody>
    </xdr:sp>
    <xdr:clientData/>
  </xdr:twoCellAnchor>
  <xdr:twoCellAnchor>
    <xdr:from>
      <xdr:col>16</xdr:col>
      <xdr:colOff>563880</xdr:colOff>
      <xdr:row>0</xdr:row>
      <xdr:rowOff>53340</xdr:rowOff>
    </xdr:from>
    <xdr:to>
      <xdr:col>19</xdr:col>
      <xdr:colOff>533400</xdr:colOff>
      <xdr:row>3</xdr:row>
      <xdr:rowOff>91439</xdr:rowOff>
    </xdr:to>
    <xdr:sp macro="" textlink="'Employee Performance Data Clean'!$R$14">
      <xdr:nvSpPr>
        <xdr:cNvPr id="37" name="Rectangle 36">
          <a:extLst>
            <a:ext uri="{FF2B5EF4-FFF2-40B4-BE49-F238E27FC236}">
              <a16:creationId xmlns:a16="http://schemas.microsoft.com/office/drawing/2014/main" id="{A8C417B0-AA10-701F-5C7F-A4EFDF0D0473}"/>
            </a:ext>
          </a:extLst>
        </xdr:cNvPr>
        <xdr:cNvSpPr/>
      </xdr:nvSpPr>
      <xdr:spPr>
        <a:xfrm>
          <a:off x="10317480" y="53340"/>
          <a:ext cx="1798320" cy="72389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E8DF7314-B6B3-4C3D-8126-D0D065BB0342}" type="TxLink">
            <a:rPr lang="en-US" sz="4400" b="1" i="0" u="none" strike="noStrike">
              <a:solidFill>
                <a:schemeClr val="bg1"/>
              </a:solidFill>
              <a:latin typeface="Gill Sans MT"/>
              <a:cs typeface="Calibri"/>
            </a:rPr>
            <a:pPr algn="ctr"/>
            <a:t>100</a:t>
          </a:fld>
          <a:endParaRPr lang="en-US" sz="4400" b="1">
            <a:solidFill>
              <a:schemeClr val="bg1"/>
            </a:solidFill>
          </a:endParaRPr>
        </a:p>
      </xdr:txBody>
    </xdr:sp>
    <xdr:clientData/>
  </xdr:twoCellAnchor>
  <xdr:twoCellAnchor>
    <xdr:from>
      <xdr:col>6</xdr:col>
      <xdr:colOff>62865</xdr:colOff>
      <xdr:row>7</xdr:row>
      <xdr:rowOff>47625</xdr:rowOff>
    </xdr:from>
    <xdr:to>
      <xdr:col>10</xdr:col>
      <xdr:colOff>0</xdr:colOff>
      <xdr:row>10</xdr:row>
      <xdr:rowOff>85724</xdr:rowOff>
    </xdr:to>
    <xdr:sp macro="" textlink="'Employee Performance Data Clean'!$R$15">
      <xdr:nvSpPr>
        <xdr:cNvPr id="30" name="Rectangle 29">
          <a:extLst>
            <a:ext uri="{FF2B5EF4-FFF2-40B4-BE49-F238E27FC236}">
              <a16:creationId xmlns:a16="http://schemas.microsoft.com/office/drawing/2014/main" id="{84150131-CE7E-5E98-787E-8E3BC1BA9E29}"/>
            </a:ext>
          </a:extLst>
        </xdr:cNvPr>
        <xdr:cNvSpPr/>
      </xdr:nvSpPr>
      <xdr:spPr>
        <a:xfrm>
          <a:off x="3720465" y="1647825"/>
          <a:ext cx="2375535" cy="72389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0269DBA7-36FC-469D-9687-FBAA6500E967}" type="TxLink">
            <a:rPr lang="en-US" sz="4400" b="1" i="0" u="none" strike="noStrike">
              <a:solidFill>
                <a:schemeClr val="bg1"/>
              </a:solidFill>
              <a:latin typeface="Gill Sans MT"/>
              <a:cs typeface="Calibri"/>
            </a:rPr>
            <a:pPr algn="ctr"/>
            <a:t> $1,541 </a:t>
          </a:fld>
          <a:endParaRPr lang="en-US" sz="4400" b="1">
            <a:solidFill>
              <a:schemeClr val="bg1"/>
            </a:solidFill>
          </a:endParaRPr>
        </a:p>
      </xdr:txBody>
    </xdr:sp>
    <xdr:clientData/>
  </xdr:twoCellAnchor>
  <xdr:twoCellAnchor>
    <xdr:from>
      <xdr:col>0</xdr:col>
      <xdr:colOff>567689</xdr:colOff>
      <xdr:row>7</xdr:row>
      <xdr:rowOff>0</xdr:rowOff>
    </xdr:from>
    <xdr:to>
      <xdr:col>4</xdr:col>
      <xdr:colOff>581024</xdr:colOff>
      <xdr:row>10</xdr:row>
      <xdr:rowOff>38099</xdr:rowOff>
    </xdr:to>
    <xdr:sp macro="" textlink="'Employee Performance Data Clean'!$R$13">
      <xdr:nvSpPr>
        <xdr:cNvPr id="38" name="Rectangle 37">
          <a:extLst>
            <a:ext uri="{FF2B5EF4-FFF2-40B4-BE49-F238E27FC236}">
              <a16:creationId xmlns:a16="http://schemas.microsoft.com/office/drawing/2014/main" id="{68267DDB-3AC7-7CF9-63A8-77B7EC459D90}"/>
            </a:ext>
          </a:extLst>
        </xdr:cNvPr>
        <xdr:cNvSpPr/>
      </xdr:nvSpPr>
      <xdr:spPr>
        <a:xfrm>
          <a:off x="567689" y="1600200"/>
          <a:ext cx="2451735" cy="72389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8E38661A-57FD-4D4A-B30D-11CE44C9285D}" type="TxLink">
            <a:rPr lang="en-US" sz="3700" b="1" i="0" u="none" strike="noStrike">
              <a:solidFill>
                <a:schemeClr val="bg1"/>
              </a:solidFill>
              <a:latin typeface="Gill Sans MT"/>
              <a:cs typeface="Calibri"/>
            </a:rPr>
            <a:pPr algn="ctr"/>
            <a:t> $154,050 </a:t>
          </a:fld>
          <a:endParaRPr lang="en-US" sz="3700" b="1">
            <a:solidFill>
              <a:schemeClr val="bg1"/>
            </a:solidFill>
          </a:endParaRPr>
        </a:p>
      </xdr:txBody>
    </xdr:sp>
    <xdr:clientData/>
  </xdr:twoCellAnchor>
  <xdr:twoCellAnchor>
    <xdr:from>
      <xdr:col>5</xdr:col>
      <xdr:colOff>344807</xdr:colOff>
      <xdr:row>18</xdr:row>
      <xdr:rowOff>163830</xdr:rowOff>
    </xdr:from>
    <xdr:to>
      <xdr:col>12</xdr:col>
      <xdr:colOff>495301</xdr:colOff>
      <xdr:row>33</xdr:row>
      <xdr:rowOff>142875</xdr:rowOff>
    </xdr:to>
    <xdr:graphicFrame macro="">
      <xdr:nvGraphicFramePr>
        <xdr:cNvPr id="39" name="Chart 38">
          <a:extLst>
            <a:ext uri="{FF2B5EF4-FFF2-40B4-BE49-F238E27FC236}">
              <a16:creationId xmlns:a16="http://schemas.microsoft.com/office/drawing/2014/main" id="{BD351763-C1A9-436C-9401-443E248950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0</xdr:col>
      <xdr:colOff>200025</xdr:colOff>
      <xdr:row>31</xdr:row>
      <xdr:rowOff>148590</xdr:rowOff>
    </xdr:from>
    <xdr:to>
      <xdr:col>4</xdr:col>
      <xdr:colOff>314325</xdr:colOff>
      <xdr:row>40</xdr:row>
      <xdr:rowOff>209550</xdr:rowOff>
    </xdr:to>
    <mc:AlternateContent xmlns:mc="http://schemas.openxmlformats.org/markup-compatibility/2006" xmlns:a14="http://schemas.microsoft.com/office/drawing/2010/main">
      <mc:Choice Requires="a14">
        <xdr:graphicFrame macro="">
          <xdr:nvGraphicFramePr>
            <xdr:cNvPr id="40" name="Department 2">
              <a:extLst>
                <a:ext uri="{FF2B5EF4-FFF2-40B4-BE49-F238E27FC236}">
                  <a16:creationId xmlns:a16="http://schemas.microsoft.com/office/drawing/2014/main" id="{33D75EC9-68D5-CB54-D00D-48585D3C54B6}"/>
                </a:ext>
              </a:extLst>
            </xdr:cNvPr>
            <xdr:cNvGraphicFramePr/>
          </xdr:nvGraphicFramePr>
          <xdr:xfrm>
            <a:off x="0" y="0"/>
            <a:ext cx="0" cy="0"/>
          </xdr:xfrm>
          <a:graphic>
            <a:graphicData uri="http://schemas.microsoft.com/office/drawing/2010/slicer">
              <sle:slicer xmlns:sle="http://schemas.microsoft.com/office/drawing/2010/slicer" name="Department 2"/>
            </a:graphicData>
          </a:graphic>
        </xdr:graphicFrame>
      </mc:Choice>
      <mc:Fallback xmlns="">
        <xdr:sp macro="" textlink="">
          <xdr:nvSpPr>
            <xdr:cNvPr id="0" name=""/>
            <xdr:cNvSpPr>
              <a:spLocks noTextEdit="1"/>
            </xdr:cNvSpPr>
          </xdr:nvSpPr>
          <xdr:spPr>
            <a:xfrm>
              <a:off x="200025" y="6549390"/>
              <a:ext cx="2552700" cy="21183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190499</xdr:colOff>
      <xdr:row>42</xdr:row>
      <xdr:rowOff>19050</xdr:rowOff>
    </xdr:from>
    <xdr:to>
      <xdr:col>4</xdr:col>
      <xdr:colOff>295275</xdr:colOff>
      <xdr:row>49</xdr:row>
      <xdr:rowOff>161925</xdr:rowOff>
    </xdr:to>
    <mc:AlternateContent xmlns:mc="http://schemas.openxmlformats.org/markup-compatibility/2006" xmlns:a14="http://schemas.microsoft.com/office/drawing/2010/main">
      <mc:Choice Requires="a14">
        <xdr:graphicFrame macro="">
          <xdr:nvGraphicFramePr>
            <xdr:cNvPr id="41" name="HiredYear">
              <a:extLst>
                <a:ext uri="{FF2B5EF4-FFF2-40B4-BE49-F238E27FC236}">
                  <a16:creationId xmlns:a16="http://schemas.microsoft.com/office/drawing/2014/main" id="{813B0498-63DB-E077-310B-8FC22C0F559A}"/>
                </a:ext>
              </a:extLst>
            </xdr:cNvPr>
            <xdr:cNvGraphicFramePr/>
          </xdr:nvGraphicFramePr>
          <xdr:xfrm>
            <a:off x="0" y="0"/>
            <a:ext cx="0" cy="0"/>
          </xdr:xfrm>
          <a:graphic>
            <a:graphicData uri="http://schemas.microsoft.com/office/drawing/2010/slicer">
              <sle:slicer xmlns:sle="http://schemas.microsoft.com/office/drawing/2010/slicer" name="HiredYear"/>
            </a:graphicData>
          </a:graphic>
        </xdr:graphicFrame>
      </mc:Choice>
      <mc:Fallback xmlns="">
        <xdr:sp macro="" textlink="">
          <xdr:nvSpPr>
            <xdr:cNvPr id="0" name=""/>
            <xdr:cNvSpPr>
              <a:spLocks noTextEdit="1"/>
            </xdr:cNvSpPr>
          </xdr:nvSpPr>
          <xdr:spPr>
            <a:xfrm>
              <a:off x="190499" y="8934450"/>
              <a:ext cx="2543176" cy="17430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247650</xdr:colOff>
      <xdr:row>24</xdr:row>
      <xdr:rowOff>203835</xdr:rowOff>
    </xdr:from>
    <xdr:to>
      <xdr:col>4</xdr:col>
      <xdr:colOff>295275</xdr:colOff>
      <xdr:row>30</xdr:row>
      <xdr:rowOff>38100</xdr:rowOff>
    </xdr:to>
    <mc:AlternateContent xmlns:mc="http://schemas.openxmlformats.org/markup-compatibility/2006" xmlns:a14="http://schemas.microsoft.com/office/drawing/2010/main">
      <mc:Choice Requires="a14">
        <xdr:graphicFrame macro="">
          <xdr:nvGraphicFramePr>
            <xdr:cNvPr id="42" name="ProjectsCompleted">
              <a:extLst>
                <a:ext uri="{FF2B5EF4-FFF2-40B4-BE49-F238E27FC236}">
                  <a16:creationId xmlns:a16="http://schemas.microsoft.com/office/drawing/2014/main" id="{1C58CCF0-2E54-15B0-E15B-C3D56B533636}"/>
                </a:ext>
              </a:extLst>
            </xdr:cNvPr>
            <xdr:cNvGraphicFramePr/>
          </xdr:nvGraphicFramePr>
          <xdr:xfrm>
            <a:off x="0" y="0"/>
            <a:ext cx="0" cy="0"/>
          </xdr:xfrm>
          <a:graphic>
            <a:graphicData uri="http://schemas.microsoft.com/office/drawing/2010/slicer">
              <sle:slicer xmlns:sle="http://schemas.microsoft.com/office/drawing/2010/slicer" name="ProjectsCompleted"/>
            </a:graphicData>
          </a:graphic>
        </xdr:graphicFrame>
      </mc:Choice>
      <mc:Fallback xmlns="">
        <xdr:sp macro="" textlink="">
          <xdr:nvSpPr>
            <xdr:cNvPr id="0" name=""/>
            <xdr:cNvSpPr>
              <a:spLocks noTextEdit="1"/>
            </xdr:cNvSpPr>
          </xdr:nvSpPr>
          <xdr:spPr>
            <a:xfrm>
              <a:off x="247650" y="5004435"/>
              <a:ext cx="2486025" cy="120586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266700</xdr:colOff>
      <xdr:row>18</xdr:row>
      <xdr:rowOff>161926</xdr:rowOff>
    </xdr:from>
    <xdr:to>
      <xdr:col>4</xdr:col>
      <xdr:colOff>323850</xdr:colOff>
      <xdr:row>23</xdr:row>
      <xdr:rowOff>133350</xdr:rowOff>
    </xdr:to>
    <mc:AlternateContent xmlns:mc="http://schemas.openxmlformats.org/markup-compatibility/2006" xmlns:a14="http://schemas.microsoft.com/office/drawing/2010/main">
      <mc:Choice Requires="a14">
        <xdr:graphicFrame macro="">
          <xdr:nvGraphicFramePr>
            <xdr:cNvPr id="43" name="Gender">
              <a:extLst>
                <a:ext uri="{FF2B5EF4-FFF2-40B4-BE49-F238E27FC236}">
                  <a16:creationId xmlns:a16="http://schemas.microsoft.com/office/drawing/2014/main" id="{03FE4AF4-B9D1-1B04-33C3-5410902A2D72}"/>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266700" y="3590926"/>
              <a:ext cx="2495550" cy="11144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352426</xdr:colOff>
      <xdr:row>34</xdr:row>
      <xdr:rowOff>201929</xdr:rowOff>
    </xdr:from>
    <xdr:to>
      <xdr:col>19</xdr:col>
      <xdr:colOff>514350</xdr:colOff>
      <xdr:row>50</xdr:row>
      <xdr:rowOff>123824</xdr:rowOff>
    </xdr:to>
    <xdr:graphicFrame macro="">
      <xdr:nvGraphicFramePr>
        <xdr:cNvPr id="44" name="Chart 43">
          <a:extLst>
            <a:ext uri="{FF2B5EF4-FFF2-40B4-BE49-F238E27FC236}">
              <a16:creationId xmlns:a16="http://schemas.microsoft.com/office/drawing/2014/main" id="{49255716-BAAE-4DFB-8A0B-4A8C4CD595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13</xdr:col>
      <xdr:colOff>123825</xdr:colOff>
      <xdr:row>18</xdr:row>
      <xdr:rowOff>171450</xdr:rowOff>
    </xdr:from>
    <xdr:to>
      <xdr:col>19</xdr:col>
      <xdr:colOff>504826</xdr:colOff>
      <xdr:row>33</xdr:row>
      <xdr:rowOff>146049</xdr:rowOff>
    </xdr:to>
    <xdr:graphicFrame macro="">
      <xdr:nvGraphicFramePr>
        <xdr:cNvPr id="26" name="Chart 25">
          <a:extLst>
            <a:ext uri="{FF2B5EF4-FFF2-40B4-BE49-F238E27FC236}">
              <a16:creationId xmlns:a16="http://schemas.microsoft.com/office/drawing/2014/main" id="{97CD2D35-ABEA-4FCD-A2AF-EFFCC46261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8</xdr:col>
      <xdr:colOff>97156</xdr:colOff>
      <xdr:row>15</xdr:row>
      <xdr:rowOff>142875</xdr:rowOff>
    </xdr:from>
    <xdr:to>
      <xdr:col>17</xdr:col>
      <xdr:colOff>30570</xdr:colOff>
      <xdr:row>18</xdr:row>
      <xdr:rowOff>78921</xdr:rowOff>
    </xdr:to>
    <xdr:pic>
      <xdr:nvPicPr>
        <xdr:cNvPr id="29" name="Picture 28">
          <a:extLst>
            <a:ext uri="{FF2B5EF4-FFF2-40B4-BE49-F238E27FC236}">
              <a16:creationId xmlns:a16="http://schemas.microsoft.com/office/drawing/2014/main" id="{098A7BCF-035A-2E6D-39AB-6352F15E8C72}"/>
            </a:ext>
          </a:extLst>
        </xdr:cNvPr>
        <xdr:cNvPicPr>
          <a:picLocks noChangeAspect="1"/>
        </xdr:cNvPicPr>
      </xdr:nvPicPr>
      <xdr:blipFill>
        <a:blip xmlns:r="http://schemas.openxmlformats.org/officeDocument/2006/relationships" r:embed="rId15"/>
        <a:stretch>
          <a:fillRect/>
        </a:stretch>
      </xdr:blipFill>
      <xdr:spPr>
        <a:xfrm>
          <a:off x="4973956" y="3571875"/>
          <a:ext cx="5419814" cy="62184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23</xdr:col>
      <xdr:colOff>304800</xdr:colOff>
      <xdr:row>0</xdr:row>
      <xdr:rowOff>0</xdr:rowOff>
    </xdr:from>
    <xdr:to>
      <xdr:col>25</xdr:col>
      <xdr:colOff>0</xdr:colOff>
      <xdr:row>9</xdr:row>
      <xdr:rowOff>53340</xdr:rowOff>
    </xdr:to>
    <xdr:graphicFrame macro="">
      <xdr:nvGraphicFramePr>
        <xdr:cNvPr id="2" name="Chart 1">
          <a:extLst>
            <a:ext uri="{FF2B5EF4-FFF2-40B4-BE49-F238E27FC236}">
              <a16:creationId xmlns:a16="http://schemas.microsoft.com/office/drawing/2014/main" id="{DDEEB957-2B9D-C6E2-97A1-187443028A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259080</xdr:colOff>
      <xdr:row>0</xdr:row>
      <xdr:rowOff>201930</xdr:rowOff>
    </xdr:from>
    <xdr:to>
      <xdr:col>14</xdr:col>
      <xdr:colOff>182880</xdr:colOff>
      <xdr:row>12</xdr:row>
      <xdr:rowOff>213360</xdr:rowOff>
    </xdr:to>
    <xdr:graphicFrame macro="">
      <xdr:nvGraphicFramePr>
        <xdr:cNvPr id="4" name="Chart 3">
          <a:extLst>
            <a:ext uri="{FF2B5EF4-FFF2-40B4-BE49-F238E27FC236}">
              <a16:creationId xmlns:a16="http://schemas.microsoft.com/office/drawing/2014/main" id="{07B5DD25-2D88-AC76-1370-6880C3FCE7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419100</xdr:colOff>
      <xdr:row>0</xdr:row>
      <xdr:rowOff>118110</xdr:rowOff>
    </xdr:from>
    <xdr:to>
      <xdr:col>29</xdr:col>
      <xdr:colOff>358140</xdr:colOff>
      <xdr:row>15</xdr:row>
      <xdr:rowOff>118110</xdr:rowOff>
    </xdr:to>
    <xdr:graphicFrame macro="">
      <xdr:nvGraphicFramePr>
        <xdr:cNvPr id="5" name="Chart 4">
          <a:extLst>
            <a:ext uri="{FF2B5EF4-FFF2-40B4-BE49-F238E27FC236}">
              <a16:creationId xmlns:a16="http://schemas.microsoft.com/office/drawing/2014/main" id="{26FC9597-8216-BA2A-0EF8-7F34446020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396240</xdr:colOff>
      <xdr:row>0</xdr:row>
      <xdr:rowOff>148590</xdr:rowOff>
    </xdr:from>
    <xdr:to>
      <xdr:col>20</xdr:col>
      <xdr:colOff>137160</xdr:colOff>
      <xdr:row>12</xdr:row>
      <xdr:rowOff>190500</xdr:rowOff>
    </xdr:to>
    <xdr:graphicFrame macro="">
      <xdr:nvGraphicFramePr>
        <xdr:cNvPr id="11" name="Chart 10">
          <a:extLst>
            <a:ext uri="{FF2B5EF4-FFF2-40B4-BE49-F238E27FC236}">
              <a16:creationId xmlns:a16="http://schemas.microsoft.com/office/drawing/2014/main" id="{A9442965-3487-86E6-F3E8-A58C0286BE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198120</xdr:colOff>
      <xdr:row>14</xdr:row>
      <xdr:rowOff>224790</xdr:rowOff>
    </xdr:from>
    <xdr:to>
      <xdr:col>11</xdr:col>
      <xdr:colOff>822960</xdr:colOff>
      <xdr:row>26</xdr:row>
      <xdr:rowOff>224790</xdr:rowOff>
    </xdr:to>
    <xdr:graphicFrame macro="">
      <xdr:nvGraphicFramePr>
        <xdr:cNvPr id="3" name="Chart 2">
          <a:extLst>
            <a:ext uri="{FF2B5EF4-FFF2-40B4-BE49-F238E27FC236}">
              <a16:creationId xmlns:a16="http://schemas.microsoft.com/office/drawing/2014/main" id="{16FE809C-25B0-EB95-6662-7C93FC66DA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662940</xdr:colOff>
      <xdr:row>34</xdr:row>
      <xdr:rowOff>34290</xdr:rowOff>
    </xdr:from>
    <xdr:to>
      <xdr:col>9</xdr:col>
      <xdr:colOff>1493520</xdr:colOff>
      <xdr:row>44</xdr:row>
      <xdr:rowOff>182880</xdr:rowOff>
    </xdr:to>
    <xdr:graphicFrame macro="">
      <xdr:nvGraphicFramePr>
        <xdr:cNvPr id="2" name="Chart 1">
          <a:extLst>
            <a:ext uri="{FF2B5EF4-FFF2-40B4-BE49-F238E27FC236}">
              <a16:creationId xmlns:a16="http://schemas.microsoft.com/office/drawing/2014/main" id="{13D6BA03-2E99-7C48-34C9-69B6537D64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175260</xdr:colOff>
      <xdr:row>24</xdr:row>
      <xdr:rowOff>41910</xdr:rowOff>
    </xdr:from>
    <xdr:to>
      <xdr:col>5</xdr:col>
      <xdr:colOff>449580</xdr:colOff>
      <xdr:row>35</xdr:row>
      <xdr:rowOff>152400</xdr:rowOff>
    </xdr:to>
    <xdr:graphicFrame macro="">
      <xdr:nvGraphicFramePr>
        <xdr:cNvPr id="9" name="Chart 8">
          <a:extLst>
            <a:ext uri="{FF2B5EF4-FFF2-40B4-BE49-F238E27FC236}">
              <a16:creationId xmlns:a16="http://schemas.microsoft.com/office/drawing/2014/main" id="{A9F6D40A-150B-463F-1041-28F6DE0389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678180</xdr:colOff>
      <xdr:row>53</xdr:row>
      <xdr:rowOff>179070</xdr:rowOff>
    </xdr:from>
    <xdr:to>
      <xdr:col>5</xdr:col>
      <xdr:colOff>160020</xdr:colOff>
      <xdr:row>65</xdr:row>
      <xdr:rowOff>179070</xdr:rowOff>
    </xdr:to>
    <xdr:graphicFrame macro="">
      <xdr:nvGraphicFramePr>
        <xdr:cNvPr id="7" name="Chart 6">
          <a:extLst>
            <a:ext uri="{FF2B5EF4-FFF2-40B4-BE49-F238E27FC236}">
              <a16:creationId xmlns:a16="http://schemas.microsoft.com/office/drawing/2014/main" id="{ABFCC172-1E39-4709-3465-25FD320601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xdr:col>
      <xdr:colOff>365760</xdr:colOff>
      <xdr:row>66</xdr:row>
      <xdr:rowOff>34290</xdr:rowOff>
    </xdr:from>
    <xdr:to>
      <xdr:col>15</xdr:col>
      <xdr:colOff>502920</xdr:colOff>
      <xdr:row>78</xdr:row>
      <xdr:rowOff>34290</xdr:rowOff>
    </xdr:to>
    <xdr:graphicFrame macro="">
      <xdr:nvGraphicFramePr>
        <xdr:cNvPr id="8" name="Chart 7">
          <a:extLst>
            <a:ext uri="{FF2B5EF4-FFF2-40B4-BE49-F238E27FC236}">
              <a16:creationId xmlns:a16="http://schemas.microsoft.com/office/drawing/2014/main" id="{B0C01240-F764-E262-CA57-315353DF42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Admin\Documents\excel%20steve\Excel%20Premium%20Assignmnet1.xlsx" TargetMode="External"/><Relationship Id="rId1" Type="http://schemas.openxmlformats.org/officeDocument/2006/relationships/externalLinkPath" Target="file:///C:\Users\Admin\Documents\excel%20steve\Excel%20Premium%20Assignmnet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Employee Performance Data"/>
      <sheetName val="Cleaned Table"/>
      <sheetName val="Sheet4"/>
      <sheetName val="Dashboard"/>
      <sheetName val="Questions"/>
      <sheetName val="Employee Performance Data Table"/>
      <sheetName val="Excel Premium Assignmnet1"/>
    </sheetNames>
    <sheetDataSet>
      <sheetData sheetId="0" refreshError="1"/>
      <sheetData sheetId="1"/>
      <sheetData sheetId="2" refreshError="1"/>
      <sheetData sheetId="3" refreshError="1"/>
      <sheetData sheetId="4" refreshError="1"/>
      <sheetData sheetId="5" refreshError="1"/>
      <sheetData sheetId="6"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605.553191435189" createdVersion="8" refreshedVersion="8" minRefreshableVersion="3" recordCount="100" xr:uid="{ED2C88F6-1CB9-4549-A48B-150E1C6818A4}">
  <cacheSource type="worksheet">
    <worksheetSource name="Table2"/>
  </cacheSource>
  <cacheFields count="15">
    <cacheField name="EmployeeID" numFmtId="0">
      <sharedItems/>
    </cacheField>
    <cacheField name="FirstName" numFmtId="0">
      <sharedItems/>
    </cacheField>
    <cacheField name="LastName" numFmtId="0">
      <sharedItems/>
    </cacheField>
    <cacheField name="FullName" numFmtId="0">
      <sharedItems/>
    </cacheField>
    <cacheField name="Gender" numFmtId="0">
      <sharedItems count="2">
        <s v="Male"/>
        <s v="Female"/>
      </sharedItems>
    </cacheField>
    <cacheField name="Department" numFmtId="0">
      <sharedItems count="5">
        <s v="IT"/>
        <s v="HR"/>
        <s v="Marketing"/>
        <s v="Finance"/>
        <s v="Sales"/>
      </sharedItems>
    </cacheField>
    <cacheField name="HireDate" numFmtId="14">
      <sharedItems containsSemiMixedTypes="0" containsNonDate="0" containsDate="1" containsString="0" minDate="2019-02-25T00:00:00" maxDate="2022-11-29T00:00:00" count="98">
        <d v="2021-02-15T00:00:00"/>
        <d v="2022-05-10T00:00:00"/>
        <d v="2020-07-20T00:00:00"/>
        <d v="2019-12-05T00:00:00"/>
        <d v="2021-01-18T00:00:00"/>
        <d v="2020-08-22T00:00:00"/>
        <d v="2021-03-14T00:00:00"/>
        <d v="2022-06-11T00:00:00"/>
        <d v="2019-10-01T00:00:00"/>
        <d v="2020-01-07T00:00:00"/>
        <d v="2020-01-15T00:00:00"/>
        <d v="2021-02-22T00:00:00"/>
        <d v="2019-08-10T00:00:00"/>
        <d v="2020-03-05T00:00:00"/>
        <d v="2021-07-19T00:00:00"/>
        <d v="2022-09-29T00:00:00"/>
        <d v="2019-06-21T00:00:00"/>
        <d v="2021-05-08T00:00:00"/>
        <d v="2020-11-02T00:00:00"/>
        <d v="2022-03-17T00:00:00"/>
        <d v="2021-09-14T00:00:00"/>
        <d v="2020-04-02T00:00:00"/>
        <d v="2022-11-28T00:00:00"/>
        <d v="2020-06-17T00:00:00"/>
        <d v="2019-10-05T00:00:00"/>
        <d v="2021-08-25T00:00:00"/>
        <d v="2020-03-13T00:00:00"/>
        <d v="2019-07-08T00:00:00"/>
        <d v="2021-12-01T00:00:00"/>
        <d v="2020-05-22T00:00:00"/>
        <d v="2022-09-10T00:00:00"/>
        <d v="2020-08-30T00:00:00"/>
        <d v="2019-11-11T00:00:00"/>
        <d v="2021-05-03T00:00:00"/>
        <d v="2020-02-20T00:00:00"/>
        <d v="2022-01-15T00:00:00"/>
        <d v="2019-03-28T00:00:00"/>
        <d v="2021-07-16T00:00:00"/>
        <d v="2020-10-09T00:00:00"/>
        <d v="2022-06-18T00:00:00"/>
        <d v="2020-04-13T00:00:00"/>
        <d v="2021-01-07T00:00:00"/>
        <d v="2019-09-19T00:00:00"/>
        <d v="2022-07-15T00:00:00"/>
        <d v="2020-02-29T00:00:00"/>
        <d v="2021-10-20T00:00:00"/>
        <d v="2019-05-10T00:00:00"/>
        <d v="2020-06-01T00:00:00"/>
        <d v="2021-12-12T00:00:00"/>
        <d v="2022-03-18T00:00:00"/>
        <d v="2019-08-22T00:00:00"/>
        <d v="2021-09-09T00:00:00"/>
        <d v="2020-12-04T00:00:00"/>
        <d v="2021-02-14T00:00:00"/>
        <d v="2022-04-05T00:00:00"/>
        <d v="2020-11-22T00:00:00"/>
        <d v="2021-08-08T00:00:00"/>
        <d v="2022-05-30T00:00:00"/>
        <d v="2019-07-12T00:00:00"/>
        <d v="2021-06-17T00:00:00"/>
        <d v="2020-09-29T00:00:00"/>
        <d v="2021-03-25T00:00:00"/>
        <d v="2022-02-18T00:00:00"/>
        <d v="2020-05-08T00:00:00"/>
        <d v="2021-12-25T00:00:00"/>
        <d v="2022-10-14T00:00:00"/>
        <d v="2020-11-03T00:00:00"/>
        <d v="2021-09-06T00:00:00"/>
        <d v="2020-04-18T00:00:00"/>
        <d v="2022-01-11T00:00:00"/>
        <d v="2021-03-23T00:00:00"/>
        <d v="2020-08-14T00:00:00"/>
        <d v="2022-06-30T00:00:00"/>
        <d v="2019-10-25T00:00:00"/>
        <d v="2021-11-12T00:00:00"/>
        <d v="2020-04-30T00:00:00"/>
        <d v="2021-09-01T00:00:00"/>
        <d v="2022-02-11T00:00:00"/>
        <d v="2019-07-20T00:00:00"/>
        <d v="2021-04-08T00:00:00"/>
        <d v="2020-12-19T00:00:00"/>
        <d v="2021-10-23T00:00:00"/>
        <d v="2020-07-17T00:00:00"/>
        <d v="2022-03-28T00:00:00"/>
        <d v="2019-09-03T00:00:00"/>
        <d v="2021-02-16T00:00:00"/>
        <d v="2020-06-09T00:00:00"/>
        <d v="2022-11-25T00:00:00"/>
        <d v="2021-07-08T00:00:00"/>
        <d v="2019-11-04T00:00:00"/>
        <d v="2021-03-01T00:00:00"/>
        <d v="2020-05-29T00:00:00"/>
        <d v="2022-04-14T00:00:00"/>
        <d v="2019-02-25T00:00:00"/>
        <d v="2021-11-18T00:00:00"/>
        <d v="2020-12-06T00:00:00"/>
        <d v="2022-07-30T00:00:00"/>
        <d v="2021-06-13T00:00:00"/>
      </sharedItems>
      <fieldGroup par="14"/>
    </cacheField>
    <cacheField name="HiredYear" numFmtId="0">
      <sharedItems containsSemiMixedTypes="0" containsString="0" containsNumber="1" containsInteger="1" minValue="2019" maxValue="2022" count="4">
        <n v="2021"/>
        <n v="2022"/>
        <n v="2020"/>
        <n v="2019"/>
      </sharedItems>
    </cacheField>
    <cacheField name="PerformanceScore" numFmtId="0">
      <sharedItems containsSemiMixedTypes="0" containsString="0" containsNumber="1" containsInteger="1" minValue="75" maxValue="93"/>
    </cacheField>
    <cacheField name="ProjectsCompleted" numFmtId="0">
      <sharedItems containsSemiMixedTypes="0" containsString="0" containsNumber="1" containsInteger="1" minValue="6" maxValue="15" count="10">
        <n v="12"/>
        <n v="8"/>
        <n v="10"/>
        <n v="15"/>
        <n v="14"/>
        <n v="9"/>
        <n v="11"/>
        <n v="7"/>
        <n v="13"/>
        <n v="6"/>
      </sharedItems>
    </cacheField>
    <cacheField name="BonusAmount" numFmtId="44">
      <sharedItems containsSemiMixedTypes="0" containsString="0" containsNumber="1" containsInteger="1" minValue="1100" maxValue="2000"/>
    </cacheField>
    <cacheField name="AttendanceRate (%)" numFmtId="0">
      <sharedItems containsSemiMixedTypes="0" containsString="0" containsNumber="1" containsInteger="1" minValue="88" maxValue="99"/>
    </cacheField>
    <cacheField name="Months (HireDate)" numFmtId="0" databaseField="0">
      <fieldGroup base="6">
        <rangePr groupBy="months" startDate="2019-02-25T00:00:00" endDate="2022-11-29T00:00:00"/>
        <groupItems count="14">
          <s v="&lt;2/25/2019"/>
          <s v="Jan"/>
          <s v="Feb"/>
          <s v="Mar"/>
          <s v="Apr"/>
          <s v="May"/>
          <s v="Jun"/>
          <s v="Jul"/>
          <s v="Aug"/>
          <s v="Sep"/>
          <s v="Oct"/>
          <s v="Nov"/>
          <s v="Dec"/>
          <s v="&gt;11/29/2022"/>
        </groupItems>
      </fieldGroup>
    </cacheField>
    <cacheField name="Quarters (HireDate)" numFmtId="0" databaseField="0">
      <fieldGroup base="6">
        <rangePr groupBy="quarters" startDate="2019-02-25T00:00:00" endDate="2022-11-29T00:00:00"/>
        <groupItems count="6">
          <s v="&lt;2/25/2019"/>
          <s v="Qtr1"/>
          <s v="Qtr2"/>
          <s v="Qtr3"/>
          <s v="Qtr4"/>
          <s v="&gt;11/29/2022"/>
        </groupItems>
      </fieldGroup>
    </cacheField>
    <cacheField name="Years (HireDate)" numFmtId="0" databaseField="0">
      <fieldGroup base="6">
        <rangePr groupBy="years" startDate="2019-02-25T00:00:00" endDate="2022-11-29T00:00:00"/>
        <groupItems count="6">
          <s v="&lt;2/25/2019"/>
          <s v="2019"/>
          <s v="2020"/>
          <s v="2021"/>
          <s v="2022"/>
          <s v="&gt;11/29/2022"/>
        </groupItems>
      </fieldGroup>
    </cacheField>
  </cacheFields>
  <extLst>
    <ext xmlns:x14="http://schemas.microsoft.com/office/spreadsheetml/2009/9/main" uri="{725AE2AE-9491-48be-B2B4-4EB974FC3084}">
      <x14:pivotCacheDefinition pivotCacheId="69272415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s v="E1001"/>
    <s v="John"/>
    <s v="Smith"/>
    <s v="John Smith"/>
    <x v="0"/>
    <x v="0"/>
    <x v="0"/>
    <x v="0"/>
    <n v="85"/>
    <x v="0"/>
    <n v="1500"/>
    <n v="95"/>
  </r>
  <r>
    <s v="E1002"/>
    <s v="Emily"/>
    <s v="Johnson"/>
    <s v="Emily Johnson"/>
    <x v="1"/>
    <x v="1"/>
    <x v="1"/>
    <x v="1"/>
    <n v="90"/>
    <x v="1"/>
    <n v="1800"/>
    <n v="98"/>
  </r>
  <r>
    <s v="E1003"/>
    <s v="David"/>
    <s v="Lee"/>
    <s v="David Lee"/>
    <x v="0"/>
    <x v="2"/>
    <x v="2"/>
    <x v="2"/>
    <n v="75"/>
    <x v="2"/>
    <n v="1200"/>
    <n v="92"/>
  </r>
  <r>
    <s v="E1004"/>
    <s v="Sarah"/>
    <s v="Brown"/>
    <s v="Sarah Brown"/>
    <x v="1"/>
    <x v="0"/>
    <x v="3"/>
    <x v="3"/>
    <n v="88"/>
    <x v="3"/>
    <n v="2000"/>
    <n v="97"/>
  </r>
  <r>
    <s v="E1005"/>
    <s v="Daniel"/>
    <s v="Williams"/>
    <s v="Daniel Williams"/>
    <x v="0"/>
    <x v="3"/>
    <x v="4"/>
    <x v="0"/>
    <n v="93"/>
    <x v="4"/>
    <n v="1750"/>
    <n v="99"/>
  </r>
  <r>
    <s v="E1006"/>
    <s v="Anna"/>
    <s v="Garcia"/>
    <s v="Anna Garcia"/>
    <x v="1"/>
    <x v="1"/>
    <x v="5"/>
    <x v="2"/>
    <n v="80"/>
    <x v="5"/>
    <n v="1300"/>
    <n v="94"/>
  </r>
  <r>
    <s v="E1007"/>
    <s v="Michael"/>
    <s v="Martinez"/>
    <s v="Michael Martinez"/>
    <x v="0"/>
    <x v="4"/>
    <x v="6"/>
    <x v="0"/>
    <n v="82"/>
    <x v="6"/>
    <n v="1400"/>
    <n v="96"/>
  </r>
  <r>
    <s v="E1008"/>
    <s v="Chloe"/>
    <s v="Miller"/>
    <s v="Chloe Miller"/>
    <x v="1"/>
    <x v="0"/>
    <x v="7"/>
    <x v="1"/>
    <n v="91"/>
    <x v="7"/>
    <n v="1600"/>
    <n v="99"/>
  </r>
  <r>
    <s v="E1009"/>
    <s v="Chris"/>
    <s v="Wilson"/>
    <s v="Chris Wilson"/>
    <x v="0"/>
    <x v="2"/>
    <x v="8"/>
    <x v="3"/>
    <n v="89"/>
    <x v="8"/>
    <n v="1550"/>
    <n v="98"/>
  </r>
  <r>
    <s v="E1010"/>
    <s v="Laura"/>
    <s v="Moore"/>
    <s v="Laura Moore"/>
    <x v="1"/>
    <x v="3"/>
    <x v="9"/>
    <x v="2"/>
    <n v="76"/>
    <x v="2"/>
    <n v="1100"/>
    <n v="91"/>
  </r>
  <r>
    <s v="E1111"/>
    <s v="Charlotte"/>
    <s v="Scott"/>
    <s v="Charlotte Scott"/>
    <x v="1"/>
    <x v="0"/>
    <x v="10"/>
    <x v="2"/>
    <n v="84"/>
    <x v="6"/>
    <n v="1500"/>
    <n v="94"/>
  </r>
  <r>
    <s v="E1112"/>
    <s v="Logan"/>
    <s v="Cooper"/>
    <s v="Logan Cooper"/>
    <x v="0"/>
    <x v="3"/>
    <x v="11"/>
    <x v="0"/>
    <n v="89"/>
    <x v="4"/>
    <n v="1750"/>
    <n v="97"/>
  </r>
  <r>
    <s v="E1113"/>
    <s v="Mia"/>
    <s v="Mitchell"/>
    <s v="Mia Mitchell"/>
    <x v="1"/>
    <x v="2"/>
    <x v="12"/>
    <x v="3"/>
    <n v="78"/>
    <x v="1"/>
    <n v="1250"/>
    <n v="90"/>
  </r>
  <r>
    <s v="E1114"/>
    <s v="Ethan"/>
    <s v="Nelson"/>
    <s v="Ethan Nelson"/>
    <x v="0"/>
    <x v="1"/>
    <x v="13"/>
    <x v="2"/>
    <n v="85"/>
    <x v="2"/>
    <n v="1450"/>
    <n v="93"/>
  </r>
  <r>
    <s v="E1115"/>
    <s v="Emily"/>
    <s v="Brooks"/>
    <s v="Emily Brooks"/>
    <x v="1"/>
    <x v="4"/>
    <x v="14"/>
    <x v="0"/>
    <n v="88"/>
    <x v="0"/>
    <n v="1600"/>
    <n v="96"/>
  </r>
  <r>
    <s v="E1116"/>
    <s v="James"/>
    <s v="Foster"/>
    <s v="James Foster"/>
    <x v="0"/>
    <x v="0"/>
    <x v="15"/>
    <x v="1"/>
    <n v="92"/>
    <x v="8"/>
    <n v="1800"/>
    <n v="98"/>
  </r>
  <r>
    <s v="E1117"/>
    <s v="Victoria"/>
    <s v="Rivera"/>
    <s v="Victoria Rivera"/>
    <x v="1"/>
    <x v="1"/>
    <x v="16"/>
    <x v="3"/>
    <n v="81"/>
    <x v="5"/>
    <n v="1400"/>
    <n v="91"/>
  </r>
  <r>
    <s v="E1118"/>
    <s v="Jackson"/>
    <s v="Diaz"/>
    <s v="Jackson Diaz"/>
    <x v="0"/>
    <x v="2"/>
    <x v="17"/>
    <x v="0"/>
    <n v="86"/>
    <x v="6"/>
    <n v="1550"/>
    <n v="94"/>
  </r>
  <r>
    <s v="E1119"/>
    <s v="Olivia"/>
    <s v="Morris"/>
    <s v="Olivia Morris"/>
    <x v="1"/>
    <x v="4"/>
    <x v="18"/>
    <x v="2"/>
    <n v="83"/>
    <x v="2"/>
    <n v="1450"/>
    <n v="92"/>
  </r>
  <r>
    <s v="E1120"/>
    <s v="William"/>
    <s v="Parker"/>
    <s v="William Parker"/>
    <x v="0"/>
    <x v="0"/>
    <x v="19"/>
    <x v="1"/>
    <n v="90"/>
    <x v="0"/>
    <n v="1700"/>
    <n v="97"/>
  </r>
  <r>
    <s v="E1121"/>
    <s v="Kevin"/>
    <s v="Adams"/>
    <s v="Kevin Adams"/>
    <x v="0"/>
    <x v="0"/>
    <x v="20"/>
    <x v="0"/>
    <n v="83"/>
    <x v="5"/>
    <n v="1450"/>
    <n v="93"/>
  </r>
  <r>
    <s v="E1122"/>
    <s v="Olivia"/>
    <s v="Scott"/>
    <s v="Olivia Scott"/>
    <x v="1"/>
    <x v="1"/>
    <x v="21"/>
    <x v="2"/>
    <n v="88"/>
    <x v="6"/>
    <n v="1650"/>
    <n v="96"/>
  </r>
  <r>
    <s v="E1123"/>
    <s v="Adam"/>
    <s v="Rodriguez"/>
    <s v="Adam Rodriguez"/>
    <x v="0"/>
    <x v="2"/>
    <x v="22"/>
    <x v="1"/>
    <n v="77"/>
    <x v="9"/>
    <n v="1100"/>
    <n v="89"/>
  </r>
  <r>
    <s v="E1124"/>
    <s v="Lily"/>
    <s v="Harris"/>
    <s v="Lily Harris"/>
    <x v="1"/>
    <x v="0"/>
    <x v="23"/>
    <x v="2"/>
    <n v="85"/>
    <x v="0"/>
    <n v="1500"/>
    <n v="95"/>
  </r>
  <r>
    <s v="E1125"/>
    <s v="Ethan"/>
    <s v="White"/>
    <s v="Ethan White"/>
    <x v="0"/>
    <x v="3"/>
    <x v="24"/>
    <x v="3"/>
    <n v="90"/>
    <x v="4"/>
    <n v="1800"/>
    <n v="98"/>
  </r>
  <r>
    <s v="E1126"/>
    <s v="Isabella"/>
    <s v="King"/>
    <s v="Isabella King"/>
    <x v="1"/>
    <x v="4"/>
    <x v="25"/>
    <x v="0"/>
    <n v="81"/>
    <x v="1"/>
    <n v="1350"/>
    <n v="92"/>
  </r>
  <r>
    <s v="E1127"/>
    <s v="Jason"/>
    <s v="Lewis"/>
    <s v="Jason Lewis"/>
    <x v="0"/>
    <x v="0"/>
    <x v="26"/>
    <x v="2"/>
    <n v="87"/>
    <x v="2"/>
    <n v="1550"/>
    <n v="97"/>
  </r>
  <r>
    <s v="E1128"/>
    <s v="Emma"/>
    <s v="Anderson"/>
    <s v="Emma Anderson"/>
    <x v="1"/>
    <x v="1"/>
    <x v="27"/>
    <x v="3"/>
    <n v="84"/>
    <x v="8"/>
    <n v="1600"/>
    <n v="96"/>
  </r>
  <r>
    <s v="E1129"/>
    <s v="Jack"/>
    <s v="Walker"/>
    <s v="Jack Walker"/>
    <x v="0"/>
    <x v="4"/>
    <x v="28"/>
    <x v="0"/>
    <n v="79"/>
    <x v="5"/>
    <n v="1300"/>
    <n v="91"/>
  </r>
  <r>
    <s v="E1130"/>
    <s v="Amelia"/>
    <s v="Campbell"/>
    <s v="Amelia Campbell"/>
    <x v="1"/>
    <x v="2"/>
    <x v="29"/>
    <x v="2"/>
    <n v="91"/>
    <x v="6"/>
    <n v="1700"/>
    <n v="99"/>
  </r>
  <r>
    <s v="E1131"/>
    <s v="Ryan"/>
    <s v="Morris"/>
    <s v="Ryan Morris"/>
    <x v="0"/>
    <x v="0"/>
    <x v="30"/>
    <x v="1"/>
    <n v="75"/>
    <x v="7"/>
    <n v="1200"/>
    <n v="88"/>
  </r>
  <r>
    <s v="E1132"/>
    <s v="Sarah"/>
    <s v="Martinez"/>
    <s v="Sarah Martinez"/>
    <x v="1"/>
    <x v="3"/>
    <x v="31"/>
    <x v="2"/>
    <n v="92"/>
    <x v="3"/>
    <n v="1850"/>
    <n v="99"/>
  </r>
  <r>
    <s v="E1133"/>
    <s v="Evan"/>
    <s v="Thompson"/>
    <s v="Evan Thompson"/>
    <x v="0"/>
    <x v="4"/>
    <x v="32"/>
    <x v="3"/>
    <n v="80"/>
    <x v="2"/>
    <n v="1400"/>
    <n v="92"/>
  </r>
  <r>
    <s v="E1134"/>
    <s v="Zoe"/>
    <s v="Young"/>
    <s v="Zoe Young"/>
    <x v="1"/>
    <x v="1"/>
    <x v="33"/>
    <x v="0"/>
    <n v="86"/>
    <x v="0"/>
    <n v="1500"/>
    <n v="94"/>
  </r>
  <r>
    <s v="E1135"/>
    <s v="Liam"/>
    <s v="Garcia"/>
    <s v="Liam Garcia"/>
    <x v="0"/>
    <x v="2"/>
    <x v="34"/>
    <x v="2"/>
    <n v="88"/>
    <x v="6"/>
    <n v="1650"/>
    <n v="96"/>
  </r>
  <r>
    <s v="E1136"/>
    <s v="Ava"/>
    <s v="Nelson"/>
    <s v="Ava Nelson"/>
    <x v="1"/>
    <x v="0"/>
    <x v="35"/>
    <x v="1"/>
    <n v="82"/>
    <x v="1"/>
    <n v="1350"/>
    <n v="95"/>
  </r>
  <r>
    <s v="E1137"/>
    <s v="Noah"/>
    <s v="Lee"/>
    <s v="Noah Lee"/>
    <x v="0"/>
    <x v="3"/>
    <x v="36"/>
    <x v="3"/>
    <n v="89"/>
    <x v="8"/>
    <n v="1750"/>
    <n v="97"/>
  </r>
  <r>
    <s v="E1138"/>
    <s v="Mia"/>
    <s v="Carter"/>
    <s v="Mia Carter"/>
    <x v="1"/>
    <x v="4"/>
    <x v="37"/>
    <x v="0"/>
    <n v="78"/>
    <x v="5"/>
    <n v="1300"/>
    <n v="91"/>
  </r>
  <r>
    <s v="E1139"/>
    <s v="Lucas"/>
    <s v="Mitchell"/>
    <s v="Lucas Mitchell"/>
    <x v="0"/>
    <x v="1"/>
    <x v="38"/>
    <x v="2"/>
    <n v="84"/>
    <x v="2"/>
    <n v="1550"/>
    <n v="93"/>
  </r>
  <r>
    <s v="E1140"/>
    <s v="Grace"/>
    <s v="Perez"/>
    <s v="Grace Perez"/>
    <x v="1"/>
    <x v="0"/>
    <x v="39"/>
    <x v="1"/>
    <n v="87"/>
    <x v="0"/>
    <n v="1600"/>
    <n v="98"/>
  </r>
  <r>
    <s v="E1141"/>
    <s v="Henry"/>
    <s v="Richardson"/>
    <s v="Henry Richardson"/>
    <x v="0"/>
    <x v="0"/>
    <x v="40"/>
    <x v="2"/>
    <n v="83"/>
    <x v="5"/>
    <n v="1450"/>
    <n v="93"/>
  </r>
  <r>
    <s v="E1142"/>
    <s v="Sophia"/>
    <s v="Torres"/>
    <s v="Sophia Torres"/>
    <x v="1"/>
    <x v="1"/>
    <x v="41"/>
    <x v="0"/>
    <n v="88"/>
    <x v="2"/>
    <n v="1500"/>
    <n v="95"/>
  </r>
  <r>
    <s v="E1143"/>
    <s v="William"/>
    <s v="Perez"/>
    <s v="William Perez"/>
    <x v="0"/>
    <x v="2"/>
    <x v="42"/>
    <x v="3"/>
    <n v="78"/>
    <x v="1"/>
    <n v="1200"/>
    <n v="89"/>
  </r>
  <r>
    <s v="E1144"/>
    <s v="Emily"/>
    <s v="Rivera"/>
    <s v="Emily Rivera"/>
    <x v="1"/>
    <x v="4"/>
    <x v="43"/>
    <x v="1"/>
    <n v="92"/>
    <x v="0"/>
    <n v="1650"/>
    <n v="98"/>
  </r>
  <r>
    <s v="E1145"/>
    <s v="Jackson"/>
    <s v="Clark"/>
    <s v="Jackson Clark"/>
    <x v="0"/>
    <x v="3"/>
    <x v="44"/>
    <x v="2"/>
    <n v="85"/>
    <x v="6"/>
    <n v="1550"/>
    <n v="94"/>
  </r>
  <r>
    <s v="E1146"/>
    <s v="Scarlett"/>
    <s v="Bailey"/>
    <s v="Scarlett Bailey"/>
    <x v="1"/>
    <x v="0"/>
    <x v="45"/>
    <x v="0"/>
    <n v="90"/>
    <x v="4"/>
    <n v="1800"/>
    <n v="97"/>
  </r>
  <r>
    <s v="E1147"/>
    <s v="Benjamin"/>
    <s v="Morris"/>
    <s v="Benjamin Morris"/>
    <x v="0"/>
    <x v="1"/>
    <x v="46"/>
    <x v="3"/>
    <n v="86"/>
    <x v="5"/>
    <n v="1500"/>
    <n v="92"/>
  </r>
  <r>
    <s v="E1148"/>
    <s v="Victoria"/>
    <s v="Martinez"/>
    <s v="Victoria Martinez"/>
    <x v="1"/>
    <x v="2"/>
    <x v="47"/>
    <x v="2"/>
    <n v="79"/>
    <x v="7"/>
    <n v="1300"/>
    <n v="90"/>
  </r>
  <r>
    <s v="E1149"/>
    <s v="Mason"/>
    <s v="Roberts"/>
    <s v="Mason Roberts"/>
    <x v="0"/>
    <x v="4"/>
    <x v="48"/>
    <x v="0"/>
    <n v="82"/>
    <x v="2"/>
    <n v="1450"/>
    <n v="95"/>
  </r>
  <r>
    <s v="E1150"/>
    <s v="Ava"/>
    <s v="Nelson"/>
    <s v="Ava Nelson"/>
    <x v="1"/>
    <x v="0"/>
    <x v="49"/>
    <x v="1"/>
    <n v="88"/>
    <x v="6"/>
    <n v="1650"/>
    <n v="98"/>
  </r>
  <r>
    <s v="E1151"/>
    <s v="Jacob"/>
    <s v="Foster"/>
    <s v="Jacob Foster"/>
    <x v="0"/>
    <x v="3"/>
    <x v="50"/>
    <x v="3"/>
    <n v="89"/>
    <x v="8"/>
    <n v="1750"/>
    <n v="96"/>
  </r>
  <r>
    <s v="E1152"/>
    <s v="Mia"/>
    <s v="Jenkins"/>
    <s v="Mia Jenkins"/>
    <x v="1"/>
    <x v="1"/>
    <x v="51"/>
    <x v="0"/>
    <n v="91"/>
    <x v="2"/>
    <n v="1600"/>
    <n v="97"/>
  </r>
  <r>
    <s v="E1153"/>
    <s v="Logan"/>
    <s v="Russell"/>
    <s v="Logan Russell"/>
    <x v="0"/>
    <x v="2"/>
    <x v="52"/>
    <x v="2"/>
    <n v="83"/>
    <x v="1"/>
    <n v="1450"/>
    <n v="92"/>
  </r>
  <r>
    <s v="E1154"/>
    <s v="Ella"/>
    <s v="Ward"/>
    <s v="Ella Ward"/>
    <x v="1"/>
    <x v="4"/>
    <x v="53"/>
    <x v="0"/>
    <n v="80"/>
    <x v="5"/>
    <n v="1400"/>
    <n v="93"/>
  </r>
  <r>
    <s v="E1155"/>
    <s v="Samuel"/>
    <s v="Gray"/>
    <s v="Samuel Gray"/>
    <x v="0"/>
    <x v="0"/>
    <x v="54"/>
    <x v="1"/>
    <n v="86"/>
    <x v="0"/>
    <n v="1550"/>
    <n v="95"/>
  </r>
  <r>
    <s v="E1156"/>
    <s v="Grace"/>
    <s v="Long"/>
    <s v="Grace Long"/>
    <x v="1"/>
    <x v="3"/>
    <x v="55"/>
    <x v="2"/>
    <n v="84"/>
    <x v="2"/>
    <n v="1500"/>
    <n v="94"/>
  </r>
  <r>
    <s v="E1157"/>
    <s v="Ethan"/>
    <s v="Patterson"/>
    <s v="Ethan Patterson"/>
    <x v="0"/>
    <x v="1"/>
    <x v="56"/>
    <x v="0"/>
    <n v="87"/>
    <x v="6"/>
    <n v="1600"/>
    <n v="96"/>
  </r>
  <r>
    <s v="E1158"/>
    <s v="Charlotte"/>
    <s v="Hughes"/>
    <s v="Charlotte Hughes"/>
    <x v="1"/>
    <x v="2"/>
    <x v="57"/>
    <x v="1"/>
    <n v="90"/>
    <x v="8"/>
    <n v="1750"/>
    <n v="97"/>
  </r>
  <r>
    <s v="E1159"/>
    <s v="James"/>
    <s v="Bryant"/>
    <s v="James Bryant"/>
    <x v="0"/>
    <x v="4"/>
    <x v="58"/>
    <x v="3"/>
    <n v="75"/>
    <x v="1"/>
    <n v="1200"/>
    <n v="88"/>
  </r>
  <r>
    <s v="E1160"/>
    <s v="Isabella"/>
    <s v="Scott"/>
    <s v="Isabella Scott"/>
    <x v="1"/>
    <x v="0"/>
    <x v="59"/>
    <x v="0"/>
    <n v="92"/>
    <x v="4"/>
    <n v="1800"/>
    <n v="99"/>
  </r>
  <r>
    <s v="E1161"/>
    <s v="Alexander"/>
    <s v="Torres"/>
    <s v="Alexander Torres"/>
    <x v="0"/>
    <x v="1"/>
    <x v="60"/>
    <x v="2"/>
    <n v="80"/>
    <x v="2"/>
    <n v="1450"/>
    <n v="91"/>
  </r>
  <r>
    <s v="E1162"/>
    <s v="Harper"/>
    <s v="Ramirez"/>
    <s v="Harper Ramirez"/>
    <x v="1"/>
    <x v="2"/>
    <x v="61"/>
    <x v="0"/>
    <n v="88"/>
    <x v="0"/>
    <n v="1650"/>
    <n v="96"/>
  </r>
  <r>
    <s v="E1163"/>
    <s v="Jack"/>
    <s v="Flores"/>
    <s v="Jack Flores"/>
    <x v="0"/>
    <x v="4"/>
    <x v="62"/>
    <x v="1"/>
    <n v="83"/>
    <x v="5"/>
    <n v="1500"/>
    <n v="94"/>
  </r>
  <r>
    <s v="E1164"/>
    <s v="Amelia"/>
    <s v="Powell"/>
    <s v="Amelia Powell"/>
    <x v="1"/>
    <x v="3"/>
    <x v="63"/>
    <x v="2"/>
    <n v="89"/>
    <x v="3"/>
    <n v="1800"/>
    <n v="98"/>
  </r>
  <r>
    <s v="E1165"/>
    <s v="Lucas"/>
    <s v="Stewart"/>
    <s v="Lucas Stewart"/>
    <x v="0"/>
    <x v="0"/>
    <x v="64"/>
    <x v="0"/>
    <n v="77"/>
    <x v="7"/>
    <n v="1200"/>
    <n v="90"/>
  </r>
  <r>
    <s v="E1166"/>
    <s v="Evelyn"/>
    <s v="Sanders"/>
    <s v="Evelyn Sanders"/>
    <x v="1"/>
    <x v="1"/>
    <x v="65"/>
    <x v="1"/>
    <n v="84"/>
    <x v="2"/>
    <n v="1500"/>
    <n v="93"/>
  </r>
  <r>
    <s v="E1167"/>
    <s v="Daniel"/>
    <s v="Rivera"/>
    <s v="Daniel Rivera"/>
    <x v="0"/>
    <x v="2"/>
    <x v="66"/>
    <x v="2"/>
    <n v="81"/>
    <x v="1"/>
    <n v="1300"/>
    <n v="89"/>
  </r>
  <r>
    <s v="E1168"/>
    <s v="Victoria"/>
    <s v="Jenkins"/>
    <s v="Victoria Jenkins"/>
    <x v="1"/>
    <x v="4"/>
    <x v="67"/>
    <x v="0"/>
    <n v="90"/>
    <x v="6"/>
    <n v="1700"/>
    <n v="97"/>
  </r>
  <r>
    <s v="E1169"/>
    <s v="Joshua"/>
    <s v="Foster"/>
    <s v="Joshua Foster"/>
    <x v="0"/>
    <x v="0"/>
    <x v="68"/>
    <x v="2"/>
    <n v="85"/>
    <x v="0"/>
    <n v="1600"/>
    <n v="95"/>
  </r>
  <r>
    <s v="E1170"/>
    <s v="Zoey"/>
    <s v="Mitchell"/>
    <s v="Zoey Mitchell"/>
    <x v="1"/>
    <x v="3"/>
    <x v="69"/>
    <x v="1"/>
    <n v="88"/>
    <x v="4"/>
    <n v="1750"/>
    <n v="99"/>
  </r>
  <r>
    <s v="E1171"/>
    <s v="Olivia"/>
    <s v="Parker"/>
    <s v="Olivia Parker"/>
    <x v="1"/>
    <x v="0"/>
    <x v="70"/>
    <x v="0"/>
    <n v="86"/>
    <x v="0"/>
    <n v="1550"/>
    <n v="94"/>
  </r>
  <r>
    <s v="E1172"/>
    <s v="Andrew"/>
    <s v="Bailey"/>
    <s v="Andrew Bailey"/>
    <x v="0"/>
    <x v="3"/>
    <x v="71"/>
    <x v="2"/>
    <n v="90"/>
    <x v="4"/>
    <n v="1800"/>
    <n v="97"/>
  </r>
  <r>
    <s v="E1173"/>
    <s v="Ava"/>
    <s v="Evans"/>
    <s v="Ava Evans"/>
    <x v="1"/>
    <x v="2"/>
    <x v="72"/>
    <x v="1"/>
    <n v="82"/>
    <x v="5"/>
    <n v="1350"/>
    <n v="91"/>
  </r>
  <r>
    <s v="E1174"/>
    <s v="Ryan"/>
    <s v="Roberts"/>
    <s v="Ryan Roberts"/>
    <x v="0"/>
    <x v="1"/>
    <x v="73"/>
    <x v="3"/>
    <n v="85"/>
    <x v="2"/>
    <n v="1500"/>
    <n v="95"/>
  </r>
  <r>
    <s v="E1175"/>
    <s v="Lily"/>
    <s v="Morgan"/>
    <s v="Lily Morgan"/>
    <x v="1"/>
    <x v="4"/>
    <x v="74"/>
    <x v="0"/>
    <n v="87"/>
    <x v="6"/>
    <n v="1600"/>
    <n v="96"/>
  </r>
  <r>
    <s v="E1176"/>
    <s v="Ethan"/>
    <s v="Rogers"/>
    <s v="Ethan Rogers"/>
    <x v="0"/>
    <x v="0"/>
    <x v="75"/>
    <x v="2"/>
    <n v="89"/>
    <x v="8"/>
    <n v="1750"/>
    <n v="98"/>
  </r>
  <r>
    <s v="E1177"/>
    <s v="Isabella"/>
    <s v="Bell"/>
    <s v="Isabella Bell"/>
    <x v="1"/>
    <x v="1"/>
    <x v="76"/>
    <x v="0"/>
    <n v="91"/>
    <x v="0"/>
    <n v="1700"/>
    <n v="97"/>
  </r>
  <r>
    <s v="E1178"/>
    <s v="Jackson"/>
    <s v="Rivera"/>
    <s v="Jackson Rivera"/>
    <x v="0"/>
    <x v="2"/>
    <x v="29"/>
    <x v="2"/>
    <n v="78"/>
    <x v="1"/>
    <n v="1300"/>
    <n v="89"/>
  </r>
  <r>
    <s v="E1179"/>
    <s v="Mia"/>
    <s v="Carter"/>
    <s v="Mia Carter"/>
    <x v="1"/>
    <x v="4"/>
    <x v="77"/>
    <x v="1"/>
    <n v="84"/>
    <x v="5"/>
    <n v="1450"/>
    <n v="93"/>
  </r>
  <r>
    <s v="E1180"/>
    <s v="James"/>
    <s v="Foster"/>
    <s v="James Foster"/>
    <x v="0"/>
    <x v="0"/>
    <x v="78"/>
    <x v="3"/>
    <n v="88"/>
    <x v="6"/>
    <n v="1650"/>
    <n v="96"/>
  </r>
  <r>
    <s v="E1181"/>
    <s v="Emma"/>
    <s v="Morris"/>
    <s v="Emma Morris"/>
    <x v="1"/>
    <x v="3"/>
    <x v="79"/>
    <x v="0"/>
    <n v="83"/>
    <x v="2"/>
    <n v="1450"/>
    <n v="92"/>
  </r>
  <r>
    <s v="E1182"/>
    <s v="Liam"/>
    <s v="Cook"/>
    <s v="Liam Cook"/>
    <x v="0"/>
    <x v="1"/>
    <x v="80"/>
    <x v="2"/>
    <n v="89"/>
    <x v="8"/>
    <n v="1750"/>
    <n v="98"/>
  </r>
  <r>
    <s v="E1183"/>
    <s v="Charlotte"/>
    <s v="Brooks"/>
    <s v="Charlotte Brooks"/>
    <x v="1"/>
    <x v="2"/>
    <x v="81"/>
    <x v="0"/>
    <n v="90"/>
    <x v="0"/>
    <n v="1700"/>
    <n v="97"/>
  </r>
  <r>
    <s v="E1184"/>
    <s v="Noah"/>
    <s v="Russell"/>
    <s v="Noah Russell"/>
    <x v="0"/>
    <x v="4"/>
    <x v="82"/>
    <x v="2"/>
    <n v="79"/>
    <x v="1"/>
    <n v="1350"/>
    <n v="90"/>
  </r>
  <r>
    <s v="E1185"/>
    <s v="Grace"/>
    <s v="Hughes"/>
    <s v="Grace Hughes"/>
    <x v="1"/>
    <x v="0"/>
    <x v="83"/>
    <x v="1"/>
    <n v="85"/>
    <x v="5"/>
    <n v="1500"/>
    <n v="93"/>
  </r>
  <r>
    <s v="E1186"/>
    <s v="Logan"/>
    <s v="Jenkins"/>
    <s v="Logan Jenkins"/>
    <x v="0"/>
    <x v="3"/>
    <x v="84"/>
    <x v="3"/>
    <n v="92"/>
    <x v="3"/>
    <n v="1800"/>
    <n v="99"/>
  </r>
  <r>
    <s v="E1187"/>
    <s v="Victoria"/>
    <s v="Peterson"/>
    <s v="Victoria Peterson"/>
    <x v="1"/>
    <x v="1"/>
    <x v="85"/>
    <x v="0"/>
    <n v="83"/>
    <x v="2"/>
    <n v="1450"/>
    <n v="94"/>
  </r>
  <r>
    <s v="E1188"/>
    <s v="Benjamin"/>
    <s v="Cooper"/>
    <s v="Benjamin Cooper"/>
    <x v="0"/>
    <x v="2"/>
    <x v="86"/>
    <x v="2"/>
    <n v="81"/>
    <x v="1"/>
    <n v="1350"/>
    <n v="91"/>
  </r>
  <r>
    <s v="E1189"/>
    <s v="Ava"/>
    <s v="Perez"/>
    <s v="Ava Perez"/>
    <x v="1"/>
    <x v="4"/>
    <x v="87"/>
    <x v="1"/>
    <n v="90"/>
    <x v="6"/>
    <n v="1700"/>
    <n v="96"/>
  </r>
  <r>
    <s v="E1190"/>
    <s v="William"/>
    <s v="Murphy"/>
    <s v="William Murphy"/>
    <x v="0"/>
    <x v="0"/>
    <x v="71"/>
    <x v="2"/>
    <n v="89"/>
    <x v="4"/>
    <n v="1750"/>
    <n v="98"/>
  </r>
  <r>
    <s v="E1191"/>
    <s v="Emily"/>
    <s v="Cooper"/>
    <s v="Emily Cooper"/>
    <x v="1"/>
    <x v="3"/>
    <x v="88"/>
    <x v="0"/>
    <n v="87"/>
    <x v="0"/>
    <n v="1600"/>
    <n v="97"/>
  </r>
  <r>
    <s v="E1192"/>
    <s v="Lucas"/>
    <s v="Turner"/>
    <s v="Lucas Turner"/>
    <x v="0"/>
    <x v="1"/>
    <x v="89"/>
    <x v="3"/>
    <n v="82"/>
    <x v="5"/>
    <n v="1450"/>
    <n v="92"/>
  </r>
  <r>
    <s v="E1193"/>
    <s v="Isabella"/>
    <s v="Scott"/>
    <s v="Isabella Scott"/>
    <x v="1"/>
    <x v="2"/>
    <x v="90"/>
    <x v="0"/>
    <n v="88"/>
    <x v="2"/>
    <n v="1650"/>
    <n v="95"/>
  </r>
  <r>
    <s v="E1194"/>
    <s v="Ethan"/>
    <s v="Diaz"/>
    <s v="Ethan Diaz"/>
    <x v="0"/>
    <x v="4"/>
    <x v="91"/>
    <x v="2"/>
    <n v="91"/>
    <x v="8"/>
    <n v="1750"/>
    <n v="98"/>
  </r>
  <r>
    <s v="E1195"/>
    <s v="Harper"/>
    <s v="Phillips"/>
    <s v="Harper Phillips"/>
    <x v="1"/>
    <x v="0"/>
    <x v="92"/>
    <x v="1"/>
    <n v="83"/>
    <x v="5"/>
    <n v="1500"/>
    <n v="94"/>
  </r>
  <r>
    <s v="E1196"/>
    <s v="Jack"/>
    <s v="Ward"/>
    <s v="Jack Ward"/>
    <x v="0"/>
    <x v="3"/>
    <x v="93"/>
    <x v="3"/>
    <n v="85"/>
    <x v="6"/>
    <n v="1600"/>
    <n v="96"/>
  </r>
  <r>
    <s v="E1197"/>
    <s v="Amelia"/>
    <s v="Stewart"/>
    <s v="Amelia Stewart"/>
    <x v="1"/>
    <x v="1"/>
    <x v="94"/>
    <x v="0"/>
    <n v="80"/>
    <x v="7"/>
    <n v="1300"/>
    <n v="90"/>
  </r>
  <r>
    <s v="E1198"/>
    <s v="Daniel"/>
    <s v="Nguyen"/>
    <s v="Daniel Nguyen"/>
    <x v="0"/>
    <x v="2"/>
    <x v="95"/>
    <x v="2"/>
    <n v="79"/>
    <x v="1"/>
    <n v="1400"/>
    <n v="89"/>
  </r>
  <r>
    <s v="E1199"/>
    <s v="Abigail"/>
    <s v="Lopez"/>
    <s v="Abigail Lopez"/>
    <x v="1"/>
    <x v="4"/>
    <x v="96"/>
    <x v="1"/>
    <n v="88"/>
    <x v="2"/>
    <n v="1650"/>
    <n v="95"/>
  </r>
  <r>
    <s v="E1200"/>
    <s v="Samuel"/>
    <s v="Carter"/>
    <s v="Samuel Carter"/>
    <x v="0"/>
    <x v="0"/>
    <x v="97"/>
    <x v="0"/>
    <n v="92"/>
    <x v="4"/>
    <n v="1800"/>
    <n v="9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55B232C-B082-42BB-85D8-D12B30CAFFB2}" name="PivotTable4" cacheId="1707"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6">
  <location ref="A22:B28" firstHeaderRow="1" firstDataRow="1" firstDataCol="1"/>
  <pivotFields count="15">
    <pivotField dataField="1" showAll="0"/>
    <pivotField showAll="0"/>
    <pivotField showAll="0"/>
    <pivotField showAll="0"/>
    <pivotField showAll="0"/>
    <pivotField axis="axisRow" showAll="0">
      <items count="6">
        <item x="3"/>
        <item x="1"/>
        <item x="0"/>
        <item x="2"/>
        <item x="4"/>
        <item t="default"/>
      </items>
    </pivotField>
    <pivotField numFmtId="14" showAll="0">
      <items count="99">
        <item x="93"/>
        <item x="36"/>
        <item x="46"/>
        <item x="16"/>
        <item x="27"/>
        <item x="58"/>
        <item x="78"/>
        <item x="12"/>
        <item x="50"/>
        <item x="84"/>
        <item x="42"/>
        <item x="8"/>
        <item x="24"/>
        <item x="73"/>
        <item x="89"/>
        <item x="32"/>
        <item x="3"/>
        <item x="9"/>
        <item x="10"/>
        <item x="34"/>
        <item x="44"/>
        <item x="13"/>
        <item x="26"/>
        <item x="21"/>
        <item x="40"/>
        <item x="68"/>
        <item x="75"/>
        <item x="63"/>
        <item x="29"/>
        <item x="91"/>
        <item x="47"/>
        <item x="86"/>
        <item x="23"/>
        <item x="82"/>
        <item x="2"/>
        <item x="71"/>
        <item x="5"/>
        <item x="31"/>
        <item x="60"/>
        <item x="38"/>
        <item x="18"/>
        <item x="66"/>
        <item x="55"/>
        <item x="52"/>
        <item x="95"/>
        <item x="80"/>
        <item x="41"/>
        <item x="4"/>
        <item x="53"/>
        <item x="0"/>
        <item x="85"/>
        <item x="11"/>
        <item x="90"/>
        <item x="6"/>
        <item x="70"/>
        <item x="61"/>
        <item x="79"/>
        <item x="33"/>
        <item x="17"/>
        <item x="97"/>
        <item x="59"/>
        <item x="88"/>
        <item x="37"/>
        <item x="14"/>
        <item x="56"/>
        <item x="25"/>
        <item x="76"/>
        <item x="67"/>
        <item x="51"/>
        <item x="20"/>
        <item x="45"/>
        <item x="81"/>
        <item x="74"/>
        <item x="94"/>
        <item x="28"/>
        <item x="48"/>
        <item x="64"/>
        <item x="69"/>
        <item x="35"/>
        <item x="77"/>
        <item x="62"/>
        <item x="19"/>
        <item x="49"/>
        <item x="83"/>
        <item x="54"/>
        <item x="92"/>
        <item x="1"/>
        <item x="57"/>
        <item x="7"/>
        <item x="39"/>
        <item x="72"/>
        <item x="43"/>
        <item x="96"/>
        <item x="30"/>
        <item x="15"/>
        <item x="65"/>
        <item x="87"/>
        <item x="22"/>
        <item t="default"/>
      </items>
    </pivotField>
    <pivotField showAll="0"/>
    <pivotField showAll="0"/>
    <pivotField showAll="0"/>
    <pivotField numFmtId="44"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h="1" sd="0" x="0"/>
        <item sd="0" x="1"/>
        <item sd="0" x="2"/>
        <item sd="0" x="3"/>
        <item sd="0" x="4"/>
        <item h="1" sd="0" x="5"/>
        <item t="default"/>
      </items>
    </pivotField>
  </pivotFields>
  <rowFields count="1">
    <field x="5"/>
  </rowFields>
  <rowItems count="6">
    <i>
      <x/>
    </i>
    <i>
      <x v="1"/>
    </i>
    <i>
      <x v="2"/>
    </i>
    <i>
      <x v="3"/>
    </i>
    <i>
      <x v="4"/>
    </i>
    <i t="grand">
      <x/>
    </i>
  </rowItems>
  <colItems count="1">
    <i/>
  </colItems>
  <dataFields count="1">
    <dataField name="Count of EmployeeID" fld="0" subtotal="count" baseField="0" baseItem="0"/>
  </dataFields>
  <chartFormats count="7">
    <chartFormat chart="26" format="5" series="1">
      <pivotArea type="data" outline="0" fieldPosition="0">
        <references count="1">
          <reference field="4294967294" count="1" selected="0">
            <x v="0"/>
          </reference>
        </references>
      </pivotArea>
    </chartFormat>
    <chartFormat chart="45" format="7" series="1">
      <pivotArea type="data" outline="0" fieldPosition="0">
        <references count="1">
          <reference field="4294967294" count="1" selected="0">
            <x v="0"/>
          </reference>
        </references>
      </pivotArea>
    </chartFormat>
    <chartFormat chart="45" format="8">
      <pivotArea type="data" outline="0" fieldPosition="0">
        <references count="2">
          <reference field="4294967294" count="1" selected="0">
            <x v="0"/>
          </reference>
          <reference field="5" count="1" selected="0">
            <x v="0"/>
          </reference>
        </references>
      </pivotArea>
    </chartFormat>
    <chartFormat chart="45" format="9">
      <pivotArea type="data" outline="0" fieldPosition="0">
        <references count="2">
          <reference field="4294967294" count="1" selected="0">
            <x v="0"/>
          </reference>
          <reference field="5" count="1" selected="0">
            <x v="1"/>
          </reference>
        </references>
      </pivotArea>
    </chartFormat>
    <chartFormat chart="45" format="10">
      <pivotArea type="data" outline="0" fieldPosition="0">
        <references count="2">
          <reference field="4294967294" count="1" selected="0">
            <x v="0"/>
          </reference>
          <reference field="5" count="1" selected="0">
            <x v="2"/>
          </reference>
        </references>
      </pivotArea>
    </chartFormat>
    <chartFormat chart="45" format="11">
      <pivotArea type="data" outline="0" fieldPosition="0">
        <references count="2">
          <reference field="4294967294" count="1" selected="0">
            <x v="0"/>
          </reference>
          <reference field="5" count="1" selected="0">
            <x v="3"/>
          </reference>
        </references>
      </pivotArea>
    </chartFormat>
    <chartFormat chart="45" format="12">
      <pivotArea type="data" outline="0" fieldPosition="0">
        <references count="2">
          <reference field="4294967294" count="1" selected="0">
            <x v="0"/>
          </reference>
          <reference field="5" count="1" selected="0">
            <x v="4"/>
          </reference>
        </references>
      </pivotArea>
    </chartFormat>
  </chart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907EBF-78C2-4617-9B98-AA53CE388C36}" name="PivotTable6" cacheId="170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7">
  <location ref="A46:E49" firstHeaderRow="0" firstDataRow="1" firstDataCol="1"/>
  <pivotFields count="15">
    <pivotField dataField="1" showAll="0"/>
    <pivotField showAll="0"/>
    <pivotField showAll="0"/>
    <pivotField showAll="0"/>
    <pivotField axis="axisRow" showAll="0">
      <items count="3">
        <item sd="0" x="1"/>
        <item sd="0" x="0"/>
        <item t="default"/>
      </items>
    </pivotField>
    <pivotField showAll="0">
      <items count="6">
        <item x="3"/>
        <item x="1"/>
        <item x="0"/>
        <item x="2"/>
        <item x="4"/>
        <item t="default"/>
      </items>
    </pivotField>
    <pivotField numFmtId="14" showAll="0">
      <items count="99">
        <item x="93"/>
        <item x="36"/>
        <item x="46"/>
        <item x="16"/>
        <item x="27"/>
        <item x="58"/>
        <item x="78"/>
        <item x="12"/>
        <item x="50"/>
        <item x="84"/>
        <item x="42"/>
        <item x="8"/>
        <item x="24"/>
        <item x="73"/>
        <item x="89"/>
        <item x="32"/>
        <item x="3"/>
        <item x="9"/>
        <item x="10"/>
        <item x="34"/>
        <item x="44"/>
        <item x="13"/>
        <item x="26"/>
        <item x="21"/>
        <item x="40"/>
        <item x="68"/>
        <item x="75"/>
        <item x="63"/>
        <item x="29"/>
        <item x="91"/>
        <item x="47"/>
        <item x="86"/>
        <item x="23"/>
        <item x="82"/>
        <item x="2"/>
        <item x="71"/>
        <item x="5"/>
        <item x="31"/>
        <item x="60"/>
        <item x="38"/>
        <item x="18"/>
        <item x="66"/>
        <item x="55"/>
        <item x="52"/>
        <item x="95"/>
        <item x="80"/>
        <item x="41"/>
        <item x="4"/>
        <item x="53"/>
        <item x="0"/>
        <item x="85"/>
        <item x="11"/>
        <item x="90"/>
        <item x="6"/>
        <item x="70"/>
        <item x="61"/>
        <item x="79"/>
        <item x="33"/>
        <item x="17"/>
        <item x="97"/>
        <item x="59"/>
        <item x="88"/>
        <item x="37"/>
        <item x="14"/>
        <item x="56"/>
        <item x="25"/>
        <item x="76"/>
        <item x="67"/>
        <item x="51"/>
        <item x="20"/>
        <item x="45"/>
        <item x="81"/>
        <item x="74"/>
        <item x="94"/>
        <item x="28"/>
        <item x="48"/>
        <item x="64"/>
        <item x="69"/>
        <item x="35"/>
        <item x="77"/>
        <item x="62"/>
        <item x="19"/>
        <item x="49"/>
        <item x="83"/>
        <item x="54"/>
        <item x="92"/>
        <item x="1"/>
        <item x="57"/>
        <item x="7"/>
        <item x="39"/>
        <item x="72"/>
        <item x="43"/>
        <item x="96"/>
        <item x="30"/>
        <item x="15"/>
        <item x="65"/>
        <item x="87"/>
        <item x="22"/>
        <item t="default"/>
      </items>
    </pivotField>
    <pivotField axis="axisRow" showAll="0">
      <items count="5">
        <item x="3"/>
        <item x="2"/>
        <item x="0"/>
        <item x="1"/>
        <item t="default"/>
      </items>
    </pivotField>
    <pivotField dataField="1" showAll="0"/>
    <pivotField dataField="1" showAll="0">
      <items count="11">
        <item x="9"/>
        <item x="7"/>
        <item x="1"/>
        <item x="5"/>
        <item x="2"/>
        <item x="6"/>
        <item x="0"/>
        <item x="8"/>
        <item x="4"/>
        <item x="3"/>
        <item t="default"/>
      </items>
    </pivotField>
    <pivotField dataField="1" numFmtId="44"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2">
    <field x="4"/>
    <field x="7"/>
  </rowFields>
  <rowItems count="3">
    <i>
      <x/>
    </i>
    <i>
      <x v="1"/>
    </i>
    <i t="grand">
      <x/>
    </i>
  </rowItems>
  <colFields count="1">
    <field x="-2"/>
  </colFields>
  <colItems count="4">
    <i>
      <x/>
    </i>
    <i i="1">
      <x v="1"/>
    </i>
    <i i="2">
      <x v="2"/>
    </i>
    <i i="3">
      <x v="3"/>
    </i>
  </colItems>
  <dataFields count="4">
    <dataField name="Count of EmployeeID" fld="0" subtotal="count" baseField="0" baseItem="0"/>
    <dataField name="Sum of BonusAmount" fld="10" baseField="0" baseItem="0"/>
    <dataField name="Sum of ProjectsCompleted" fld="9" baseField="0" baseItem="0"/>
    <dataField name="Sum of PerformanceScore" fld="8" baseField="0" baseItem="0"/>
  </dataFields>
  <chartFormats count="62">
    <chartFormat chart="78" format="0" series="1">
      <pivotArea type="data" outline="0" fieldPosition="0">
        <references count="1">
          <reference field="4294967294" count="1" selected="0">
            <x v="0"/>
          </reference>
        </references>
      </pivotArea>
    </chartFormat>
    <chartFormat chart="78" format="1" series="1">
      <pivotArea type="data" outline="0" fieldPosition="0">
        <references count="1">
          <reference field="4294967294" count="1" selected="0">
            <x v="1"/>
          </reference>
        </references>
      </pivotArea>
    </chartFormat>
    <chartFormat chart="78" format="2" series="1">
      <pivotArea type="data" outline="0" fieldPosition="0">
        <references count="1">
          <reference field="4294967294" count="1" selected="0">
            <x v="2"/>
          </reference>
        </references>
      </pivotArea>
    </chartFormat>
    <chartFormat chart="78" format="3" series="1">
      <pivotArea type="data" outline="0" fieldPosition="0">
        <references count="1">
          <reference field="4294967294" count="1" selected="0">
            <x v="3"/>
          </reference>
        </references>
      </pivotArea>
    </chartFormat>
    <chartFormat chart="80" format="16" series="1">
      <pivotArea type="data" outline="0" fieldPosition="0">
        <references count="1">
          <reference field="4294967294" count="1" selected="0">
            <x v="0"/>
          </reference>
        </references>
      </pivotArea>
    </chartFormat>
    <chartFormat chart="80" format="17">
      <pivotArea type="data" outline="0" fieldPosition="0">
        <references count="2">
          <reference field="4294967294" count="1" selected="0">
            <x v="0"/>
          </reference>
          <reference field="4" count="1" selected="0">
            <x v="0"/>
          </reference>
        </references>
      </pivotArea>
    </chartFormat>
    <chartFormat chart="80" format="18">
      <pivotArea type="data" outline="0" fieldPosition="0">
        <references count="2">
          <reference field="4294967294" count="1" selected="0">
            <x v="0"/>
          </reference>
          <reference field="4" count="1" selected="0">
            <x v="1"/>
          </reference>
        </references>
      </pivotArea>
    </chartFormat>
    <chartFormat chart="80" format="19" series="1">
      <pivotArea type="data" outline="0" fieldPosition="0">
        <references count="1">
          <reference field="4294967294" count="1" selected="0">
            <x v="1"/>
          </reference>
        </references>
      </pivotArea>
    </chartFormat>
    <chartFormat chart="80" format="20">
      <pivotArea type="data" outline="0" fieldPosition="0">
        <references count="2">
          <reference field="4294967294" count="1" selected="0">
            <x v="1"/>
          </reference>
          <reference field="4" count="1" selected="0">
            <x v="0"/>
          </reference>
        </references>
      </pivotArea>
    </chartFormat>
    <chartFormat chart="80" format="21">
      <pivotArea type="data" outline="0" fieldPosition="0">
        <references count="2">
          <reference field="4294967294" count="1" selected="0">
            <x v="1"/>
          </reference>
          <reference field="4" count="1" selected="0">
            <x v="1"/>
          </reference>
        </references>
      </pivotArea>
    </chartFormat>
    <chartFormat chart="80" format="22" series="1">
      <pivotArea type="data" outline="0" fieldPosition="0">
        <references count="1">
          <reference field="4294967294" count="1" selected="0">
            <x v="2"/>
          </reference>
        </references>
      </pivotArea>
    </chartFormat>
    <chartFormat chart="80" format="23">
      <pivotArea type="data" outline="0" fieldPosition="0">
        <references count="2">
          <reference field="4294967294" count="1" selected="0">
            <x v="2"/>
          </reference>
          <reference field="4" count="1" selected="0">
            <x v="0"/>
          </reference>
        </references>
      </pivotArea>
    </chartFormat>
    <chartFormat chart="80" format="24">
      <pivotArea type="data" outline="0" fieldPosition="0">
        <references count="2">
          <reference field="4294967294" count="1" selected="0">
            <x v="2"/>
          </reference>
          <reference field="4" count="1" selected="0">
            <x v="1"/>
          </reference>
        </references>
      </pivotArea>
    </chartFormat>
    <chartFormat chart="80" format="25" series="1">
      <pivotArea type="data" outline="0" fieldPosition="0">
        <references count="1">
          <reference field="4294967294" count="1" selected="0">
            <x v="3"/>
          </reference>
        </references>
      </pivotArea>
    </chartFormat>
    <chartFormat chart="80" format="26">
      <pivotArea type="data" outline="0" fieldPosition="0">
        <references count="2">
          <reference field="4294967294" count="1" selected="0">
            <x v="3"/>
          </reference>
          <reference field="4" count="1" selected="0">
            <x v="0"/>
          </reference>
        </references>
      </pivotArea>
    </chartFormat>
    <chartFormat chart="80" format="27">
      <pivotArea type="data" outline="0" fieldPosition="0">
        <references count="2">
          <reference field="4294967294" count="1" selected="0">
            <x v="3"/>
          </reference>
          <reference field="4" count="1" selected="0">
            <x v="1"/>
          </reference>
        </references>
      </pivotArea>
    </chartFormat>
    <chartFormat chart="80" format="29" series="1">
      <pivotArea type="data" outline="0" fieldPosition="0">
        <references count="2">
          <reference field="4294967294" count="1" selected="0">
            <x v="1"/>
          </reference>
          <reference field="7" count="1" selected="0">
            <x v="1"/>
          </reference>
        </references>
      </pivotArea>
    </chartFormat>
    <chartFormat chart="80" format="30" series="1">
      <pivotArea type="data" outline="0" fieldPosition="0">
        <references count="2">
          <reference field="4294967294" count="1" selected="0">
            <x v="1"/>
          </reference>
          <reference field="7" count="1" selected="0">
            <x v="2"/>
          </reference>
        </references>
      </pivotArea>
    </chartFormat>
    <chartFormat chart="80" format="31" series="1">
      <pivotArea type="data" outline="0" fieldPosition="0">
        <references count="2">
          <reference field="4294967294" count="1" selected="0">
            <x v="1"/>
          </reference>
          <reference field="7" count="1" selected="0">
            <x v="3"/>
          </reference>
        </references>
      </pivotArea>
    </chartFormat>
    <chartFormat chart="80" format="32" series="1">
      <pivotArea type="data" outline="0" fieldPosition="0">
        <references count="2">
          <reference field="4294967294" count="1" selected="0">
            <x v="2"/>
          </reference>
          <reference field="7" count="1" selected="0">
            <x v="0"/>
          </reference>
        </references>
      </pivotArea>
    </chartFormat>
    <chartFormat chart="80" format="33" series="1">
      <pivotArea type="data" outline="0" fieldPosition="0">
        <references count="2">
          <reference field="4294967294" count="1" selected="0">
            <x v="2"/>
          </reference>
          <reference field="7" count="1" selected="0">
            <x v="1"/>
          </reference>
        </references>
      </pivotArea>
    </chartFormat>
    <chartFormat chart="80" format="34" series="1">
      <pivotArea type="data" outline="0" fieldPosition="0">
        <references count="2">
          <reference field="4294967294" count="1" selected="0">
            <x v="2"/>
          </reference>
          <reference field="7" count="1" selected="0">
            <x v="2"/>
          </reference>
        </references>
      </pivotArea>
    </chartFormat>
    <chartFormat chart="80" format="35" series="1">
      <pivotArea type="data" outline="0" fieldPosition="0">
        <references count="2">
          <reference field="4294967294" count="1" selected="0">
            <x v="2"/>
          </reference>
          <reference field="7" count="1" selected="0">
            <x v="3"/>
          </reference>
        </references>
      </pivotArea>
    </chartFormat>
    <chartFormat chart="80" format="36" series="1">
      <pivotArea type="data" outline="0" fieldPosition="0">
        <references count="2">
          <reference field="4294967294" count="1" selected="0">
            <x v="3"/>
          </reference>
          <reference field="7" count="1" selected="0">
            <x v="0"/>
          </reference>
        </references>
      </pivotArea>
    </chartFormat>
    <chartFormat chart="80" format="37" series="1">
      <pivotArea type="data" outline="0" fieldPosition="0">
        <references count="2">
          <reference field="4294967294" count="1" selected="0">
            <x v="3"/>
          </reference>
          <reference field="7" count="1" selected="0">
            <x v="1"/>
          </reference>
        </references>
      </pivotArea>
    </chartFormat>
    <chartFormat chart="80" format="38" series="1">
      <pivotArea type="data" outline="0" fieldPosition="0">
        <references count="2">
          <reference field="4294967294" count="1" selected="0">
            <x v="3"/>
          </reference>
          <reference field="7" count="1" selected="0">
            <x v="2"/>
          </reference>
        </references>
      </pivotArea>
    </chartFormat>
    <chartFormat chart="80" format="39" series="1">
      <pivotArea type="data" outline="0" fieldPosition="0">
        <references count="2">
          <reference field="4294967294" count="1" selected="0">
            <x v="3"/>
          </reference>
          <reference field="7" count="1" selected="0">
            <x v="3"/>
          </reference>
        </references>
      </pivotArea>
    </chartFormat>
    <chartFormat chart="78" format="5" series="1">
      <pivotArea type="data" outline="0" fieldPosition="0">
        <references count="2">
          <reference field="4294967294" count="1" selected="0">
            <x v="1"/>
          </reference>
          <reference field="7" count="1" selected="0">
            <x v="1"/>
          </reference>
        </references>
      </pivotArea>
    </chartFormat>
    <chartFormat chart="78" format="6" series="1">
      <pivotArea type="data" outline="0" fieldPosition="0">
        <references count="2">
          <reference field="4294967294" count="1" selected="0">
            <x v="1"/>
          </reference>
          <reference field="7" count="1" selected="0">
            <x v="2"/>
          </reference>
        </references>
      </pivotArea>
    </chartFormat>
    <chartFormat chart="78" format="7" series="1">
      <pivotArea type="data" outline="0" fieldPosition="0">
        <references count="2">
          <reference field="4294967294" count="1" selected="0">
            <x v="1"/>
          </reference>
          <reference field="7" count="1" selected="0">
            <x v="3"/>
          </reference>
        </references>
      </pivotArea>
    </chartFormat>
    <chartFormat chart="78" format="8" series="1">
      <pivotArea type="data" outline="0" fieldPosition="0">
        <references count="2">
          <reference field="4294967294" count="1" selected="0">
            <x v="2"/>
          </reference>
          <reference field="7" count="1" selected="0">
            <x v="0"/>
          </reference>
        </references>
      </pivotArea>
    </chartFormat>
    <chartFormat chart="78" format="9" series="1">
      <pivotArea type="data" outline="0" fieldPosition="0">
        <references count="2">
          <reference field="4294967294" count="1" selected="0">
            <x v="2"/>
          </reference>
          <reference field="7" count="1" selected="0">
            <x v="1"/>
          </reference>
        </references>
      </pivotArea>
    </chartFormat>
    <chartFormat chart="78" format="10" series="1">
      <pivotArea type="data" outline="0" fieldPosition="0">
        <references count="2">
          <reference field="4294967294" count="1" selected="0">
            <x v="2"/>
          </reference>
          <reference field="7" count="1" selected="0">
            <x v="2"/>
          </reference>
        </references>
      </pivotArea>
    </chartFormat>
    <chartFormat chart="78" format="11" series="1">
      <pivotArea type="data" outline="0" fieldPosition="0">
        <references count="2">
          <reference field="4294967294" count="1" selected="0">
            <x v="2"/>
          </reference>
          <reference field="7" count="1" selected="0">
            <x v="3"/>
          </reference>
        </references>
      </pivotArea>
    </chartFormat>
    <chartFormat chart="78" format="12" series="1">
      <pivotArea type="data" outline="0" fieldPosition="0">
        <references count="2">
          <reference field="4294967294" count="1" selected="0">
            <x v="3"/>
          </reference>
          <reference field="7" count="1" selected="0">
            <x v="0"/>
          </reference>
        </references>
      </pivotArea>
    </chartFormat>
    <chartFormat chart="78" format="13" series="1">
      <pivotArea type="data" outline="0" fieldPosition="0">
        <references count="2">
          <reference field="4294967294" count="1" selected="0">
            <x v="3"/>
          </reference>
          <reference field="7" count="1" selected="0">
            <x v="1"/>
          </reference>
        </references>
      </pivotArea>
    </chartFormat>
    <chartFormat chart="78" format="14" series="1">
      <pivotArea type="data" outline="0" fieldPosition="0">
        <references count="2">
          <reference field="4294967294" count="1" selected="0">
            <x v="3"/>
          </reference>
          <reference field="7" count="1" selected="0">
            <x v="2"/>
          </reference>
        </references>
      </pivotArea>
    </chartFormat>
    <chartFormat chart="78" format="15" series="1">
      <pivotArea type="data" outline="0" fieldPosition="0">
        <references count="2">
          <reference field="4294967294" count="1" selected="0">
            <x v="3"/>
          </reference>
          <reference field="7" count="1" selected="0">
            <x v="3"/>
          </reference>
        </references>
      </pivotArea>
    </chartFormat>
    <chartFormat chart="80" format="40">
      <pivotArea type="data" outline="0" fieldPosition="0">
        <references count="3">
          <reference field="4294967294" count="1" selected="0">
            <x v="0"/>
          </reference>
          <reference field="4" count="1" selected="0">
            <x v="1"/>
          </reference>
          <reference field="7" count="1" selected="0">
            <x v="0"/>
          </reference>
        </references>
      </pivotArea>
    </chartFormat>
    <chartFormat chart="80" format="41">
      <pivotArea type="data" outline="0" fieldPosition="0">
        <references count="3">
          <reference field="4294967294" count="1" selected="0">
            <x v="0"/>
          </reference>
          <reference field="4" count="1" selected="0">
            <x v="1"/>
          </reference>
          <reference field="7" count="1" selected="0">
            <x v="1"/>
          </reference>
        </references>
      </pivotArea>
    </chartFormat>
    <chartFormat chart="80" format="42">
      <pivotArea type="data" outline="0" fieldPosition="0">
        <references count="3">
          <reference field="4294967294" count="1" selected="0">
            <x v="0"/>
          </reference>
          <reference field="4" count="1" selected="0">
            <x v="1"/>
          </reference>
          <reference field="7" count="1" selected="0">
            <x v="2"/>
          </reference>
        </references>
      </pivotArea>
    </chartFormat>
    <chartFormat chart="80" format="43">
      <pivotArea type="data" outline="0" fieldPosition="0">
        <references count="3">
          <reference field="4294967294" count="1" selected="0">
            <x v="0"/>
          </reference>
          <reference field="4" count="1" selected="0">
            <x v="1"/>
          </reference>
          <reference field="7" count="1" selected="0">
            <x v="3"/>
          </reference>
        </references>
      </pivotArea>
    </chartFormat>
    <chartFormat chart="80" format="44">
      <pivotArea type="data" outline="0" fieldPosition="0">
        <references count="3">
          <reference field="4294967294" count="1" selected="0">
            <x v="1"/>
          </reference>
          <reference field="4" count="1" selected="0">
            <x v="1"/>
          </reference>
          <reference field="7" count="1" selected="0">
            <x v="0"/>
          </reference>
        </references>
      </pivotArea>
    </chartFormat>
    <chartFormat chart="80" format="45">
      <pivotArea type="data" outline="0" fieldPosition="0">
        <references count="3">
          <reference field="4294967294" count="1" selected="0">
            <x v="1"/>
          </reference>
          <reference field="4" count="1" selected="0">
            <x v="1"/>
          </reference>
          <reference field="7" count="1" selected="0">
            <x v="1"/>
          </reference>
        </references>
      </pivotArea>
    </chartFormat>
    <chartFormat chart="80" format="46">
      <pivotArea type="data" outline="0" fieldPosition="0">
        <references count="3">
          <reference field="4294967294" count="1" selected="0">
            <x v="1"/>
          </reference>
          <reference field="4" count="1" selected="0">
            <x v="1"/>
          </reference>
          <reference field="7" count="1" selected="0">
            <x v="2"/>
          </reference>
        </references>
      </pivotArea>
    </chartFormat>
    <chartFormat chart="80" format="47">
      <pivotArea type="data" outline="0" fieldPosition="0">
        <references count="3">
          <reference field="4294967294" count="1" selected="0">
            <x v="1"/>
          </reference>
          <reference field="4" count="1" selected="0">
            <x v="1"/>
          </reference>
          <reference field="7" count="1" selected="0">
            <x v="3"/>
          </reference>
        </references>
      </pivotArea>
    </chartFormat>
    <chartFormat chart="80" format="48">
      <pivotArea type="data" outline="0" fieldPosition="0">
        <references count="3">
          <reference field="4294967294" count="1" selected="0">
            <x v="2"/>
          </reference>
          <reference field="4" count="1" selected="0">
            <x v="1"/>
          </reference>
          <reference field="7" count="1" selected="0">
            <x v="0"/>
          </reference>
        </references>
      </pivotArea>
    </chartFormat>
    <chartFormat chart="80" format="49">
      <pivotArea type="data" outline="0" fieldPosition="0">
        <references count="3">
          <reference field="4294967294" count="1" selected="0">
            <x v="2"/>
          </reference>
          <reference field="4" count="1" selected="0">
            <x v="1"/>
          </reference>
          <reference field="7" count="1" selected="0">
            <x v="1"/>
          </reference>
        </references>
      </pivotArea>
    </chartFormat>
    <chartFormat chart="80" format="50">
      <pivotArea type="data" outline="0" fieldPosition="0">
        <references count="3">
          <reference field="4294967294" count="1" selected="0">
            <x v="2"/>
          </reference>
          <reference field="4" count="1" selected="0">
            <x v="1"/>
          </reference>
          <reference field="7" count="1" selected="0">
            <x v="2"/>
          </reference>
        </references>
      </pivotArea>
    </chartFormat>
    <chartFormat chart="80" format="51">
      <pivotArea type="data" outline="0" fieldPosition="0">
        <references count="3">
          <reference field="4294967294" count="1" selected="0">
            <x v="2"/>
          </reference>
          <reference field="4" count="1" selected="0">
            <x v="1"/>
          </reference>
          <reference field="7" count="1" selected="0">
            <x v="3"/>
          </reference>
        </references>
      </pivotArea>
    </chartFormat>
    <chartFormat chart="80" format="52">
      <pivotArea type="data" outline="0" fieldPosition="0">
        <references count="3">
          <reference field="4294967294" count="1" selected="0">
            <x v="3"/>
          </reference>
          <reference field="4" count="1" selected="0">
            <x v="1"/>
          </reference>
          <reference field="7" count="1" selected="0">
            <x v="0"/>
          </reference>
        </references>
      </pivotArea>
    </chartFormat>
    <chartFormat chart="80" format="53">
      <pivotArea type="data" outline="0" fieldPosition="0">
        <references count="3">
          <reference field="4294967294" count="1" selected="0">
            <x v="3"/>
          </reference>
          <reference field="4" count="1" selected="0">
            <x v="1"/>
          </reference>
          <reference field="7" count="1" selected="0">
            <x v="1"/>
          </reference>
        </references>
      </pivotArea>
    </chartFormat>
    <chartFormat chart="80" format="54">
      <pivotArea type="data" outline="0" fieldPosition="0">
        <references count="3">
          <reference field="4294967294" count="1" selected="0">
            <x v="3"/>
          </reference>
          <reference field="4" count="1" selected="0">
            <x v="1"/>
          </reference>
          <reference field="7" count="1" selected="0">
            <x v="2"/>
          </reference>
        </references>
      </pivotArea>
    </chartFormat>
    <chartFormat chart="80" format="55">
      <pivotArea type="data" outline="0" fieldPosition="0">
        <references count="3">
          <reference field="4294967294" count="1" selected="0">
            <x v="3"/>
          </reference>
          <reference field="4" count="1" selected="0">
            <x v="1"/>
          </reference>
          <reference field="7" count="1" selected="0">
            <x v="3"/>
          </reference>
        </references>
      </pivotArea>
    </chartFormat>
    <chartFormat chart="78" format="16">
      <pivotArea type="data" outline="0" fieldPosition="0">
        <references count="2">
          <reference field="4294967294" count="1" selected="0">
            <x v="0"/>
          </reference>
          <reference field="4" count="1" selected="0">
            <x v="0"/>
          </reference>
        </references>
      </pivotArea>
    </chartFormat>
    <chartFormat chart="78" format="17">
      <pivotArea type="data" outline="0" fieldPosition="0">
        <references count="2">
          <reference field="4294967294" count="1" selected="0">
            <x v="0"/>
          </reference>
          <reference field="4" count="1" selected="0">
            <x v="1"/>
          </reference>
        </references>
      </pivotArea>
    </chartFormat>
    <chartFormat chart="78" format="18">
      <pivotArea type="data" outline="0" fieldPosition="0">
        <references count="2">
          <reference field="4294967294" count="1" selected="0">
            <x v="1"/>
          </reference>
          <reference field="4" count="1" selected="0">
            <x v="0"/>
          </reference>
        </references>
      </pivotArea>
    </chartFormat>
    <chartFormat chart="78" format="19">
      <pivotArea type="data" outline="0" fieldPosition="0">
        <references count="2">
          <reference field="4294967294" count="1" selected="0">
            <x v="1"/>
          </reference>
          <reference field="4" count="1" selected="0">
            <x v="1"/>
          </reference>
        </references>
      </pivotArea>
    </chartFormat>
    <chartFormat chart="78" format="20">
      <pivotArea type="data" outline="0" fieldPosition="0">
        <references count="2">
          <reference field="4294967294" count="1" selected="0">
            <x v="2"/>
          </reference>
          <reference field="4" count="1" selected="0">
            <x v="0"/>
          </reference>
        </references>
      </pivotArea>
    </chartFormat>
    <chartFormat chart="78" format="21">
      <pivotArea type="data" outline="0" fieldPosition="0">
        <references count="2">
          <reference field="4294967294" count="1" selected="0">
            <x v="2"/>
          </reference>
          <reference field="4" count="1" selected="0">
            <x v="1"/>
          </reference>
        </references>
      </pivotArea>
    </chartFormat>
    <chartFormat chart="78" format="22">
      <pivotArea type="data" outline="0" fieldPosition="0">
        <references count="2">
          <reference field="4294967294" count="1" selected="0">
            <x v="3"/>
          </reference>
          <reference field="4" count="1" selected="0">
            <x v="0"/>
          </reference>
        </references>
      </pivotArea>
    </chartFormat>
    <chartFormat chart="78" format="23">
      <pivotArea type="data" outline="0" fieldPosition="0">
        <references count="2">
          <reference field="4294967294" count="1" selected="0">
            <x v="3"/>
          </reference>
          <reference field="4" count="1" selected="0">
            <x v="1"/>
          </reference>
        </references>
      </pivotArea>
    </chartFormat>
  </chart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21DA5EC-B45E-4A74-824F-21EB82DB48A8}" name="PivotTable9" cacheId="170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9">
  <location ref="A66:D69" firstHeaderRow="0" firstDataRow="1" firstDataCol="1"/>
  <pivotFields count="15">
    <pivotField showAll="0"/>
    <pivotField showAll="0"/>
    <pivotField showAll="0"/>
    <pivotField showAll="0"/>
    <pivotField axis="axisRow" showAll="0">
      <items count="3">
        <item sd="0" x="1"/>
        <item sd="0" x="0"/>
        <item t="default"/>
      </items>
    </pivotField>
    <pivotField showAll="0">
      <items count="6">
        <item x="3"/>
        <item x="1"/>
        <item x="0"/>
        <item x="2"/>
        <item x="4"/>
        <item t="default"/>
      </items>
    </pivotField>
    <pivotField numFmtId="14" showAll="0">
      <items count="99">
        <item x="93"/>
        <item x="36"/>
        <item x="46"/>
        <item x="16"/>
        <item x="27"/>
        <item x="58"/>
        <item x="78"/>
        <item x="12"/>
        <item x="50"/>
        <item x="84"/>
        <item x="42"/>
        <item x="8"/>
        <item x="24"/>
        <item x="73"/>
        <item x="89"/>
        <item x="32"/>
        <item x="3"/>
        <item x="9"/>
        <item x="10"/>
        <item x="34"/>
        <item x="44"/>
        <item x="13"/>
        <item x="26"/>
        <item x="21"/>
        <item x="40"/>
        <item x="68"/>
        <item x="75"/>
        <item x="63"/>
        <item x="29"/>
        <item x="91"/>
        <item x="47"/>
        <item x="86"/>
        <item x="23"/>
        <item x="82"/>
        <item x="2"/>
        <item x="71"/>
        <item x="5"/>
        <item x="31"/>
        <item x="60"/>
        <item x="38"/>
        <item x="18"/>
        <item x="66"/>
        <item x="55"/>
        <item x="52"/>
        <item x="95"/>
        <item x="80"/>
        <item x="41"/>
        <item x="4"/>
        <item x="53"/>
        <item x="0"/>
        <item x="85"/>
        <item x="11"/>
        <item x="90"/>
        <item x="6"/>
        <item x="70"/>
        <item x="61"/>
        <item x="79"/>
        <item x="33"/>
        <item x="17"/>
        <item x="97"/>
        <item x="59"/>
        <item x="88"/>
        <item x="37"/>
        <item x="14"/>
        <item x="56"/>
        <item x="25"/>
        <item x="76"/>
        <item x="67"/>
        <item x="51"/>
        <item x="20"/>
        <item x="45"/>
        <item x="81"/>
        <item x="74"/>
        <item x="94"/>
        <item x="28"/>
        <item x="48"/>
        <item x="64"/>
        <item x="69"/>
        <item x="35"/>
        <item x="77"/>
        <item x="62"/>
        <item x="19"/>
        <item x="49"/>
        <item x="83"/>
        <item x="54"/>
        <item x="92"/>
        <item x="1"/>
        <item x="57"/>
        <item x="7"/>
        <item x="39"/>
        <item x="72"/>
        <item x="43"/>
        <item x="96"/>
        <item x="30"/>
        <item x="15"/>
        <item x="65"/>
        <item x="87"/>
        <item x="22"/>
        <item t="default"/>
      </items>
    </pivotField>
    <pivotField axis="axisRow" showAll="0">
      <items count="5">
        <item x="3"/>
        <item x="2"/>
        <item x="0"/>
        <item x="1"/>
        <item t="default"/>
      </items>
    </pivotField>
    <pivotField dataField="1" showAll="0"/>
    <pivotField dataField="1" showAll="0">
      <items count="11">
        <item x="9"/>
        <item x="7"/>
        <item x="1"/>
        <item x="5"/>
        <item x="2"/>
        <item x="6"/>
        <item x="0"/>
        <item x="8"/>
        <item x="4"/>
        <item x="3"/>
        <item t="default"/>
      </items>
    </pivotField>
    <pivotField dataField="1" numFmtId="44"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2">
    <field x="4"/>
    <field x="7"/>
  </rowFields>
  <rowItems count="3">
    <i>
      <x/>
    </i>
    <i>
      <x v="1"/>
    </i>
    <i t="grand">
      <x/>
    </i>
  </rowItems>
  <colFields count="1">
    <field x="-2"/>
  </colFields>
  <colItems count="3">
    <i>
      <x/>
    </i>
    <i i="1">
      <x v="1"/>
    </i>
    <i i="2">
      <x v="2"/>
    </i>
  </colItems>
  <dataFields count="3">
    <dataField name="Average of BonusAmount" fld="10" subtotal="average" baseField="0" baseItem="0"/>
    <dataField name="Average of ProjectsCompleted" fld="9" subtotal="average" baseField="0" baseItem="0"/>
    <dataField name="Average of PerformanceScore" fld="8" subtotal="average" baseField="0" baseItem="0" numFmtId="1"/>
  </dataFields>
  <formats count="4">
    <format dxfId="79">
      <pivotArea collapsedLevelsAreSubtotals="1" fieldPosition="0">
        <references count="2">
          <reference field="4294967294" count="1" selected="0">
            <x v="1"/>
          </reference>
          <reference field="4" count="1">
            <x v="0"/>
          </reference>
        </references>
      </pivotArea>
    </format>
    <format dxfId="80">
      <pivotArea collapsedLevelsAreSubtotals="1" fieldPosition="0">
        <references count="2">
          <reference field="4294967294" count="1" selected="0">
            <x v="1"/>
          </reference>
          <reference field="4" count="1">
            <x v="1"/>
          </reference>
        </references>
      </pivotArea>
    </format>
    <format dxfId="81">
      <pivotArea outline="0" collapsedLevelsAreSubtotals="1" fieldPosition="0">
        <references count="1">
          <reference field="4294967294" count="1" selected="0">
            <x v="2"/>
          </reference>
        </references>
      </pivotArea>
    </format>
    <format dxfId="82">
      <pivotArea field="4" grandRow="1" outline="0" collapsedLevelsAreSubtotals="1" axis="axisRow" fieldPosition="0">
        <references count="1">
          <reference field="4294967294" count="1" selected="0">
            <x v="1"/>
          </reference>
        </references>
      </pivotArea>
    </format>
  </formats>
  <chartFormats count="55">
    <chartFormat chart="78" format="1" series="1">
      <pivotArea type="data" outline="0" fieldPosition="0">
        <references count="1">
          <reference field="4294967294" count="1" selected="0">
            <x v="0"/>
          </reference>
        </references>
      </pivotArea>
    </chartFormat>
    <chartFormat chart="78" format="2" series="1">
      <pivotArea type="data" outline="0" fieldPosition="0">
        <references count="1">
          <reference field="4294967294" count="1" selected="0">
            <x v="1"/>
          </reference>
        </references>
      </pivotArea>
    </chartFormat>
    <chartFormat chart="78" format="3" series="1">
      <pivotArea type="data" outline="0" fieldPosition="0">
        <references count="1">
          <reference field="4294967294" count="1" selected="0">
            <x v="2"/>
          </reference>
        </references>
      </pivotArea>
    </chartFormat>
    <chartFormat chart="80" format="19" series="1">
      <pivotArea type="data" outline="0" fieldPosition="0">
        <references count="1">
          <reference field="4294967294" count="1" selected="0">
            <x v="0"/>
          </reference>
        </references>
      </pivotArea>
    </chartFormat>
    <chartFormat chart="80" format="20">
      <pivotArea type="data" outline="0" fieldPosition="0">
        <references count="2">
          <reference field="4294967294" count="1" selected="0">
            <x v="0"/>
          </reference>
          <reference field="4" count="1" selected="0">
            <x v="0"/>
          </reference>
        </references>
      </pivotArea>
    </chartFormat>
    <chartFormat chart="80" format="21">
      <pivotArea type="data" outline="0" fieldPosition="0">
        <references count="2">
          <reference field="4294967294" count="1" selected="0">
            <x v="0"/>
          </reference>
          <reference field="4" count="1" selected="0">
            <x v="1"/>
          </reference>
        </references>
      </pivotArea>
    </chartFormat>
    <chartFormat chart="80" format="22" series="1">
      <pivotArea type="data" outline="0" fieldPosition="0">
        <references count="1">
          <reference field="4294967294" count="1" selected="0">
            <x v="1"/>
          </reference>
        </references>
      </pivotArea>
    </chartFormat>
    <chartFormat chart="80" format="23">
      <pivotArea type="data" outline="0" fieldPosition="0">
        <references count="2">
          <reference field="4294967294" count="1" selected="0">
            <x v="1"/>
          </reference>
          <reference field="4" count="1" selected="0">
            <x v="0"/>
          </reference>
        </references>
      </pivotArea>
    </chartFormat>
    <chartFormat chart="80" format="24">
      <pivotArea type="data" outline="0" fieldPosition="0">
        <references count="2">
          <reference field="4294967294" count="1" selected="0">
            <x v="1"/>
          </reference>
          <reference field="4" count="1" selected="0">
            <x v="1"/>
          </reference>
        </references>
      </pivotArea>
    </chartFormat>
    <chartFormat chart="80" format="25" series="1">
      <pivotArea type="data" outline="0" fieldPosition="0">
        <references count="1">
          <reference field="4294967294" count="1" selected="0">
            <x v="2"/>
          </reference>
        </references>
      </pivotArea>
    </chartFormat>
    <chartFormat chart="80" format="26">
      <pivotArea type="data" outline="0" fieldPosition="0">
        <references count="2">
          <reference field="4294967294" count="1" selected="0">
            <x v="2"/>
          </reference>
          <reference field="4" count="1" selected="0">
            <x v="0"/>
          </reference>
        </references>
      </pivotArea>
    </chartFormat>
    <chartFormat chart="80" format="27">
      <pivotArea type="data" outline="0" fieldPosition="0">
        <references count="2">
          <reference field="4294967294" count="1" selected="0">
            <x v="2"/>
          </reference>
          <reference field="4" count="1" selected="0">
            <x v="1"/>
          </reference>
        </references>
      </pivotArea>
    </chartFormat>
    <chartFormat chart="80" format="29" series="1">
      <pivotArea type="data" outline="0" fieldPosition="0">
        <references count="2">
          <reference field="4294967294" count="1" selected="0">
            <x v="0"/>
          </reference>
          <reference field="7" count="1" selected="0">
            <x v="1"/>
          </reference>
        </references>
      </pivotArea>
    </chartFormat>
    <chartFormat chart="80" format="30" series="1">
      <pivotArea type="data" outline="0" fieldPosition="0">
        <references count="2">
          <reference field="4294967294" count="1" selected="0">
            <x v="0"/>
          </reference>
          <reference field="7" count="1" selected="0">
            <x v="2"/>
          </reference>
        </references>
      </pivotArea>
    </chartFormat>
    <chartFormat chart="80" format="31" series="1">
      <pivotArea type="data" outline="0" fieldPosition="0">
        <references count="2">
          <reference field="4294967294" count="1" selected="0">
            <x v="0"/>
          </reference>
          <reference field="7" count="1" selected="0">
            <x v="3"/>
          </reference>
        </references>
      </pivotArea>
    </chartFormat>
    <chartFormat chart="80" format="32" series="1">
      <pivotArea type="data" outline="0" fieldPosition="0">
        <references count="2">
          <reference field="4294967294" count="1" selected="0">
            <x v="1"/>
          </reference>
          <reference field="7" count="1" selected="0">
            <x v="0"/>
          </reference>
        </references>
      </pivotArea>
    </chartFormat>
    <chartFormat chart="80" format="33" series="1">
      <pivotArea type="data" outline="0" fieldPosition="0">
        <references count="2">
          <reference field="4294967294" count="1" selected="0">
            <x v="1"/>
          </reference>
          <reference field="7" count="1" selected="0">
            <x v="1"/>
          </reference>
        </references>
      </pivotArea>
    </chartFormat>
    <chartFormat chart="80" format="34" series="1">
      <pivotArea type="data" outline="0" fieldPosition="0">
        <references count="2">
          <reference field="4294967294" count="1" selected="0">
            <x v="1"/>
          </reference>
          <reference field="7" count="1" selected="0">
            <x v="2"/>
          </reference>
        </references>
      </pivotArea>
    </chartFormat>
    <chartFormat chart="80" format="35" series="1">
      <pivotArea type="data" outline="0" fieldPosition="0">
        <references count="2">
          <reference field="4294967294" count="1" selected="0">
            <x v="1"/>
          </reference>
          <reference field="7" count="1" selected="0">
            <x v="3"/>
          </reference>
        </references>
      </pivotArea>
    </chartFormat>
    <chartFormat chart="80" format="36" series="1">
      <pivotArea type="data" outline="0" fieldPosition="0">
        <references count="2">
          <reference field="4294967294" count="1" selected="0">
            <x v="2"/>
          </reference>
          <reference field="7" count="1" selected="0">
            <x v="0"/>
          </reference>
        </references>
      </pivotArea>
    </chartFormat>
    <chartFormat chart="80" format="37" series="1">
      <pivotArea type="data" outline="0" fieldPosition="0">
        <references count="2">
          <reference field="4294967294" count="1" selected="0">
            <x v="2"/>
          </reference>
          <reference field="7" count="1" selected="0">
            <x v="1"/>
          </reference>
        </references>
      </pivotArea>
    </chartFormat>
    <chartFormat chart="80" format="38" series="1">
      <pivotArea type="data" outline="0" fieldPosition="0">
        <references count="2">
          <reference field="4294967294" count="1" selected="0">
            <x v="2"/>
          </reference>
          <reference field="7" count="1" selected="0">
            <x v="2"/>
          </reference>
        </references>
      </pivotArea>
    </chartFormat>
    <chartFormat chart="80" format="39" series="1">
      <pivotArea type="data" outline="0" fieldPosition="0">
        <references count="2">
          <reference field="4294967294" count="1" selected="0">
            <x v="2"/>
          </reference>
          <reference field="7" count="1" selected="0">
            <x v="3"/>
          </reference>
        </references>
      </pivotArea>
    </chartFormat>
    <chartFormat chart="78" format="5" series="1">
      <pivotArea type="data" outline="0" fieldPosition="0">
        <references count="2">
          <reference field="4294967294" count="1" selected="0">
            <x v="0"/>
          </reference>
          <reference field="7" count="1" selected="0">
            <x v="1"/>
          </reference>
        </references>
      </pivotArea>
    </chartFormat>
    <chartFormat chart="78" format="6" series="1">
      <pivotArea type="data" outline="0" fieldPosition="0">
        <references count="2">
          <reference field="4294967294" count="1" selected="0">
            <x v="0"/>
          </reference>
          <reference field="7" count="1" selected="0">
            <x v="2"/>
          </reference>
        </references>
      </pivotArea>
    </chartFormat>
    <chartFormat chart="78" format="7" series="1">
      <pivotArea type="data" outline="0" fieldPosition="0">
        <references count="2">
          <reference field="4294967294" count="1" selected="0">
            <x v="0"/>
          </reference>
          <reference field="7" count="1" selected="0">
            <x v="3"/>
          </reference>
        </references>
      </pivotArea>
    </chartFormat>
    <chartFormat chart="78" format="8" series="1">
      <pivotArea type="data" outline="0" fieldPosition="0">
        <references count="2">
          <reference field="4294967294" count="1" selected="0">
            <x v="1"/>
          </reference>
          <reference field="7" count="1" selected="0">
            <x v="0"/>
          </reference>
        </references>
      </pivotArea>
    </chartFormat>
    <chartFormat chart="78" format="9" series="1">
      <pivotArea type="data" outline="0" fieldPosition="0">
        <references count="2">
          <reference field="4294967294" count="1" selected="0">
            <x v="1"/>
          </reference>
          <reference field="7" count="1" selected="0">
            <x v="1"/>
          </reference>
        </references>
      </pivotArea>
    </chartFormat>
    <chartFormat chart="78" format="10" series="1">
      <pivotArea type="data" outline="0" fieldPosition="0">
        <references count="2">
          <reference field="4294967294" count="1" selected="0">
            <x v="1"/>
          </reference>
          <reference field="7" count="1" selected="0">
            <x v="2"/>
          </reference>
        </references>
      </pivotArea>
    </chartFormat>
    <chartFormat chart="78" format="11" series="1">
      <pivotArea type="data" outline="0" fieldPosition="0">
        <references count="2">
          <reference field="4294967294" count="1" selected="0">
            <x v="1"/>
          </reference>
          <reference field="7" count="1" selected="0">
            <x v="3"/>
          </reference>
        </references>
      </pivotArea>
    </chartFormat>
    <chartFormat chart="78" format="12" series="1">
      <pivotArea type="data" outline="0" fieldPosition="0">
        <references count="2">
          <reference field="4294967294" count="1" selected="0">
            <x v="2"/>
          </reference>
          <reference field="7" count="1" selected="0">
            <x v="0"/>
          </reference>
        </references>
      </pivotArea>
    </chartFormat>
    <chartFormat chart="78" format="13" series="1">
      <pivotArea type="data" outline="0" fieldPosition="0">
        <references count="2">
          <reference field="4294967294" count="1" selected="0">
            <x v="2"/>
          </reference>
          <reference field="7" count="1" selected="0">
            <x v="1"/>
          </reference>
        </references>
      </pivotArea>
    </chartFormat>
    <chartFormat chart="78" format="14" series="1">
      <pivotArea type="data" outline="0" fieldPosition="0">
        <references count="2">
          <reference field="4294967294" count="1" selected="0">
            <x v="2"/>
          </reference>
          <reference field="7" count="1" selected="0">
            <x v="2"/>
          </reference>
        </references>
      </pivotArea>
    </chartFormat>
    <chartFormat chart="78" format="15" series="1">
      <pivotArea type="data" outline="0" fieldPosition="0">
        <references count="2">
          <reference field="4294967294" count="1" selected="0">
            <x v="2"/>
          </reference>
          <reference field="7" count="1" selected="0">
            <x v="3"/>
          </reference>
        </references>
      </pivotArea>
    </chartFormat>
    <chartFormat chart="80" format="44">
      <pivotArea type="data" outline="0" fieldPosition="0">
        <references count="3">
          <reference field="4294967294" count="1" selected="0">
            <x v="0"/>
          </reference>
          <reference field="4" count="1" selected="0">
            <x v="1"/>
          </reference>
          <reference field="7" count="1" selected="0">
            <x v="0"/>
          </reference>
        </references>
      </pivotArea>
    </chartFormat>
    <chartFormat chart="80" format="45">
      <pivotArea type="data" outline="0" fieldPosition="0">
        <references count="3">
          <reference field="4294967294" count="1" selected="0">
            <x v="0"/>
          </reference>
          <reference field="4" count="1" selected="0">
            <x v="1"/>
          </reference>
          <reference field="7" count="1" selected="0">
            <x v="1"/>
          </reference>
        </references>
      </pivotArea>
    </chartFormat>
    <chartFormat chart="80" format="46">
      <pivotArea type="data" outline="0" fieldPosition="0">
        <references count="3">
          <reference field="4294967294" count="1" selected="0">
            <x v="0"/>
          </reference>
          <reference field="4" count="1" selected="0">
            <x v="1"/>
          </reference>
          <reference field="7" count="1" selected="0">
            <x v="2"/>
          </reference>
        </references>
      </pivotArea>
    </chartFormat>
    <chartFormat chart="80" format="47">
      <pivotArea type="data" outline="0" fieldPosition="0">
        <references count="3">
          <reference field="4294967294" count="1" selected="0">
            <x v="0"/>
          </reference>
          <reference field="4" count="1" selected="0">
            <x v="1"/>
          </reference>
          <reference field="7" count="1" selected="0">
            <x v="3"/>
          </reference>
        </references>
      </pivotArea>
    </chartFormat>
    <chartFormat chart="80" format="48">
      <pivotArea type="data" outline="0" fieldPosition="0">
        <references count="3">
          <reference field="4294967294" count="1" selected="0">
            <x v="1"/>
          </reference>
          <reference field="4" count="1" selected="0">
            <x v="1"/>
          </reference>
          <reference field="7" count="1" selected="0">
            <x v="0"/>
          </reference>
        </references>
      </pivotArea>
    </chartFormat>
    <chartFormat chart="80" format="49">
      <pivotArea type="data" outline="0" fieldPosition="0">
        <references count="3">
          <reference field="4294967294" count="1" selected="0">
            <x v="1"/>
          </reference>
          <reference field="4" count="1" selected="0">
            <x v="1"/>
          </reference>
          <reference field="7" count="1" selected="0">
            <x v="1"/>
          </reference>
        </references>
      </pivotArea>
    </chartFormat>
    <chartFormat chart="80" format="50">
      <pivotArea type="data" outline="0" fieldPosition="0">
        <references count="3">
          <reference field="4294967294" count="1" selected="0">
            <x v="1"/>
          </reference>
          <reference field="4" count="1" selected="0">
            <x v="1"/>
          </reference>
          <reference field="7" count="1" selected="0">
            <x v="2"/>
          </reference>
        </references>
      </pivotArea>
    </chartFormat>
    <chartFormat chart="80" format="51">
      <pivotArea type="data" outline="0" fieldPosition="0">
        <references count="3">
          <reference field="4294967294" count="1" selected="0">
            <x v="1"/>
          </reference>
          <reference field="4" count="1" selected="0">
            <x v="1"/>
          </reference>
          <reference field="7" count="1" selected="0">
            <x v="3"/>
          </reference>
        </references>
      </pivotArea>
    </chartFormat>
    <chartFormat chart="80" format="52">
      <pivotArea type="data" outline="0" fieldPosition="0">
        <references count="3">
          <reference field="4294967294" count="1" selected="0">
            <x v="2"/>
          </reference>
          <reference field="4" count="1" selected="0">
            <x v="1"/>
          </reference>
          <reference field="7" count="1" selected="0">
            <x v="0"/>
          </reference>
        </references>
      </pivotArea>
    </chartFormat>
    <chartFormat chart="80" format="53">
      <pivotArea type="data" outline="0" fieldPosition="0">
        <references count="3">
          <reference field="4294967294" count="1" selected="0">
            <x v="2"/>
          </reference>
          <reference field="4" count="1" selected="0">
            <x v="1"/>
          </reference>
          <reference field="7" count="1" selected="0">
            <x v="1"/>
          </reference>
        </references>
      </pivotArea>
    </chartFormat>
    <chartFormat chart="80" format="54">
      <pivotArea type="data" outline="0" fieldPosition="0">
        <references count="3">
          <reference field="4294967294" count="1" selected="0">
            <x v="2"/>
          </reference>
          <reference field="4" count="1" selected="0">
            <x v="1"/>
          </reference>
          <reference field="7" count="1" selected="0">
            <x v="2"/>
          </reference>
        </references>
      </pivotArea>
    </chartFormat>
    <chartFormat chart="80" format="55">
      <pivotArea type="data" outline="0" fieldPosition="0">
        <references count="3">
          <reference field="4294967294" count="1" selected="0">
            <x v="2"/>
          </reference>
          <reference field="4" count="1" selected="0">
            <x v="1"/>
          </reference>
          <reference field="7" count="1" selected="0">
            <x v="3"/>
          </reference>
        </references>
      </pivotArea>
    </chartFormat>
    <chartFormat chart="78" format="18">
      <pivotArea type="data" outline="0" fieldPosition="0">
        <references count="2">
          <reference field="4294967294" count="1" selected="0">
            <x v="0"/>
          </reference>
          <reference field="4" count="1" selected="0">
            <x v="0"/>
          </reference>
        </references>
      </pivotArea>
    </chartFormat>
    <chartFormat chart="78" format="19">
      <pivotArea type="data" outline="0" fieldPosition="0">
        <references count="2">
          <reference field="4294967294" count="1" selected="0">
            <x v="0"/>
          </reference>
          <reference field="4" count="1" selected="0">
            <x v="1"/>
          </reference>
        </references>
      </pivotArea>
    </chartFormat>
    <chartFormat chart="78" format="20">
      <pivotArea type="data" outline="0" fieldPosition="0">
        <references count="2">
          <reference field="4294967294" count="1" selected="0">
            <x v="1"/>
          </reference>
          <reference field="4" count="1" selected="0">
            <x v="0"/>
          </reference>
        </references>
      </pivotArea>
    </chartFormat>
    <chartFormat chart="78" format="21">
      <pivotArea type="data" outline="0" fieldPosition="0">
        <references count="2">
          <reference field="4294967294" count="1" selected="0">
            <x v="1"/>
          </reference>
          <reference field="4" count="1" selected="0">
            <x v="1"/>
          </reference>
        </references>
      </pivotArea>
    </chartFormat>
    <chartFormat chart="78" format="22">
      <pivotArea type="data" outline="0" fieldPosition="0">
        <references count="2">
          <reference field="4294967294" count="1" selected="0">
            <x v="2"/>
          </reference>
          <reference field="4" count="1" selected="0">
            <x v="0"/>
          </reference>
        </references>
      </pivotArea>
    </chartFormat>
    <chartFormat chart="78" format="23">
      <pivotArea type="data" outline="0" fieldPosition="0">
        <references count="2">
          <reference field="4294967294" count="1" selected="0">
            <x v="2"/>
          </reference>
          <reference field="4" count="1" selected="0">
            <x v="1"/>
          </reference>
        </references>
      </pivotArea>
    </chartFormat>
    <chartFormat chart="86" format="0" series="1">
      <pivotArea type="data" outline="0" fieldPosition="0">
        <references count="1">
          <reference field="4294967294" count="1" selected="0">
            <x v="0"/>
          </reference>
        </references>
      </pivotArea>
    </chartFormat>
    <chartFormat chart="86" format="1" series="1">
      <pivotArea type="data" outline="0" fieldPosition="0">
        <references count="1">
          <reference field="4294967294" count="1" selected="0">
            <x v="1"/>
          </reference>
        </references>
      </pivotArea>
    </chartFormat>
    <chartFormat chart="86" format="2" series="1">
      <pivotArea type="data" outline="0" fieldPosition="0">
        <references count="1">
          <reference field="4294967294" count="1" selected="0">
            <x v="2"/>
          </reference>
        </references>
      </pivotArea>
    </chartFormat>
  </chart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FB4522C-D2ED-4DFB-A90B-80837362A8AF}" name="PivotTable1" cacheId="1707"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13:B19" firstHeaderRow="1" firstDataRow="1" firstDataCol="1"/>
  <pivotFields count="15">
    <pivotField showAll="0"/>
    <pivotField showAll="0"/>
    <pivotField showAll="0"/>
    <pivotField showAll="0"/>
    <pivotField showAll="0"/>
    <pivotField axis="axisRow" showAll="0" sortType="ascending">
      <items count="6">
        <item x="3"/>
        <item x="1"/>
        <item x="0"/>
        <item x="2"/>
        <item x="4"/>
        <item t="default"/>
      </items>
    </pivotField>
    <pivotField numFmtId="14" showAll="0">
      <items count="99">
        <item x="93"/>
        <item x="36"/>
        <item x="46"/>
        <item x="16"/>
        <item x="27"/>
        <item x="58"/>
        <item x="78"/>
        <item x="12"/>
        <item x="50"/>
        <item x="84"/>
        <item x="42"/>
        <item x="8"/>
        <item x="24"/>
        <item x="73"/>
        <item x="89"/>
        <item x="32"/>
        <item x="3"/>
        <item x="9"/>
        <item x="10"/>
        <item x="34"/>
        <item x="44"/>
        <item x="13"/>
        <item x="26"/>
        <item x="21"/>
        <item x="40"/>
        <item x="68"/>
        <item x="75"/>
        <item x="63"/>
        <item x="29"/>
        <item x="91"/>
        <item x="47"/>
        <item x="86"/>
        <item x="23"/>
        <item x="82"/>
        <item x="2"/>
        <item x="71"/>
        <item x="5"/>
        <item x="31"/>
        <item x="60"/>
        <item x="38"/>
        <item x="18"/>
        <item x="66"/>
        <item x="55"/>
        <item x="52"/>
        <item x="95"/>
        <item x="80"/>
        <item x="41"/>
        <item x="4"/>
        <item x="53"/>
        <item x="0"/>
        <item x="85"/>
        <item x="11"/>
        <item x="90"/>
        <item x="6"/>
        <item x="70"/>
        <item x="61"/>
        <item x="79"/>
        <item x="33"/>
        <item x="17"/>
        <item x="97"/>
        <item x="59"/>
        <item x="88"/>
        <item x="37"/>
        <item x="14"/>
        <item x="56"/>
        <item x="25"/>
        <item x="76"/>
        <item x="67"/>
        <item x="51"/>
        <item x="20"/>
        <item x="45"/>
        <item x="81"/>
        <item x="74"/>
        <item x="94"/>
        <item x="28"/>
        <item x="48"/>
        <item x="64"/>
        <item x="69"/>
        <item x="35"/>
        <item x="77"/>
        <item x="62"/>
        <item x="19"/>
        <item x="49"/>
        <item x="83"/>
        <item x="54"/>
        <item x="92"/>
        <item x="1"/>
        <item x="57"/>
        <item x="7"/>
        <item x="39"/>
        <item x="72"/>
        <item x="43"/>
        <item x="96"/>
        <item x="30"/>
        <item x="15"/>
        <item x="65"/>
        <item x="87"/>
        <item x="22"/>
        <item t="default"/>
      </items>
    </pivotField>
    <pivotField showAll="0"/>
    <pivotField dataField="1" showAll="0"/>
    <pivotField showAll="0"/>
    <pivotField numFmtId="44"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h="1" sd="0" x="0"/>
        <item sd="0" x="1"/>
        <item sd="0" x="2"/>
        <item sd="0" x="3"/>
        <item sd="0" x="4"/>
        <item h="1" sd="0" x="5"/>
        <item t="default"/>
      </items>
    </pivotField>
  </pivotFields>
  <rowFields count="1">
    <field x="5"/>
  </rowFields>
  <rowItems count="6">
    <i>
      <x/>
    </i>
    <i>
      <x v="1"/>
    </i>
    <i>
      <x v="2"/>
    </i>
    <i>
      <x v="3"/>
    </i>
    <i>
      <x v="4"/>
    </i>
    <i t="grand">
      <x/>
    </i>
  </rowItems>
  <colItems count="1">
    <i/>
  </colItems>
  <dataFields count="1">
    <dataField name="Sum of PerformanceScore" fld="8" baseField="0" baseItem="0"/>
  </dataFields>
  <chartFormats count="2">
    <chartFormat chart="3" format="3"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73B118F-0BFE-4570-B42E-22B1A789967A}" name="PivotTable8" cacheId="170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8">
  <location ref="A61:C64" firstHeaderRow="0" firstDataRow="1" firstDataCol="1"/>
  <pivotFields count="15">
    <pivotField showAll="0"/>
    <pivotField showAll="0"/>
    <pivotField showAll="0"/>
    <pivotField showAll="0"/>
    <pivotField axis="axisRow" showAll="0">
      <items count="3">
        <item sd="0" x="1"/>
        <item sd="0" x="0"/>
        <item t="default"/>
      </items>
    </pivotField>
    <pivotField showAll="0">
      <items count="6">
        <item x="3"/>
        <item x="1"/>
        <item x="0"/>
        <item x="2"/>
        <item x="4"/>
        <item t="default"/>
      </items>
    </pivotField>
    <pivotField numFmtId="14" showAll="0">
      <items count="99">
        <item x="93"/>
        <item x="36"/>
        <item x="46"/>
        <item x="16"/>
        <item x="27"/>
        <item x="58"/>
        <item x="78"/>
        <item x="12"/>
        <item x="50"/>
        <item x="84"/>
        <item x="42"/>
        <item x="8"/>
        <item x="24"/>
        <item x="73"/>
        <item x="89"/>
        <item x="32"/>
        <item x="3"/>
        <item x="9"/>
        <item x="10"/>
        <item x="34"/>
        <item x="44"/>
        <item x="13"/>
        <item x="26"/>
        <item x="21"/>
        <item x="40"/>
        <item x="68"/>
        <item x="75"/>
        <item x="63"/>
        <item x="29"/>
        <item x="91"/>
        <item x="47"/>
        <item x="86"/>
        <item x="23"/>
        <item x="82"/>
        <item x="2"/>
        <item x="71"/>
        <item x="5"/>
        <item x="31"/>
        <item x="60"/>
        <item x="38"/>
        <item x="18"/>
        <item x="66"/>
        <item x="55"/>
        <item x="52"/>
        <item x="95"/>
        <item x="80"/>
        <item x="41"/>
        <item x="4"/>
        <item x="53"/>
        <item x="0"/>
        <item x="85"/>
        <item x="11"/>
        <item x="90"/>
        <item x="6"/>
        <item x="70"/>
        <item x="61"/>
        <item x="79"/>
        <item x="33"/>
        <item x="17"/>
        <item x="97"/>
        <item x="59"/>
        <item x="88"/>
        <item x="37"/>
        <item x="14"/>
        <item x="56"/>
        <item x="25"/>
        <item x="76"/>
        <item x="67"/>
        <item x="51"/>
        <item x="20"/>
        <item x="45"/>
        <item x="81"/>
        <item x="74"/>
        <item x="94"/>
        <item x="28"/>
        <item x="48"/>
        <item x="64"/>
        <item x="69"/>
        <item x="35"/>
        <item x="77"/>
        <item x="62"/>
        <item x="19"/>
        <item x="49"/>
        <item x="83"/>
        <item x="54"/>
        <item x="92"/>
        <item x="1"/>
        <item x="57"/>
        <item x="7"/>
        <item x="39"/>
        <item x="72"/>
        <item x="43"/>
        <item x="96"/>
        <item x="30"/>
        <item x="15"/>
        <item x="65"/>
        <item x="87"/>
        <item x="22"/>
        <item t="default"/>
      </items>
    </pivotField>
    <pivotField axis="axisRow" showAll="0">
      <items count="5">
        <item x="3"/>
        <item x="2"/>
        <item x="0"/>
        <item x="1"/>
        <item t="default"/>
      </items>
    </pivotField>
    <pivotField dataField="1" showAll="0"/>
    <pivotField showAll="0">
      <items count="11">
        <item x="9"/>
        <item x="7"/>
        <item x="1"/>
        <item x="5"/>
        <item x="2"/>
        <item x="6"/>
        <item x="0"/>
        <item x="8"/>
        <item x="4"/>
        <item x="3"/>
        <item t="default"/>
      </items>
    </pivotField>
    <pivotField dataField="1" numFmtId="44"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2">
    <field x="4"/>
    <field x="7"/>
  </rowFields>
  <rowItems count="3">
    <i>
      <x/>
    </i>
    <i>
      <x v="1"/>
    </i>
    <i t="grand">
      <x/>
    </i>
  </rowItems>
  <colFields count="1">
    <field x="-2"/>
  </colFields>
  <colItems count="2">
    <i>
      <x/>
    </i>
    <i i="1">
      <x v="1"/>
    </i>
  </colItems>
  <dataFields count="2">
    <dataField name="Average of BonusAmount" fld="10" subtotal="average" baseField="0" baseItem="0"/>
    <dataField name="Average of PerformanceScore" fld="8" subtotal="average" baseField="0" baseItem="0" numFmtId="1"/>
  </dataFields>
  <formats count="2">
    <format dxfId="77">
      <pivotArea outline="0" collapsedLevelsAreSubtotals="1" fieldPosition="0">
        <references count="1">
          <reference field="4294967294" count="1" selected="0">
            <x v="1"/>
          </reference>
        </references>
      </pivotArea>
    </format>
    <format dxfId="78">
      <pivotArea field="4" grandRow="1" outline="0" collapsedLevelsAreSubtotals="1" axis="axisRow" fieldPosition="0">
        <references count="1">
          <reference field="4294967294" count="1" selected="0">
            <x v="0"/>
          </reference>
        </references>
      </pivotArea>
    </format>
  </formats>
  <chartFormats count="38">
    <chartFormat chart="78" format="1" series="1">
      <pivotArea type="data" outline="0" fieldPosition="0">
        <references count="1">
          <reference field="4294967294" count="1" selected="0">
            <x v="0"/>
          </reference>
        </references>
      </pivotArea>
    </chartFormat>
    <chartFormat chart="78" format="3" series="1">
      <pivotArea type="data" outline="0" fieldPosition="0">
        <references count="1">
          <reference field="4294967294" count="1" selected="0">
            <x v="1"/>
          </reference>
        </references>
      </pivotArea>
    </chartFormat>
    <chartFormat chart="80" format="19" series="1">
      <pivotArea type="data" outline="0" fieldPosition="0">
        <references count="1">
          <reference field="4294967294" count="1" selected="0">
            <x v="0"/>
          </reference>
        </references>
      </pivotArea>
    </chartFormat>
    <chartFormat chart="80" format="20">
      <pivotArea type="data" outline="0" fieldPosition="0">
        <references count="2">
          <reference field="4294967294" count="1" selected="0">
            <x v="0"/>
          </reference>
          <reference field="4" count="1" selected="0">
            <x v="0"/>
          </reference>
        </references>
      </pivotArea>
    </chartFormat>
    <chartFormat chart="80" format="21">
      <pivotArea type="data" outline="0" fieldPosition="0">
        <references count="2">
          <reference field="4294967294" count="1" selected="0">
            <x v="0"/>
          </reference>
          <reference field="4" count="1" selected="0">
            <x v="1"/>
          </reference>
        </references>
      </pivotArea>
    </chartFormat>
    <chartFormat chart="80" format="25" series="1">
      <pivotArea type="data" outline="0" fieldPosition="0">
        <references count="1">
          <reference field="4294967294" count="1" selected="0">
            <x v="1"/>
          </reference>
        </references>
      </pivotArea>
    </chartFormat>
    <chartFormat chart="80" format="26">
      <pivotArea type="data" outline="0" fieldPosition="0">
        <references count="2">
          <reference field="4294967294" count="1" selected="0">
            <x v="1"/>
          </reference>
          <reference field="4" count="1" selected="0">
            <x v="0"/>
          </reference>
        </references>
      </pivotArea>
    </chartFormat>
    <chartFormat chart="80" format="27">
      <pivotArea type="data" outline="0" fieldPosition="0">
        <references count="2">
          <reference field="4294967294" count="1" selected="0">
            <x v="1"/>
          </reference>
          <reference field="4" count="1" selected="0">
            <x v="1"/>
          </reference>
        </references>
      </pivotArea>
    </chartFormat>
    <chartFormat chart="80" format="29" series="1">
      <pivotArea type="data" outline="0" fieldPosition="0">
        <references count="2">
          <reference field="4294967294" count="1" selected="0">
            <x v="0"/>
          </reference>
          <reference field="7" count="1" selected="0">
            <x v="1"/>
          </reference>
        </references>
      </pivotArea>
    </chartFormat>
    <chartFormat chart="80" format="30" series="1">
      <pivotArea type="data" outline="0" fieldPosition="0">
        <references count="2">
          <reference field="4294967294" count="1" selected="0">
            <x v="0"/>
          </reference>
          <reference field="7" count="1" selected="0">
            <x v="2"/>
          </reference>
        </references>
      </pivotArea>
    </chartFormat>
    <chartFormat chart="80" format="31" series="1">
      <pivotArea type="data" outline="0" fieldPosition="0">
        <references count="2">
          <reference field="4294967294" count="1" selected="0">
            <x v="0"/>
          </reference>
          <reference field="7" count="1" selected="0">
            <x v="3"/>
          </reference>
        </references>
      </pivotArea>
    </chartFormat>
    <chartFormat chart="80" format="36" series="1">
      <pivotArea type="data" outline="0" fieldPosition="0">
        <references count="2">
          <reference field="4294967294" count="1" selected="0">
            <x v="1"/>
          </reference>
          <reference field="7" count="1" selected="0">
            <x v="0"/>
          </reference>
        </references>
      </pivotArea>
    </chartFormat>
    <chartFormat chart="80" format="37" series="1">
      <pivotArea type="data" outline="0" fieldPosition="0">
        <references count="2">
          <reference field="4294967294" count="1" selected="0">
            <x v="1"/>
          </reference>
          <reference field="7" count="1" selected="0">
            <x v="1"/>
          </reference>
        </references>
      </pivotArea>
    </chartFormat>
    <chartFormat chart="80" format="38" series="1">
      <pivotArea type="data" outline="0" fieldPosition="0">
        <references count="2">
          <reference field="4294967294" count="1" selected="0">
            <x v="1"/>
          </reference>
          <reference field="7" count="1" selected="0">
            <x v="2"/>
          </reference>
        </references>
      </pivotArea>
    </chartFormat>
    <chartFormat chart="80" format="39" series="1">
      <pivotArea type="data" outline="0" fieldPosition="0">
        <references count="2">
          <reference field="4294967294" count="1" selected="0">
            <x v="1"/>
          </reference>
          <reference field="7" count="1" selected="0">
            <x v="3"/>
          </reference>
        </references>
      </pivotArea>
    </chartFormat>
    <chartFormat chart="78" format="5" series="1">
      <pivotArea type="data" outline="0" fieldPosition="0">
        <references count="2">
          <reference field="4294967294" count="1" selected="0">
            <x v="0"/>
          </reference>
          <reference field="7" count="1" selected="0">
            <x v="1"/>
          </reference>
        </references>
      </pivotArea>
    </chartFormat>
    <chartFormat chart="78" format="6" series="1">
      <pivotArea type="data" outline="0" fieldPosition="0">
        <references count="2">
          <reference field="4294967294" count="1" selected="0">
            <x v="0"/>
          </reference>
          <reference field="7" count="1" selected="0">
            <x v="2"/>
          </reference>
        </references>
      </pivotArea>
    </chartFormat>
    <chartFormat chart="78" format="7" series="1">
      <pivotArea type="data" outline="0" fieldPosition="0">
        <references count="2">
          <reference field="4294967294" count="1" selected="0">
            <x v="0"/>
          </reference>
          <reference field="7" count="1" selected="0">
            <x v="3"/>
          </reference>
        </references>
      </pivotArea>
    </chartFormat>
    <chartFormat chart="78" format="12" series="1">
      <pivotArea type="data" outline="0" fieldPosition="0">
        <references count="2">
          <reference field="4294967294" count="1" selected="0">
            <x v="1"/>
          </reference>
          <reference field="7" count="1" selected="0">
            <x v="0"/>
          </reference>
        </references>
      </pivotArea>
    </chartFormat>
    <chartFormat chart="78" format="13" series="1">
      <pivotArea type="data" outline="0" fieldPosition="0">
        <references count="2">
          <reference field="4294967294" count="1" selected="0">
            <x v="1"/>
          </reference>
          <reference field="7" count="1" selected="0">
            <x v="1"/>
          </reference>
        </references>
      </pivotArea>
    </chartFormat>
    <chartFormat chart="78" format="14" series="1">
      <pivotArea type="data" outline="0" fieldPosition="0">
        <references count="2">
          <reference field="4294967294" count="1" selected="0">
            <x v="1"/>
          </reference>
          <reference field="7" count="1" selected="0">
            <x v="2"/>
          </reference>
        </references>
      </pivotArea>
    </chartFormat>
    <chartFormat chart="78" format="15" series="1">
      <pivotArea type="data" outline="0" fieldPosition="0">
        <references count="2">
          <reference field="4294967294" count="1" selected="0">
            <x v="1"/>
          </reference>
          <reference field="7" count="1" selected="0">
            <x v="3"/>
          </reference>
        </references>
      </pivotArea>
    </chartFormat>
    <chartFormat chart="80" format="44">
      <pivotArea type="data" outline="0" fieldPosition="0">
        <references count="3">
          <reference field="4294967294" count="1" selected="0">
            <x v="0"/>
          </reference>
          <reference field="4" count="1" selected="0">
            <x v="1"/>
          </reference>
          <reference field="7" count="1" selected="0">
            <x v="0"/>
          </reference>
        </references>
      </pivotArea>
    </chartFormat>
    <chartFormat chart="80" format="45">
      <pivotArea type="data" outline="0" fieldPosition="0">
        <references count="3">
          <reference field="4294967294" count="1" selected="0">
            <x v="0"/>
          </reference>
          <reference field="4" count="1" selected="0">
            <x v="1"/>
          </reference>
          <reference field="7" count="1" selected="0">
            <x v="1"/>
          </reference>
        </references>
      </pivotArea>
    </chartFormat>
    <chartFormat chart="80" format="46">
      <pivotArea type="data" outline="0" fieldPosition="0">
        <references count="3">
          <reference field="4294967294" count="1" selected="0">
            <x v="0"/>
          </reference>
          <reference field="4" count="1" selected="0">
            <x v="1"/>
          </reference>
          <reference field="7" count="1" selected="0">
            <x v="2"/>
          </reference>
        </references>
      </pivotArea>
    </chartFormat>
    <chartFormat chart="80" format="47">
      <pivotArea type="data" outline="0" fieldPosition="0">
        <references count="3">
          <reference field="4294967294" count="1" selected="0">
            <x v="0"/>
          </reference>
          <reference field="4" count="1" selected="0">
            <x v="1"/>
          </reference>
          <reference field="7" count="1" selected="0">
            <x v="3"/>
          </reference>
        </references>
      </pivotArea>
    </chartFormat>
    <chartFormat chart="80" format="52">
      <pivotArea type="data" outline="0" fieldPosition="0">
        <references count="3">
          <reference field="4294967294" count="1" selected="0">
            <x v="1"/>
          </reference>
          <reference field="4" count="1" selected="0">
            <x v="1"/>
          </reference>
          <reference field="7" count="1" selected="0">
            <x v="0"/>
          </reference>
        </references>
      </pivotArea>
    </chartFormat>
    <chartFormat chart="80" format="53">
      <pivotArea type="data" outline="0" fieldPosition="0">
        <references count="3">
          <reference field="4294967294" count="1" selected="0">
            <x v="1"/>
          </reference>
          <reference field="4" count="1" selected="0">
            <x v="1"/>
          </reference>
          <reference field="7" count="1" selected="0">
            <x v="1"/>
          </reference>
        </references>
      </pivotArea>
    </chartFormat>
    <chartFormat chart="80" format="54">
      <pivotArea type="data" outline="0" fieldPosition="0">
        <references count="3">
          <reference field="4294967294" count="1" selected="0">
            <x v="1"/>
          </reference>
          <reference field="4" count="1" selected="0">
            <x v="1"/>
          </reference>
          <reference field="7" count="1" selected="0">
            <x v="2"/>
          </reference>
        </references>
      </pivotArea>
    </chartFormat>
    <chartFormat chart="80" format="55">
      <pivotArea type="data" outline="0" fieldPosition="0">
        <references count="3">
          <reference field="4294967294" count="1" selected="0">
            <x v="1"/>
          </reference>
          <reference field="4" count="1" selected="0">
            <x v="1"/>
          </reference>
          <reference field="7" count="1" selected="0">
            <x v="3"/>
          </reference>
        </references>
      </pivotArea>
    </chartFormat>
    <chartFormat chart="78" format="18">
      <pivotArea type="data" outline="0" fieldPosition="0">
        <references count="2">
          <reference field="4294967294" count="1" selected="0">
            <x v="0"/>
          </reference>
          <reference field="4" count="1" selected="0">
            <x v="0"/>
          </reference>
        </references>
      </pivotArea>
    </chartFormat>
    <chartFormat chart="78" format="19">
      <pivotArea type="data" outline="0" fieldPosition="0">
        <references count="2">
          <reference field="4294967294" count="1" selected="0">
            <x v="0"/>
          </reference>
          <reference field="4" count="1" selected="0">
            <x v="1"/>
          </reference>
        </references>
      </pivotArea>
    </chartFormat>
    <chartFormat chart="78" format="22">
      <pivotArea type="data" outline="0" fieldPosition="0">
        <references count="2">
          <reference field="4294967294" count="1" selected="0">
            <x v="1"/>
          </reference>
          <reference field="4" count="1" selected="0">
            <x v="0"/>
          </reference>
        </references>
      </pivotArea>
    </chartFormat>
    <chartFormat chart="78" format="23">
      <pivotArea type="data" outline="0" fieldPosition="0">
        <references count="2">
          <reference field="4294967294" count="1" selected="0">
            <x v="1"/>
          </reference>
          <reference field="4" count="1" selected="0">
            <x v="1"/>
          </reference>
        </references>
      </pivotArea>
    </chartFormat>
    <chartFormat chart="89" format="0" series="1">
      <pivotArea type="data" outline="0" fieldPosition="0">
        <references count="1">
          <reference field="4294967294" count="1" selected="0">
            <x v="0"/>
          </reference>
        </references>
      </pivotArea>
    </chartFormat>
    <chartFormat chart="89" format="1" series="1">
      <pivotArea type="data" outline="0" fieldPosition="0">
        <references count="1">
          <reference field="4294967294" count="1" selected="0">
            <x v="1"/>
          </reference>
        </references>
      </pivotArea>
    </chartFormat>
    <chartFormat chart="95" format="4" series="1">
      <pivotArea type="data" outline="0" fieldPosition="0">
        <references count="1">
          <reference field="4294967294" count="1" selected="0">
            <x v="0"/>
          </reference>
        </references>
      </pivotArea>
    </chartFormat>
    <chartFormat chart="95" format="5" series="1">
      <pivotArea type="data" outline="0" fieldPosition="0">
        <references count="1">
          <reference field="4294967294" count="1" selected="0">
            <x v="1"/>
          </reference>
        </references>
      </pivotArea>
    </chartFormat>
  </chart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457806-6587-473D-9243-766629E5A9D7}" name="PivotTable7" cacheId="170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9">
  <location ref="A52:D58" firstHeaderRow="1" firstDataRow="2" firstDataCol="1"/>
  <pivotFields count="15">
    <pivotField showAll="0"/>
    <pivotField showAll="0"/>
    <pivotField showAll="0"/>
    <pivotField showAll="0"/>
    <pivotField axis="axisCol" showAll="0">
      <items count="3">
        <item sd="0" x="1"/>
        <item sd="0" x="0"/>
        <item t="default"/>
      </items>
    </pivotField>
    <pivotField showAll="0">
      <items count="6">
        <item x="3"/>
        <item x="1"/>
        <item x="0"/>
        <item x="2"/>
        <item x="4"/>
        <item t="default"/>
      </items>
    </pivotField>
    <pivotField numFmtId="14" showAll="0">
      <items count="99">
        <item x="93"/>
        <item x="36"/>
        <item x="46"/>
        <item x="16"/>
        <item x="27"/>
        <item x="58"/>
        <item x="78"/>
        <item x="12"/>
        <item x="50"/>
        <item x="84"/>
        <item x="42"/>
        <item x="8"/>
        <item x="24"/>
        <item x="73"/>
        <item x="89"/>
        <item x="32"/>
        <item x="3"/>
        <item x="9"/>
        <item x="10"/>
        <item x="34"/>
        <item x="44"/>
        <item x="13"/>
        <item x="26"/>
        <item x="21"/>
        <item x="40"/>
        <item x="68"/>
        <item x="75"/>
        <item x="63"/>
        <item x="29"/>
        <item x="91"/>
        <item x="47"/>
        <item x="86"/>
        <item x="23"/>
        <item x="82"/>
        <item x="2"/>
        <item x="71"/>
        <item x="5"/>
        <item x="31"/>
        <item x="60"/>
        <item x="38"/>
        <item x="18"/>
        <item x="66"/>
        <item x="55"/>
        <item x="52"/>
        <item x="95"/>
        <item x="80"/>
        <item x="41"/>
        <item x="4"/>
        <item x="53"/>
        <item x="0"/>
        <item x="85"/>
        <item x="11"/>
        <item x="90"/>
        <item x="6"/>
        <item x="70"/>
        <item x="61"/>
        <item x="79"/>
        <item x="33"/>
        <item x="17"/>
        <item x="97"/>
        <item x="59"/>
        <item x="88"/>
        <item x="37"/>
        <item x="14"/>
        <item x="56"/>
        <item x="25"/>
        <item x="76"/>
        <item x="67"/>
        <item x="51"/>
        <item x="20"/>
        <item x="45"/>
        <item x="81"/>
        <item x="74"/>
        <item x="94"/>
        <item x="28"/>
        <item x="48"/>
        <item x="64"/>
        <item x="69"/>
        <item x="35"/>
        <item x="77"/>
        <item x="62"/>
        <item x="19"/>
        <item x="49"/>
        <item x="83"/>
        <item x="54"/>
        <item x="92"/>
        <item x="1"/>
        <item x="57"/>
        <item x="7"/>
        <item x="39"/>
        <item x="72"/>
        <item x="43"/>
        <item x="96"/>
        <item x="30"/>
        <item x="15"/>
        <item x="65"/>
        <item x="87"/>
        <item x="22"/>
        <item t="default"/>
      </items>
    </pivotField>
    <pivotField axis="axisRow" showAll="0">
      <items count="5">
        <item x="3"/>
        <item x="2"/>
        <item x="0"/>
        <item x="1"/>
        <item t="default"/>
      </items>
    </pivotField>
    <pivotField showAll="0"/>
    <pivotField dataField="1" showAll="0">
      <items count="11">
        <item x="9"/>
        <item x="7"/>
        <item x="1"/>
        <item x="5"/>
        <item x="2"/>
        <item x="6"/>
        <item x="0"/>
        <item x="8"/>
        <item x="4"/>
        <item x="3"/>
        <item t="default"/>
      </items>
    </pivotField>
    <pivotField numFmtId="44"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7"/>
  </rowFields>
  <rowItems count="5">
    <i>
      <x/>
    </i>
    <i>
      <x v="1"/>
    </i>
    <i>
      <x v="2"/>
    </i>
    <i>
      <x v="3"/>
    </i>
    <i t="grand">
      <x/>
    </i>
  </rowItems>
  <colFields count="1">
    <field x="4"/>
  </colFields>
  <colItems count="3">
    <i>
      <x/>
    </i>
    <i>
      <x v="1"/>
    </i>
    <i t="grand">
      <x/>
    </i>
  </colItems>
  <dataFields count="1">
    <dataField name="Sum of ProjectsCompleted" fld="9" baseField="0" baseItem="0"/>
  </dataFields>
  <chartFormats count="6">
    <chartFormat chart="87" format="0" series="1">
      <pivotArea type="data" outline="0" fieldPosition="0">
        <references count="2">
          <reference field="4294967294" count="1" selected="0">
            <x v="0"/>
          </reference>
          <reference field="4" count="1" selected="0">
            <x v="0"/>
          </reference>
        </references>
      </pivotArea>
    </chartFormat>
    <chartFormat chart="87" format="1" series="1">
      <pivotArea type="data" outline="0" fieldPosition="0">
        <references count="2">
          <reference field="4294967294" count="1" selected="0">
            <x v="0"/>
          </reference>
          <reference field="4" count="1" selected="0">
            <x v="1"/>
          </reference>
        </references>
      </pivotArea>
    </chartFormat>
    <chartFormat chart="90" format="2" series="1">
      <pivotArea type="data" outline="0" fieldPosition="0">
        <references count="2">
          <reference field="4294967294" count="1" selected="0">
            <x v="0"/>
          </reference>
          <reference field="4" count="1" selected="0">
            <x v="0"/>
          </reference>
        </references>
      </pivotArea>
    </chartFormat>
    <chartFormat chart="90" format="3" series="1">
      <pivotArea type="data" outline="0" fieldPosition="0">
        <references count="2">
          <reference field="4294967294" count="1" selected="0">
            <x v="0"/>
          </reference>
          <reference field="4" count="1" selected="0">
            <x v="1"/>
          </reference>
        </references>
      </pivotArea>
    </chartFormat>
    <chartFormat chart="91" format="4" series="1">
      <pivotArea type="data" outline="0" fieldPosition="0">
        <references count="2">
          <reference field="4294967294" count="1" selected="0">
            <x v="0"/>
          </reference>
          <reference field="4" count="1" selected="0">
            <x v="0"/>
          </reference>
        </references>
      </pivotArea>
    </chartFormat>
    <chartFormat chart="91" format="5" series="1">
      <pivotArea type="data" outline="0" fieldPosition="0">
        <references count="2">
          <reference field="4294967294" count="1" selected="0">
            <x v="0"/>
          </reference>
          <reference field="4" count="1" selected="0">
            <x v="1"/>
          </reference>
        </references>
      </pivotArea>
    </chartFormat>
  </chart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53C3B11-DED8-4094-AF89-0276FFBD93F1}" name="PivotTable3" cacheId="1707"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8">
  <location ref="A31:B36" firstHeaderRow="1" firstDataRow="1" firstDataCol="1"/>
  <pivotFields count="15">
    <pivotField showAll="0"/>
    <pivotField showAll="0"/>
    <pivotField showAll="0"/>
    <pivotField showAll="0"/>
    <pivotField showAll="0"/>
    <pivotField showAll="0">
      <items count="6">
        <item x="3"/>
        <item h="1" x="1"/>
        <item h="1" x="0"/>
        <item h="1" x="2"/>
        <item h="1" x="4"/>
        <item t="default"/>
      </items>
    </pivotField>
    <pivotField numFmtId="14" showAll="0">
      <items count="99">
        <item x="93"/>
        <item x="36"/>
        <item x="46"/>
        <item x="16"/>
        <item x="27"/>
        <item x="58"/>
        <item x="78"/>
        <item x="12"/>
        <item x="50"/>
        <item x="84"/>
        <item x="42"/>
        <item x="8"/>
        <item x="24"/>
        <item x="73"/>
        <item x="89"/>
        <item x="32"/>
        <item x="3"/>
        <item x="9"/>
        <item x="10"/>
        <item x="34"/>
        <item x="44"/>
        <item x="13"/>
        <item x="26"/>
        <item x="21"/>
        <item x="40"/>
        <item x="68"/>
        <item x="75"/>
        <item x="63"/>
        <item x="29"/>
        <item x="91"/>
        <item x="47"/>
        <item x="86"/>
        <item x="23"/>
        <item x="82"/>
        <item x="2"/>
        <item x="71"/>
        <item x="5"/>
        <item x="31"/>
        <item x="60"/>
        <item x="38"/>
        <item x="18"/>
        <item x="66"/>
        <item x="55"/>
        <item x="52"/>
        <item x="95"/>
        <item x="80"/>
        <item x="41"/>
        <item x="4"/>
        <item x="53"/>
        <item x="0"/>
        <item x="85"/>
        <item x="11"/>
        <item x="90"/>
        <item x="6"/>
        <item x="70"/>
        <item x="61"/>
        <item x="79"/>
        <item x="33"/>
        <item x="17"/>
        <item x="97"/>
        <item x="59"/>
        <item x="88"/>
        <item x="37"/>
        <item x="14"/>
        <item x="56"/>
        <item x="25"/>
        <item x="76"/>
        <item x="67"/>
        <item x="51"/>
        <item x="20"/>
        <item x="45"/>
        <item x="81"/>
        <item x="74"/>
        <item x="94"/>
        <item x="28"/>
        <item x="48"/>
        <item x="64"/>
        <item x="69"/>
        <item x="35"/>
        <item x="77"/>
        <item x="62"/>
        <item x="19"/>
        <item x="49"/>
        <item x="83"/>
        <item x="54"/>
        <item x="92"/>
        <item x="1"/>
        <item x="57"/>
        <item x="7"/>
        <item x="39"/>
        <item x="72"/>
        <item x="43"/>
        <item x="96"/>
        <item x="30"/>
        <item x="15"/>
        <item x="65"/>
        <item x="87"/>
        <item x="22"/>
        <item t="default"/>
      </items>
    </pivotField>
    <pivotField showAll="0"/>
    <pivotField dataField="1" showAll="0"/>
    <pivotField showAll="0"/>
    <pivotField numFmtId="44"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7">
        <item h="1" sd="0" x="0"/>
        <item sd="0" x="1"/>
        <item sd="0" x="2"/>
        <item sd="0" x="3"/>
        <item sd="0" x="4"/>
        <item h="1" sd="0" x="5"/>
        <item t="default"/>
      </items>
    </pivotField>
  </pivotFields>
  <rowFields count="1">
    <field x="14"/>
  </rowFields>
  <rowItems count="5">
    <i>
      <x v="1"/>
    </i>
    <i>
      <x v="2"/>
    </i>
    <i>
      <x v="3"/>
    </i>
    <i>
      <x v="4"/>
    </i>
    <i t="grand">
      <x/>
    </i>
  </rowItems>
  <colItems count="1">
    <i/>
  </colItems>
  <dataFields count="1">
    <dataField name="Sum of PerformanceScore" fld="8" baseField="0" baseItem="0"/>
  </dataFields>
  <chartFormats count="3">
    <chartFormat chart="62" format="70" series="1">
      <pivotArea type="data" outline="0" fieldPosition="0">
        <references count="1">
          <reference field="4294967294" count="1" selected="0">
            <x v="0"/>
          </reference>
        </references>
      </pivotArea>
    </chartFormat>
    <chartFormat chart="45" format="70" series="1">
      <pivotArea type="data" outline="0" fieldPosition="0">
        <references count="1">
          <reference field="4294967294" count="1" selected="0">
            <x v="0"/>
          </reference>
        </references>
      </pivotArea>
    </chartFormat>
    <chartFormat chart="77" format="72" series="1">
      <pivotArea type="data" outline="0" fieldPosition="0">
        <references count="1">
          <reference field="4294967294" count="1" selected="0">
            <x v="0"/>
          </reference>
        </references>
      </pivotArea>
    </chartFormat>
  </chart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97B2942-07E3-4F38-9D62-D2023D7B6D74}" name="PivotTable2" cacheId="1707"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B9" firstHeaderRow="1" firstDataRow="1" firstDataCol="1"/>
  <pivotFields count="15">
    <pivotField showAll="0"/>
    <pivotField showAll="0"/>
    <pivotField showAll="0"/>
    <pivotField showAll="0"/>
    <pivotField showAll="0"/>
    <pivotField axis="axisRow" showAll="0">
      <items count="6">
        <item x="3"/>
        <item x="1"/>
        <item x="0"/>
        <item x="2"/>
        <item x="4"/>
        <item t="default"/>
      </items>
    </pivotField>
    <pivotField numFmtId="14" showAll="0">
      <items count="99">
        <item h="1" x="93"/>
        <item x="36"/>
        <item x="46"/>
        <item x="16"/>
        <item h="1" x="27"/>
        <item h="1" x="58"/>
        <item h="1" x="78"/>
        <item h="1" x="12"/>
        <item h="1" x="50"/>
        <item h="1" x="84"/>
        <item h="1" x="42"/>
        <item h="1" x="8"/>
        <item h="1" x="24"/>
        <item h="1" x="73"/>
        <item h="1" x="89"/>
        <item h="1" x="32"/>
        <item h="1" x="3"/>
        <item h="1" x="9"/>
        <item h="1" x="10"/>
        <item h="1" x="34"/>
        <item h="1" x="44"/>
        <item h="1" x="13"/>
        <item h="1" x="26"/>
        <item h="1" x="21"/>
        <item h="1" x="40"/>
        <item h="1" x="68"/>
        <item h="1" x="75"/>
        <item h="1" x="63"/>
        <item h="1" x="29"/>
        <item h="1" x="91"/>
        <item h="1" x="47"/>
        <item h="1" x="86"/>
        <item h="1" x="23"/>
        <item h="1" x="82"/>
        <item h="1" x="2"/>
        <item h="1" x="71"/>
        <item h="1" x="5"/>
        <item h="1" x="31"/>
        <item h="1" x="60"/>
        <item h="1" x="38"/>
        <item h="1" x="18"/>
        <item h="1" x="66"/>
        <item h="1" x="55"/>
        <item h="1" x="52"/>
        <item h="1" x="95"/>
        <item h="1" x="80"/>
        <item h="1" x="41"/>
        <item h="1" x="4"/>
        <item h="1" x="53"/>
        <item h="1" x="0"/>
        <item h="1" x="85"/>
        <item h="1" x="11"/>
        <item h="1" x="90"/>
        <item h="1" x="6"/>
        <item h="1" x="70"/>
        <item h="1" x="61"/>
        <item h="1" x="79"/>
        <item h="1" x="33"/>
        <item h="1" x="17"/>
        <item h="1" x="97"/>
        <item h="1" x="59"/>
        <item h="1" x="88"/>
        <item h="1" x="37"/>
        <item h="1" x="14"/>
        <item h="1" x="56"/>
        <item h="1" x="25"/>
        <item h="1" x="76"/>
        <item h="1" x="67"/>
        <item h="1" x="51"/>
        <item h="1" x="20"/>
        <item h="1" x="45"/>
        <item h="1" x="81"/>
        <item h="1" x="74"/>
        <item h="1" x="94"/>
        <item h="1" x="28"/>
        <item h="1" x="48"/>
        <item h="1" x="64"/>
        <item h="1" x="69"/>
        <item h="1" x="35"/>
        <item h="1" x="77"/>
        <item h="1" x="62"/>
        <item h="1" x="19"/>
        <item h="1" x="49"/>
        <item h="1" x="83"/>
        <item h="1" x="54"/>
        <item h="1" x="92"/>
        <item h="1" x="1"/>
        <item h="1" x="57"/>
        <item h="1" x="7"/>
        <item h="1" x="39"/>
        <item h="1" x="72"/>
        <item h="1" x="43"/>
        <item h="1" x="96"/>
        <item h="1" x="30"/>
        <item h="1" x="15"/>
        <item h="1" x="65"/>
        <item h="1" x="87"/>
        <item h="1" x="22"/>
        <item t="default"/>
      </items>
    </pivotField>
    <pivotField showAll="0"/>
    <pivotField showAll="0"/>
    <pivotField showAll="0"/>
    <pivotField dataField="1" numFmtId="44"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h="1" sd="0" x="0"/>
        <item sd="0" x="1"/>
        <item sd="0" x="2"/>
        <item sd="0" x="3"/>
        <item sd="0" x="4"/>
        <item h="1" sd="0" x="5"/>
        <item t="default"/>
      </items>
    </pivotField>
  </pivotFields>
  <rowFields count="1">
    <field x="5"/>
  </rowFields>
  <rowItems count="6">
    <i>
      <x/>
    </i>
    <i>
      <x v="1"/>
    </i>
    <i>
      <x v="2"/>
    </i>
    <i>
      <x v="3"/>
    </i>
    <i>
      <x v="4"/>
    </i>
    <i t="grand">
      <x/>
    </i>
  </rowItems>
  <colItems count="1">
    <i/>
  </colItems>
  <dataFields count="1">
    <dataField name="Sum of BonusAmount" fld="10" baseField="0" baseItem="0" numFmtId="44"/>
  </dataFields>
  <formats count="6">
    <format dxfId="71">
      <pivotArea type="all" dataOnly="0" outline="0" fieldPosition="0"/>
    </format>
    <format dxfId="72">
      <pivotArea outline="0" collapsedLevelsAreSubtotals="1" fieldPosition="0"/>
    </format>
    <format dxfId="73">
      <pivotArea field="5" type="button" dataOnly="0" labelOnly="1" outline="0" axis="axisRow" fieldPosition="0"/>
    </format>
    <format dxfId="74">
      <pivotArea dataOnly="0" labelOnly="1" fieldPosition="0">
        <references count="1">
          <reference field="5" count="0"/>
        </references>
      </pivotArea>
    </format>
    <format dxfId="75">
      <pivotArea dataOnly="0" labelOnly="1" grandRow="1" outline="0" fieldPosition="0"/>
    </format>
    <format dxfId="76">
      <pivotArea dataOnly="0" labelOnly="1" outline="0" axis="axisValues" fieldPosition="0"/>
    </format>
  </formats>
  <chartFormats count="2">
    <chartFormat chart="1"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E492515-96A2-4A80-AB95-413A3F532FB1}" name="PivotTable5" cacheId="170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8">
  <location ref="A38:D43" firstHeaderRow="0" firstDataRow="1" firstDataCol="1"/>
  <pivotFields count="15">
    <pivotField showAll="0"/>
    <pivotField showAll="0"/>
    <pivotField showAll="0"/>
    <pivotField showAll="0"/>
    <pivotField showAll="0"/>
    <pivotField showAll="0"/>
    <pivotField numFmtId="14" showAll="0">
      <items count="99">
        <item x="93"/>
        <item x="36"/>
        <item x="46"/>
        <item x="16"/>
        <item x="27"/>
        <item x="58"/>
        <item x="78"/>
        <item x="12"/>
        <item x="50"/>
        <item x="84"/>
        <item x="42"/>
        <item x="8"/>
        <item x="24"/>
        <item x="73"/>
        <item x="89"/>
        <item x="32"/>
        <item x="3"/>
        <item x="9"/>
        <item x="10"/>
        <item x="34"/>
        <item x="44"/>
        <item x="13"/>
        <item x="26"/>
        <item x="21"/>
        <item x="40"/>
        <item x="68"/>
        <item x="75"/>
        <item x="63"/>
        <item x="29"/>
        <item x="91"/>
        <item x="47"/>
        <item x="86"/>
        <item x="23"/>
        <item x="82"/>
        <item x="2"/>
        <item x="71"/>
        <item x="5"/>
        <item x="31"/>
        <item x="60"/>
        <item x="38"/>
        <item x="18"/>
        <item x="66"/>
        <item x="55"/>
        <item x="52"/>
        <item x="95"/>
        <item x="80"/>
        <item x="41"/>
        <item x="4"/>
        <item x="53"/>
        <item x="0"/>
        <item x="85"/>
        <item x="11"/>
        <item x="90"/>
        <item x="6"/>
        <item x="70"/>
        <item x="61"/>
        <item x="79"/>
        <item x="33"/>
        <item x="17"/>
        <item x="97"/>
        <item x="59"/>
        <item x="88"/>
        <item x="37"/>
        <item x="14"/>
        <item x="56"/>
        <item x="25"/>
        <item x="76"/>
        <item x="67"/>
        <item x="51"/>
        <item x="20"/>
        <item x="45"/>
        <item x="81"/>
        <item x="74"/>
        <item x="94"/>
        <item x="28"/>
        <item x="48"/>
        <item x="64"/>
        <item x="69"/>
        <item x="35"/>
        <item x="77"/>
        <item x="62"/>
        <item x="19"/>
        <item x="49"/>
        <item x="83"/>
        <item x="54"/>
        <item x="92"/>
        <item x="1"/>
        <item x="57"/>
        <item x="7"/>
        <item x="39"/>
        <item x="72"/>
        <item x="43"/>
        <item x="96"/>
        <item x="30"/>
        <item x="15"/>
        <item x="65"/>
        <item x="87"/>
        <item x="22"/>
        <item t="default"/>
      </items>
    </pivotField>
    <pivotField showAll="0"/>
    <pivotField dataField="1" showAll="0"/>
    <pivotField dataField="1" showAll="0"/>
    <pivotField dataField="1" numFmtId="44"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7">
        <item sd="0" x="0"/>
        <item sd="0" x="1"/>
        <item sd="0" x="2"/>
        <item sd="0" x="3"/>
        <item sd="0" x="4"/>
        <item sd="0" x="5"/>
        <item t="default"/>
      </items>
    </pivotField>
  </pivotFields>
  <rowFields count="1">
    <field x="14"/>
  </rowFields>
  <rowItems count="5">
    <i>
      <x v="1"/>
    </i>
    <i>
      <x v="2"/>
    </i>
    <i>
      <x v="3"/>
    </i>
    <i>
      <x v="4"/>
    </i>
    <i t="grand">
      <x/>
    </i>
  </rowItems>
  <colFields count="1">
    <field x="-2"/>
  </colFields>
  <colItems count="3">
    <i>
      <x/>
    </i>
    <i i="1">
      <x v="1"/>
    </i>
    <i i="2">
      <x v="2"/>
    </i>
  </colItems>
  <dataFields count="3">
    <dataField name="Sum of PerformanceScore" fld="8" baseField="0" baseItem="0"/>
    <dataField name="Sum of BonusAmount" fld="10" baseField="0" baseItem="0"/>
    <dataField name="Sum of ProjectsCompleted" fld="9" baseField="0" baseItem="0"/>
  </dataField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85806F5-4233-43C0-A352-F323B856BA7D}" name="PivotTable10" cacheId="1707"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0">
  <location ref="A72:G78" firstHeaderRow="1" firstDataRow="2" firstDataCol="1"/>
  <pivotFields count="15">
    <pivotField showAll="0"/>
    <pivotField showAll="0"/>
    <pivotField showAll="0"/>
    <pivotField showAll="0"/>
    <pivotField showAll="0"/>
    <pivotField axis="axisCol" showAll="0" sortType="ascending">
      <items count="6">
        <item x="3"/>
        <item x="1"/>
        <item x="0"/>
        <item x="2"/>
        <item sd="0" x="4"/>
        <item t="default"/>
      </items>
    </pivotField>
    <pivotField numFmtId="14" showAll="0">
      <items count="99">
        <item x="93"/>
        <item x="36"/>
        <item x="46"/>
        <item x="16"/>
        <item x="27"/>
        <item x="58"/>
        <item x="78"/>
        <item x="12"/>
        <item x="50"/>
        <item x="84"/>
        <item x="42"/>
        <item x="8"/>
        <item x="24"/>
        <item x="73"/>
        <item x="89"/>
        <item x="32"/>
        <item x="3"/>
        <item x="9"/>
        <item x="10"/>
        <item x="34"/>
        <item x="44"/>
        <item x="13"/>
        <item x="26"/>
        <item x="21"/>
        <item x="40"/>
        <item x="68"/>
        <item x="75"/>
        <item x="63"/>
        <item x="29"/>
        <item x="91"/>
        <item x="47"/>
        <item x="86"/>
        <item x="23"/>
        <item x="82"/>
        <item x="2"/>
        <item x="71"/>
        <item x="5"/>
        <item x="31"/>
        <item x="60"/>
        <item x="38"/>
        <item x="18"/>
        <item x="66"/>
        <item x="55"/>
        <item x="52"/>
        <item x="95"/>
        <item x="80"/>
        <item x="41"/>
        <item x="4"/>
        <item x="53"/>
        <item x="0"/>
        <item x="85"/>
        <item x="11"/>
        <item x="90"/>
        <item x="6"/>
        <item x="70"/>
        <item x="61"/>
        <item x="79"/>
        <item x="33"/>
        <item x="17"/>
        <item x="97"/>
        <item x="59"/>
        <item x="88"/>
        <item x="37"/>
        <item x="14"/>
        <item x="56"/>
        <item x="25"/>
        <item x="76"/>
        <item x="67"/>
        <item x="51"/>
        <item x="20"/>
        <item x="45"/>
        <item x="81"/>
        <item x="74"/>
        <item x="94"/>
        <item x="28"/>
        <item x="48"/>
        <item x="64"/>
        <item x="69"/>
        <item x="35"/>
        <item x="77"/>
        <item x="62"/>
        <item x="19"/>
        <item x="49"/>
        <item x="83"/>
        <item x="54"/>
        <item x="92"/>
        <item x="1"/>
        <item x="57"/>
        <item x="7"/>
        <item x="39"/>
        <item x="72"/>
        <item x="43"/>
        <item x="96"/>
        <item x="30"/>
        <item x="15"/>
        <item x="65"/>
        <item x="87"/>
        <item x="22"/>
        <item t="default"/>
      </items>
    </pivotField>
    <pivotField showAll="0"/>
    <pivotField showAll="0"/>
    <pivotField showAll="0"/>
    <pivotField numFmtId="44"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dataField="1" showAll="0">
      <items count="7">
        <item h="1" sd="0" x="0"/>
        <item sd="0" x="1"/>
        <item sd="0" x="2"/>
        <item sd="0" x="3"/>
        <item sd="0" x="4"/>
        <item h="1" sd="0" x="5"/>
        <item t="default"/>
      </items>
    </pivotField>
  </pivotFields>
  <rowFields count="1">
    <field x="14"/>
  </rowFields>
  <rowItems count="5">
    <i>
      <x v="1"/>
    </i>
    <i>
      <x v="2"/>
    </i>
    <i>
      <x v="3"/>
    </i>
    <i>
      <x v="4"/>
    </i>
    <i t="grand">
      <x/>
    </i>
  </rowItems>
  <colFields count="1">
    <field x="5"/>
  </colFields>
  <colItems count="6">
    <i>
      <x/>
    </i>
    <i>
      <x v="1"/>
    </i>
    <i>
      <x v="2"/>
    </i>
    <i>
      <x v="3"/>
    </i>
    <i>
      <x v="4"/>
    </i>
    <i t="grand">
      <x/>
    </i>
  </colItems>
  <dataFields count="1">
    <dataField name="Count of Years (HireDate)" fld="14" subtotal="count" baseField="0" baseItem="0"/>
  </dataFields>
  <chartFormats count="12">
    <chartFormat chart="24" format="12" series="1">
      <pivotArea type="data" outline="0" fieldPosition="0">
        <references count="1">
          <reference field="4294967294" count="1" selected="0">
            <x v="0"/>
          </reference>
        </references>
      </pivotArea>
    </chartFormat>
    <chartFormat chart="22" format="4" series="1">
      <pivotArea type="data" outline="0" fieldPosition="0">
        <references count="1">
          <reference field="4294967294" count="1" selected="0">
            <x v="0"/>
          </reference>
        </references>
      </pivotArea>
    </chartFormat>
    <chartFormat chart="24" format="13" series="1">
      <pivotArea type="data" outline="0" fieldPosition="0">
        <references count="2">
          <reference field="4294967294" count="1" selected="0">
            <x v="0"/>
          </reference>
          <reference field="5" count="1" selected="0">
            <x v="1"/>
          </reference>
        </references>
      </pivotArea>
    </chartFormat>
    <chartFormat chart="24" format="14" series="1">
      <pivotArea type="data" outline="0" fieldPosition="0">
        <references count="2">
          <reference field="4294967294" count="1" selected="0">
            <x v="0"/>
          </reference>
          <reference field="5" count="1" selected="0">
            <x v="2"/>
          </reference>
        </references>
      </pivotArea>
    </chartFormat>
    <chartFormat chart="24" format="15" series="1">
      <pivotArea type="data" outline="0" fieldPosition="0">
        <references count="2">
          <reference field="4294967294" count="1" selected="0">
            <x v="0"/>
          </reference>
          <reference field="5" count="1" selected="0">
            <x v="3"/>
          </reference>
        </references>
      </pivotArea>
    </chartFormat>
    <chartFormat chart="24" format="16" series="1">
      <pivotArea type="data" outline="0" fieldPosition="0">
        <references count="2">
          <reference field="4294967294" count="1" selected="0">
            <x v="0"/>
          </reference>
          <reference field="5" count="1" selected="0">
            <x v="4"/>
          </reference>
        </references>
      </pivotArea>
    </chartFormat>
    <chartFormat chart="22" format="5" series="1">
      <pivotArea type="data" outline="0" fieldPosition="0">
        <references count="2">
          <reference field="4294967294" count="1" selected="0">
            <x v="0"/>
          </reference>
          <reference field="5" count="1" selected="0">
            <x v="1"/>
          </reference>
        </references>
      </pivotArea>
    </chartFormat>
    <chartFormat chart="22" format="6" series="1">
      <pivotArea type="data" outline="0" fieldPosition="0">
        <references count="2">
          <reference field="4294967294" count="1" selected="0">
            <x v="0"/>
          </reference>
          <reference field="5" count="1" selected="0">
            <x v="2"/>
          </reference>
        </references>
      </pivotArea>
    </chartFormat>
    <chartFormat chart="22" format="7" series="1">
      <pivotArea type="data" outline="0" fieldPosition="0">
        <references count="2">
          <reference field="4294967294" count="1" selected="0">
            <x v="0"/>
          </reference>
          <reference field="5" count="1" selected="0">
            <x v="3"/>
          </reference>
        </references>
      </pivotArea>
    </chartFormat>
    <chartFormat chart="22" format="8" series="1">
      <pivotArea type="data" outline="0" fieldPosition="0">
        <references count="2">
          <reference field="4294967294" count="1" selected="0">
            <x v="0"/>
          </reference>
          <reference field="5" count="1" selected="0">
            <x v="4"/>
          </reference>
        </references>
      </pivotArea>
    </chartFormat>
    <chartFormat chart="22" format="95" series="1">
      <pivotArea type="data" outline="0" fieldPosition="0">
        <references count="2">
          <reference field="4294967294" count="1" selected="0">
            <x v="0"/>
          </reference>
          <reference field="5" count="1" selected="0">
            <x v="0"/>
          </reference>
        </references>
      </pivotArea>
    </chartFormat>
    <chartFormat chart="24" format="103" series="1">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4" xr16:uid="{D361E908-F55F-4574-98AD-1EA2BF78513C}" autoFormatId="16" applyNumberFormats="0" applyBorderFormats="0" applyFontFormats="0" applyPatternFormats="0" applyAlignmentFormats="0" applyWidthHeightFormats="0">
  <queryTableRefresh nextId="8">
    <queryTableFields count="7">
      <queryTableField id="1" name="EmployeeID" tableColumnId="1"/>
      <queryTableField id="2" name="PerformanceScore" tableColumnId="2"/>
      <queryTableField id="3" name="ProjectsCompleted" tableColumnId="3"/>
      <queryTableField id="4" name="BonusAmount" tableColumnId="4"/>
      <queryTableField id="5" name="AttendanceRate (%)" tableColumnId="5"/>
      <queryTableField id="6" name="Gender" tableColumnId="6"/>
      <queryTableField id="7" name="Department" tableColumnId="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BC260516-91E0-4A43-A89F-30815DA84F53}" autoFormatId="16" applyNumberFormats="0" applyBorderFormats="0" applyFontFormats="0" applyPatternFormats="0" applyAlignmentFormats="0" applyWidthHeightFormats="0">
  <queryTableRefresh nextId="8">
    <queryTableFields count="7">
      <queryTableField id="1" name="EmployeeID" tableColumnId="1"/>
      <queryTableField id="2" name="PerformanceScore" tableColumnId="2"/>
      <queryTableField id="3" name="ProjectsCompleted" tableColumnId="3"/>
      <queryTableField id="4" name="BonusAmount" tableColumnId="4"/>
      <queryTableField id="5" name="AttendanceRate (%)" tableColumnId="5"/>
      <queryTableField id="6" name="Gender" tableColumnId="6"/>
      <queryTableField id="7" name="Department" tableColumnId="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0DD8DB67-289A-4F3B-ADB4-6BFE4321BB56}" sourceName="Department">
  <pivotTables>
    <pivotTable tabId="10" name="PivotTable1"/>
    <pivotTable tabId="10" name="PivotTable2"/>
    <pivotTable tabId="10" name="PivotTable4"/>
    <pivotTable tabId="10" name="PivotTable10"/>
  </pivotTables>
  <data>
    <tabular pivotCacheId="692724159">
      <items count="5">
        <i x="3" s="1"/>
        <i x="1" s="1"/>
        <i x="0" s="1"/>
        <i x="2"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HireDate" xr10:uid="{CADBB902-0F54-4A40-879E-D84EBC3932F9}" sourceName="Years (HireDate)">
  <pivotTables>
    <pivotTable tabId="10" name="PivotTable1"/>
    <pivotTable tabId="10" name="PivotTable2"/>
    <pivotTable tabId="10" name="PivotTable4"/>
    <pivotTable tabId="10" name="PivotTable10"/>
  </pivotTables>
  <data>
    <tabular pivotCacheId="692724159">
      <items count="6">
        <i x="1" s="1"/>
        <i x="2" s="1"/>
        <i x="3" s="1"/>
        <i x="4" s="1"/>
        <i x="0" nd="1"/>
        <i x="5"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2" xr10:uid="{CC3653DE-F85D-47DD-B291-3482A7309B9C}" sourceName="Department">
  <pivotTables>
    <pivotTable tabId="10" name="PivotTable3"/>
  </pivotTables>
  <data>
    <tabular pivotCacheId="692724159">
      <items count="5">
        <i x="3" s="1"/>
        <i x="1"/>
        <i x="0"/>
        <i x="2"/>
        <i x="4"/>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HireDate1" xr10:uid="{B199C57E-93DC-4649-A17E-5C1A169E9C98}" sourceName="Years (HireDate)">
  <pivotTables>
    <pivotTable tabId="10" name="PivotTable3"/>
  </pivotTables>
  <data>
    <tabular pivotCacheId="692724159">
      <items count="6">
        <i x="1" s="1"/>
        <i x="2" s="1"/>
        <i x="3" s="1"/>
        <i x="4" s="1"/>
        <i x="0" nd="1"/>
        <i x="5"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1" xr10:uid="{6CA654FB-D68F-4943-A6B1-FE360651ECBC}" sourceName="Department">
  <pivotTables>
    <pivotTable tabId="10" name="PivotTable6"/>
    <pivotTable tabId="10" name="PivotTable7"/>
    <pivotTable tabId="10" name="PivotTable8"/>
    <pivotTable tabId="10" name="PivotTable9"/>
  </pivotTables>
  <data>
    <tabular pivotCacheId="692724159">
      <items count="5">
        <i x="3" s="1"/>
        <i x="1" s="1"/>
        <i x="0" s="1"/>
        <i x="2" s="1"/>
        <i x="4"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iredYear" xr10:uid="{8E59FC22-3FAF-4C9E-A757-ED27C7A80AFA}" sourceName="HiredYear">
  <pivotTables>
    <pivotTable tabId="10" name="PivotTable6"/>
    <pivotTable tabId="10" name="PivotTable7"/>
    <pivotTable tabId="10" name="PivotTable8"/>
    <pivotTable tabId="10" name="PivotTable9"/>
  </pivotTables>
  <data>
    <tabular pivotCacheId="692724159">
      <items count="4">
        <i x="3" s="1"/>
        <i x="2" s="1"/>
        <i x="0" s="1"/>
        <i x="1"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sCompleted" xr10:uid="{16FA1CE1-48BA-4EE3-8CA6-CE384F9E313D}" sourceName="ProjectsCompleted">
  <pivotTables>
    <pivotTable tabId="10" name="PivotTable6"/>
    <pivotTable tabId="10" name="PivotTable7"/>
    <pivotTable tabId="10" name="PivotTable8"/>
    <pivotTable tabId="10" name="PivotTable9"/>
  </pivotTables>
  <data>
    <tabular pivotCacheId="692724159">
      <items count="10">
        <i x="9" s="1"/>
        <i x="7" s="1"/>
        <i x="1" s="1"/>
        <i x="5" s="1"/>
        <i x="2" s="1"/>
        <i x="6" s="1"/>
        <i x="0" s="1"/>
        <i x="8" s="1"/>
        <i x="4" s="1"/>
        <i x="3"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374C471F-2F44-4A71-A5C5-96FE6D81C57A}" sourceName="Gender">
  <pivotTables>
    <pivotTable tabId="10" name="PivotTable6"/>
    <pivotTable tabId="10" name="PivotTable7"/>
    <pivotTable tabId="10" name="PivotTable8"/>
    <pivotTable tabId="10" name="PivotTable9"/>
  </pivotTables>
  <data>
    <tabular pivotCacheId="692724159">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38FFF34E-A884-47CF-ACCD-A442B2BCD296}" cache="Slicer_Department" caption="Department" rowHeight="234950"/>
  <slicer name="Years (HireDate)" xr10:uid="{61B1CCFF-D0E8-4D7D-A564-57404A727A95}" cache="Slicer_Years__HireDate" caption="Years (HireDat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1967869D-A4EB-4042-8C5C-D7B1C2E60109}" cache="Slicer_Department2" caption="Department" rowHeight="273050"/>
  <slicer name="Years (HireDate) 1" xr10:uid="{25D5778B-7212-4F51-83E8-5D21CA2191FF}" cache="Slicer_Years__HireDate1" caption="Years (HireDate)" rowHeight="2730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2" xr10:uid="{F8ACFECE-4B99-4A6B-8FE3-4A84B45681F6}" cache="Slicer_Department1" caption="Department" rowHeight="273050"/>
  <slicer name="HiredYear" xr10:uid="{0A2DC309-BB7E-45CB-B453-4EAD8A467F9E}" cache="Slicer_HiredYear" caption="HiredYear" rowHeight="273050"/>
  <slicer name="ProjectsCompleted" xr10:uid="{7EAD3AAA-CFCB-4ECE-8564-E5992E7032DD}" cache="Slicer_ProjectsCompleted" caption="ProjectsCompleted" columnCount="5" rowHeight="273050"/>
  <slicer name="Gender" xr10:uid="{831DEC06-162E-4CE0-82B7-BA2E441CA8C3}" cache="Slicer_Gender" caption="Gender" rowHeight="2730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C6E0895-A421-4151-B712-31C85F8901A2}" name="Table2_16" displayName="Table2_16" ref="F37:L47" tableType="queryTable" totalsRowShown="0">
  <autoFilter ref="F37:L47" xr:uid="{2C6E0895-A421-4151-B712-31C85F8901A2}"/>
  <tableColumns count="7">
    <tableColumn id="1" xr3:uid="{0BFE6582-688F-448D-BC9F-B3583038973B}" uniqueName="1" name="EmployeeID" queryTableFieldId="1"/>
    <tableColumn id="2" xr3:uid="{EDFA3EEF-1422-4606-9A61-8C77ABBC7616}" uniqueName="2" name="PerformanceScore" queryTableFieldId="2" dataDxfId="69" totalsRowDxfId="70"/>
    <tableColumn id="3" xr3:uid="{7E31834C-E04C-4502-B37F-E868A3C3A953}" uniqueName="3" name="ProjectsCompleted" queryTableFieldId="3"/>
    <tableColumn id="4" xr3:uid="{48E04E5D-41D6-4D11-A7B0-A9375D34A118}" uniqueName="4" name="BonusAmount" queryTableFieldId="4" dataDxfId="67" totalsRowDxfId="68"/>
    <tableColumn id="5" xr3:uid="{2DAA0601-536C-4CF1-8C0B-95B5CFB11C55}" uniqueName="5" name="AttendanceRate (%)" queryTableFieldId="5"/>
    <tableColumn id="6" xr3:uid="{46F56BF6-0B30-4D6E-96FF-4D3F4C234699}" uniqueName="6" name="Gender" queryTableFieldId="6"/>
    <tableColumn id="7" xr3:uid="{33604F17-B644-40EE-8250-22D4351BD69E}" uniqueName="7" name="Department" queryTableFieldId="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5363715-B4F1-46C0-B063-5EA005C0284A}" name="Table2" displayName="Table2" ref="A1:L102" totalsRowCount="1" headerRowDxfId="65" dataDxfId="64">
  <autoFilter ref="A1:L101" xr:uid="{55363715-B4F1-46C0-B063-5EA005C0284A}"/>
  <tableColumns count="12">
    <tableColumn id="1" xr3:uid="{C01435E4-AE69-4BA7-8F3F-36E77AF6EE2F}" name="EmployeeID" totalsRowFunction="custom" dataDxfId="63">
      <totalsRowFormula>COUNTA(EmployeeID)</totalsRowFormula>
    </tableColumn>
    <tableColumn id="2" xr3:uid="{E690FD7D-639B-434C-A675-4F982F0DE1D8}" name="FirstName" dataDxfId="62"/>
    <tableColumn id="3" xr3:uid="{4293196A-35E9-4A2A-9061-D07EE1BCBEDC}" name="LastName" dataDxfId="61"/>
    <tableColumn id="11" xr3:uid="{8B612765-D77A-4800-BC41-7E2BC835AE37}" name="FullName" dataDxfId="60">
      <calculatedColumnFormula>_xlfn.CONCAT(Table2[[#This Row],[FirstName]]," ",Table2[[#This Row],[LastName]])</calculatedColumnFormula>
    </tableColumn>
    <tableColumn id="4" xr3:uid="{6197FAD1-0C0C-4AD3-A29E-426A60BC5D61}" name="Gender" dataDxfId="59"/>
    <tableColumn id="5" xr3:uid="{5B3F480D-70C3-4FB7-961F-178C2611B3EA}" name="Department" dataDxfId="58"/>
    <tableColumn id="6" xr3:uid="{EF99876B-76C0-4C4E-B0EE-2F4242B8123A}" name="HireDate" dataDxfId="56" totalsRowDxfId="57"/>
    <tableColumn id="12" xr3:uid="{B9627E77-C70B-483F-925D-1CAE9A620710}" name="HiredYear" dataDxfId="55">
      <calculatedColumnFormula>YEAR(HireDate)</calculatedColumnFormula>
    </tableColumn>
    <tableColumn id="7" xr3:uid="{97DA64AA-D8C8-49D8-A31E-F31822FCE0DA}" name="PerformanceScore" totalsRowFunction="custom" dataDxfId="54">
      <totalsRowFormula>SUBTOTAL(109,PerformanceScore)</totalsRowFormula>
    </tableColumn>
    <tableColumn id="8" xr3:uid="{B2815A25-0A52-4A32-B846-699C4E491229}" name="ProjectsCompleted" totalsRowFunction="custom" dataDxfId="53">
      <totalsRowFormula>SUBTOTAL(109,ProjectsCompleted)</totalsRowFormula>
    </tableColumn>
    <tableColumn id="9" xr3:uid="{92A141DC-7FDD-4C2A-A78D-4078DDC64E39}" name="BonusAmount" totalsRowFunction="custom" dataDxfId="51" totalsRowDxfId="52" dataCellStyle="Currency">
      <totalsRowFormula>SUM(BonusAmount)</totalsRowFormula>
    </tableColumn>
    <tableColumn id="10" xr3:uid="{1267D0E5-125C-48BD-B4E2-9EBE4017EEEB}" name="AttendanceRate (%)" totalsRowFunction="custom" dataDxfId="49" totalsRowDxfId="50" dataCellStyle="Percent">
      <totalsRowFormula>AVERAGE(AttendanceRate)</totalsRow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66A180A-9B1E-4641-8169-6D988554E895}" name="Table2_1" displayName="Table2_1" ref="A1:G11" tableType="queryTable" totalsRowShown="0">
  <autoFilter ref="A1:G11" xr:uid="{A66A180A-9B1E-4641-8169-6D988554E895}"/>
  <tableColumns count="7">
    <tableColumn id="1" xr3:uid="{5F26FDA2-0BAF-4C93-B4D9-ABA75E5C4AF6}" uniqueName="1" name="EmployeeID" queryTableFieldId="1"/>
    <tableColumn id="2" xr3:uid="{6F52DD10-C95F-465F-A5BA-897F0F4FD45B}" uniqueName="2" name="PerformanceScore" queryTableFieldId="2" dataDxfId="47" totalsRowDxfId="48"/>
    <tableColumn id="3" xr3:uid="{AE729D27-B56B-4D70-B8BF-2C3C7091B786}" uniqueName="3" name="ProjectsCompleted" queryTableFieldId="3"/>
    <tableColumn id="4" xr3:uid="{A2074422-C2C4-4760-9011-8A3958A02B48}" uniqueName="4" name="BonusAmount" queryTableFieldId="4" dataDxfId="45" totalsRowDxfId="46"/>
    <tableColumn id="5" xr3:uid="{BC3A7898-D480-467A-B624-710744B589C1}" uniqueName="5" name="AttendanceRate (%)" queryTableFieldId="5"/>
    <tableColumn id="6" xr3:uid="{C8EADCCE-BA1B-4A13-B609-A3FD57E367F0}" uniqueName="6" name="Gender" queryTableFieldId="6"/>
    <tableColumn id="7" xr3:uid="{19392E8F-3459-40E9-9483-FB95F0B5F79A}" uniqueName="7" name="Department" queryTableFieldId="7"/>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D13A3FE-8331-4001-A901-D6FBF45227AE}" name="Table1" displayName="Table1" ref="A1:O101" totalsRowShown="0" headerRowDxfId="44">
  <autoFilter ref="A1:O101" xr:uid="{00000000-0009-0000-0100-000001000000}"/>
  <sortState xmlns:xlrd2="http://schemas.microsoft.com/office/spreadsheetml/2017/richdata2" ref="A2:K101">
    <sortCondition ref="A1:A103"/>
  </sortState>
  <tableColumns count="15">
    <tableColumn id="1" xr3:uid="{00000000-0010-0000-0000-000001000000}" name="EmployeeID"/>
    <tableColumn id="2" xr3:uid="{00000000-0010-0000-0000-000002000000}" name="FirstName"/>
    <tableColumn id="3" xr3:uid="{00000000-0010-0000-0000-000003000000}" name="LastName"/>
    <tableColumn id="4" xr3:uid="{00000000-0010-0000-0000-000004000000}" name="Gender"/>
    <tableColumn id="5" xr3:uid="{00000000-0010-0000-0000-000005000000}" name="Department"/>
    <tableColumn id="6" xr3:uid="{00000000-0010-0000-0000-000006000000}" name="HireDate" dataDxfId="43"/>
    <tableColumn id="7" xr3:uid="{00000000-0010-0000-0000-000007000000}" name="PerformanceScore"/>
    <tableColumn id="8" xr3:uid="{00000000-0010-0000-0000-000008000000}" name="ProjectsCompleted"/>
    <tableColumn id="15" xr3:uid="{3F21522D-9624-459F-9B6E-72DBAE32ED42}" name="If(Yes/No)" dataDxfId="42">
      <calculatedColumnFormula>IF(Table1[[#This Row],[ProjectsCompleted]]&gt;10, "Yes","No")</calculatedColumnFormula>
    </tableColumn>
    <tableColumn id="9" xr3:uid="{00000000-0010-0000-0000-000009000000}" name="BonusAmount" dataCellStyle="Currency"/>
    <tableColumn id="10" xr3:uid="{00000000-0010-0000-0000-00000A000000}" name="AttendanceRate (%)"/>
    <tableColumn id="11" xr3:uid="{00000000-0010-0000-0000-00000B000000}" name="Column1" dataDxfId="41">
      <calculatedColumnFormula>IF(Table1[[#This Row],[ProjectsCompleted]]&gt;10, "Yes", "No")</calculatedColumnFormula>
    </tableColumn>
    <tableColumn id="12" xr3:uid="{00000000-0010-0000-0000-00000C000000}" name="Days since hire" dataDxfId="40">
      <calculatedColumnFormula>TODAY()-Table1[[#This Row],[HireDate]]</calculatedColumnFormula>
    </tableColumn>
    <tableColumn id="13" xr3:uid="{00000000-0010-0000-0000-00000D000000}" name="Year" dataDxfId="39">
      <calculatedColumnFormula>YEAR(Table1[[#This Row],[HireDate]])</calculatedColumnFormula>
    </tableColumn>
    <tableColumn id="14" xr3:uid="{00000000-0010-0000-0000-00000E000000}" name="Column2" dataDxfId="38"/>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9B7C20-B909-4F82-AF92-5A9003DE6506}" name="MyAssignment8" displayName="MyAssignment8" ref="A1:R104" totalsRowCount="1" headerRowDxfId="37" dataDxfId="36">
  <autoFilter ref="A1:R103" xr:uid="{3F3C8CB4-F3E9-4D38-A3E0-72E71059F2A1}"/>
  <tableColumns count="18">
    <tableColumn id="1" xr3:uid="{1BBE29DB-8604-4D5F-9223-44626E034115}" name="EmployeeID" dataDxfId="34" totalsRowDxfId="35"/>
    <tableColumn id="2" xr3:uid="{BC7F2FE7-C2C6-4370-B1D1-BC7D7F8CD52E}" name="FirstName" dataDxfId="32" totalsRowDxfId="33"/>
    <tableColumn id="3" xr3:uid="{86EE88FA-D317-43CD-AE79-42B9C1D0B43F}" name="LastName" dataDxfId="30" totalsRowDxfId="31"/>
    <tableColumn id="15" xr3:uid="{24FB673C-C1E3-4B57-95D7-AD4248B4DBF4}" name="FullName" dataDxfId="28" totalsRowDxfId="29">
      <calculatedColumnFormula>_xlfn.CONCAT(MyAssignment8[[#This Row],[FirstName]]," ",MyAssignment8[[#This Row],[LastName]])</calculatedColumnFormula>
    </tableColumn>
    <tableColumn id="16" xr3:uid="{D1E9F08B-2283-4581-8D49-75D264E22EDD}" name="ExtractedLastName" dataDxfId="26" totalsRowDxfId="27">
      <calculatedColumnFormula>LEFT(MyAssignment8[[#This Row],[LastName]],3)</calculatedColumnFormula>
    </tableColumn>
    <tableColumn id="4" xr3:uid="{E0614039-F97A-42B6-A804-C3393ECB48AE}" name="Gender" dataDxfId="24" totalsRowDxfId="25"/>
    <tableColumn id="5" xr3:uid="{5988024F-E37E-444B-B1CD-C02EA86DC8EB}" name="Department" dataDxfId="22" totalsRowDxfId="23"/>
    <tableColumn id="17" xr3:uid="{63935111-609E-4B31-9DA2-1EAF61981386}" name="DeptInCaps" dataDxfId="20" totalsRowDxfId="21">
      <calculatedColumnFormula>UPPER(MyAssignment8[[#This Row],[Department]])</calculatedColumnFormula>
    </tableColumn>
    <tableColumn id="6" xr3:uid="{AF58D74E-BC39-44E4-A6B4-11857DDA7130}" name="HireDate" dataDxfId="18" totalsRowDxfId="19"/>
    <tableColumn id="12" xr3:uid="{9C49EE94-5DE6-4C74-B31D-43A5F5D0A63E}" name="WorkedDay" dataDxfId="16" totalsRowDxfId="17">
      <calculatedColumnFormula>_xlfn.DAYS($M$125,MyAssignment8[[#This Row],[HireDate]])</calculatedColumnFormula>
    </tableColumn>
    <tableColumn id="13" xr3:uid="{3543448B-77E1-44C1-8768-8CFD06751C2E}" name="YearEmployed" dataDxfId="14" totalsRowDxfId="15">
      <calculatedColumnFormula>YEAR(MyAssignment8[[#This Row],[HireDate]])</calculatedColumnFormula>
    </tableColumn>
    <tableColumn id="7" xr3:uid="{78E292AE-EEBB-438F-BFF1-D60903C4B231}" name="PerformanceScore" dataDxfId="12" totalsRowDxfId="13"/>
    <tableColumn id="8" xr3:uid="{532B8CD9-DF25-4EBE-8EB4-4FE20B395017}" name="ProjectsCompleted" totalsRowFunction="sum" dataDxfId="10" totalsRowDxfId="11"/>
    <tableColumn id="20" xr3:uid="{888AE352-95BA-4316-80EC-8E4425F7AEF8}" name="ProjectsCompleted&gt;10(Yes/No)" dataDxfId="8" totalsRowDxfId="9">
      <calculatedColumnFormula>IF(MyAssignment8[[#This Row],[ProjectsCompleted]]&gt;10,"Yes","No")</calculatedColumnFormula>
    </tableColumn>
    <tableColumn id="22" xr3:uid="{E0248E47-FD4D-4E93-B564-BB43639EC100}" name="Over 85 and  more than 10 projects" dataDxfId="6" totalsRowDxfId="7">
      <calculatedColumnFormula>AND(MyAssignment8[[#This Row],[PerformanceScore]]&gt;85,MyAssignment8[[#This Row],[ProjectsCompleted]]&gt;10)</calculatedColumnFormula>
    </tableColumn>
    <tableColumn id="9" xr3:uid="{5C64EE20-2760-44A8-AE1D-09A292716902}" name="BonusAmount" totalsRowFunction="custom" dataDxfId="4" totalsRowDxfId="5">
      <totalsRowFormula>SUM(BonusAmount)</totalsRowFormula>
    </tableColumn>
    <tableColumn id="10" xr3:uid="{5D93305E-A12B-4210-BE48-C4E0A30D31C4}" name="AttendanceRate (%)" dataDxfId="2" totalsRowDxfId="3"/>
    <tableColumn id="23" xr3:uid="{7CAD6DBE-F5F5-4297-8371-6217FF1E999C}" name="performance &lt; 80 or attendance rate below 90%." dataDxfId="0" totalsRowDxfId="1">
      <calculatedColumnFormula>OR(MyAssignment8[[#This Row],[PerformanceScore]]&lt;85,MyAssignment8[[#This Row],[AttendanceRate (%)]]&lt;90)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Dividend">
  <a:themeElements>
    <a:clrScheme name="Dividend">
      <a:dk1>
        <a:sysClr val="windowText" lastClr="000000"/>
      </a:dk1>
      <a:lt1>
        <a:sysClr val="window" lastClr="FFFFFF"/>
      </a:lt1>
      <a:dk2>
        <a:srgbClr val="3D3D3D"/>
      </a:dk2>
      <a:lt2>
        <a:srgbClr val="EBEBEB"/>
      </a:lt2>
      <a:accent1>
        <a:srgbClr val="4D1434"/>
      </a:accent1>
      <a:accent2>
        <a:srgbClr val="903163"/>
      </a:accent2>
      <a:accent3>
        <a:srgbClr val="B2324B"/>
      </a:accent3>
      <a:accent4>
        <a:srgbClr val="969FA7"/>
      </a:accent4>
      <a:accent5>
        <a:srgbClr val="66B1CE"/>
      </a:accent5>
      <a:accent6>
        <a:srgbClr val="40619D"/>
      </a:accent6>
      <a:hlink>
        <a:srgbClr val="828282"/>
      </a:hlink>
      <a:folHlink>
        <a:srgbClr val="A5A5A5"/>
      </a:folHlink>
    </a:clrScheme>
    <a:fontScheme name="Dividend">
      <a:maj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Dividend">
      <a:fillStyleLst>
        <a:solidFill>
          <a:schemeClr val="phClr"/>
        </a:solidFill>
        <a:gradFill rotWithShape="1">
          <a:gsLst>
            <a:gs pos="0">
              <a:schemeClr val="phClr">
                <a:tint val="68000"/>
                <a:alpha val="90000"/>
                <a:lumMod val="100000"/>
              </a:schemeClr>
            </a:gs>
            <a:gs pos="100000">
              <a:schemeClr val="phClr">
                <a:tint val="90000"/>
                <a:lumMod val="95000"/>
              </a:schemeClr>
            </a:gs>
          </a:gsLst>
          <a:lin ang="5400000" scaled="1"/>
        </a:gradFill>
        <a:gradFill rotWithShape="1">
          <a:gsLst>
            <a:gs pos="0">
              <a:schemeClr val="phClr">
                <a:tint val="98000"/>
                <a:lumMod val="110000"/>
              </a:schemeClr>
            </a:gs>
            <a:gs pos="84000">
              <a:schemeClr val="phClr">
                <a:shade val="90000"/>
                <a:lumMod val="88000"/>
              </a:schemeClr>
            </a:gs>
          </a:gsLst>
          <a:lin ang="5400000" scaled="0"/>
        </a:gradFill>
      </a:fillStyleLst>
      <a:lnStyleLst>
        <a:ln w="12700" cap="rnd" cmpd="sng" algn="ctr">
          <a:solidFill>
            <a:schemeClr val="phClr">
              <a:lumMod val="90000"/>
            </a:schemeClr>
          </a:solidFill>
          <a:prstDash val="solid"/>
        </a:ln>
        <a:ln w="22225"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55000"/>
              </a:srgbClr>
            </a:outerShdw>
          </a:effectLst>
        </a:effectStyle>
        <a:effectStyle>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a:effectStyle>
      </a:effectStyleLst>
      <a:bgFillStyleLst>
        <a:solidFill>
          <a:schemeClr val="phClr"/>
        </a:solidFill>
        <a:gradFill rotWithShape="1">
          <a:gsLst>
            <a:gs pos="0">
              <a:schemeClr val="phClr">
                <a:tint val="90000"/>
                <a:lumMod val="110000"/>
              </a:schemeClr>
            </a:gs>
            <a:gs pos="88000">
              <a:schemeClr val="phClr">
                <a:shade val="94000"/>
                <a:satMod val="110000"/>
                <a:lumMod val="88000"/>
              </a:schemeClr>
            </a:gs>
          </a:gsLst>
          <a:lin ang="5400000" scaled="0"/>
        </a:gradFill>
        <a:gradFill rotWithShape="1">
          <a:gsLst>
            <a:gs pos="0">
              <a:schemeClr val="phClr">
                <a:tint val="90000"/>
                <a:lumMod val="110000"/>
              </a:schemeClr>
            </a:gs>
            <a:gs pos="100000">
              <a:schemeClr val="phClr">
                <a:shade val="98000"/>
                <a:satMod val="110000"/>
                <a:lumMod val="8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Dividend" id="{9697A71B-4AB7-4A1A-BD5B-BB2D22835B57}" vid="{C21699FF-00E4-43C8-BBCC-D7E5536C3717}"/>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5.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588C2-0265-4D53-8FEA-474AB255F34D}">
  <sheetPr codeName="Sheet4"/>
  <dimension ref="A1:T66"/>
  <sheetViews>
    <sheetView showGridLines="0" zoomScale="80" zoomScaleNormal="80" workbookViewId="0">
      <selection activeCell="X3" sqref="X3"/>
    </sheetView>
  </sheetViews>
  <sheetFormatPr defaultRowHeight="18"/>
  <cols>
    <col min="9" max="9" width="16" customWidth="1"/>
    <col min="10" max="10" width="13.25" customWidth="1"/>
    <col min="11" max="11" width="15.5" customWidth="1"/>
    <col min="15" max="15" width="12.125" customWidth="1"/>
    <col min="22" max="22" width="13" bestFit="1" customWidth="1"/>
    <col min="23" max="23" width="22.125" bestFit="1" customWidth="1"/>
    <col min="24" max="24" width="15.75" bestFit="1" customWidth="1"/>
    <col min="27" max="27" width="10.375" customWidth="1"/>
  </cols>
  <sheetData>
    <row r="1" spans="1:20">
      <c r="A1" s="97"/>
      <c r="B1" s="97"/>
      <c r="C1" s="97"/>
      <c r="D1" s="97"/>
      <c r="E1" s="97"/>
      <c r="F1" s="97"/>
      <c r="G1" s="97"/>
      <c r="H1" s="97"/>
      <c r="I1" s="97"/>
      <c r="J1" s="97"/>
      <c r="K1" s="97"/>
      <c r="L1" s="97"/>
      <c r="M1" s="97"/>
      <c r="N1" s="97"/>
      <c r="O1" s="97"/>
      <c r="P1" s="97"/>
      <c r="Q1" s="97"/>
      <c r="R1" s="97"/>
      <c r="S1" s="97"/>
      <c r="T1" s="41"/>
    </row>
    <row r="2" spans="1:20">
      <c r="A2" s="97"/>
      <c r="B2" s="97"/>
      <c r="C2" s="97"/>
      <c r="D2" s="97"/>
      <c r="E2" s="97"/>
      <c r="F2" s="97"/>
      <c r="G2" s="97"/>
      <c r="H2" s="97"/>
      <c r="I2" s="97"/>
      <c r="J2" s="97"/>
      <c r="K2" s="97"/>
      <c r="L2" s="97"/>
      <c r="M2" s="97"/>
      <c r="N2" s="97"/>
      <c r="O2" s="97"/>
      <c r="P2" s="97"/>
      <c r="Q2" s="97"/>
      <c r="R2" s="97"/>
      <c r="S2" s="97"/>
      <c r="T2" s="41"/>
    </row>
    <row r="3" spans="1:20" ht="18.600000000000001" customHeight="1">
      <c r="A3" s="98"/>
      <c r="B3" s="98"/>
      <c r="C3" s="98"/>
      <c r="D3" s="98"/>
      <c r="E3" s="98"/>
      <c r="F3" s="98"/>
      <c r="G3" s="98"/>
      <c r="H3" s="98"/>
      <c r="I3" s="98"/>
      <c r="J3" s="98"/>
      <c r="K3" s="98"/>
      <c r="L3" s="98"/>
      <c r="M3" s="98"/>
      <c r="N3" s="98"/>
      <c r="O3" s="98"/>
      <c r="P3" s="98"/>
      <c r="Q3" s="98"/>
      <c r="R3" s="98"/>
      <c r="S3" s="98"/>
      <c r="T3" s="41"/>
    </row>
    <row r="4" spans="1:20">
      <c r="A4" s="97"/>
      <c r="B4" s="97"/>
      <c r="C4" s="97"/>
      <c r="D4" s="97"/>
      <c r="E4" s="97"/>
      <c r="F4" s="97"/>
      <c r="G4" s="97"/>
      <c r="H4" s="97"/>
      <c r="I4" s="97"/>
      <c r="J4" s="97"/>
      <c r="K4" s="97"/>
      <c r="L4" s="97"/>
      <c r="M4" s="97"/>
      <c r="N4" s="97"/>
      <c r="O4" s="97"/>
      <c r="P4" s="97"/>
      <c r="Q4" s="97"/>
      <c r="R4" s="97"/>
      <c r="S4" s="97"/>
      <c r="T4" s="41"/>
    </row>
    <row r="5" spans="1:20">
      <c r="A5" s="97"/>
      <c r="B5" s="97"/>
      <c r="C5" s="97"/>
      <c r="D5" s="97"/>
      <c r="E5" s="97"/>
      <c r="F5" s="97"/>
      <c r="G5" s="97"/>
      <c r="H5" s="97"/>
      <c r="I5" s="97"/>
      <c r="J5" s="97"/>
      <c r="K5" s="97"/>
      <c r="L5" s="97"/>
      <c r="M5" s="97"/>
      <c r="N5" s="97"/>
      <c r="O5" s="97"/>
      <c r="P5" s="97"/>
      <c r="Q5" s="97"/>
      <c r="R5" s="97"/>
      <c r="S5" s="97"/>
      <c r="T5" s="41"/>
    </row>
    <row r="51" spans="6:16" ht="18.600000000000001" thickBot="1">
      <c r="F51" s="96"/>
      <c r="G51" s="96"/>
      <c r="H51" s="96"/>
      <c r="I51" s="96"/>
      <c r="J51" s="96"/>
      <c r="K51" s="96"/>
      <c r="L51" s="96"/>
      <c r="M51" s="96"/>
      <c r="N51" s="96"/>
      <c r="O51" s="96"/>
      <c r="P51" s="96"/>
    </row>
    <row r="52" spans="6:16" ht="60" customHeight="1" thickTop="1" thickBot="1">
      <c r="F52" s="96"/>
      <c r="G52" s="96"/>
      <c r="H52" s="96"/>
      <c r="I52" s="100" t="s">
        <v>0</v>
      </c>
      <c r="J52" s="100"/>
      <c r="K52" s="100"/>
      <c r="L52" s="96"/>
      <c r="M52" s="96"/>
      <c r="N52" s="96"/>
      <c r="O52" s="96"/>
      <c r="P52" s="96"/>
    </row>
    <row r="53" spans="6:16" ht="55.15" thickTop="1" thickBot="1">
      <c r="F53" s="96"/>
      <c r="G53" s="96"/>
      <c r="H53" s="96"/>
      <c r="I53" s="95" t="s">
        <v>1</v>
      </c>
      <c r="J53" s="94" t="s">
        <v>2</v>
      </c>
      <c r="K53" s="95" t="s">
        <v>3</v>
      </c>
      <c r="L53" s="96"/>
      <c r="M53" s="96"/>
      <c r="N53" s="96"/>
      <c r="O53" s="96"/>
      <c r="P53" s="96"/>
    </row>
    <row r="54" spans="6:16" ht="19.149999999999999" thickTop="1" thickBot="1">
      <c r="F54" s="96"/>
      <c r="G54" s="96"/>
      <c r="H54" s="96"/>
      <c r="I54" s="44" t="s">
        <v>4</v>
      </c>
      <c r="J54" s="45" cm="1">
        <f t="array" ref="J54">AVERAGEIFS(AttendanceRate,Department, "IT")</f>
        <v>95.57692307692308</v>
      </c>
      <c r="K54" s="45">
        <f>AVERAGEIFS(BonusAmount,Department, "IT")</f>
        <v>1588.4615384615386</v>
      </c>
      <c r="L54" s="96"/>
      <c r="M54" s="96"/>
      <c r="N54" s="96"/>
      <c r="O54" s="96"/>
      <c r="P54" s="96"/>
    </row>
    <row r="55" spans="6:16" ht="19.149999999999999" thickTop="1" thickBot="1">
      <c r="F55" s="96"/>
      <c r="G55" s="96"/>
      <c r="H55" s="96"/>
      <c r="I55" s="44" t="s">
        <v>5</v>
      </c>
      <c r="J55" s="45" cm="1">
        <f t="array" ref="J55">AVERAGEIFS(AttendanceRate,Department, "Sales")</f>
        <v>93.84210526315789</v>
      </c>
      <c r="K55" s="45">
        <f>AVERAGEIFS(BonusAmount,Department, "HR")</f>
        <v>1527.5</v>
      </c>
      <c r="L55" s="96"/>
      <c r="M55" s="96"/>
      <c r="N55" s="96"/>
      <c r="O55" s="96"/>
      <c r="P55" s="96"/>
    </row>
    <row r="56" spans="6:16" ht="19.149999999999999" thickTop="1" thickBot="1">
      <c r="F56" s="96"/>
      <c r="G56" s="96"/>
      <c r="H56" s="96"/>
      <c r="I56" s="44" t="s">
        <v>6</v>
      </c>
      <c r="J56" s="45" cm="1">
        <f t="array" ref="J56">AVERAGEIFS(AttendanceRate,Department, "Finance")</f>
        <v>96.4375</v>
      </c>
      <c r="K56" s="45">
        <f>AVERAGEIFS(BonusAmount,Department, "Finance")</f>
        <v>1662.5</v>
      </c>
      <c r="L56" s="96"/>
      <c r="M56" s="96"/>
      <c r="N56" s="96"/>
      <c r="O56" s="96"/>
      <c r="P56" s="96"/>
    </row>
    <row r="57" spans="6:16" ht="19.149999999999999" thickTop="1" thickBot="1">
      <c r="F57" s="96"/>
      <c r="G57" s="96"/>
      <c r="H57" s="96"/>
      <c r="I57" s="44" t="s">
        <v>7</v>
      </c>
      <c r="J57" s="45" cm="1">
        <f t="array" ref="J57">AVERAGEIFS(AttendanceRate,Department, "Marketing")</f>
        <v>92.78947368421052</v>
      </c>
      <c r="K57" s="45">
        <f>AVERAGEIFS(BonusAmount,Department, "marketing")</f>
        <v>1442.1052631578948</v>
      </c>
      <c r="L57" s="96"/>
      <c r="M57" s="96"/>
      <c r="N57" s="96"/>
      <c r="O57" s="96"/>
      <c r="P57" s="96"/>
    </row>
    <row r="58" spans="6:16" ht="19.149999999999999" thickTop="1" thickBot="1">
      <c r="F58" s="96"/>
      <c r="G58" s="96"/>
      <c r="H58" s="96"/>
      <c r="I58" s="44" t="s">
        <v>8</v>
      </c>
      <c r="J58" s="45" cm="1">
        <f t="array" ref="J58">AVERAGEIFS(AttendanceRate,Department, "sales")</f>
        <v>93.84210526315789</v>
      </c>
      <c r="K58" s="45">
        <f>AVERAGEIFS(BonusAmount,Department, "sales")</f>
        <v>1484.2105263157894</v>
      </c>
      <c r="L58" s="96"/>
      <c r="M58" s="96"/>
      <c r="N58" s="96"/>
      <c r="O58" s="96"/>
      <c r="P58" s="96"/>
    </row>
    <row r="59" spans="6:16" ht="18.600000000000001" thickTop="1">
      <c r="F59" s="96"/>
      <c r="G59" s="96"/>
      <c r="H59" s="96"/>
      <c r="I59" s="96"/>
      <c r="J59" s="96"/>
      <c r="K59" s="96"/>
      <c r="L59" s="96"/>
      <c r="M59" s="96"/>
      <c r="N59" s="96"/>
      <c r="O59" s="96"/>
      <c r="P59" s="96"/>
    </row>
    <row r="61" spans="6:16" ht="72" customHeight="1">
      <c r="F61" s="101" t="s">
        <v>9</v>
      </c>
      <c r="G61" s="101"/>
      <c r="H61" s="101"/>
      <c r="I61" s="101"/>
      <c r="J61" s="101"/>
      <c r="K61" s="101"/>
      <c r="L61" s="101"/>
      <c r="M61" s="101"/>
      <c r="N61" s="101"/>
      <c r="O61" s="101"/>
      <c r="P61" s="101"/>
    </row>
    <row r="62" spans="6:16">
      <c r="F62" s="99"/>
      <c r="G62" s="99"/>
      <c r="H62" s="99"/>
      <c r="I62" s="99"/>
      <c r="J62" s="99"/>
      <c r="K62" s="99"/>
      <c r="L62" s="99"/>
      <c r="M62" s="99"/>
      <c r="N62" s="99"/>
      <c r="O62" s="99"/>
      <c r="P62" s="99"/>
    </row>
    <row r="63" spans="6:16">
      <c r="F63" s="99"/>
      <c r="G63" s="99"/>
      <c r="H63" s="99"/>
      <c r="I63" s="99"/>
      <c r="J63" s="99"/>
      <c r="K63" s="99"/>
      <c r="L63" s="99"/>
      <c r="M63" s="99"/>
      <c r="N63" s="99"/>
      <c r="O63" s="99"/>
      <c r="P63" s="99"/>
    </row>
    <row r="64" spans="6:16">
      <c r="F64" s="99"/>
      <c r="G64" s="99"/>
      <c r="H64" s="99"/>
      <c r="I64" s="99"/>
      <c r="J64" s="99"/>
      <c r="K64" s="99"/>
      <c r="L64" s="99"/>
      <c r="M64" s="99"/>
      <c r="N64" s="99"/>
      <c r="O64" s="99"/>
      <c r="P64" s="99"/>
    </row>
    <row r="65" spans="6:16">
      <c r="F65" s="99"/>
      <c r="G65" s="99"/>
      <c r="H65" s="99"/>
      <c r="I65" s="99"/>
      <c r="J65" s="99"/>
      <c r="K65" s="99"/>
      <c r="L65" s="99"/>
      <c r="M65" s="99"/>
      <c r="N65" s="99"/>
      <c r="O65" s="99"/>
      <c r="P65" s="99"/>
    </row>
    <row r="66" spans="6:16">
      <c r="F66" s="99"/>
      <c r="G66" s="99"/>
      <c r="H66" s="99"/>
      <c r="I66" s="99"/>
      <c r="J66" s="99"/>
      <c r="K66" s="99"/>
      <c r="L66" s="99"/>
      <c r="M66" s="99"/>
      <c r="N66" s="99"/>
      <c r="O66" s="99"/>
      <c r="P66" s="99"/>
    </row>
  </sheetData>
  <mergeCells count="12">
    <mergeCell ref="F65:P65"/>
    <mergeCell ref="F66:P66"/>
    <mergeCell ref="I52:K52"/>
    <mergeCell ref="F61:P61"/>
    <mergeCell ref="F62:P62"/>
    <mergeCell ref="F63:P63"/>
    <mergeCell ref="F64:P64"/>
    <mergeCell ref="A1:S1"/>
    <mergeCell ref="A2:S2"/>
    <mergeCell ref="A3:S3"/>
    <mergeCell ref="A4:S4"/>
    <mergeCell ref="A5:S5"/>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C3058-07C3-480D-9F71-FD6CFE38D6B4}">
  <sheetPr codeName="Sheet5"/>
  <dimension ref="A1:L47"/>
  <sheetViews>
    <sheetView showGridLines="0" zoomScale="80" zoomScaleNormal="80" workbookViewId="0">
      <selection activeCell="L1" sqref="L1:L1048576"/>
    </sheetView>
  </sheetViews>
  <sheetFormatPr defaultRowHeight="18"/>
  <cols>
    <col min="6" max="6" width="15.75" customWidth="1"/>
    <col min="7" max="7" width="22.625" bestFit="1" customWidth="1"/>
    <col min="8" max="8" width="22.875" bestFit="1" customWidth="1"/>
    <col min="9" max="9" width="19.625" bestFit="1" customWidth="1"/>
    <col min="10" max="10" width="23.75" bestFit="1" customWidth="1"/>
    <col min="11" max="11" width="11.125" bestFit="1" customWidth="1"/>
    <col min="12" max="12" width="16.25" customWidth="1"/>
    <col min="13" max="13" width="15.75" bestFit="1" customWidth="1"/>
  </cols>
  <sheetData>
    <row r="1" spans="1:12">
      <c r="A1" s="41"/>
      <c r="B1" s="41"/>
      <c r="C1" s="41"/>
      <c r="D1" s="41"/>
      <c r="E1" s="41"/>
      <c r="F1" s="41"/>
      <c r="G1" s="41"/>
      <c r="H1" s="41"/>
      <c r="I1" s="41"/>
      <c r="J1" s="41"/>
      <c r="K1" s="41"/>
      <c r="L1" s="93"/>
    </row>
    <row r="2" spans="1:12">
      <c r="A2" s="41"/>
      <c r="B2" s="41"/>
      <c r="C2" s="41"/>
      <c r="D2" s="41"/>
      <c r="E2" s="41"/>
      <c r="F2" s="41"/>
      <c r="G2" s="41"/>
      <c r="H2" s="41"/>
      <c r="I2" s="41"/>
      <c r="J2" s="41"/>
      <c r="K2" s="41"/>
      <c r="L2" s="93"/>
    </row>
    <row r="3" spans="1:12">
      <c r="A3" s="41"/>
      <c r="B3" s="41"/>
      <c r="C3" s="41"/>
      <c r="D3" s="41"/>
      <c r="E3" s="41"/>
      <c r="F3" s="41"/>
      <c r="G3" s="41"/>
      <c r="H3" s="41"/>
      <c r="I3" s="41"/>
      <c r="J3" s="41"/>
      <c r="K3" s="41"/>
      <c r="L3" s="93"/>
    </row>
    <row r="4" spans="1:12">
      <c r="A4" s="41"/>
      <c r="B4" s="41"/>
      <c r="C4" s="41"/>
      <c r="D4" s="41"/>
      <c r="E4" s="41"/>
      <c r="F4" s="41"/>
      <c r="G4" s="41"/>
      <c r="H4" s="41"/>
      <c r="I4" s="41"/>
      <c r="J4" s="41"/>
      <c r="K4" s="41"/>
      <c r="L4" s="93"/>
    </row>
    <row r="36" spans="6:12" ht="27">
      <c r="F36" s="102" t="s">
        <v>10</v>
      </c>
      <c r="G36" s="102"/>
      <c r="H36" s="102"/>
      <c r="I36" s="102"/>
      <c r="J36" s="102"/>
      <c r="K36" s="102"/>
      <c r="L36" s="102"/>
    </row>
    <row r="37" spans="6:12">
      <c r="F37" s="96" t="s">
        <v>11</v>
      </c>
      <c r="G37" s="57" t="s">
        <v>12</v>
      </c>
      <c r="H37" s="96" t="s">
        <v>13</v>
      </c>
      <c r="I37" s="37" t="s">
        <v>14</v>
      </c>
      <c r="J37" s="96" t="s">
        <v>15</v>
      </c>
      <c r="K37" s="96" t="s">
        <v>16</v>
      </c>
      <c r="L37" s="96" t="s">
        <v>1</v>
      </c>
    </row>
    <row r="38" spans="6:12">
      <c r="F38" s="96" t="s">
        <v>17</v>
      </c>
      <c r="G38" s="92">
        <v>93</v>
      </c>
      <c r="H38" s="96">
        <v>14</v>
      </c>
      <c r="I38" s="37">
        <v>1750</v>
      </c>
      <c r="J38" s="96">
        <v>99</v>
      </c>
      <c r="K38" s="96" t="s">
        <v>18</v>
      </c>
      <c r="L38" s="96" t="s">
        <v>6</v>
      </c>
    </row>
    <row r="39" spans="6:12">
      <c r="F39" s="96" t="s">
        <v>19</v>
      </c>
      <c r="G39" s="92">
        <v>92</v>
      </c>
      <c r="H39" s="96">
        <v>15</v>
      </c>
      <c r="I39" s="37">
        <v>1850</v>
      </c>
      <c r="J39" s="96">
        <v>99</v>
      </c>
      <c r="K39" s="96" t="s">
        <v>20</v>
      </c>
      <c r="L39" s="96" t="s">
        <v>6</v>
      </c>
    </row>
    <row r="40" spans="6:12">
      <c r="F40" s="96" t="s">
        <v>21</v>
      </c>
      <c r="G40" s="92">
        <v>92</v>
      </c>
      <c r="H40" s="96">
        <v>13</v>
      </c>
      <c r="I40" s="37">
        <v>1800</v>
      </c>
      <c r="J40" s="96">
        <v>98</v>
      </c>
      <c r="K40" s="96" t="s">
        <v>18</v>
      </c>
      <c r="L40" s="96" t="s">
        <v>4</v>
      </c>
    </row>
    <row r="41" spans="6:12">
      <c r="F41" s="96" t="s">
        <v>22</v>
      </c>
      <c r="G41" s="92">
        <v>92</v>
      </c>
      <c r="H41" s="96">
        <v>12</v>
      </c>
      <c r="I41" s="37">
        <v>1650</v>
      </c>
      <c r="J41" s="96">
        <v>98</v>
      </c>
      <c r="K41" s="96" t="s">
        <v>20</v>
      </c>
      <c r="L41" s="96" t="s">
        <v>8</v>
      </c>
    </row>
    <row r="42" spans="6:12">
      <c r="F42" s="96" t="s">
        <v>23</v>
      </c>
      <c r="G42" s="92">
        <v>92</v>
      </c>
      <c r="H42" s="96">
        <v>14</v>
      </c>
      <c r="I42" s="37">
        <v>1800</v>
      </c>
      <c r="J42" s="96">
        <v>99</v>
      </c>
      <c r="K42" s="96" t="s">
        <v>18</v>
      </c>
      <c r="L42" s="96" t="s">
        <v>4</v>
      </c>
    </row>
    <row r="43" spans="6:12">
      <c r="F43" s="96" t="s">
        <v>24</v>
      </c>
      <c r="G43" s="92">
        <v>92</v>
      </c>
      <c r="H43" s="96">
        <v>15</v>
      </c>
      <c r="I43" s="37">
        <v>1800</v>
      </c>
      <c r="J43" s="96">
        <v>99</v>
      </c>
      <c r="K43" s="96" t="s">
        <v>18</v>
      </c>
      <c r="L43" s="96" t="s">
        <v>6</v>
      </c>
    </row>
    <row r="44" spans="6:12">
      <c r="F44" s="96" t="s">
        <v>25</v>
      </c>
      <c r="G44" s="92">
        <v>92</v>
      </c>
      <c r="H44" s="96">
        <v>14</v>
      </c>
      <c r="I44" s="37">
        <v>1800</v>
      </c>
      <c r="J44" s="96">
        <v>99</v>
      </c>
      <c r="K44" s="96" t="s">
        <v>20</v>
      </c>
      <c r="L44" s="96" t="s">
        <v>4</v>
      </c>
    </row>
    <row r="45" spans="6:12">
      <c r="F45" s="96" t="s">
        <v>26</v>
      </c>
      <c r="G45" s="92">
        <v>91</v>
      </c>
      <c r="H45" s="96">
        <v>11</v>
      </c>
      <c r="I45" s="37">
        <v>1700</v>
      </c>
      <c r="J45" s="96">
        <v>99</v>
      </c>
      <c r="K45" s="96" t="s">
        <v>20</v>
      </c>
      <c r="L45" s="96" t="s">
        <v>7</v>
      </c>
    </row>
    <row r="46" spans="6:12">
      <c r="F46" s="96" t="s">
        <v>27</v>
      </c>
      <c r="G46" s="92">
        <v>91</v>
      </c>
      <c r="H46" s="96">
        <v>12</v>
      </c>
      <c r="I46" s="37">
        <v>1700</v>
      </c>
      <c r="J46" s="96">
        <v>97</v>
      </c>
      <c r="K46" s="96" t="s">
        <v>20</v>
      </c>
      <c r="L46" s="96" t="s">
        <v>5</v>
      </c>
    </row>
    <row r="47" spans="6:12">
      <c r="F47" s="96" t="s">
        <v>28</v>
      </c>
      <c r="G47" s="92">
        <v>91</v>
      </c>
      <c r="H47" s="96">
        <v>7</v>
      </c>
      <c r="I47" s="37">
        <v>1600</v>
      </c>
      <c r="J47" s="96">
        <v>99</v>
      </c>
      <c r="K47" s="96" t="s">
        <v>20</v>
      </c>
      <c r="L47" s="96" t="s">
        <v>4</v>
      </c>
    </row>
  </sheetData>
  <mergeCells count="1">
    <mergeCell ref="F36:L36"/>
  </mergeCells>
  <pageMargins left="0.7" right="0.7" top="0.75" bottom="0.75" header="0.3" footer="0.3"/>
  <drawing r:id="rId1"/>
  <tableParts count="1">
    <tablePart r:id="rId2"/>
  </tableParts>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021EF-481F-4C1B-82FE-5F077D59F81F}">
  <sheetPr codeName="Sheet6"/>
  <dimension ref="A1:T4"/>
  <sheetViews>
    <sheetView showGridLines="0" tabSelected="1" zoomScale="80" zoomScaleNormal="80" workbookViewId="0">
      <selection activeCell="P60" sqref="P60"/>
    </sheetView>
  </sheetViews>
  <sheetFormatPr defaultRowHeight="18"/>
  <sheetData>
    <row r="1" spans="1:20">
      <c r="A1" s="41"/>
      <c r="B1" s="41"/>
      <c r="C1" s="41"/>
      <c r="D1" s="41"/>
      <c r="E1" s="41"/>
      <c r="F1" s="41"/>
      <c r="G1" s="41"/>
      <c r="H1" s="41"/>
      <c r="I1" s="41"/>
      <c r="J1" s="41"/>
      <c r="K1" s="41"/>
      <c r="L1" s="41"/>
      <c r="M1" s="41"/>
      <c r="N1" s="41"/>
      <c r="O1" s="41"/>
      <c r="P1" s="41"/>
      <c r="Q1" s="41"/>
      <c r="R1" s="41"/>
      <c r="S1" s="41"/>
      <c r="T1" s="41"/>
    </row>
    <row r="2" spans="1:20">
      <c r="A2" s="41"/>
      <c r="B2" s="41"/>
      <c r="C2" s="41"/>
      <c r="D2" s="41"/>
      <c r="E2" s="41"/>
      <c r="F2" s="41"/>
      <c r="G2" s="41"/>
      <c r="H2" s="41"/>
      <c r="I2" s="41"/>
      <c r="J2" s="41"/>
      <c r="K2" s="41"/>
      <c r="L2" s="41"/>
      <c r="M2" s="41"/>
      <c r="N2" s="41"/>
      <c r="O2" s="41"/>
      <c r="P2" s="41"/>
      <c r="Q2" s="41"/>
      <c r="R2" s="41"/>
      <c r="S2" s="41"/>
      <c r="T2" s="41"/>
    </row>
    <row r="3" spans="1:20">
      <c r="A3" s="41"/>
      <c r="B3" s="41"/>
      <c r="C3" s="41"/>
      <c r="D3" s="41"/>
      <c r="E3" s="41"/>
      <c r="F3" s="41"/>
      <c r="G3" s="41"/>
      <c r="H3" s="41"/>
      <c r="I3" s="41"/>
      <c r="J3" s="41"/>
      <c r="K3" s="41"/>
      <c r="L3" s="41"/>
      <c r="M3" s="41"/>
      <c r="N3" s="41"/>
      <c r="O3" s="41"/>
      <c r="P3" s="41"/>
      <c r="Q3" s="41"/>
      <c r="R3" s="41"/>
      <c r="S3" s="41"/>
      <c r="T3" s="41"/>
    </row>
    <row r="4" spans="1:20">
      <c r="A4" s="41"/>
      <c r="B4" s="41"/>
      <c r="C4" s="41"/>
      <c r="D4" s="41"/>
      <c r="E4" s="41"/>
      <c r="F4" s="41"/>
      <c r="G4" s="41"/>
      <c r="H4" s="41"/>
      <c r="I4" s="41"/>
      <c r="J4" s="41"/>
      <c r="K4" s="41"/>
      <c r="L4" s="41"/>
      <c r="M4" s="41"/>
      <c r="N4" s="41"/>
      <c r="O4" s="41"/>
      <c r="P4" s="41"/>
      <c r="Q4" s="41"/>
      <c r="R4" s="41"/>
      <c r="S4" s="41"/>
      <c r="T4" s="41"/>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103"/>
  <sheetViews>
    <sheetView topLeftCell="A16" workbookViewId="0">
      <selection activeCell="A76" sqref="A76"/>
    </sheetView>
  </sheetViews>
  <sheetFormatPr defaultRowHeight="18"/>
  <cols>
    <col min="1" max="10" width="20.25" customWidth="1"/>
  </cols>
  <sheetData>
    <row r="1" spans="1:10">
      <c r="A1" s="1" t="s">
        <v>11</v>
      </c>
      <c r="B1" s="1" t="s">
        <v>29</v>
      </c>
      <c r="C1" s="1" t="s">
        <v>30</v>
      </c>
      <c r="D1" s="1" t="s">
        <v>16</v>
      </c>
      <c r="E1" s="1" t="s">
        <v>1</v>
      </c>
      <c r="F1" s="1" t="s">
        <v>31</v>
      </c>
      <c r="G1" s="1" t="s">
        <v>12</v>
      </c>
      <c r="H1" s="1" t="s">
        <v>13</v>
      </c>
      <c r="I1" s="1" t="s">
        <v>14</v>
      </c>
      <c r="J1" s="1" t="s">
        <v>15</v>
      </c>
    </row>
    <row r="2" spans="1:10">
      <c r="A2" s="2" t="s">
        <v>32</v>
      </c>
      <c r="B2" s="2" t="s">
        <v>33</v>
      </c>
      <c r="C2" s="2" t="s">
        <v>34</v>
      </c>
      <c r="D2" s="2" t="s">
        <v>18</v>
      </c>
      <c r="E2" s="2" t="s">
        <v>4</v>
      </c>
      <c r="F2" s="4">
        <v>44242</v>
      </c>
      <c r="G2" s="2">
        <v>85</v>
      </c>
      <c r="H2" s="2">
        <v>12</v>
      </c>
      <c r="I2" s="2">
        <v>1500</v>
      </c>
      <c r="J2" s="2">
        <v>95</v>
      </c>
    </row>
    <row r="3" spans="1:10">
      <c r="A3" s="2" t="s">
        <v>35</v>
      </c>
      <c r="B3" s="2" t="s">
        <v>36</v>
      </c>
      <c r="C3" s="2" t="s">
        <v>37</v>
      </c>
      <c r="D3" s="2" t="s">
        <v>20</v>
      </c>
      <c r="E3" s="2" t="s">
        <v>5</v>
      </c>
      <c r="F3" s="4">
        <v>44691</v>
      </c>
      <c r="G3" s="2">
        <v>90</v>
      </c>
      <c r="H3" s="2">
        <v>8</v>
      </c>
      <c r="I3" s="2">
        <v>1800</v>
      </c>
      <c r="J3" s="2">
        <v>98</v>
      </c>
    </row>
    <row r="4" spans="1:10">
      <c r="A4" s="2" t="s">
        <v>38</v>
      </c>
      <c r="B4" s="2" t="s">
        <v>39</v>
      </c>
      <c r="C4" s="2" t="s">
        <v>40</v>
      </c>
      <c r="D4" s="2" t="s">
        <v>18</v>
      </c>
      <c r="E4" s="2" t="s">
        <v>7</v>
      </c>
      <c r="F4" s="4">
        <v>44032</v>
      </c>
      <c r="G4" s="2">
        <v>75</v>
      </c>
      <c r="H4" s="2">
        <v>10</v>
      </c>
      <c r="I4" s="2">
        <v>1200</v>
      </c>
      <c r="J4" s="2">
        <v>92</v>
      </c>
    </row>
    <row r="5" spans="1:10">
      <c r="A5" s="2" t="s">
        <v>41</v>
      </c>
      <c r="B5" s="2" t="s">
        <v>42</v>
      </c>
      <c r="C5" s="2" t="s">
        <v>43</v>
      </c>
      <c r="D5" s="2" t="s">
        <v>20</v>
      </c>
      <c r="E5" s="2" t="s">
        <v>4</v>
      </c>
      <c r="F5" s="4">
        <v>43804</v>
      </c>
      <c r="G5" s="2">
        <v>88</v>
      </c>
      <c r="H5" s="2">
        <v>15</v>
      </c>
      <c r="I5" s="2">
        <v>2000</v>
      </c>
      <c r="J5" s="2">
        <v>97</v>
      </c>
    </row>
    <row r="6" spans="1:10">
      <c r="A6" s="2" t="s">
        <v>17</v>
      </c>
      <c r="B6" s="2" t="s">
        <v>44</v>
      </c>
      <c r="C6" s="2" t="s">
        <v>45</v>
      </c>
      <c r="D6" s="2" t="s">
        <v>18</v>
      </c>
      <c r="E6" s="2" t="s">
        <v>6</v>
      </c>
      <c r="F6" s="4">
        <v>44214</v>
      </c>
      <c r="G6" s="2">
        <v>93</v>
      </c>
      <c r="H6" s="2">
        <v>14</v>
      </c>
      <c r="I6" s="2">
        <v>1750</v>
      </c>
      <c r="J6" s="2">
        <v>99</v>
      </c>
    </row>
    <row r="7" spans="1:10">
      <c r="A7" s="2" t="s">
        <v>46</v>
      </c>
      <c r="B7" s="2" t="s">
        <v>47</v>
      </c>
      <c r="C7" s="2" t="s">
        <v>48</v>
      </c>
      <c r="D7" s="2" t="s">
        <v>20</v>
      </c>
      <c r="E7" s="2" t="s">
        <v>5</v>
      </c>
      <c r="F7" s="4">
        <v>44065</v>
      </c>
      <c r="G7" s="2">
        <v>80</v>
      </c>
      <c r="H7" s="2">
        <v>9</v>
      </c>
      <c r="I7" s="2">
        <v>1300</v>
      </c>
      <c r="J7" s="2">
        <v>94</v>
      </c>
    </row>
    <row r="8" spans="1:10">
      <c r="A8" s="2" t="s">
        <v>49</v>
      </c>
      <c r="B8" s="2" t="s">
        <v>50</v>
      </c>
      <c r="C8" s="2" t="s">
        <v>51</v>
      </c>
      <c r="D8" s="2" t="s">
        <v>18</v>
      </c>
      <c r="E8" s="2" t="s">
        <v>8</v>
      </c>
      <c r="F8" s="4">
        <v>44269</v>
      </c>
      <c r="G8" s="2">
        <v>82</v>
      </c>
      <c r="H8" s="2">
        <v>11</v>
      </c>
      <c r="I8" s="2">
        <v>1400</v>
      </c>
      <c r="J8" s="2">
        <v>96</v>
      </c>
    </row>
    <row r="9" spans="1:10">
      <c r="A9" s="2" t="s">
        <v>28</v>
      </c>
      <c r="B9" s="2" t="s">
        <v>52</v>
      </c>
      <c r="C9" s="2" t="s">
        <v>53</v>
      </c>
      <c r="D9" s="2" t="s">
        <v>20</v>
      </c>
      <c r="E9" s="2" t="s">
        <v>4</v>
      </c>
      <c r="F9" s="4">
        <v>44723</v>
      </c>
      <c r="G9" s="2">
        <v>91</v>
      </c>
      <c r="H9" s="2">
        <v>7</v>
      </c>
      <c r="I9" s="2">
        <v>1600</v>
      </c>
      <c r="J9" s="2">
        <v>99</v>
      </c>
    </row>
    <row r="10" spans="1:10">
      <c r="A10" s="2" t="s">
        <v>54</v>
      </c>
      <c r="B10" s="2" t="s">
        <v>55</v>
      </c>
      <c r="C10" s="2" t="s">
        <v>56</v>
      </c>
      <c r="D10" s="2" t="s">
        <v>18</v>
      </c>
      <c r="E10" s="2" t="s">
        <v>7</v>
      </c>
      <c r="F10" s="4">
        <v>43739</v>
      </c>
      <c r="G10" s="2">
        <v>89</v>
      </c>
      <c r="H10" s="2">
        <v>13</v>
      </c>
      <c r="I10" s="2">
        <v>1550</v>
      </c>
      <c r="J10" s="2">
        <v>98</v>
      </c>
    </row>
    <row r="11" spans="1:10">
      <c r="A11" s="2" t="s">
        <v>57</v>
      </c>
      <c r="B11" s="2" t="s">
        <v>58</v>
      </c>
      <c r="C11" s="2" t="s">
        <v>59</v>
      </c>
      <c r="D11" s="2" t="s">
        <v>20</v>
      </c>
      <c r="E11" s="2" t="s">
        <v>6</v>
      </c>
      <c r="F11" s="4">
        <v>43837</v>
      </c>
      <c r="G11" s="2">
        <v>76</v>
      </c>
      <c r="H11" s="2">
        <v>10</v>
      </c>
      <c r="I11" s="2">
        <v>1100</v>
      </c>
      <c r="J11" s="2">
        <v>91</v>
      </c>
    </row>
    <row r="12" spans="1:10">
      <c r="A12" s="96" t="s">
        <v>60</v>
      </c>
      <c r="B12" s="96" t="s">
        <v>61</v>
      </c>
      <c r="C12" s="96" t="s">
        <v>62</v>
      </c>
      <c r="D12" s="96" t="s">
        <v>20</v>
      </c>
      <c r="E12" s="96" t="s">
        <v>4</v>
      </c>
      <c r="F12" s="3">
        <v>43845</v>
      </c>
      <c r="G12" s="96">
        <v>84</v>
      </c>
      <c r="H12" s="96">
        <v>11</v>
      </c>
      <c r="I12" s="96">
        <v>1500</v>
      </c>
      <c r="J12" s="96">
        <v>94</v>
      </c>
    </row>
    <row r="13" spans="1:10">
      <c r="A13" s="96" t="s">
        <v>63</v>
      </c>
      <c r="B13" s="96" t="s">
        <v>64</v>
      </c>
      <c r="C13" s="96" t="s">
        <v>65</v>
      </c>
      <c r="D13" s="96" t="s">
        <v>18</v>
      </c>
      <c r="E13" s="96" t="s">
        <v>6</v>
      </c>
      <c r="F13" s="3">
        <v>44249</v>
      </c>
      <c r="G13" s="96">
        <v>89</v>
      </c>
      <c r="H13" s="96">
        <v>14</v>
      </c>
      <c r="I13" s="96">
        <v>1750</v>
      </c>
      <c r="J13" s="96">
        <v>97</v>
      </c>
    </row>
    <row r="14" spans="1:10">
      <c r="A14" s="96" t="s">
        <v>66</v>
      </c>
      <c r="B14" s="96" t="s">
        <v>67</v>
      </c>
      <c r="C14" s="96" t="s">
        <v>68</v>
      </c>
      <c r="D14" s="96" t="s">
        <v>20</v>
      </c>
      <c r="E14" s="96" t="s">
        <v>7</v>
      </c>
      <c r="F14" s="3">
        <v>43687</v>
      </c>
      <c r="G14" s="96">
        <v>78</v>
      </c>
      <c r="H14" s="96">
        <v>8</v>
      </c>
      <c r="I14" s="96">
        <v>1250</v>
      </c>
      <c r="J14" s="96">
        <v>90</v>
      </c>
    </row>
    <row r="15" spans="1:10">
      <c r="A15" s="96" t="s">
        <v>69</v>
      </c>
      <c r="B15" s="96" t="s">
        <v>70</v>
      </c>
      <c r="C15" s="96" t="s">
        <v>71</v>
      </c>
      <c r="D15" s="96" t="s">
        <v>18</v>
      </c>
      <c r="E15" s="96" t="s">
        <v>5</v>
      </c>
      <c r="F15" s="3">
        <v>43895</v>
      </c>
      <c r="G15" s="96">
        <v>85</v>
      </c>
      <c r="H15" s="96">
        <v>10</v>
      </c>
      <c r="I15" s="96">
        <v>1450</v>
      </c>
      <c r="J15" s="96">
        <v>93</v>
      </c>
    </row>
    <row r="16" spans="1:10">
      <c r="A16" s="96" t="s">
        <v>72</v>
      </c>
      <c r="B16" s="96" t="s">
        <v>36</v>
      </c>
      <c r="C16" s="96" t="s">
        <v>73</v>
      </c>
      <c r="D16" s="96" t="s">
        <v>20</v>
      </c>
      <c r="E16" s="96" t="s">
        <v>8</v>
      </c>
      <c r="F16" s="3">
        <v>44396</v>
      </c>
      <c r="G16" s="96">
        <v>88</v>
      </c>
      <c r="H16" s="96">
        <v>12</v>
      </c>
      <c r="I16" s="96">
        <v>1600</v>
      </c>
      <c r="J16" s="96">
        <v>96</v>
      </c>
    </row>
    <row r="17" spans="1:10">
      <c r="A17" s="96" t="s">
        <v>21</v>
      </c>
      <c r="B17" s="96" t="s">
        <v>74</v>
      </c>
      <c r="C17" s="96" t="s">
        <v>75</v>
      </c>
      <c r="D17" s="96" t="s">
        <v>18</v>
      </c>
      <c r="E17" s="96" t="s">
        <v>4</v>
      </c>
      <c r="F17" s="3">
        <v>44833</v>
      </c>
      <c r="G17" s="96">
        <v>92</v>
      </c>
      <c r="H17" s="96">
        <v>13</v>
      </c>
      <c r="I17" s="96">
        <v>1800</v>
      </c>
      <c r="J17" s="96">
        <v>98</v>
      </c>
    </row>
    <row r="18" spans="1:10">
      <c r="A18" s="96" t="s">
        <v>76</v>
      </c>
      <c r="B18" s="96" t="s">
        <v>77</v>
      </c>
      <c r="C18" s="96" t="s">
        <v>78</v>
      </c>
      <c r="D18" s="96" t="s">
        <v>20</v>
      </c>
      <c r="E18" s="96" t="s">
        <v>5</v>
      </c>
      <c r="F18" s="3">
        <v>43637</v>
      </c>
      <c r="G18" s="96">
        <v>81</v>
      </c>
      <c r="H18" s="96">
        <v>9</v>
      </c>
      <c r="I18" s="96">
        <v>1400</v>
      </c>
      <c r="J18" s="96">
        <v>91</v>
      </c>
    </row>
    <row r="19" spans="1:10">
      <c r="A19" s="96" t="s">
        <v>79</v>
      </c>
      <c r="B19" s="96" t="s">
        <v>80</v>
      </c>
      <c r="C19" s="96" t="s">
        <v>81</v>
      </c>
      <c r="D19" s="96" t="s">
        <v>18</v>
      </c>
      <c r="E19" s="96" t="s">
        <v>7</v>
      </c>
      <c r="F19" s="3">
        <v>44324</v>
      </c>
      <c r="G19" s="96">
        <v>86</v>
      </c>
      <c r="H19" s="96">
        <v>11</v>
      </c>
      <c r="I19" s="96">
        <v>1550</v>
      </c>
      <c r="J19" s="96">
        <v>94</v>
      </c>
    </row>
    <row r="20" spans="1:10">
      <c r="A20" s="96" t="s">
        <v>82</v>
      </c>
      <c r="B20" s="96" t="s">
        <v>83</v>
      </c>
      <c r="C20" s="96" t="s">
        <v>84</v>
      </c>
      <c r="D20" s="96" t="s">
        <v>20</v>
      </c>
      <c r="E20" s="96" t="s">
        <v>8</v>
      </c>
      <c r="F20" s="3">
        <v>44137</v>
      </c>
      <c r="G20" s="96">
        <v>83</v>
      </c>
      <c r="H20" s="96">
        <v>10</v>
      </c>
      <c r="I20" s="96">
        <v>1450</v>
      </c>
      <c r="J20" s="96">
        <v>92</v>
      </c>
    </row>
    <row r="21" spans="1:10">
      <c r="A21" s="96" t="s">
        <v>85</v>
      </c>
      <c r="B21" s="96" t="s">
        <v>86</v>
      </c>
      <c r="C21" s="96" t="s">
        <v>87</v>
      </c>
      <c r="D21" s="96" t="s">
        <v>18</v>
      </c>
      <c r="E21" s="96" t="s">
        <v>4</v>
      </c>
      <c r="F21" s="3">
        <v>44637</v>
      </c>
      <c r="G21" s="96">
        <v>90</v>
      </c>
      <c r="H21" s="96">
        <v>12</v>
      </c>
      <c r="I21" s="96">
        <v>1700</v>
      </c>
      <c r="J21" s="96">
        <v>97</v>
      </c>
    </row>
    <row r="22" spans="1:10">
      <c r="A22" s="96" t="s">
        <v>88</v>
      </c>
      <c r="B22" s="96" t="s">
        <v>89</v>
      </c>
      <c r="C22" s="96" t="s">
        <v>90</v>
      </c>
      <c r="D22" s="96" t="s">
        <v>18</v>
      </c>
      <c r="E22" s="96" t="s">
        <v>4</v>
      </c>
      <c r="F22" s="3">
        <v>44453</v>
      </c>
      <c r="G22" s="96">
        <v>83</v>
      </c>
      <c r="H22" s="96">
        <v>9</v>
      </c>
      <c r="I22" s="96">
        <v>1450</v>
      </c>
      <c r="J22" s="96">
        <v>93</v>
      </c>
    </row>
    <row r="23" spans="1:10">
      <c r="A23" s="96" t="s">
        <v>91</v>
      </c>
      <c r="B23" s="96" t="s">
        <v>83</v>
      </c>
      <c r="C23" s="96" t="s">
        <v>62</v>
      </c>
      <c r="D23" s="96" t="s">
        <v>20</v>
      </c>
      <c r="E23" s="96" t="s">
        <v>5</v>
      </c>
      <c r="F23" s="3">
        <v>43923</v>
      </c>
      <c r="G23" s="96">
        <v>88</v>
      </c>
      <c r="H23" s="96">
        <v>11</v>
      </c>
      <c r="I23" s="96">
        <v>1650</v>
      </c>
      <c r="J23" s="96">
        <v>96</v>
      </c>
    </row>
    <row r="24" spans="1:10">
      <c r="A24" s="96" t="s">
        <v>92</v>
      </c>
      <c r="B24" s="96" t="s">
        <v>93</v>
      </c>
      <c r="C24" s="96" t="s">
        <v>94</v>
      </c>
      <c r="D24" s="96" t="s">
        <v>18</v>
      </c>
      <c r="E24" s="96" t="s">
        <v>7</v>
      </c>
      <c r="F24" s="3">
        <v>44893</v>
      </c>
      <c r="G24" s="96">
        <v>77</v>
      </c>
      <c r="H24" s="96">
        <v>6</v>
      </c>
      <c r="I24" s="96">
        <v>1100</v>
      </c>
      <c r="J24" s="96">
        <v>89</v>
      </c>
    </row>
    <row r="25" spans="1:10">
      <c r="A25" s="96" t="s">
        <v>95</v>
      </c>
      <c r="B25" s="96" t="s">
        <v>96</v>
      </c>
      <c r="C25" s="96" t="s">
        <v>97</v>
      </c>
      <c r="D25" s="96" t="s">
        <v>20</v>
      </c>
      <c r="E25" s="96" t="s">
        <v>4</v>
      </c>
      <c r="F25" s="3">
        <v>43999</v>
      </c>
      <c r="G25" s="96">
        <v>85</v>
      </c>
      <c r="H25" s="96">
        <v>12</v>
      </c>
      <c r="I25" s="96">
        <v>1500</v>
      </c>
      <c r="J25" s="96">
        <v>95</v>
      </c>
    </row>
    <row r="26" spans="1:10">
      <c r="A26" s="96" t="s">
        <v>98</v>
      </c>
      <c r="B26" s="96" t="s">
        <v>70</v>
      </c>
      <c r="C26" s="96" t="s">
        <v>99</v>
      </c>
      <c r="D26" s="96" t="s">
        <v>18</v>
      </c>
      <c r="E26" s="96" t="s">
        <v>6</v>
      </c>
      <c r="F26" s="3">
        <v>43743</v>
      </c>
      <c r="G26" s="96">
        <v>90</v>
      </c>
      <c r="H26" s="96">
        <v>14</v>
      </c>
      <c r="I26" s="96">
        <v>1800</v>
      </c>
      <c r="J26" s="96">
        <v>98</v>
      </c>
    </row>
    <row r="27" spans="1:10">
      <c r="A27" s="96" t="s">
        <v>100</v>
      </c>
      <c r="B27" s="96" t="s">
        <v>101</v>
      </c>
      <c r="C27" s="96" t="s">
        <v>102</v>
      </c>
      <c r="D27" s="96" t="s">
        <v>20</v>
      </c>
      <c r="E27" s="96" t="s">
        <v>8</v>
      </c>
      <c r="F27" s="3">
        <v>44433</v>
      </c>
      <c r="G27" s="96">
        <v>81</v>
      </c>
      <c r="H27" s="96">
        <v>8</v>
      </c>
      <c r="I27" s="96">
        <v>1350</v>
      </c>
      <c r="J27" s="96">
        <v>92</v>
      </c>
    </row>
    <row r="28" spans="1:10">
      <c r="A28" s="96" t="s">
        <v>103</v>
      </c>
      <c r="B28" s="96" t="s">
        <v>104</v>
      </c>
      <c r="C28" s="96" t="s">
        <v>105</v>
      </c>
      <c r="D28" s="96" t="s">
        <v>18</v>
      </c>
      <c r="E28" s="96" t="s">
        <v>4</v>
      </c>
      <c r="F28" s="3">
        <v>43903</v>
      </c>
      <c r="G28" s="96">
        <v>87</v>
      </c>
      <c r="H28" s="96">
        <v>10</v>
      </c>
      <c r="I28" s="96">
        <v>1550</v>
      </c>
      <c r="J28" s="96">
        <v>97</v>
      </c>
    </row>
    <row r="29" spans="1:10">
      <c r="A29" s="96" t="s">
        <v>106</v>
      </c>
      <c r="B29" s="96" t="s">
        <v>107</v>
      </c>
      <c r="C29" s="96" t="s">
        <v>108</v>
      </c>
      <c r="D29" s="96" t="s">
        <v>20</v>
      </c>
      <c r="E29" s="96" t="s">
        <v>5</v>
      </c>
      <c r="F29" s="3">
        <v>43654</v>
      </c>
      <c r="G29" s="96">
        <v>84</v>
      </c>
      <c r="H29" s="96">
        <v>13</v>
      </c>
      <c r="I29" s="96">
        <v>1600</v>
      </c>
      <c r="J29" s="96">
        <v>96</v>
      </c>
    </row>
    <row r="30" spans="1:10">
      <c r="A30" s="96" t="s">
        <v>109</v>
      </c>
      <c r="B30" s="96" t="s">
        <v>110</v>
      </c>
      <c r="C30" s="96" t="s">
        <v>111</v>
      </c>
      <c r="D30" s="96" t="s">
        <v>18</v>
      </c>
      <c r="E30" s="96" t="s">
        <v>8</v>
      </c>
      <c r="F30" s="3">
        <v>44531</v>
      </c>
      <c r="G30" s="96">
        <v>79</v>
      </c>
      <c r="H30" s="96">
        <v>9</v>
      </c>
      <c r="I30" s="96">
        <v>1300</v>
      </c>
      <c r="J30" s="96">
        <v>91</v>
      </c>
    </row>
    <row r="31" spans="1:10">
      <c r="A31" s="96" t="s">
        <v>26</v>
      </c>
      <c r="B31" s="96" t="s">
        <v>112</v>
      </c>
      <c r="C31" s="96" t="s">
        <v>113</v>
      </c>
      <c r="D31" s="96" t="s">
        <v>20</v>
      </c>
      <c r="E31" s="96" t="s">
        <v>7</v>
      </c>
      <c r="F31" s="3">
        <v>43973</v>
      </c>
      <c r="G31" s="96">
        <v>91</v>
      </c>
      <c r="H31" s="96">
        <v>11</v>
      </c>
      <c r="I31" s="96">
        <v>1700</v>
      </c>
      <c r="J31" s="96">
        <v>99</v>
      </c>
    </row>
    <row r="32" spans="1:10">
      <c r="A32" s="96" t="s">
        <v>114</v>
      </c>
      <c r="B32" s="96" t="s">
        <v>115</v>
      </c>
      <c r="C32" s="96" t="s">
        <v>84</v>
      </c>
      <c r="D32" s="96" t="s">
        <v>18</v>
      </c>
      <c r="E32" s="96" t="s">
        <v>4</v>
      </c>
      <c r="F32" s="3">
        <v>44814</v>
      </c>
      <c r="G32" s="96">
        <v>75</v>
      </c>
      <c r="H32" s="96">
        <v>7</v>
      </c>
      <c r="I32" s="96">
        <v>1200</v>
      </c>
      <c r="J32" s="96">
        <v>88</v>
      </c>
    </row>
    <row r="33" spans="1:10">
      <c r="A33" s="96" t="s">
        <v>19</v>
      </c>
      <c r="B33" s="96" t="s">
        <v>42</v>
      </c>
      <c r="C33" s="96" t="s">
        <v>51</v>
      </c>
      <c r="D33" s="96" t="s">
        <v>20</v>
      </c>
      <c r="E33" s="96" t="s">
        <v>6</v>
      </c>
      <c r="F33" s="3">
        <v>44073</v>
      </c>
      <c r="G33" s="96">
        <v>92</v>
      </c>
      <c r="H33" s="96">
        <v>15</v>
      </c>
      <c r="I33" s="96">
        <v>1850</v>
      </c>
      <c r="J33" s="96">
        <v>99</v>
      </c>
    </row>
    <row r="34" spans="1:10">
      <c r="A34" s="96" t="s">
        <v>116</v>
      </c>
      <c r="B34" s="96" t="s">
        <v>117</v>
      </c>
      <c r="C34" s="96" t="s">
        <v>118</v>
      </c>
      <c r="D34" s="96" t="s">
        <v>18</v>
      </c>
      <c r="E34" s="96" t="s">
        <v>8</v>
      </c>
      <c r="F34" s="3">
        <v>43780</v>
      </c>
      <c r="G34" s="96">
        <v>80</v>
      </c>
      <c r="H34" s="96">
        <v>10</v>
      </c>
      <c r="I34" s="96">
        <v>1400</v>
      </c>
      <c r="J34" s="96">
        <v>92</v>
      </c>
    </row>
    <row r="35" spans="1:10">
      <c r="A35" s="96" t="s">
        <v>119</v>
      </c>
      <c r="B35" s="96" t="s">
        <v>120</v>
      </c>
      <c r="C35" s="96" t="s">
        <v>121</v>
      </c>
      <c r="D35" s="96" t="s">
        <v>20</v>
      </c>
      <c r="E35" s="96" t="s">
        <v>5</v>
      </c>
      <c r="F35" s="3">
        <v>44319</v>
      </c>
      <c r="G35" s="96">
        <v>86</v>
      </c>
      <c r="H35" s="96">
        <v>12</v>
      </c>
      <c r="I35" s="96">
        <v>1500</v>
      </c>
      <c r="J35" s="96">
        <v>94</v>
      </c>
    </row>
    <row r="36" spans="1:10">
      <c r="A36" s="96" t="s">
        <v>122</v>
      </c>
      <c r="B36" s="96" t="s">
        <v>123</v>
      </c>
      <c r="C36" s="96" t="s">
        <v>48</v>
      </c>
      <c r="D36" s="96" t="s">
        <v>18</v>
      </c>
      <c r="E36" s="96" t="s">
        <v>7</v>
      </c>
      <c r="F36" s="3">
        <v>43881</v>
      </c>
      <c r="G36" s="96">
        <v>88</v>
      </c>
      <c r="H36" s="96">
        <v>11</v>
      </c>
      <c r="I36" s="96">
        <v>1650</v>
      </c>
      <c r="J36" s="96">
        <v>96</v>
      </c>
    </row>
    <row r="37" spans="1:10">
      <c r="A37" s="96" t="s">
        <v>124</v>
      </c>
      <c r="B37" s="96" t="s">
        <v>125</v>
      </c>
      <c r="C37" s="96" t="s">
        <v>71</v>
      </c>
      <c r="D37" s="96" t="s">
        <v>20</v>
      </c>
      <c r="E37" s="96" t="s">
        <v>4</v>
      </c>
      <c r="F37" s="3">
        <v>44576</v>
      </c>
      <c r="G37" s="96">
        <v>82</v>
      </c>
      <c r="H37" s="96">
        <v>8</v>
      </c>
      <c r="I37" s="96">
        <v>1350</v>
      </c>
      <c r="J37" s="96">
        <v>95</v>
      </c>
    </row>
    <row r="38" spans="1:10">
      <c r="A38" s="96" t="s">
        <v>126</v>
      </c>
      <c r="B38" s="96" t="s">
        <v>127</v>
      </c>
      <c r="C38" s="96" t="s">
        <v>40</v>
      </c>
      <c r="D38" s="96" t="s">
        <v>18</v>
      </c>
      <c r="E38" s="96" t="s">
        <v>6</v>
      </c>
      <c r="F38" s="3">
        <v>43552</v>
      </c>
      <c r="G38" s="96">
        <v>89</v>
      </c>
      <c r="H38" s="96">
        <v>13</v>
      </c>
      <c r="I38" s="96">
        <v>1750</v>
      </c>
      <c r="J38" s="96">
        <v>97</v>
      </c>
    </row>
    <row r="39" spans="1:10">
      <c r="A39" s="96" t="s">
        <v>128</v>
      </c>
      <c r="B39" s="96" t="s">
        <v>67</v>
      </c>
      <c r="C39" s="96" t="s">
        <v>129</v>
      </c>
      <c r="D39" s="96" t="s">
        <v>20</v>
      </c>
      <c r="E39" s="96" t="s">
        <v>8</v>
      </c>
      <c r="F39" s="3">
        <v>44393</v>
      </c>
      <c r="G39" s="96">
        <v>78</v>
      </c>
      <c r="H39" s="96">
        <v>9</v>
      </c>
      <c r="I39" s="96">
        <v>1300</v>
      </c>
      <c r="J39" s="96">
        <v>91</v>
      </c>
    </row>
    <row r="40" spans="1:10">
      <c r="A40" s="96" t="s">
        <v>130</v>
      </c>
      <c r="B40" s="96" t="s">
        <v>131</v>
      </c>
      <c r="C40" s="96" t="s">
        <v>68</v>
      </c>
      <c r="D40" s="96" t="s">
        <v>18</v>
      </c>
      <c r="E40" s="96" t="s">
        <v>5</v>
      </c>
      <c r="F40" s="3">
        <v>44113</v>
      </c>
      <c r="G40" s="96">
        <v>84</v>
      </c>
      <c r="H40" s="96">
        <v>10</v>
      </c>
      <c r="I40" s="96">
        <v>1550</v>
      </c>
      <c r="J40" s="96">
        <v>93</v>
      </c>
    </row>
    <row r="41" spans="1:10">
      <c r="A41" s="96" t="s">
        <v>132</v>
      </c>
      <c r="B41" s="96" t="s">
        <v>133</v>
      </c>
      <c r="C41" s="96" t="s">
        <v>134</v>
      </c>
      <c r="D41" s="96" t="s">
        <v>20</v>
      </c>
      <c r="E41" s="96" t="s">
        <v>4</v>
      </c>
      <c r="F41" s="3">
        <v>44730</v>
      </c>
      <c r="G41" s="96">
        <v>87</v>
      </c>
      <c r="H41" s="96">
        <v>12</v>
      </c>
      <c r="I41" s="96">
        <v>1600</v>
      </c>
      <c r="J41" s="96">
        <v>98</v>
      </c>
    </row>
    <row r="42" spans="1:10">
      <c r="A42" s="96" t="s">
        <v>135</v>
      </c>
      <c r="B42" s="96" t="s">
        <v>136</v>
      </c>
      <c r="C42" s="96" t="s">
        <v>137</v>
      </c>
      <c r="D42" s="96" t="s">
        <v>18</v>
      </c>
      <c r="E42" s="96" t="s">
        <v>4</v>
      </c>
      <c r="F42" s="3">
        <v>43934</v>
      </c>
      <c r="G42" s="96">
        <v>83</v>
      </c>
      <c r="H42" s="96">
        <v>9</v>
      </c>
      <c r="I42" s="96">
        <v>1450</v>
      </c>
      <c r="J42" s="96">
        <v>93</v>
      </c>
    </row>
    <row r="43" spans="1:10">
      <c r="A43" s="96" t="s">
        <v>138</v>
      </c>
      <c r="B43" s="96" t="s">
        <v>139</v>
      </c>
      <c r="C43" s="96" t="s">
        <v>140</v>
      </c>
      <c r="D43" s="96" t="s">
        <v>20</v>
      </c>
      <c r="E43" s="96" t="s">
        <v>5</v>
      </c>
      <c r="F43" s="3">
        <v>44203</v>
      </c>
      <c r="G43" s="96">
        <v>88</v>
      </c>
      <c r="H43" s="96">
        <v>10</v>
      </c>
      <c r="I43" s="96">
        <v>1500</v>
      </c>
      <c r="J43" s="96">
        <v>95</v>
      </c>
    </row>
    <row r="44" spans="1:10">
      <c r="A44" s="96" t="s">
        <v>141</v>
      </c>
      <c r="B44" s="96" t="s">
        <v>86</v>
      </c>
      <c r="C44" s="96" t="s">
        <v>134</v>
      </c>
      <c r="D44" s="96" t="s">
        <v>18</v>
      </c>
      <c r="E44" s="96" t="s">
        <v>7</v>
      </c>
      <c r="F44" s="3">
        <v>43727</v>
      </c>
      <c r="G44" s="96">
        <v>78</v>
      </c>
      <c r="H44" s="96">
        <v>8</v>
      </c>
      <c r="I44" s="96">
        <v>1200</v>
      </c>
      <c r="J44" s="96">
        <v>89</v>
      </c>
    </row>
    <row r="45" spans="1:10">
      <c r="A45" s="96" t="s">
        <v>22</v>
      </c>
      <c r="B45" s="96" t="s">
        <v>36</v>
      </c>
      <c r="C45" s="96" t="s">
        <v>78</v>
      </c>
      <c r="D45" s="96" t="s">
        <v>20</v>
      </c>
      <c r="E45" s="96" t="s">
        <v>8</v>
      </c>
      <c r="F45" s="3">
        <v>44757</v>
      </c>
      <c r="G45" s="96">
        <v>92</v>
      </c>
      <c r="H45" s="96">
        <v>12</v>
      </c>
      <c r="I45" s="96">
        <v>1650</v>
      </c>
      <c r="J45" s="96">
        <v>98</v>
      </c>
    </row>
    <row r="46" spans="1:10">
      <c r="A46" s="96" t="s">
        <v>142</v>
      </c>
      <c r="B46" s="96" t="s">
        <v>80</v>
      </c>
      <c r="C46" s="96" t="s">
        <v>143</v>
      </c>
      <c r="D46" s="96" t="s">
        <v>18</v>
      </c>
      <c r="E46" s="96" t="s">
        <v>6</v>
      </c>
      <c r="F46" s="3">
        <v>43890</v>
      </c>
      <c r="G46" s="96">
        <v>85</v>
      </c>
      <c r="H46" s="96">
        <v>11</v>
      </c>
      <c r="I46" s="96">
        <v>1550</v>
      </c>
      <c r="J46" s="96">
        <v>94</v>
      </c>
    </row>
    <row r="47" spans="1:10">
      <c r="A47" s="96" t="s">
        <v>144</v>
      </c>
      <c r="B47" s="96" t="s">
        <v>145</v>
      </c>
      <c r="C47" s="96" t="s">
        <v>146</v>
      </c>
      <c r="D47" s="96" t="s">
        <v>20</v>
      </c>
      <c r="E47" s="96" t="s">
        <v>4</v>
      </c>
      <c r="F47" s="3">
        <v>44489</v>
      </c>
      <c r="G47" s="96">
        <v>90</v>
      </c>
      <c r="H47" s="96">
        <v>14</v>
      </c>
      <c r="I47" s="96">
        <v>1800</v>
      </c>
      <c r="J47" s="96">
        <v>97</v>
      </c>
    </row>
    <row r="48" spans="1:10">
      <c r="A48" s="96" t="s">
        <v>147</v>
      </c>
      <c r="B48" s="96" t="s">
        <v>148</v>
      </c>
      <c r="C48" s="96" t="s">
        <v>84</v>
      </c>
      <c r="D48" s="96" t="s">
        <v>18</v>
      </c>
      <c r="E48" s="96" t="s">
        <v>5</v>
      </c>
      <c r="F48" s="3">
        <v>43595</v>
      </c>
      <c r="G48" s="96">
        <v>86</v>
      </c>
      <c r="H48" s="96">
        <v>9</v>
      </c>
      <c r="I48" s="96">
        <v>1500</v>
      </c>
      <c r="J48" s="96">
        <v>92</v>
      </c>
    </row>
    <row r="49" spans="1:10">
      <c r="A49" s="96" t="s">
        <v>149</v>
      </c>
      <c r="B49" s="96" t="s">
        <v>77</v>
      </c>
      <c r="C49" s="96" t="s">
        <v>51</v>
      </c>
      <c r="D49" s="96" t="s">
        <v>20</v>
      </c>
      <c r="E49" s="96" t="s">
        <v>7</v>
      </c>
      <c r="F49" s="3">
        <v>43983</v>
      </c>
      <c r="G49" s="96">
        <v>79</v>
      </c>
      <c r="H49" s="96">
        <v>7</v>
      </c>
      <c r="I49" s="96">
        <v>1300</v>
      </c>
      <c r="J49" s="96">
        <v>90</v>
      </c>
    </row>
    <row r="50" spans="1:10">
      <c r="A50" s="96" t="s">
        <v>150</v>
      </c>
      <c r="B50" s="96" t="s">
        <v>151</v>
      </c>
      <c r="C50" s="96" t="s">
        <v>152</v>
      </c>
      <c r="D50" s="96" t="s">
        <v>18</v>
      </c>
      <c r="E50" s="96" t="s">
        <v>8</v>
      </c>
      <c r="F50" s="3">
        <v>44542</v>
      </c>
      <c r="G50" s="96">
        <v>82</v>
      </c>
      <c r="H50" s="96">
        <v>10</v>
      </c>
      <c r="I50" s="96">
        <v>1450</v>
      </c>
      <c r="J50" s="96">
        <v>95</v>
      </c>
    </row>
    <row r="51" spans="1:10">
      <c r="A51" s="96" t="s">
        <v>153</v>
      </c>
      <c r="B51" s="96" t="s">
        <v>125</v>
      </c>
      <c r="C51" s="96" t="s">
        <v>71</v>
      </c>
      <c r="D51" s="96" t="s">
        <v>20</v>
      </c>
      <c r="E51" s="96" t="s">
        <v>4</v>
      </c>
      <c r="F51" s="3">
        <v>44638</v>
      </c>
      <c r="G51" s="96">
        <v>88</v>
      </c>
      <c r="H51" s="96">
        <v>11</v>
      </c>
      <c r="I51" s="96">
        <v>1650</v>
      </c>
      <c r="J51" s="96">
        <v>98</v>
      </c>
    </row>
    <row r="52" spans="1:10">
      <c r="A52" s="96" t="s">
        <v>154</v>
      </c>
      <c r="B52" s="96" t="s">
        <v>155</v>
      </c>
      <c r="C52" s="96" t="s">
        <v>75</v>
      </c>
      <c r="D52" s="96" t="s">
        <v>18</v>
      </c>
      <c r="E52" s="96" t="s">
        <v>6</v>
      </c>
      <c r="F52" s="3">
        <v>43699</v>
      </c>
      <c r="G52" s="96">
        <v>89</v>
      </c>
      <c r="H52" s="96">
        <v>13</v>
      </c>
      <c r="I52" s="96">
        <v>1750</v>
      </c>
      <c r="J52" s="96">
        <v>96</v>
      </c>
    </row>
    <row r="53" spans="1:10">
      <c r="A53" s="96" t="s">
        <v>156</v>
      </c>
      <c r="B53" s="96" t="s">
        <v>67</v>
      </c>
      <c r="C53" s="96" t="s">
        <v>157</v>
      </c>
      <c r="D53" s="96" t="s">
        <v>20</v>
      </c>
      <c r="E53" s="96" t="s">
        <v>5</v>
      </c>
      <c r="F53" s="3">
        <v>44448</v>
      </c>
      <c r="G53" s="96">
        <v>91</v>
      </c>
      <c r="H53" s="96">
        <v>10</v>
      </c>
      <c r="I53" s="96">
        <v>1600</v>
      </c>
      <c r="J53" s="96">
        <v>97</v>
      </c>
    </row>
    <row r="54" spans="1:10">
      <c r="A54" s="96" t="s">
        <v>158</v>
      </c>
      <c r="B54" s="96" t="s">
        <v>64</v>
      </c>
      <c r="C54" s="96" t="s">
        <v>159</v>
      </c>
      <c r="D54" s="96" t="s">
        <v>18</v>
      </c>
      <c r="E54" s="96" t="s">
        <v>7</v>
      </c>
      <c r="F54" s="3">
        <v>44169</v>
      </c>
      <c r="G54" s="96">
        <v>83</v>
      </c>
      <c r="H54" s="96">
        <v>8</v>
      </c>
      <c r="I54" s="96">
        <v>1450</v>
      </c>
      <c r="J54" s="96">
        <v>92</v>
      </c>
    </row>
    <row r="55" spans="1:10">
      <c r="A55" s="96" t="s">
        <v>160</v>
      </c>
      <c r="B55" s="96" t="s">
        <v>161</v>
      </c>
      <c r="C55" s="96" t="s">
        <v>162</v>
      </c>
      <c r="D55" s="96" t="s">
        <v>20</v>
      </c>
      <c r="E55" s="96" t="s">
        <v>8</v>
      </c>
      <c r="F55" s="3">
        <v>44241</v>
      </c>
      <c r="G55" s="96">
        <v>80</v>
      </c>
      <c r="H55" s="96">
        <v>9</v>
      </c>
      <c r="I55" s="96">
        <v>1400</v>
      </c>
      <c r="J55" s="96">
        <v>93</v>
      </c>
    </row>
    <row r="56" spans="1:10">
      <c r="A56" s="96" t="s">
        <v>163</v>
      </c>
      <c r="B56" s="96" t="s">
        <v>164</v>
      </c>
      <c r="C56" s="96" t="s">
        <v>165</v>
      </c>
      <c r="D56" s="96" t="s">
        <v>18</v>
      </c>
      <c r="E56" s="96" t="s">
        <v>4</v>
      </c>
      <c r="F56" s="3">
        <v>44656</v>
      </c>
      <c r="G56" s="96">
        <v>86</v>
      </c>
      <c r="H56" s="96">
        <v>12</v>
      </c>
      <c r="I56" s="96">
        <v>1550</v>
      </c>
      <c r="J56" s="96">
        <v>95</v>
      </c>
    </row>
    <row r="57" spans="1:10">
      <c r="A57" s="96" t="s">
        <v>166</v>
      </c>
      <c r="B57" s="96" t="s">
        <v>133</v>
      </c>
      <c r="C57" s="96" t="s">
        <v>167</v>
      </c>
      <c r="D57" s="96" t="s">
        <v>20</v>
      </c>
      <c r="E57" s="96" t="s">
        <v>6</v>
      </c>
      <c r="F57" s="3">
        <v>44157</v>
      </c>
      <c r="G57" s="96">
        <v>84</v>
      </c>
      <c r="H57" s="96">
        <v>10</v>
      </c>
      <c r="I57" s="96">
        <v>1500</v>
      </c>
      <c r="J57" s="96">
        <v>94</v>
      </c>
    </row>
    <row r="58" spans="1:10">
      <c r="A58" s="96" t="s">
        <v>168</v>
      </c>
      <c r="B58" s="96" t="s">
        <v>70</v>
      </c>
      <c r="C58" s="96" t="s">
        <v>169</v>
      </c>
      <c r="D58" s="96" t="s">
        <v>18</v>
      </c>
      <c r="E58" s="96" t="s">
        <v>5</v>
      </c>
      <c r="F58" s="3">
        <v>44416</v>
      </c>
      <c r="G58" s="96">
        <v>87</v>
      </c>
      <c r="H58" s="96">
        <v>11</v>
      </c>
      <c r="I58" s="96">
        <v>1600</v>
      </c>
      <c r="J58" s="96">
        <v>96</v>
      </c>
    </row>
    <row r="59" spans="1:10">
      <c r="A59" s="96" t="s">
        <v>170</v>
      </c>
      <c r="B59" s="96" t="s">
        <v>61</v>
      </c>
      <c r="C59" s="96" t="s">
        <v>171</v>
      </c>
      <c r="D59" s="96" t="s">
        <v>20</v>
      </c>
      <c r="E59" s="96" t="s">
        <v>7</v>
      </c>
      <c r="F59" s="3">
        <v>44711</v>
      </c>
      <c r="G59" s="96">
        <v>90</v>
      </c>
      <c r="H59" s="96">
        <v>13</v>
      </c>
      <c r="I59" s="96">
        <v>1750</v>
      </c>
      <c r="J59" s="96">
        <v>97</v>
      </c>
    </row>
    <row r="60" spans="1:10">
      <c r="A60" s="96" t="s">
        <v>172</v>
      </c>
      <c r="B60" s="96" t="s">
        <v>74</v>
      </c>
      <c r="C60" s="96" t="s">
        <v>173</v>
      </c>
      <c r="D60" s="96" t="s">
        <v>18</v>
      </c>
      <c r="E60" s="96" t="s">
        <v>8</v>
      </c>
      <c r="F60" s="3">
        <v>43658</v>
      </c>
      <c r="G60" s="96">
        <v>75</v>
      </c>
      <c r="H60" s="96">
        <v>8</v>
      </c>
      <c r="I60" s="96">
        <v>1200</v>
      </c>
      <c r="J60" s="96">
        <v>88</v>
      </c>
    </row>
    <row r="61" spans="1:10">
      <c r="A61" s="96" t="s">
        <v>25</v>
      </c>
      <c r="B61" s="96" t="s">
        <v>101</v>
      </c>
      <c r="C61" s="96" t="s">
        <v>62</v>
      </c>
      <c r="D61" s="96" t="s">
        <v>20</v>
      </c>
      <c r="E61" s="96" t="s">
        <v>4</v>
      </c>
      <c r="F61" s="3">
        <v>44364</v>
      </c>
      <c r="G61" s="96">
        <v>92</v>
      </c>
      <c r="H61" s="96">
        <v>14</v>
      </c>
      <c r="I61" s="96">
        <v>1800</v>
      </c>
      <c r="J61" s="96">
        <v>99</v>
      </c>
    </row>
    <row r="62" spans="1:10">
      <c r="A62" s="96" t="s">
        <v>174</v>
      </c>
      <c r="B62" s="96" t="s">
        <v>175</v>
      </c>
      <c r="C62" s="96" t="s">
        <v>140</v>
      </c>
      <c r="D62" s="96" t="s">
        <v>18</v>
      </c>
      <c r="E62" s="96" t="s">
        <v>5</v>
      </c>
      <c r="F62" s="3">
        <v>44103</v>
      </c>
      <c r="G62" s="96">
        <v>80</v>
      </c>
      <c r="H62" s="96">
        <v>10</v>
      </c>
      <c r="I62" s="96">
        <v>1450</v>
      </c>
      <c r="J62" s="96">
        <v>91</v>
      </c>
    </row>
    <row r="63" spans="1:10">
      <c r="A63" s="96" t="s">
        <v>176</v>
      </c>
      <c r="B63" s="96" t="s">
        <v>177</v>
      </c>
      <c r="C63" s="96" t="s">
        <v>178</v>
      </c>
      <c r="D63" s="96" t="s">
        <v>20</v>
      </c>
      <c r="E63" s="96" t="s">
        <v>7</v>
      </c>
      <c r="F63" s="3">
        <v>44280</v>
      </c>
      <c r="G63" s="96">
        <v>88</v>
      </c>
      <c r="H63" s="96">
        <v>12</v>
      </c>
      <c r="I63" s="96">
        <v>1650</v>
      </c>
      <c r="J63" s="96">
        <v>96</v>
      </c>
    </row>
    <row r="64" spans="1:10">
      <c r="A64" s="96" t="s">
        <v>179</v>
      </c>
      <c r="B64" s="96" t="s">
        <v>110</v>
      </c>
      <c r="C64" s="96" t="s">
        <v>180</v>
      </c>
      <c r="D64" s="96" t="s">
        <v>18</v>
      </c>
      <c r="E64" s="96" t="s">
        <v>8</v>
      </c>
      <c r="F64" s="3">
        <v>44610</v>
      </c>
      <c r="G64" s="96">
        <v>83</v>
      </c>
      <c r="H64" s="96">
        <v>9</v>
      </c>
      <c r="I64" s="96">
        <v>1500</v>
      </c>
      <c r="J64" s="96">
        <v>94</v>
      </c>
    </row>
    <row r="65" spans="1:10">
      <c r="A65" s="96" t="s">
        <v>181</v>
      </c>
      <c r="B65" s="96" t="s">
        <v>112</v>
      </c>
      <c r="C65" s="96" t="s">
        <v>182</v>
      </c>
      <c r="D65" s="96" t="s">
        <v>20</v>
      </c>
      <c r="E65" s="96" t="s">
        <v>6</v>
      </c>
      <c r="F65" s="3">
        <v>43959</v>
      </c>
      <c r="G65" s="96">
        <v>89</v>
      </c>
      <c r="H65" s="96">
        <v>15</v>
      </c>
      <c r="I65" s="96">
        <v>1800</v>
      </c>
      <c r="J65" s="96">
        <v>98</v>
      </c>
    </row>
    <row r="66" spans="1:10">
      <c r="A66" s="96" t="s">
        <v>183</v>
      </c>
      <c r="B66" s="96" t="s">
        <v>131</v>
      </c>
      <c r="C66" s="96" t="s">
        <v>184</v>
      </c>
      <c r="D66" s="96" t="s">
        <v>18</v>
      </c>
      <c r="E66" s="96" t="s">
        <v>4</v>
      </c>
      <c r="F66" s="3">
        <v>44555</v>
      </c>
      <c r="G66" s="96">
        <v>77</v>
      </c>
      <c r="H66" s="96">
        <v>7</v>
      </c>
      <c r="I66" s="96">
        <v>1200</v>
      </c>
      <c r="J66" s="96">
        <v>90</v>
      </c>
    </row>
    <row r="67" spans="1:10">
      <c r="A67" s="96" t="s">
        <v>185</v>
      </c>
      <c r="B67" s="96" t="s">
        <v>186</v>
      </c>
      <c r="C67" s="96" t="s">
        <v>187</v>
      </c>
      <c r="D67" s="96" t="s">
        <v>20</v>
      </c>
      <c r="E67" s="96" t="s">
        <v>5</v>
      </c>
      <c r="F67" s="3">
        <v>44848</v>
      </c>
      <c r="G67" s="96">
        <v>84</v>
      </c>
      <c r="H67" s="96">
        <v>10</v>
      </c>
      <c r="I67" s="96">
        <v>1500</v>
      </c>
      <c r="J67" s="96">
        <v>93</v>
      </c>
    </row>
    <row r="68" spans="1:10">
      <c r="A68" s="96" t="s">
        <v>188</v>
      </c>
      <c r="B68" s="96" t="s">
        <v>44</v>
      </c>
      <c r="C68" s="96" t="s">
        <v>78</v>
      </c>
      <c r="D68" s="96" t="s">
        <v>18</v>
      </c>
      <c r="E68" s="96" t="s">
        <v>7</v>
      </c>
      <c r="F68" s="3">
        <v>44138</v>
      </c>
      <c r="G68" s="96">
        <v>81</v>
      </c>
      <c r="H68" s="96">
        <v>8</v>
      </c>
      <c r="I68" s="96">
        <v>1300</v>
      </c>
      <c r="J68" s="96">
        <v>89</v>
      </c>
    </row>
    <row r="69" spans="1:10">
      <c r="A69" s="96" t="s">
        <v>189</v>
      </c>
      <c r="B69" s="96" t="s">
        <v>77</v>
      </c>
      <c r="C69" s="96" t="s">
        <v>157</v>
      </c>
      <c r="D69" s="96" t="s">
        <v>20</v>
      </c>
      <c r="E69" s="96" t="s">
        <v>8</v>
      </c>
      <c r="F69" s="3">
        <v>44445</v>
      </c>
      <c r="G69" s="96">
        <v>90</v>
      </c>
      <c r="H69" s="96">
        <v>11</v>
      </c>
      <c r="I69" s="96">
        <v>1700</v>
      </c>
      <c r="J69" s="96">
        <v>97</v>
      </c>
    </row>
    <row r="70" spans="1:10">
      <c r="A70" s="96" t="s">
        <v>190</v>
      </c>
      <c r="B70" s="96" t="s">
        <v>191</v>
      </c>
      <c r="C70" s="96" t="s">
        <v>75</v>
      </c>
      <c r="D70" s="96" t="s">
        <v>18</v>
      </c>
      <c r="E70" s="96" t="s">
        <v>4</v>
      </c>
      <c r="F70" s="3">
        <v>43939</v>
      </c>
      <c r="G70" s="96">
        <v>85</v>
      </c>
      <c r="H70" s="96">
        <v>12</v>
      </c>
      <c r="I70" s="96">
        <v>1600</v>
      </c>
      <c r="J70" s="96">
        <v>95</v>
      </c>
    </row>
    <row r="71" spans="1:10">
      <c r="A71" s="96" t="s">
        <v>192</v>
      </c>
      <c r="B71" s="96" t="s">
        <v>193</v>
      </c>
      <c r="C71" s="96" t="s">
        <v>68</v>
      </c>
      <c r="D71" s="96" t="s">
        <v>20</v>
      </c>
      <c r="E71" s="96" t="s">
        <v>6</v>
      </c>
      <c r="F71" s="3">
        <v>44572</v>
      </c>
      <c r="G71" s="96">
        <v>88</v>
      </c>
      <c r="H71" s="96">
        <v>14</v>
      </c>
      <c r="I71" s="96">
        <v>1750</v>
      </c>
      <c r="J71" s="96">
        <v>99</v>
      </c>
    </row>
    <row r="72" spans="1:10">
      <c r="A72" s="96" t="s">
        <v>194</v>
      </c>
      <c r="B72" s="96" t="s">
        <v>83</v>
      </c>
      <c r="C72" s="96" t="s">
        <v>87</v>
      </c>
      <c r="D72" s="96" t="s">
        <v>20</v>
      </c>
      <c r="E72" s="96" t="s">
        <v>4</v>
      </c>
      <c r="F72" s="3">
        <v>44278</v>
      </c>
      <c r="G72" s="96">
        <v>86</v>
      </c>
      <c r="H72" s="96">
        <v>12</v>
      </c>
      <c r="I72" s="96">
        <v>1550</v>
      </c>
      <c r="J72" s="96">
        <v>94</v>
      </c>
    </row>
    <row r="73" spans="1:10">
      <c r="A73" s="96" t="s">
        <v>195</v>
      </c>
      <c r="B73" s="96" t="s">
        <v>196</v>
      </c>
      <c r="C73" s="96" t="s">
        <v>146</v>
      </c>
      <c r="D73" s="96" t="s">
        <v>18</v>
      </c>
      <c r="E73" s="96" t="s">
        <v>6</v>
      </c>
      <c r="F73" s="3">
        <v>44057</v>
      </c>
      <c r="G73" s="96">
        <v>90</v>
      </c>
      <c r="H73" s="96">
        <v>14</v>
      </c>
      <c r="I73" s="96">
        <v>1800</v>
      </c>
      <c r="J73" s="96">
        <v>97</v>
      </c>
    </row>
    <row r="74" spans="1:10">
      <c r="A74" s="96" t="s">
        <v>60</v>
      </c>
      <c r="B74" s="96" t="s">
        <v>61</v>
      </c>
      <c r="C74" s="96" t="s">
        <v>62</v>
      </c>
      <c r="D74" s="96" t="s">
        <v>20</v>
      </c>
      <c r="E74" s="96" t="s">
        <v>4</v>
      </c>
      <c r="F74" s="3">
        <v>43845</v>
      </c>
      <c r="G74" s="96">
        <v>84</v>
      </c>
      <c r="H74" s="96">
        <v>11</v>
      </c>
      <c r="I74" s="96">
        <v>1500</v>
      </c>
      <c r="J74" s="96">
        <v>94</v>
      </c>
    </row>
    <row r="75" spans="1:10">
      <c r="A75" s="96" t="s">
        <v>63</v>
      </c>
      <c r="B75" s="96" t="s">
        <v>64</v>
      </c>
      <c r="C75" s="96" t="s">
        <v>65</v>
      </c>
      <c r="D75" s="96" t="s">
        <v>18</v>
      </c>
      <c r="E75" s="96" t="s">
        <v>6</v>
      </c>
      <c r="F75" s="3">
        <v>44249</v>
      </c>
      <c r="G75" s="96">
        <v>89</v>
      </c>
      <c r="H75" s="96">
        <v>14</v>
      </c>
      <c r="I75" s="96">
        <v>1750</v>
      </c>
      <c r="J75" s="96">
        <v>97</v>
      </c>
    </row>
    <row r="76" spans="1:10">
      <c r="A76" s="96" t="s">
        <v>197</v>
      </c>
      <c r="B76" s="96" t="s">
        <v>125</v>
      </c>
      <c r="C76" s="96" t="s">
        <v>198</v>
      </c>
      <c r="D76" s="96" t="s">
        <v>20</v>
      </c>
      <c r="E76" s="96" t="s">
        <v>7</v>
      </c>
      <c r="F76" s="3">
        <v>44742</v>
      </c>
      <c r="G76" s="96">
        <v>82</v>
      </c>
      <c r="H76" s="96">
        <v>9</v>
      </c>
      <c r="I76" s="96">
        <v>1350</v>
      </c>
      <c r="J76" s="96">
        <v>91</v>
      </c>
    </row>
    <row r="77" spans="1:10">
      <c r="A77" s="96" t="s">
        <v>199</v>
      </c>
      <c r="B77" s="96" t="s">
        <v>115</v>
      </c>
      <c r="C77" s="96" t="s">
        <v>152</v>
      </c>
      <c r="D77" s="96" t="s">
        <v>18</v>
      </c>
      <c r="E77" s="96" t="s">
        <v>5</v>
      </c>
      <c r="F77" s="3">
        <v>43763</v>
      </c>
      <c r="G77" s="96">
        <v>85</v>
      </c>
      <c r="H77" s="96">
        <v>10</v>
      </c>
      <c r="I77" s="96">
        <v>1500</v>
      </c>
      <c r="J77" s="96">
        <v>95</v>
      </c>
    </row>
    <row r="78" spans="1:10">
      <c r="A78" s="96" t="s">
        <v>200</v>
      </c>
      <c r="B78" s="96" t="s">
        <v>96</v>
      </c>
      <c r="C78" s="96" t="s">
        <v>201</v>
      </c>
      <c r="D78" s="96" t="s">
        <v>20</v>
      </c>
      <c r="E78" s="96" t="s">
        <v>8</v>
      </c>
      <c r="F78" s="3">
        <v>44512</v>
      </c>
      <c r="G78" s="96">
        <v>87</v>
      </c>
      <c r="H78" s="96">
        <v>11</v>
      </c>
      <c r="I78" s="96">
        <v>1600</v>
      </c>
      <c r="J78" s="96">
        <v>96</v>
      </c>
    </row>
    <row r="79" spans="1:10">
      <c r="A79" s="96" t="s">
        <v>202</v>
      </c>
      <c r="B79" s="96" t="s">
        <v>70</v>
      </c>
      <c r="C79" s="96" t="s">
        <v>203</v>
      </c>
      <c r="D79" s="96" t="s">
        <v>18</v>
      </c>
      <c r="E79" s="96" t="s">
        <v>4</v>
      </c>
      <c r="F79" s="3">
        <v>43951</v>
      </c>
      <c r="G79" s="96">
        <v>89</v>
      </c>
      <c r="H79" s="96">
        <v>13</v>
      </c>
      <c r="I79" s="96">
        <v>1750</v>
      </c>
      <c r="J79" s="96">
        <v>98</v>
      </c>
    </row>
    <row r="80" spans="1:10">
      <c r="A80" s="96" t="s">
        <v>27</v>
      </c>
      <c r="B80" s="96" t="s">
        <v>101</v>
      </c>
      <c r="C80" s="96" t="s">
        <v>204</v>
      </c>
      <c r="D80" s="96" t="s">
        <v>20</v>
      </c>
      <c r="E80" s="96" t="s">
        <v>5</v>
      </c>
      <c r="F80" s="3">
        <v>44440</v>
      </c>
      <c r="G80" s="96">
        <v>91</v>
      </c>
      <c r="H80" s="96">
        <v>12</v>
      </c>
      <c r="I80" s="96">
        <v>1700</v>
      </c>
      <c r="J80" s="96">
        <v>97</v>
      </c>
    </row>
    <row r="81" spans="1:10">
      <c r="A81" s="96" t="s">
        <v>205</v>
      </c>
      <c r="B81" s="96" t="s">
        <v>80</v>
      </c>
      <c r="C81" s="96" t="s">
        <v>78</v>
      </c>
      <c r="D81" s="96" t="s">
        <v>18</v>
      </c>
      <c r="E81" s="96" t="s">
        <v>7</v>
      </c>
      <c r="F81" s="3">
        <v>43973</v>
      </c>
      <c r="G81" s="96">
        <v>78</v>
      </c>
      <c r="H81" s="96">
        <v>8</v>
      </c>
      <c r="I81" s="96">
        <v>1300</v>
      </c>
      <c r="J81" s="96">
        <v>89</v>
      </c>
    </row>
    <row r="82" spans="1:10">
      <c r="A82" s="96" t="s">
        <v>206</v>
      </c>
      <c r="B82" s="96" t="s">
        <v>67</v>
      </c>
      <c r="C82" s="96" t="s">
        <v>129</v>
      </c>
      <c r="D82" s="96" t="s">
        <v>20</v>
      </c>
      <c r="E82" s="96" t="s">
        <v>8</v>
      </c>
      <c r="F82" s="3">
        <v>44603</v>
      </c>
      <c r="G82" s="96">
        <v>84</v>
      </c>
      <c r="H82" s="96">
        <v>9</v>
      </c>
      <c r="I82" s="96">
        <v>1450</v>
      </c>
      <c r="J82" s="96">
        <v>93</v>
      </c>
    </row>
    <row r="83" spans="1:10">
      <c r="A83" s="96" t="s">
        <v>207</v>
      </c>
      <c r="B83" s="96" t="s">
        <v>74</v>
      </c>
      <c r="C83" s="96" t="s">
        <v>75</v>
      </c>
      <c r="D83" s="96" t="s">
        <v>18</v>
      </c>
      <c r="E83" s="96" t="s">
        <v>4</v>
      </c>
      <c r="F83" s="3">
        <v>43666</v>
      </c>
      <c r="G83" s="96">
        <v>88</v>
      </c>
      <c r="H83" s="96">
        <v>11</v>
      </c>
      <c r="I83" s="96">
        <v>1650</v>
      </c>
      <c r="J83" s="96">
        <v>96</v>
      </c>
    </row>
    <row r="84" spans="1:10">
      <c r="A84" s="96" t="s">
        <v>208</v>
      </c>
      <c r="B84" s="96" t="s">
        <v>107</v>
      </c>
      <c r="C84" s="96" t="s">
        <v>84</v>
      </c>
      <c r="D84" s="96" t="s">
        <v>20</v>
      </c>
      <c r="E84" s="96" t="s">
        <v>6</v>
      </c>
      <c r="F84" s="3">
        <v>44294</v>
      </c>
      <c r="G84" s="96">
        <v>83</v>
      </c>
      <c r="H84" s="96">
        <v>10</v>
      </c>
      <c r="I84" s="96">
        <v>1450</v>
      </c>
      <c r="J84" s="96">
        <v>92</v>
      </c>
    </row>
    <row r="85" spans="1:10">
      <c r="A85" s="96" t="s">
        <v>209</v>
      </c>
      <c r="B85" s="96" t="s">
        <v>123</v>
      </c>
      <c r="C85" s="96" t="s">
        <v>210</v>
      </c>
      <c r="D85" s="96" t="s">
        <v>18</v>
      </c>
      <c r="E85" s="96" t="s">
        <v>5</v>
      </c>
      <c r="F85" s="3">
        <v>44184</v>
      </c>
      <c r="G85" s="96">
        <v>89</v>
      </c>
      <c r="H85" s="96">
        <v>13</v>
      </c>
      <c r="I85" s="96">
        <v>1750</v>
      </c>
      <c r="J85" s="96">
        <v>98</v>
      </c>
    </row>
    <row r="86" spans="1:10">
      <c r="A86" s="96" t="s">
        <v>211</v>
      </c>
      <c r="B86" s="96" t="s">
        <v>61</v>
      </c>
      <c r="C86" s="96" t="s">
        <v>73</v>
      </c>
      <c r="D86" s="96" t="s">
        <v>20</v>
      </c>
      <c r="E86" s="96" t="s">
        <v>7</v>
      </c>
      <c r="F86" s="3">
        <v>44492</v>
      </c>
      <c r="G86" s="96">
        <v>90</v>
      </c>
      <c r="H86" s="96">
        <v>12</v>
      </c>
      <c r="I86" s="96">
        <v>1700</v>
      </c>
      <c r="J86" s="96">
        <v>97</v>
      </c>
    </row>
    <row r="87" spans="1:10">
      <c r="A87" s="96" t="s">
        <v>212</v>
      </c>
      <c r="B87" s="96" t="s">
        <v>127</v>
      </c>
      <c r="C87" s="96" t="s">
        <v>159</v>
      </c>
      <c r="D87" s="96" t="s">
        <v>18</v>
      </c>
      <c r="E87" s="96" t="s">
        <v>8</v>
      </c>
      <c r="F87" s="3">
        <v>44029</v>
      </c>
      <c r="G87" s="96">
        <v>79</v>
      </c>
      <c r="H87" s="96">
        <v>8</v>
      </c>
      <c r="I87" s="96">
        <v>1350</v>
      </c>
      <c r="J87" s="96">
        <v>90</v>
      </c>
    </row>
    <row r="88" spans="1:10">
      <c r="A88" s="96" t="s">
        <v>213</v>
      </c>
      <c r="B88" s="96" t="s">
        <v>133</v>
      </c>
      <c r="C88" s="96" t="s">
        <v>171</v>
      </c>
      <c r="D88" s="96" t="s">
        <v>20</v>
      </c>
      <c r="E88" s="96" t="s">
        <v>4</v>
      </c>
      <c r="F88" s="3">
        <v>44648</v>
      </c>
      <c r="G88" s="96">
        <v>85</v>
      </c>
      <c r="H88" s="96">
        <v>9</v>
      </c>
      <c r="I88" s="96">
        <v>1500</v>
      </c>
      <c r="J88" s="96">
        <v>93</v>
      </c>
    </row>
    <row r="89" spans="1:10">
      <c r="A89" s="96" t="s">
        <v>24</v>
      </c>
      <c r="B89" s="96" t="s">
        <v>64</v>
      </c>
      <c r="C89" s="96" t="s">
        <v>157</v>
      </c>
      <c r="D89" s="96" t="s">
        <v>18</v>
      </c>
      <c r="E89" s="96" t="s">
        <v>6</v>
      </c>
      <c r="F89" s="3">
        <v>43711</v>
      </c>
      <c r="G89" s="96">
        <v>92</v>
      </c>
      <c r="H89" s="96">
        <v>15</v>
      </c>
      <c r="I89" s="96">
        <v>1800</v>
      </c>
      <c r="J89" s="96">
        <v>99</v>
      </c>
    </row>
    <row r="90" spans="1:10">
      <c r="A90" s="96" t="s">
        <v>214</v>
      </c>
      <c r="B90" s="96" t="s">
        <v>77</v>
      </c>
      <c r="C90" s="96" t="s">
        <v>215</v>
      </c>
      <c r="D90" s="96" t="s">
        <v>20</v>
      </c>
      <c r="E90" s="96" t="s">
        <v>5</v>
      </c>
      <c r="F90" s="3">
        <v>44243</v>
      </c>
      <c r="G90" s="96">
        <v>83</v>
      </c>
      <c r="H90" s="96">
        <v>10</v>
      </c>
      <c r="I90" s="96">
        <v>1450</v>
      </c>
      <c r="J90" s="96">
        <v>94</v>
      </c>
    </row>
    <row r="91" spans="1:10">
      <c r="A91" s="96" t="s">
        <v>216</v>
      </c>
      <c r="B91" s="96" t="s">
        <v>148</v>
      </c>
      <c r="C91" s="96" t="s">
        <v>65</v>
      </c>
      <c r="D91" s="96" t="s">
        <v>18</v>
      </c>
      <c r="E91" s="96" t="s">
        <v>7</v>
      </c>
      <c r="F91" s="3">
        <v>43991</v>
      </c>
      <c r="G91" s="96">
        <v>81</v>
      </c>
      <c r="H91" s="96">
        <v>8</v>
      </c>
      <c r="I91" s="96">
        <v>1350</v>
      </c>
      <c r="J91" s="96">
        <v>91</v>
      </c>
    </row>
    <row r="92" spans="1:10">
      <c r="A92" s="96" t="s">
        <v>217</v>
      </c>
      <c r="B92" s="96" t="s">
        <v>125</v>
      </c>
      <c r="C92" s="96" t="s">
        <v>134</v>
      </c>
      <c r="D92" s="96" t="s">
        <v>20</v>
      </c>
      <c r="E92" s="96" t="s">
        <v>8</v>
      </c>
      <c r="F92" s="3">
        <v>44890</v>
      </c>
      <c r="G92" s="96">
        <v>90</v>
      </c>
      <c r="H92" s="96">
        <v>11</v>
      </c>
      <c r="I92" s="96">
        <v>1700</v>
      </c>
      <c r="J92" s="96">
        <v>96</v>
      </c>
    </row>
    <row r="93" spans="1:10">
      <c r="A93" s="96" t="s">
        <v>218</v>
      </c>
      <c r="B93" s="96" t="s">
        <v>86</v>
      </c>
      <c r="C93" s="96" t="s">
        <v>219</v>
      </c>
      <c r="D93" s="96" t="s">
        <v>18</v>
      </c>
      <c r="E93" s="96" t="s">
        <v>4</v>
      </c>
      <c r="F93" s="3">
        <v>44057</v>
      </c>
      <c r="G93" s="96">
        <v>89</v>
      </c>
      <c r="H93" s="96">
        <v>14</v>
      </c>
      <c r="I93" s="96">
        <v>1750</v>
      </c>
      <c r="J93" s="96">
        <v>98</v>
      </c>
    </row>
    <row r="94" spans="1:10">
      <c r="A94" s="96" t="s">
        <v>220</v>
      </c>
      <c r="B94" s="96" t="s">
        <v>36</v>
      </c>
      <c r="C94" s="96" t="s">
        <v>65</v>
      </c>
      <c r="D94" s="96" t="s">
        <v>20</v>
      </c>
      <c r="E94" s="96" t="s">
        <v>6</v>
      </c>
      <c r="F94" s="3">
        <v>44385</v>
      </c>
      <c r="G94" s="96">
        <v>87</v>
      </c>
      <c r="H94" s="96">
        <v>12</v>
      </c>
      <c r="I94" s="96">
        <v>1600</v>
      </c>
      <c r="J94" s="96">
        <v>97</v>
      </c>
    </row>
    <row r="95" spans="1:10">
      <c r="A95" s="96" t="s">
        <v>221</v>
      </c>
      <c r="B95" s="96" t="s">
        <v>131</v>
      </c>
      <c r="C95" s="96" t="s">
        <v>222</v>
      </c>
      <c r="D95" s="96" t="s">
        <v>18</v>
      </c>
      <c r="E95" s="96" t="s">
        <v>5</v>
      </c>
      <c r="F95" s="3">
        <v>43773</v>
      </c>
      <c r="G95" s="96">
        <v>82</v>
      </c>
      <c r="H95" s="96">
        <v>9</v>
      </c>
      <c r="I95" s="96">
        <v>1450</v>
      </c>
      <c r="J95" s="96">
        <v>92</v>
      </c>
    </row>
    <row r="96" spans="1:10">
      <c r="A96" s="96" t="s">
        <v>223</v>
      </c>
      <c r="B96" s="96" t="s">
        <v>101</v>
      </c>
      <c r="C96" s="96" t="s">
        <v>62</v>
      </c>
      <c r="D96" s="96" t="s">
        <v>20</v>
      </c>
      <c r="E96" s="96" t="s">
        <v>7</v>
      </c>
      <c r="F96" s="3">
        <v>44256</v>
      </c>
      <c r="G96" s="96">
        <v>88</v>
      </c>
      <c r="H96" s="96">
        <v>10</v>
      </c>
      <c r="I96" s="96">
        <v>1650</v>
      </c>
      <c r="J96" s="96">
        <v>95</v>
      </c>
    </row>
    <row r="97" spans="1:10">
      <c r="A97" s="96" t="s">
        <v>224</v>
      </c>
      <c r="B97" s="96" t="s">
        <v>70</v>
      </c>
      <c r="C97" s="96" t="s">
        <v>81</v>
      </c>
      <c r="D97" s="96" t="s">
        <v>18</v>
      </c>
      <c r="E97" s="96" t="s">
        <v>8</v>
      </c>
      <c r="F97" s="3">
        <v>43980</v>
      </c>
      <c r="G97" s="96">
        <v>91</v>
      </c>
      <c r="H97" s="96">
        <v>13</v>
      </c>
      <c r="I97" s="96">
        <v>1750</v>
      </c>
      <c r="J97" s="96">
        <v>98</v>
      </c>
    </row>
    <row r="98" spans="1:10">
      <c r="A98" s="96" t="s">
        <v>225</v>
      </c>
      <c r="B98" s="96" t="s">
        <v>177</v>
      </c>
      <c r="C98" s="96" t="s">
        <v>226</v>
      </c>
      <c r="D98" s="96" t="s">
        <v>20</v>
      </c>
      <c r="E98" s="96" t="s">
        <v>4</v>
      </c>
      <c r="F98" s="3">
        <v>44665</v>
      </c>
      <c r="G98" s="96">
        <v>83</v>
      </c>
      <c r="H98" s="96">
        <v>9</v>
      </c>
      <c r="I98" s="96">
        <v>1500</v>
      </c>
      <c r="J98" s="96">
        <v>94</v>
      </c>
    </row>
    <row r="99" spans="1:10">
      <c r="A99" s="96" t="s">
        <v>227</v>
      </c>
      <c r="B99" s="96" t="s">
        <v>110</v>
      </c>
      <c r="C99" s="96" t="s">
        <v>162</v>
      </c>
      <c r="D99" s="96" t="s">
        <v>18</v>
      </c>
      <c r="E99" s="96" t="s">
        <v>6</v>
      </c>
      <c r="F99" s="3">
        <v>43521</v>
      </c>
      <c r="G99" s="96">
        <v>85</v>
      </c>
      <c r="H99" s="96">
        <v>11</v>
      </c>
      <c r="I99" s="96">
        <v>1600</v>
      </c>
      <c r="J99" s="96">
        <v>96</v>
      </c>
    </row>
    <row r="100" spans="1:10">
      <c r="A100" s="96" t="s">
        <v>228</v>
      </c>
      <c r="B100" s="96" t="s">
        <v>112</v>
      </c>
      <c r="C100" s="96" t="s">
        <v>184</v>
      </c>
      <c r="D100" s="96" t="s">
        <v>20</v>
      </c>
      <c r="E100" s="96" t="s">
        <v>5</v>
      </c>
      <c r="F100" s="3">
        <v>44518</v>
      </c>
      <c r="G100" s="96">
        <v>80</v>
      </c>
      <c r="H100" s="96">
        <v>7</v>
      </c>
      <c r="I100" s="96">
        <v>1300</v>
      </c>
      <c r="J100" s="96">
        <v>90</v>
      </c>
    </row>
    <row r="101" spans="1:10">
      <c r="A101" s="96" t="s">
        <v>229</v>
      </c>
      <c r="B101" s="96" t="s">
        <v>44</v>
      </c>
      <c r="C101" s="96" t="s">
        <v>230</v>
      </c>
      <c r="D101" s="96" t="s">
        <v>18</v>
      </c>
      <c r="E101" s="96" t="s">
        <v>7</v>
      </c>
      <c r="F101" s="3">
        <v>44171</v>
      </c>
      <c r="G101" s="96">
        <v>79</v>
      </c>
      <c r="H101" s="96">
        <v>8</v>
      </c>
      <c r="I101" s="96">
        <v>1400</v>
      </c>
      <c r="J101" s="96">
        <v>89</v>
      </c>
    </row>
    <row r="102" spans="1:10">
      <c r="A102" s="96" t="s">
        <v>231</v>
      </c>
      <c r="B102" s="96" t="s">
        <v>232</v>
      </c>
      <c r="C102" s="96" t="s">
        <v>233</v>
      </c>
      <c r="D102" s="96" t="s">
        <v>20</v>
      </c>
      <c r="E102" s="96" t="s">
        <v>8</v>
      </c>
      <c r="F102" s="3">
        <v>44772</v>
      </c>
      <c r="G102" s="96">
        <v>88</v>
      </c>
      <c r="H102" s="96">
        <v>10</v>
      </c>
      <c r="I102" s="96">
        <v>1650</v>
      </c>
      <c r="J102" s="96">
        <v>95</v>
      </c>
    </row>
    <row r="103" spans="1:10">
      <c r="A103" s="96" t="s">
        <v>23</v>
      </c>
      <c r="B103" s="96" t="s">
        <v>164</v>
      </c>
      <c r="C103" s="96" t="s">
        <v>129</v>
      </c>
      <c r="D103" s="96" t="s">
        <v>18</v>
      </c>
      <c r="E103" s="96" t="s">
        <v>4</v>
      </c>
      <c r="F103" s="3">
        <v>44360</v>
      </c>
      <c r="G103" s="96">
        <v>92</v>
      </c>
      <c r="H103" s="96">
        <v>14</v>
      </c>
      <c r="I103" s="96">
        <v>1800</v>
      </c>
      <c r="J103" s="96">
        <v>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A57DD-977C-42B4-8E64-36509FE9A8EE}">
  <sheetPr codeName="Sheet2"/>
  <dimension ref="A1:X104"/>
  <sheetViews>
    <sheetView workbookViewId="0">
      <selection activeCell="L3" sqref="L3"/>
    </sheetView>
  </sheetViews>
  <sheetFormatPr defaultRowHeight="18"/>
  <cols>
    <col min="1" max="1" width="17.5" customWidth="1"/>
    <col min="2" max="2" width="13.75" customWidth="1"/>
    <col min="3" max="3" width="15.5" customWidth="1"/>
    <col min="4" max="4" width="19" customWidth="1"/>
    <col min="5" max="5" width="15.875" customWidth="1"/>
    <col min="6" max="6" width="19.125" customWidth="1"/>
    <col min="7" max="8" width="16.75" customWidth="1"/>
    <col min="9" max="9" width="22" customWidth="1"/>
    <col min="10" max="10" width="22.5" customWidth="1"/>
    <col min="11" max="11" width="19" style="31" customWidth="1"/>
    <col min="12" max="12" width="30.5" style="27" bestFit="1" customWidth="1"/>
    <col min="16" max="16" width="12.625" bestFit="1" customWidth="1"/>
    <col min="17" max="17" width="17.875" bestFit="1" customWidth="1"/>
    <col min="18" max="18" width="9.875" bestFit="1" customWidth="1"/>
    <col min="21" max="21" width="12.625" bestFit="1" customWidth="1"/>
    <col min="22" max="22" width="20.625" customWidth="1"/>
    <col min="23" max="23" width="28.625" bestFit="1" customWidth="1"/>
    <col min="24" max="24" width="23" bestFit="1" customWidth="1"/>
    <col min="25" max="27" width="13.375" bestFit="1" customWidth="1"/>
    <col min="28" max="28" width="5.5" bestFit="1" customWidth="1"/>
    <col min="30" max="30" width="5.5" bestFit="1" customWidth="1"/>
    <col min="32" max="32" width="12.75" bestFit="1" customWidth="1"/>
  </cols>
  <sheetData>
    <row r="1" spans="1:24" ht="18.600000000000001" thickBot="1">
      <c r="A1" s="23" t="s">
        <v>11</v>
      </c>
      <c r="B1" s="23" t="s">
        <v>29</v>
      </c>
      <c r="C1" s="23" t="s">
        <v>30</v>
      </c>
      <c r="D1" s="23" t="s">
        <v>234</v>
      </c>
      <c r="E1" s="23" t="s">
        <v>16</v>
      </c>
      <c r="F1" s="23" t="s">
        <v>1</v>
      </c>
      <c r="G1" s="23" t="s">
        <v>31</v>
      </c>
      <c r="H1" s="23" t="s">
        <v>235</v>
      </c>
      <c r="I1" s="23" t="s">
        <v>12</v>
      </c>
      <c r="J1" s="23" t="s">
        <v>13</v>
      </c>
      <c r="K1" s="30" t="s">
        <v>14</v>
      </c>
      <c r="L1" s="24" t="s">
        <v>15</v>
      </c>
      <c r="M1" s="96"/>
      <c r="N1" s="96"/>
      <c r="O1" s="96"/>
      <c r="P1" s="96"/>
      <c r="Q1" s="96"/>
      <c r="R1" s="96"/>
      <c r="S1" s="96"/>
      <c r="T1" s="96"/>
      <c r="U1" s="96"/>
      <c r="V1" s="96"/>
      <c r="W1" s="96"/>
      <c r="X1" s="96"/>
    </row>
    <row r="2" spans="1:24" ht="19.149999999999999" thickTop="1" thickBot="1">
      <c r="A2" s="21" t="s">
        <v>32</v>
      </c>
      <c r="B2" s="21" t="s">
        <v>33</v>
      </c>
      <c r="C2" s="21" t="s">
        <v>34</v>
      </c>
      <c r="D2" s="21" t="str">
        <f>_xlfn.CONCAT(Table2[[#This Row],[FirstName]]," ",Table2[[#This Row],[LastName]])</f>
        <v>John Smith</v>
      </c>
      <c r="E2" s="21" t="s">
        <v>18</v>
      </c>
      <c r="F2" s="21" t="s">
        <v>4</v>
      </c>
      <c r="G2" s="22">
        <v>44242</v>
      </c>
      <c r="H2" s="21">
        <f t="shared" ref="H2:H33" si="0">YEAR(HireDate)</f>
        <v>2021</v>
      </c>
      <c r="I2" s="21">
        <v>85</v>
      </c>
      <c r="J2" s="21">
        <v>12</v>
      </c>
      <c r="K2" s="32">
        <v>1500</v>
      </c>
      <c r="L2" s="25">
        <v>95</v>
      </c>
      <c r="M2" s="96"/>
      <c r="N2" s="96"/>
      <c r="O2" s="96"/>
      <c r="P2" s="96"/>
      <c r="Q2" s="96"/>
      <c r="R2" s="96"/>
      <c r="S2" s="96"/>
      <c r="T2" s="96"/>
      <c r="U2" s="103" t="s">
        <v>0</v>
      </c>
      <c r="V2" s="103"/>
      <c r="W2" s="103"/>
      <c r="X2" s="96"/>
    </row>
    <row r="3" spans="1:24" ht="19.149999999999999" thickTop="1" thickBot="1">
      <c r="A3" s="21" t="s">
        <v>35</v>
      </c>
      <c r="B3" s="21" t="s">
        <v>36</v>
      </c>
      <c r="C3" s="21" t="s">
        <v>37</v>
      </c>
      <c r="D3" s="21" t="str">
        <f>_xlfn.CONCAT(Table2[[#This Row],[FirstName]]," ",Table2[[#This Row],[LastName]])</f>
        <v>Emily Johnson</v>
      </c>
      <c r="E3" s="21" t="s">
        <v>20</v>
      </c>
      <c r="F3" s="21" t="s">
        <v>5</v>
      </c>
      <c r="G3" s="22">
        <v>44691</v>
      </c>
      <c r="H3" s="21">
        <f t="shared" si="0"/>
        <v>2022</v>
      </c>
      <c r="I3" s="21">
        <v>90</v>
      </c>
      <c r="J3" s="21">
        <v>8</v>
      </c>
      <c r="K3" s="32">
        <v>1800</v>
      </c>
      <c r="L3" s="25">
        <v>98</v>
      </c>
      <c r="M3" s="96"/>
      <c r="N3" s="96"/>
      <c r="O3" s="96"/>
      <c r="P3" s="42" t="s">
        <v>1</v>
      </c>
      <c r="Q3" s="42" t="s">
        <v>236</v>
      </c>
      <c r="R3" s="96"/>
      <c r="S3" s="96"/>
      <c r="T3" s="96"/>
      <c r="U3" s="43" t="s">
        <v>1</v>
      </c>
      <c r="V3" s="43" t="s">
        <v>2</v>
      </c>
      <c r="W3" s="43" t="s">
        <v>3</v>
      </c>
      <c r="X3" s="96"/>
    </row>
    <row r="4" spans="1:24" ht="19.149999999999999" thickTop="1" thickBot="1">
      <c r="A4" s="21" t="s">
        <v>38</v>
      </c>
      <c r="B4" s="21" t="s">
        <v>39</v>
      </c>
      <c r="C4" s="21" t="s">
        <v>40</v>
      </c>
      <c r="D4" s="21" t="str">
        <f>_xlfn.CONCAT(Table2[[#This Row],[FirstName]]," ",Table2[[#This Row],[LastName]])</f>
        <v>David Lee</v>
      </c>
      <c r="E4" s="21" t="s">
        <v>18</v>
      </c>
      <c r="F4" s="21" t="s">
        <v>7</v>
      </c>
      <c r="G4" s="22">
        <v>44032</v>
      </c>
      <c r="H4" s="21">
        <f t="shared" si="0"/>
        <v>2020</v>
      </c>
      <c r="I4" s="21">
        <v>75</v>
      </c>
      <c r="J4" s="21">
        <v>10</v>
      </c>
      <c r="K4" s="32">
        <v>1200</v>
      </c>
      <c r="L4" s="25">
        <v>92</v>
      </c>
      <c r="M4" s="96"/>
      <c r="N4" s="96"/>
      <c r="O4" s="96"/>
      <c r="P4" s="96" t="s">
        <v>4</v>
      </c>
      <c r="Q4" s="96">
        <f>COUNTIF(Department,F2)</f>
        <v>26</v>
      </c>
      <c r="R4" s="96"/>
      <c r="S4" s="96"/>
      <c r="T4" s="96"/>
      <c r="U4" s="44" t="s">
        <v>4</v>
      </c>
      <c r="V4" s="45" cm="1">
        <f t="array" ref="V4">AVERAGEIFS(AttendanceRate,Department, "IT")</f>
        <v>95.57692307692308</v>
      </c>
      <c r="W4" s="45">
        <f>AVERAGEIFS(BonusAmount,Department, "IT")</f>
        <v>1588.4615384615386</v>
      </c>
      <c r="X4" s="96"/>
    </row>
    <row r="5" spans="1:24" ht="19.149999999999999" thickTop="1" thickBot="1">
      <c r="A5" s="21" t="s">
        <v>41</v>
      </c>
      <c r="B5" s="21" t="s">
        <v>42</v>
      </c>
      <c r="C5" s="21" t="s">
        <v>43</v>
      </c>
      <c r="D5" s="21" t="str">
        <f>_xlfn.CONCAT(Table2[[#This Row],[FirstName]]," ",Table2[[#This Row],[LastName]])</f>
        <v>Sarah Brown</v>
      </c>
      <c r="E5" s="21" t="s">
        <v>20</v>
      </c>
      <c r="F5" s="21" t="s">
        <v>4</v>
      </c>
      <c r="G5" s="22">
        <v>43804</v>
      </c>
      <c r="H5" s="21">
        <f t="shared" si="0"/>
        <v>2019</v>
      </c>
      <c r="I5" s="21">
        <v>88</v>
      </c>
      <c r="J5" s="21">
        <v>15</v>
      </c>
      <c r="K5" s="32">
        <v>2000</v>
      </c>
      <c r="L5" s="25">
        <v>97</v>
      </c>
      <c r="M5" s="96"/>
      <c r="N5" s="96"/>
      <c r="O5" s="96"/>
      <c r="P5" s="96" t="s">
        <v>5</v>
      </c>
      <c r="Q5" s="96">
        <f>COUNTIF(Department,F3)</f>
        <v>20</v>
      </c>
      <c r="R5" s="96"/>
      <c r="S5" s="96"/>
      <c r="T5" s="96"/>
      <c r="U5" s="44" t="s">
        <v>5</v>
      </c>
      <c r="V5" s="45" cm="1">
        <f t="array" ref="V5">AVERAGEIFS(AttendanceRate,Department, "Sales")</f>
        <v>93.84210526315789</v>
      </c>
      <c r="W5" s="45">
        <f>AVERAGEIFS(BonusAmount,Department, "HR")</f>
        <v>1527.5</v>
      </c>
      <c r="X5" s="96"/>
    </row>
    <row r="6" spans="1:24" ht="19.149999999999999" thickTop="1" thickBot="1">
      <c r="A6" s="21" t="s">
        <v>17</v>
      </c>
      <c r="B6" s="21" t="s">
        <v>44</v>
      </c>
      <c r="C6" s="21" t="s">
        <v>45</v>
      </c>
      <c r="D6" s="21" t="str">
        <f>_xlfn.CONCAT(Table2[[#This Row],[FirstName]]," ",Table2[[#This Row],[LastName]])</f>
        <v>Daniel Williams</v>
      </c>
      <c r="E6" s="21" t="s">
        <v>18</v>
      </c>
      <c r="F6" s="21" t="s">
        <v>6</v>
      </c>
      <c r="G6" s="22">
        <v>44214</v>
      </c>
      <c r="H6" s="21">
        <f t="shared" si="0"/>
        <v>2021</v>
      </c>
      <c r="I6" s="21">
        <v>93</v>
      </c>
      <c r="J6" s="21">
        <v>14</v>
      </c>
      <c r="K6" s="32">
        <v>1750</v>
      </c>
      <c r="L6" s="25">
        <v>99</v>
      </c>
      <c r="M6" s="96"/>
      <c r="N6" s="96"/>
      <c r="O6" s="96"/>
      <c r="P6" s="96" t="s">
        <v>6</v>
      </c>
      <c r="Q6" s="96">
        <f>COUNTIF(Department,Table2[[#This Row],[Department]])</f>
        <v>16</v>
      </c>
      <c r="R6" s="96"/>
      <c r="S6" s="96"/>
      <c r="T6" s="96"/>
      <c r="U6" s="44" t="s">
        <v>6</v>
      </c>
      <c r="V6" s="45" cm="1">
        <f t="array" ref="V6">AVERAGEIFS(AttendanceRate,Department, "Finance")</f>
        <v>96.4375</v>
      </c>
      <c r="W6" s="45">
        <f>AVERAGEIFS(BonusAmount,Department, "Finance")</f>
        <v>1662.5</v>
      </c>
      <c r="X6" s="96"/>
    </row>
    <row r="7" spans="1:24" ht="19.149999999999999" thickTop="1" thickBot="1">
      <c r="A7" s="21" t="s">
        <v>46</v>
      </c>
      <c r="B7" s="21" t="s">
        <v>47</v>
      </c>
      <c r="C7" s="21" t="s">
        <v>48</v>
      </c>
      <c r="D7" s="21" t="str">
        <f>_xlfn.CONCAT(Table2[[#This Row],[FirstName]]," ",Table2[[#This Row],[LastName]])</f>
        <v>Anna Garcia</v>
      </c>
      <c r="E7" s="21" t="s">
        <v>20</v>
      </c>
      <c r="F7" s="21" t="s">
        <v>5</v>
      </c>
      <c r="G7" s="22">
        <v>44065</v>
      </c>
      <c r="H7" s="21">
        <f t="shared" si="0"/>
        <v>2020</v>
      </c>
      <c r="I7" s="21">
        <v>80</v>
      </c>
      <c r="J7" s="21">
        <v>9</v>
      </c>
      <c r="K7" s="32">
        <v>1300</v>
      </c>
      <c r="L7" s="25">
        <v>94</v>
      </c>
      <c r="M7" s="96"/>
      <c r="N7" s="96"/>
      <c r="O7" s="96"/>
      <c r="P7" s="96" t="s">
        <v>7</v>
      </c>
      <c r="Q7" s="96">
        <f>COUNTIF(Department,F10)</f>
        <v>19</v>
      </c>
      <c r="R7" s="96"/>
      <c r="S7" s="96"/>
      <c r="T7" s="96"/>
      <c r="U7" s="44" t="s">
        <v>7</v>
      </c>
      <c r="V7" s="45" cm="1">
        <f t="array" ref="V7">AVERAGEIFS(AttendanceRate,Department, "Marketing")</f>
        <v>92.78947368421052</v>
      </c>
      <c r="W7" s="45">
        <f>AVERAGEIFS(BonusAmount,Department, "marketing")</f>
        <v>1442.1052631578948</v>
      </c>
      <c r="X7" s="96"/>
    </row>
    <row r="8" spans="1:24" ht="19.149999999999999" thickTop="1" thickBot="1">
      <c r="A8" s="21" t="s">
        <v>49</v>
      </c>
      <c r="B8" s="21" t="s">
        <v>50</v>
      </c>
      <c r="C8" s="21" t="s">
        <v>51</v>
      </c>
      <c r="D8" s="21" t="str">
        <f>_xlfn.CONCAT(Table2[[#This Row],[FirstName]]," ",Table2[[#This Row],[LastName]])</f>
        <v>Michael Martinez</v>
      </c>
      <c r="E8" s="21" t="s">
        <v>18</v>
      </c>
      <c r="F8" s="21" t="s">
        <v>8</v>
      </c>
      <c r="G8" s="22">
        <v>44269</v>
      </c>
      <c r="H8" s="21">
        <f t="shared" si="0"/>
        <v>2021</v>
      </c>
      <c r="I8" s="21">
        <v>82</v>
      </c>
      <c r="J8" s="21">
        <v>11</v>
      </c>
      <c r="K8" s="32">
        <v>1400</v>
      </c>
      <c r="L8" s="25">
        <v>96</v>
      </c>
      <c r="M8" s="96"/>
      <c r="N8" s="96"/>
      <c r="O8" s="96"/>
      <c r="P8" s="96" t="s">
        <v>8</v>
      </c>
      <c r="Q8" s="96">
        <f>COUNTIF(Department,F16)</f>
        <v>19</v>
      </c>
      <c r="R8" s="96"/>
      <c r="S8" s="96"/>
      <c r="T8" s="96"/>
      <c r="U8" s="44" t="s">
        <v>8</v>
      </c>
      <c r="V8" s="45" cm="1">
        <f t="array" ref="V8">AVERAGEIFS(AttendanceRate,Department, "sales")</f>
        <v>93.84210526315789</v>
      </c>
      <c r="W8" s="45">
        <f>AVERAGEIFS(BonusAmount,Department, "sales")</f>
        <v>1484.2105263157894</v>
      </c>
      <c r="X8" s="96"/>
    </row>
    <row r="9" spans="1:24" ht="18.600000000000001" thickTop="1">
      <c r="A9" s="21" t="s">
        <v>28</v>
      </c>
      <c r="B9" s="21" t="s">
        <v>52</v>
      </c>
      <c r="C9" s="21" t="s">
        <v>53</v>
      </c>
      <c r="D9" s="21" t="str">
        <f>_xlfn.CONCAT(Table2[[#This Row],[FirstName]]," ",Table2[[#This Row],[LastName]])</f>
        <v>Chloe Miller</v>
      </c>
      <c r="E9" s="21" t="s">
        <v>20</v>
      </c>
      <c r="F9" s="21" t="s">
        <v>4</v>
      </c>
      <c r="G9" s="22">
        <v>44723</v>
      </c>
      <c r="H9" s="21">
        <f t="shared" si="0"/>
        <v>2022</v>
      </c>
      <c r="I9" s="21">
        <v>91</v>
      </c>
      <c r="J9" s="21">
        <v>7</v>
      </c>
      <c r="K9" s="32">
        <v>1600</v>
      </c>
      <c r="L9" s="25">
        <v>99</v>
      </c>
      <c r="M9" s="96"/>
      <c r="N9" s="96"/>
      <c r="O9" s="96"/>
      <c r="P9" s="96"/>
      <c r="Q9" s="96">
        <f>SUM(Q4:Q8)</f>
        <v>100</v>
      </c>
      <c r="R9" s="96"/>
      <c r="S9" s="96"/>
      <c r="T9" s="96"/>
      <c r="U9" s="96"/>
      <c r="V9" s="96"/>
      <c r="W9" s="96"/>
      <c r="X9" s="96"/>
    </row>
    <row r="10" spans="1:24">
      <c r="A10" s="21" t="s">
        <v>54</v>
      </c>
      <c r="B10" s="21" t="s">
        <v>55</v>
      </c>
      <c r="C10" s="21" t="s">
        <v>56</v>
      </c>
      <c r="D10" s="21" t="str">
        <f>_xlfn.CONCAT(Table2[[#This Row],[FirstName]]," ",Table2[[#This Row],[LastName]])</f>
        <v>Chris Wilson</v>
      </c>
      <c r="E10" s="21" t="s">
        <v>18</v>
      </c>
      <c r="F10" s="21" t="s">
        <v>7</v>
      </c>
      <c r="G10" s="22">
        <v>43739</v>
      </c>
      <c r="H10" s="21">
        <f t="shared" si="0"/>
        <v>2019</v>
      </c>
      <c r="I10" s="21">
        <v>89</v>
      </c>
      <c r="J10" s="21">
        <v>13</v>
      </c>
      <c r="K10" s="32">
        <v>1550</v>
      </c>
      <c r="L10" s="25">
        <v>98</v>
      </c>
      <c r="M10" s="96"/>
      <c r="N10" s="96"/>
      <c r="O10" s="96"/>
      <c r="P10" s="96"/>
      <c r="Q10" s="96"/>
      <c r="R10" s="96"/>
      <c r="S10" s="96"/>
      <c r="T10" s="96"/>
      <c r="U10" s="96"/>
      <c r="V10" s="96"/>
      <c r="W10" s="96"/>
      <c r="X10" s="96"/>
    </row>
    <row r="11" spans="1:24">
      <c r="A11" s="21" t="s">
        <v>57</v>
      </c>
      <c r="B11" s="21" t="s">
        <v>58</v>
      </c>
      <c r="C11" s="21" t="s">
        <v>59</v>
      </c>
      <c r="D11" s="21" t="str">
        <f>_xlfn.CONCAT(Table2[[#This Row],[FirstName]]," ",Table2[[#This Row],[LastName]])</f>
        <v>Laura Moore</v>
      </c>
      <c r="E11" s="21" t="s">
        <v>20</v>
      </c>
      <c r="F11" s="21" t="s">
        <v>6</v>
      </c>
      <c r="G11" s="22">
        <v>43837</v>
      </c>
      <c r="H11" s="21">
        <f t="shared" si="0"/>
        <v>2020</v>
      </c>
      <c r="I11" s="21">
        <v>76</v>
      </c>
      <c r="J11" s="21">
        <v>10</v>
      </c>
      <c r="K11" s="32">
        <v>1100</v>
      </c>
      <c r="L11" s="25">
        <v>91</v>
      </c>
      <c r="M11" s="96"/>
      <c r="N11" s="96"/>
      <c r="O11" s="96"/>
      <c r="P11" s="96"/>
      <c r="Q11" s="96"/>
      <c r="R11" s="96"/>
      <c r="S11" s="96"/>
      <c r="T11" s="96"/>
      <c r="U11" s="96"/>
      <c r="V11" s="96"/>
      <c r="W11" s="96"/>
      <c r="X11" s="96"/>
    </row>
    <row r="12" spans="1:24">
      <c r="A12" s="96" t="s">
        <v>60</v>
      </c>
      <c r="B12" s="96" t="s">
        <v>61</v>
      </c>
      <c r="C12" s="96" t="s">
        <v>62</v>
      </c>
      <c r="D12" s="96" t="str">
        <f>_xlfn.CONCAT(Table2[[#This Row],[FirstName]]," ",Table2[[#This Row],[LastName]])</f>
        <v>Charlotte Scott</v>
      </c>
      <c r="E12" s="96" t="s">
        <v>20</v>
      </c>
      <c r="F12" s="96" t="s">
        <v>4</v>
      </c>
      <c r="G12" s="3">
        <v>43845</v>
      </c>
      <c r="H12" s="96">
        <f t="shared" si="0"/>
        <v>2020</v>
      </c>
      <c r="I12" s="96">
        <v>84</v>
      </c>
      <c r="J12" s="96">
        <v>11</v>
      </c>
      <c r="K12" s="33">
        <v>1500</v>
      </c>
      <c r="L12" s="26">
        <v>94</v>
      </c>
      <c r="M12" s="96"/>
      <c r="N12" s="96"/>
      <c r="O12" s="96"/>
      <c r="P12" s="96"/>
      <c r="Q12" s="96"/>
      <c r="R12" s="96"/>
      <c r="S12" s="96"/>
      <c r="T12" s="96"/>
      <c r="U12" s="96"/>
      <c r="V12" s="96"/>
      <c r="W12" s="96"/>
      <c r="X12" s="96"/>
    </row>
    <row r="13" spans="1:24">
      <c r="A13" s="96" t="s">
        <v>63</v>
      </c>
      <c r="B13" s="96" t="s">
        <v>64</v>
      </c>
      <c r="C13" s="96" t="s">
        <v>65</v>
      </c>
      <c r="D13" s="96" t="str">
        <f>_xlfn.CONCAT(Table2[[#This Row],[FirstName]]," ",Table2[[#This Row],[LastName]])</f>
        <v>Logan Cooper</v>
      </c>
      <c r="E13" s="96" t="s">
        <v>18</v>
      </c>
      <c r="F13" s="96" t="s">
        <v>6</v>
      </c>
      <c r="G13" s="3">
        <v>44249</v>
      </c>
      <c r="H13" s="96">
        <f t="shared" si="0"/>
        <v>2021</v>
      </c>
      <c r="I13" s="96">
        <v>89</v>
      </c>
      <c r="J13" s="96">
        <v>14</v>
      </c>
      <c r="K13" s="33">
        <v>1750</v>
      </c>
      <c r="L13" s="26">
        <v>97</v>
      </c>
      <c r="M13" s="96"/>
      <c r="N13" s="96"/>
      <c r="O13" s="96"/>
      <c r="P13" s="96"/>
      <c r="Q13" s="46" t="s">
        <v>237</v>
      </c>
      <c r="R13" s="34">
        <f>SUM(BonusAmount)</f>
        <v>154050</v>
      </c>
      <c r="S13" s="96"/>
      <c r="T13" s="96"/>
      <c r="U13" s="96"/>
      <c r="V13" s="96"/>
      <c r="W13" s="96"/>
      <c r="X13" s="96"/>
    </row>
    <row r="14" spans="1:24" ht="36">
      <c r="A14" s="96" t="s">
        <v>66</v>
      </c>
      <c r="B14" s="96" t="s">
        <v>67</v>
      </c>
      <c r="C14" s="96" t="s">
        <v>68</v>
      </c>
      <c r="D14" s="96" t="str">
        <f>_xlfn.CONCAT(Table2[[#This Row],[FirstName]]," ",Table2[[#This Row],[LastName]])</f>
        <v>Mia Mitchell</v>
      </c>
      <c r="E14" s="96" t="s">
        <v>20</v>
      </c>
      <c r="F14" s="96" t="s">
        <v>7</v>
      </c>
      <c r="G14" s="3">
        <v>43687</v>
      </c>
      <c r="H14" s="96">
        <f t="shared" si="0"/>
        <v>2019</v>
      </c>
      <c r="I14" s="96">
        <v>78</v>
      </c>
      <c r="J14" s="96">
        <v>8</v>
      </c>
      <c r="K14" s="33">
        <v>1250</v>
      </c>
      <c r="L14" s="26">
        <v>90</v>
      </c>
      <c r="M14" s="96"/>
      <c r="N14" s="96"/>
      <c r="O14" s="96"/>
      <c r="P14" s="96"/>
      <c r="Q14" s="46" t="s">
        <v>238</v>
      </c>
      <c r="R14" s="96">
        <f>COUNTA(EmployeeID)</f>
        <v>100</v>
      </c>
      <c r="S14" s="96"/>
      <c r="T14" s="96"/>
      <c r="U14" s="47" t="s">
        <v>239</v>
      </c>
      <c r="V14" s="48" t="s">
        <v>240</v>
      </c>
      <c r="W14" s="49" t="s">
        <v>241</v>
      </c>
      <c r="X14" s="50" t="s">
        <v>242</v>
      </c>
    </row>
    <row r="15" spans="1:24">
      <c r="A15" s="96" t="s">
        <v>69</v>
      </c>
      <c r="B15" s="96" t="s">
        <v>70</v>
      </c>
      <c r="C15" s="96" t="s">
        <v>71</v>
      </c>
      <c r="D15" s="96" t="str">
        <f>_xlfn.CONCAT(Table2[[#This Row],[FirstName]]," ",Table2[[#This Row],[LastName]])</f>
        <v>Ethan Nelson</v>
      </c>
      <c r="E15" s="96" t="s">
        <v>18</v>
      </c>
      <c r="F15" s="96" t="s">
        <v>5</v>
      </c>
      <c r="G15" s="3">
        <v>43895</v>
      </c>
      <c r="H15" s="96">
        <f t="shared" si="0"/>
        <v>2020</v>
      </c>
      <c r="I15" s="96">
        <v>85</v>
      </c>
      <c r="J15" s="96">
        <v>10</v>
      </c>
      <c r="K15" s="33">
        <v>1450</v>
      </c>
      <c r="L15" s="26">
        <v>93</v>
      </c>
      <c r="M15" s="96"/>
      <c r="N15" s="96"/>
      <c r="O15" s="96"/>
      <c r="P15" s="96"/>
      <c r="Q15" s="46" t="s">
        <v>243</v>
      </c>
      <c r="R15" s="34">
        <f>AVERAGE(BonusAmount)</f>
        <v>1540.5</v>
      </c>
      <c r="S15" s="96"/>
      <c r="T15" s="96"/>
      <c r="U15" s="51">
        <v>2019</v>
      </c>
      <c r="V15" s="52" cm="1">
        <f t="array" ref="V15">SUMIFS(PerformanceScore,HIGH,"2019")</f>
        <v>1439</v>
      </c>
      <c r="W15" s="52" cm="1">
        <f t="array" ref="W15">SUMIFS(ProjectsCompleted,HIGH,U15)</f>
        <v>189</v>
      </c>
      <c r="X15" s="53" cm="1">
        <f t="array" ref="X15">SUMIFS(BonusAmount,HIGH,U15)</f>
        <v>26400</v>
      </c>
    </row>
    <row r="16" spans="1:24">
      <c r="A16" s="96" t="s">
        <v>72</v>
      </c>
      <c r="B16" s="96" t="s">
        <v>36</v>
      </c>
      <c r="C16" s="96" t="s">
        <v>73</v>
      </c>
      <c r="D16" s="96" t="str">
        <f>_xlfn.CONCAT(Table2[[#This Row],[FirstName]]," ",Table2[[#This Row],[LastName]])</f>
        <v>Emily Brooks</v>
      </c>
      <c r="E16" s="96" t="s">
        <v>20</v>
      </c>
      <c r="F16" s="96" t="s">
        <v>8</v>
      </c>
      <c r="G16" s="3">
        <v>44396</v>
      </c>
      <c r="H16" s="96">
        <f t="shared" si="0"/>
        <v>2021</v>
      </c>
      <c r="I16" s="96">
        <v>88</v>
      </c>
      <c r="J16" s="96">
        <v>12</v>
      </c>
      <c r="K16" s="33">
        <v>1600</v>
      </c>
      <c r="L16" s="26">
        <v>96</v>
      </c>
      <c r="M16" s="96"/>
      <c r="N16" s="96"/>
      <c r="O16" s="96"/>
      <c r="P16" s="96"/>
      <c r="Q16" s="46" t="s">
        <v>244</v>
      </c>
      <c r="R16" s="36">
        <f>AVERAGE(PerformanceScore)</f>
        <v>85.2</v>
      </c>
      <c r="S16" s="96"/>
      <c r="T16" s="96"/>
      <c r="U16" s="51">
        <v>2020</v>
      </c>
      <c r="V16" s="52" cm="1">
        <f t="array" ref="V16">SUMIFS(PerformanceScore,HIGH,"2020")</f>
        <v>2612</v>
      </c>
      <c r="W16" s="52" cm="1">
        <f t="array" ref="W16">SUMIFS(ProjectsCompleted,HIGH,U16)</f>
        <v>329</v>
      </c>
      <c r="X16" s="53" cm="1">
        <f t="array" ref="X16">SUMIFS(BonusAmount,HIGH,U16)</f>
        <v>47050</v>
      </c>
    </row>
    <row r="17" spans="1:24">
      <c r="A17" s="96" t="s">
        <v>21</v>
      </c>
      <c r="B17" s="96" t="s">
        <v>74</v>
      </c>
      <c r="C17" s="96" t="s">
        <v>75</v>
      </c>
      <c r="D17" s="96" t="str">
        <f>_xlfn.CONCAT(Table2[[#This Row],[FirstName]]," ",Table2[[#This Row],[LastName]])</f>
        <v>James Foster</v>
      </c>
      <c r="E17" s="96" t="s">
        <v>18</v>
      </c>
      <c r="F17" s="96" t="s">
        <v>4</v>
      </c>
      <c r="G17" s="3">
        <v>44833</v>
      </c>
      <c r="H17" s="96">
        <f t="shared" si="0"/>
        <v>2022</v>
      </c>
      <c r="I17" s="96">
        <v>92</v>
      </c>
      <c r="J17" s="96">
        <v>13</v>
      </c>
      <c r="K17" s="33">
        <v>1800</v>
      </c>
      <c r="L17" s="26">
        <v>98</v>
      </c>
      <c r="M17" s="96"/>
      <c r="N17" s="96"/>
      <c r="O17" s="96"/>
      <c r="P17" s="96"/>
      <c r="Q17" s="46" t="s">
        <v>245</v>
      </c>
      <c r="R17" s="36">
        <f>AVERAGE(AttendanceRate)</f>
        <v>94.59</v>
      </c>
      <c r="S17" s="96"/>
      <c r="T17" s="96"/>
      <c r="U17" s="51">
        <v>2021</v>
      </c>
      <c r="V17" s="52" cm="1">
        <f t="array" ref="V17">SUMIFS(PerformanceScore,HIGH,"2021")</f>
        <v>2662</v>
      </c>
      <c r="W17" s="52" cm="1">
        <f t="array" ref="W17">SUMIFS(ProjectsCompleted,HIGH,U17)</f>
        <v>339</v>
      </c>
      <c r="X17" s="53" cm="1">
        <f t="array" ref="X17">SUMIFS(BonusAmount,HIGH,U17)</f>
        <v>47950</v>
      </c>
    </row>
    <row r="18" spans="1:24">
      <c r="A18" s="96" t="s">
        <v>76</v>
      </c>
      <c r="B18" s="96" t="s">
        <v>77</v>
      </c>
      <c r="C18" s="96" t="s">
        <v>78</v>
      </c>
      <c r="D18" s="96" t="str">
        <f>_xlfn.CONCAT(Table2[[#This Row],[FirstName]]," ",Table2[[#This Row],[LastName]])</f>
        <v>Victoria Rivera</v>
      </c>
      <c r="E18" s="96" t="s">
        <v>20</v>
      </c>
      <c r="F18" s="96" t="s">
        <v>5</v>
      </c>
      <c r="G18" s="3">
        <v>43637</v>
      </c>
      <c r="H18" s="96">
        <f t="shared" si="0"/>
        <v>2019</v>
      </c>
      <c r="I18" s="96">
        <v>81</v>
      </c>
      <c r="J18" s="96">
        <v>9</v>
      </c>
      <c r="K18" s="33">
        <v>1400</v>
      </c>
      <c r="L18" s="26">
        <v>91</v>
      </c>
      <c r="M18" s="96"/>
      <c r="N18" s="96"/>
      <c r="O18" s="96"/>
      <c r="P18" s="96"/>
      <c r="Q18" s="96"/>
      <c r="R18" s="96"/>
      <c r="S18" s="96"/>
      <c r="T18" s="96"/>
      <c r="U18" s="51">
        <v>2022</v>
      </c>
      <c r="V18" s="52" cm="1">
        <f t="array" ref="V18">SUMIFS(PerformanceScore,HIGH,"2022")</f>
        <v>1807</v>
      </c>
      <c r="W18" s="52" cm="1">
        <f t="array" ref="W18">SUMIFS(ProjectsCompleted,HIGH,U18)</f>
        <v>211</v>
      </c>
      <c r="X18" s="53" cm="1">
        <f t="array" ref="X18">SUMIFS(BonusAmount,HIGH,U18)</f>
        <v>32650</v>
      </c>
    </row>
    <row r="19" spans="1:24">
      <c r="A19" s="96" t="s">
        <v>79</v>
      </c>
      <c r="B19" s="96" t="s">
        <v>80</v>
      </c>
      <c r="C19" s="96" t="s">
        <v>81</v>
      </c>
      <c r="D19" s="96" t="str">
        <f>_xlfn.CONCAT(Table2[[#This Row],[FirstName]]," ",Table2[[#This Row],[LastName]])</f>
        <v>Jackson Diaz</v>
      </c>
      <c r="E19" s="96" t="s">
        <v>18</v>
      </c>
      <c r="F19" s="96" t="s">
        <v>7</v>
      </c>
      <c r="G19" s="3">
        <v>44324</v>
      </c>
      <c r="H19" s="96">
        <f t="shared" si="0"/>
        <v>2021</v>
      </c>
      <c r="I19" s="96">
        <v>86</v>
      </c>
      <c r="J19" s="96">
        <v>11</v>
      </c>
      <c r="K19" s="33">
        <v>1550</v>
      </c>
      <c r="L19" s="26">
        <v>94</v>
      </c>
      <c r="M19" s="96"/>
      <c r="N19" s="96"/>
      <c r="O19" s="96"/>
      <c r="P19" s="96"/>
      <c r="Q19" s="96"/>
      <c r="R19" s="96"/>
      <c r="S19" s="96"/>
      <c r="T19" s="96"/>
      <c r="U19" s="54" t="s">
        <v>246</v>
      </c>
      <c r="V19" s="55">
        <f>SUM(V15:V18)</f>
        <v>8520</v>
      </c>
      <c r="W19" s="55">
        <f>SUM(W15:W18)</f>
        <v>1068</v>
      </c>
      <c r="X19" s="56">
        <f>SUM(X15:X18)</f>
        <v>154050</v>
      </c>
    </row>
    <row r="20" spans="1:24">
      <c r="A20" s="96" t="s">
        <v>82</v>
      </c>
      <c r="B20" s="96" t="s">
        <v>83</v>
      </c>
      <c r="C20" s="96" t="s">
        <v>84</v>
      </c>
      <c r="D20" s="96" t="str">
        <f>_xlfn.CONCAT(Table2[[#This Row],[FirstName]]," ",Table2[[#This Row],[LastName]])</f>
        <v>Olivia Morris</v>
      </c>
      <c r="E20" s="96" t="s">
        <v>20</v>
      </c>
      <c r="F20" s="96" t="s">
        <v>8</v>
      </c>
      <c r="G20" s="3">
        <v>44137</v>
      </c>
      <c r="H20" s="96">
        <f t="shared" si="0"/>
        <v>2020</v>
      </c>
      <c r="I20" s="96">
        <v>83</v>
      </c>
      <c r="J20" s="96">
        <v>10</v>
      </c>
      <c r="K20" s="33">
        <v>1450</v>
      </c>
      <c r="L20" s="26">
        <v>92</v>
      </c>
      <c r="M20" s="96"/>
      <c r="N20" s="96"/>
      <c r="O20" s="96"/>
      <c r="P20" s="96"/>
      <c r="Q20" s="96"/>
      <c r="R20" s="96"/>
      <c r="S20" s="96"/>
      <c r="T20" s="96"/>
      <c r="U20" s="96"/>
      <c r="V20" s="96"/>
      <c r="W20" s="96"/>
      <c r="X20" s="96"/>
    </row>
    <row r="21" spans="1:24">
      <c r="A21" s="96" t="s">
        <v>85</v>
      </c>
      <c r="B21" s="96" t="s">
        <v>86</v>
      </c>
      <c r="C21" s="96" t="s">
        <v>87</v>
      </c>
      <c r="D21" s="96" t="str">
        <f>_xlfn.CONCAT(Table2[[#This Row],[FirstName]]," ",Table2[[#This Row],[LastName]])</f>
        <v>William Parker</v>
      </c>
      <c r="E21" s="96" t="s">
        <v>18</v>
      </c>
      <c r="F21" s="96" t="s">
        <v>4</v>
      </c>
      <c r="G21" s="3">
        <v>44637</v>
      </c>
      <c r="H21" s="96">
        <f t="shared" si="0"/>
        <v>2022</v>
      </c>
      <c r="I21" s="96">
        <v>90</v>
      </c>
      <c r="J21" s="96">
        <v>12</v>
      </c>
      <c r="K21" s="33">
        <v>1700</v>
      </c>
      <c r="L21" s="26">
        <v>97</v>
      </c>
      <c r="M21" s="96"/>
      <c r="N21" s="96"/>
      <c r="O21" s="96"/>
      <c r="P21" s="96"/>
      <c r="Q21" s="96"/>
      <c r="R21" s="96"/>
      <c r="S21" s="96"/>
      <c r="T21" s="96"/>
      <c r="U21" s="96"/>
      <c r="V21" s="96"/>
      <c r="W21" s="96"/>
      <c r="X21" s="96"/>
    </row>
    <row r="22" spans="1:24" ht="18.600000000000001" thickBot="1">
      <c r="A22" s="96" t="s">
        <v>88</v>
      </c>
      <c r="B22" s="96" t="s">
        <v>89</v>
      </c>
      <c r="C22" s="96" t="s">
        <v>90</v>
      </c>
      <c r="D22" s="96" t="str">
        <f>_xlfn.CONCAT(Table2[[#This Row],[FirstName]]," ",Table2[[#This Row],[LastName]])</f>
        <v>Kevin Adams</v>
      </c>
      <c r="E22" s="96" t="s">
        <v>18</v>
      </c>
      <c r="F22" s="96" t="s">
        <v>4</v>
      </c>
      <c r="G22" s="3">
        <v>44453</v>
      </c>
      <c r="H22" s="96">
        <f t="shared" si="0"/>
        <v>2021</v>
      </c>
      <c r="I22" s="96">
        <v>83</v>
      </c>
      <c r="J22" s="96">
        <v>9</v>
      </c>
      <c r="K22" s="33">
        <v>1450</v>
      </c>
      <c r="L22" s="26">
        <v>93</v>
      </c>
      <c r="M22" s="96"/>
      <c r="N22" s="96"/>
      <c r="O22" s="96"/>
      <c r="P22" s="96"/>
      <c r="Q22" s="96"/>
      <c r="R22" s="96"/>
      <c r="S22" s="96"/>
      <c r="T22" s="96"/>
      <c r="U22" s="96"/>
      <c r="V22" s="96"/>
      <c r="W22" s="96"/>
      <c r="X22" s="96"/>
    </row>
    <row r="23" spans="1:24" ht="19.149999999999999" thickTop="1" thickBot="1">
      <c r="A23" s="96" t="s">
        <v>91</v>
      </c>
      <c r="B23" s="96" t="s">
        <v>83</v>
      </c>
      <c r="C23" s="96" t="s">
        <v>62</v>
      </c>
      <c r="D23" s="96" t="str">
        <f>_xlfn.CONCAT(Table2[[#This Row],[FirstName]]," ",Table2[[#This Row],[LastName]])</f>
        <v>Olivia Scott</v>
      </c>
      <c r="E23" s="96" t="s">
        <v>20</v>
      </c>
      <c r="F23" s="96" t="s">
        <v>5</v>
      </c>
      <c r="G23" s="3">
        <v>43923</v>
      </c>
      <c r="H23" s="96">
        <f t="shared" si="0"/>
        <v>2020</v>
      </c>
      <c r="I23" s="96">
        <v>88</v>
      </c>
      <c r="J23" s="96">
        <v>11</v>
      </c>
      <c r="K23" s="33">
        <v>1650</v>
      </c>
      <c r="L23" s="26">
        <v>96</v>
      </c>
      <c r="M23" s="96"/>
      <c r="N23" s="96"/>
      <c r="O23" s="96"/>
      <c r="P23" s="96"/>
      <c r="Q23" s="96"/>
      <c r="R23" s="96"/>
      <c r="S23" s="96"/>
      <c r="T23" s="96"/>
      <c r="U23" s="103" t="s">
        <v>0</v>
      </c>
      <c r="V23" s="103"/>
      <c r="W23" s="103"/>
      <c r="X23" s="96"/>
    </row>
    <row r="24" spans="1:24" ht="19.149999999999999" thickTop="1" thickBot="1">
      <c r="A24" s="96" t="s">
        <v>92</v>
      </c>
      <c r="B24" s="96" t="s">
        <v>93</v>
      </c>
      <c r="C24" s="96" t="s">
        <v>94</v>
      </c>
      <c r="D24" s="96" t="str">
        <f>_xlfn.CONCAT(Table2[[#This Row],[FirstName]]," ",Table2[[#This Row],[LastName]])</f>
        <v>Adam Rodriguez</v>
      </c>
      <c r="E24" s="96" t="s">
        <v>18</v>
      </c>
      <c r="F24" s="96" t="s">
        <v>7</v>
      </c>
      <c r="G24" s="3">
        <v>44893</v>
      </c>
      <c r="H24" s="96">
        <f t="shared" si="0"/>
        <v>2022</v>
      </c>
      <c r="I24" s="96">
        <v>77</v>
      </c>
      <c r="J24" s="96">
        <v>6</v>
      </c>
      <c r="K24" s="33">
        <v>1100</v>
      </c>
      <c r="L24" s="26">
        <v>89</v>
      </c>
      <c r="M24" s="96"/>
      <c r="N24" s="96"/>
      <c r="O24" s="96"/>
      <c r="P24" s="96"/>
      <c r="Q24" s="96"/>
      <c r="R24" s="96"/>
      <c r="S24" s="96"/>
      <c r="T24" s="96"/>
      <c r="U24" s="43" t="s">
        <v>16</v>
      </c>
      <c r="V24" s="43" t="s">
        <v>2</v>
      </c>
      <c r="W24" s="43" t="s">
        <v>3</v>
      </c>
      <c r="X24" s="96"/>
    </row>
    <row r="25" spans="1:24" ht="19.149999999999999" thickTop="1" thickBot="1">
      <c r="A25" s="96" t="s">
        <v>95</v>
      </c>
      <c r="B25" s="96" t="s">
        <v>96</v>
      </c>
      <c r="C25" s="96" t="s">
        <v>97</v>
      </c>
      <c r="D25" s="96" t="str">
        <f>_xlfn.CONCAT(Table2[[#This Row],[FirstName]]," ",Table2[[#This Row],[LastName]])</f>
        <v>Lily Harris</v>
      </c>
      <c r="E25" s="96" t="s">
        <v>20</v>
      </c>
      <c r="F25" s="96" t="s">
        <v>4</v>
      </c>
      <c r="G25" s="3">
        <v>43999</v>
      </c>
      <c r="H25" s="96">
        <f t="shared" si="0"/>
        <v>2020</v>
      </c>
      <c r="I25" s="96">
        <v>85</v>
      </c>
      <c r="J25" s="96">
        <v>12</v>
      </c>
      <c r="K25" s="33">
        <v>1500</v>
      </c>
      <c r="L25" s="26">
        <v>95</v>
      </c>
      <c r="M25" s="96"/>
      <c r="N25" s="96"/>
      <c r="O25" s="96"/>
      <c r="P25" s="96"/>
      <c r="Q25" s="96"/>
      <c r="R25" s="96"/>
      <c r="S25" s="96"/>
      <c r="T25" s="96"/>
      <c r="U25" s="44" t="s">
        <v>18</v>
      </c>
      <c r="V25" s="45">
        <f>AVERAGEIFS(PerformanceScore,Gender, "male")</f>
        <v>84.54</v>
      </c>
      <c r="W25" s="45">
        <f>AVERAGEIFS(BonusAmount,Gender, "Male")</f>
        <v>1523</v>
      </c>
      <c r="X25" s="96"/>
    </row>
    <row r="26" spans="1:24" ht="19.149999999999999" thickTop="1" thickBot="1">
      <c r="A26" s="96" t="s">
        <v>98</v>
      </c>
      <c r="B26" s="96" t="s">
        <v>70</v>
      </c>
      <c r="C26" s="96" t="s">
        <v>99</v>
      </c>
      <c r="D26" s="96" t="str">
        <f>_xlfn.CONCAT(Table2[[#This Row],[FirstName]]," ",Table2[[#This Row],[LastName]])</f>
        <v>Ethan White</v>
      </c>
      <c r="E26" s="96" t="s">
        <v>18</v>
      </c>
      <c r="F26" s="96" t="s">
        <v>6</v>
      </c>
      <c r="G26" s="3">
        <v>43743</v>
      </c>
      <c r="H26" s="96">
        <f t="shared" si="0"/>
        <v>2019</v>
      </c>
      <c r="I26" s="96">
        <v>90</v>
      </c>
      <c r="J26" s="96">
        <v>14</v>
      </c>
      <c r="K26" s="33">
        <v>1800</v>
      </c>
      <c r="L26" s="26">
        <v>98</v>
      </c>
      <c r="M26" s="96"/>
      <c r="N26" s="96"/>
      <c r="O26" s="96"/>
      <c r="P26" s="96"/>
      <c r="Q26" s="96"/>
      <c r="R26" s="96"/>
      <c r="S26" s="96"/>
      <c r="T26" s="96"/>
      <c r="U26" s="44" t="s">
        <v>20</v>
      </c>
      <c r="V26" s="45">
        <f>AVERAGEIFS(PerformanceScore,Gender, "female")</f>
        <v>85.86</v>
      </c>
      <c r="W26" s="45">
        <f>AVERAGEIFS(BonusAmount,Gender, "Female")</f>
        <v>1558</v>
      </c>
      <c r="X26" s="96"/>
    </row>
    <row r="27" spans="1:24" ht="18.600000000000001" thickTop="1">
      <c r="A27" s="96" t="s">
        <v>100</v>
      </c>
      <c r="B27" s="96" t="s">
        <v>101</v>
      </c>
      <c r="C27" s="96" t="s">
        <v>102</v>
      </c>
      <c r="D27" s="96" t="str">
        <f>_xlfn.CONCAT(Table2[[#This Row],[FirstName]]," ",Table2[[#This Row],[LastName]])</f>
        <v>Isabella King</v>
      </c>
      <c r="E27" s="96" t="s">
        <v>20</v>
      </c>
      <c r="F27" s="96" t="s">
        <v>8</v>
      </c>
      <c r="G27" s="3">
        <v>44433</v>
      </c>
      <c r="H27" s="96">
        <f t="shared" si="0"/>
        <v>2021</v>
      </c>
      <c r="I27" s="96">
        <v>81</v>
      </c>
      <c r="J27" s="96">
        <v>8</v>
      </c>
      <c r="K27" s="33">
        <v>1350</v>
      </c>
      <c r="L27" s="26">
        <v>92</v>
      </c>
      <c r="M27" s="96"/>
      <c r="N27" s="96"/>
      <c r="O27" s="96"/>
      <c r="P27" s="96"/>
      <c r="Q27" s="96"/>
      <c r="R27" s="96"/>
      <c r="S27" s="96"/>
      <c r="T27" s="96"/>
      <c r="U27" s="96"/>
      <c r="V27" s="96"/>
      <c r="W27" s="96"/>
      <c r="X27" s="96"/>
    </row>
    <row r="28" spans="1:24">
      <c r="A28" s="96" t="s">
        <v>103</v>
      </c>
      <c r="B28" s="96" t="s">
        <v>104</v>
      </c>
      <c r="C28" s="96" t="s">
        <v>105</v>
      </c>
      <c r="D28" s="96" t="str">
        <f>_xlfn.CONCAT(Table2[[#This Row],[FirstName]]," ",Table2[[#This Row],[LastName]])</f>
        <v>Jason Lewis</v>
      </c>
      <c r="E28" s="96" t="s">
        <v>18</v>
      </c>
      <c r="F28" s="96" t="s">
        <v>4</v>
      </c>
      <c r="G28" s="3">
        <v>43903</v>
      </c>
      <c r="H28" s="96">
        <f t="shared" si="0"/>
        <v>2020</v>
      </c>
      <c r="I28" s="96">
        <v>87</v>
      </c>
      <c r="J28" s="96">
        <v>10</v>
      </c>
      <c r="K28" s="33">
        <v>1550</v>
      </c>
      <c r="L28" s="26">
        <v>97</v>
      </c>
      <c r="M28" s="96"/>
      <c r="N28" s="96"/>
      <c r="O28" s="96"/>
      <c r="P28" s="96"/>
      <c r="Q28" s="96"/>
      <c r="R28" s="96"/>
      <c r="S28" s="96"/>
      <c r="T28" s="96"/>
      <c r="U28" s="96"/>
      <c r="V28" s="96"/>
      <c r="W28" s="96"/>
      <c r="X28" s="96"/>
    </row>
    <row r="29" spans="1:24">
      <c r="A29" s="96" t="s">
        <v>106</v>
      </c>
      <c r="B29" s="96" t="s">
        <v>107</v>
      </c>
      <c r="C29" s="96" t="s">
        <v>108</v>
      </c>
      <c r="D29" s="96" t="str">
        <f>_xlfn.CONCAT(Table2[[#This Row],[FirstName]]," ",Table2[[#This Row],[LastName]])</f>
        <v>Emma Anderson</v>
      </c>
      <c r="E29" s="96" t="s">
        <v>20</v>
      </c>
      <c r="F29" s="96" t="s">
        <v>5</v>
      </c>
      <c r="G29" s="3">
        <v>43654</v>
      </c>
      <c r="H29" s="96">
        <f t="shared" si="0"/>
        <v>2019</v>
      </c>
      <c r="I29" s="96">
        <v>84</v>
      </c>
      <c r="J29" s="96">
        <v>13</v>
      </c>
      <c r="K29" s="33">
        <v>1600</v>
      </c>
      <c r="L29" s="26">
        <v>96</v>
      </c>
      <c r="M29" s="96"/>
      <c r="N29" s="96"/>
      <c r="O29" s="96"/>
      <c r="P29" s="96"/>
      <c r="Q29" s="96"/>
      <c r="R29" s="96"/>
      <c r="S29" s="96"/>
      <c r="T29" s="96"/>
      <c r="U29" s="96"/>
      <c r="V29" s="96"/>
      <c r="W29" s="96"/>
      <c r="X29" s="96"/>
    </row>
    <row r="30" spans="1:24">
      <c r="A30" s="96" t="s">
        <v>109</v>
      </c>
      <c r="B30" s="96" t="s">
        <v>110</v>
      </c>
      <c r="C30" s="96" t="s">
        <v>111</v>
      </c>
      <c r="D30" s="96" t="str">
        <f>_xlfn.CONCAT(Table2[[#This Row],[FirstName]]," ",Table2[[#This Row],[LastName]])</f>
        <v>Jack Walker</v>
      </c>
      <c r="E30" s="96" t="s">
        <v>18</v>
      </c>
      <c r="F30" s="96" t="s">
        <v>8</v>
      </c>
      <c r="G30" s="3">
        <v>44531</v>
      </c>
      <c r="H30" s="96">
        <f t="shared" si="0"/>
        <v>2021</v>
      </c>
      <c r="I30" s="96">
        <v>79</v>
      </c>
      <c r="J30" s="96">
        <v>9</v>
      </c>
      <c r="K30" s="33">
        <v>1300</v>
      </c>
      <c r="L30" s="26">
        <v>91</v>
      </c>
      <c r="M30" s="96"/>
      <c r="N30" s="96"/>
      <c r="O30" s="96"/>
      <c r="P30" s="96"/>
      <c r="Q30" s="96"/>
      <c r="R30" s="96"/>
      <c r="S30" s="96"/>
      <c r="T30" s="96"/>
      <c r="U30" s="96"/>
      <c r="V30" s="96"/>
      <c r="W30" s="96"/>
      <c r="X30" s="96"/>
    </row>
    <row r="31" spans="1:24">
      <c r="A31" s="96" t="s">
        <v>26</v>
      </c>
      <c r="B31" s="96" t="s">
        <v>112</v>
      </c>
      <c r="C31" s="96" t="s">
        <v>113</v>
      </c>
      <c r="D31" s="96" t="str">
        <f>_xlfn.CONCAT(Table2[[#This Row],[FirstName]]," ",Table2[[#This Row],[LastName]])</f>
        <v>Amelia Campbell</v>
      </c>
      <c r="E31" s="96" t="s">
        <v>20</v>
      </c>
      <c r="F31" s="96" t="s">
        <v>7</v>
      </c>
      <c r="G31" s="3">
        <v>43973</v>
      </c>
      <c r="H31" s="96">
        <f t="shared" si="0"/>
        <v>2020</v>
      </c>
      <c r="I31" s="96">
        <v>91</v>
      </c>
      <c r="J31" s="96">
        <v>11</v>
      </c>
      <c r="K31" s="33">
        <v>1700</v>
      </c>
      <c r="L31" s="26">
        <v>99</v>
      </c>
      <c r="M31" s="96"/>
      <c r="N31" s="96"/>
      <c r="O31" s="96"/>
      <c r="P31" s="96"/>
      <c r="Q31" s="96"/>
      <c r="R31" s="96"/>
      <c r="S31" s="96"/>
      <c r="T31" s="96"/>
      <c r="U31" s="96"/>
      <c r="V31" s="96"/>
      <c r="W31" s="96"/>
      <c r="X31" s="96"/>
    </row>
    <row r="32" spans="1:24">
      <c r="A32" s="96" t="s">
        <v>114</v>
      </c>
      <c r="B32" s="96" t="s">
        <v>115</v>
      </c>
      <c r="C32" s="96" t="s">
        <v>84</v>
      </c>
      <c r="D32" s="96" t="str">
        <f>_xlfn.CONCAT(Table2[[#This Row],[FirstName]]," ",Table2[[#This Row],[LastName]])</f>
        <v>Ryan Morris</v>
      </c>
      <c r="E32" s="96" t="s">
        <v>18</v>
      </c>
      <c r="F32" s="96" t="s">
        <v>4</v>
      </c>
      <c r="G32" s="3">
        <v>44814</v>
      </c>
      <c r="H32" s="96">
        <f t="shared" si="0"/>
        <v>2022</v>
      </c>
      <c r="I32" s="96">
        <v>75</v>
      </c>
      <c r="J32" s="96">
        <v>7</v>
      </c>
      <c r="K32" s="33">
        <v>1200</v>
      </c>
      <c r="L32" s="26">
        <v>88</v>
      </c>
      <c r="M32" s="96"/>
      <c r="N32" s="96"/>
      <c r="O32" s="96"/>
      <c r="P32" s="96"/>
      <c r="Q32" s="96"/>
      <c r="R32" s="96"/>
      <c r="S32" s="96"/>
      <c r="T32" s="96"/>
      <c r="U32" s="96"/>
      <c r="V32" s="96"/>
      <c r="W32" s="96"/>
      <c r="X32" s="96"/>
    </row>
    <row r="33" spans="1:12">
      <c r="A33" s="96" t="s">
        <v>19</v>
      </c>
      <c r="B33" s="96" t="s">
        <v>42</v>
      </c>
      <c r="C33" s="96" t="s">
        <v>51</v>
      </c>
      <c r="D33" s="96" t="str">
        <f>_xlfn.CONCAT(Table2[[#This Row],[FirstName]]," ",Table2[[#This Row],[LastName]])</f>
        <v>Sarah Martinez</v>
      </c>
      <c r="E33" s="96" t="s">
        <v>20</v>
      </c>
      <c r="F33" s="96" t="s">
        <v>6</v>
      </c>
      <c r="G33" s="3">
        <v>44073</v>
      </c>
      <c r="H33" s="96">
        <f t="shared" si="0"/>
        <v>2020</v>
      </c>
      <c r="I33" s="96">
        <v>92</v>
      </c>
      <c r="J33" s="96">
        <v>15</v>
      </c>
      <c r="K33" s="33">
        <v>1850</v>
      </c>
      <c r="L33" s="26">
        <v>99</v>
      </c>
    </row>
    <row r="34" spans="1:12">
      <c r="A34" s="96" t="s">
        <v>116</v>
      </c>
      <c r="B34" s="96" t="s">
        <v>117</v>
      </c>
      <c r="C34" s="96" t="s">
        <v>118</v>
      </c>
      <c r="D34" s="96" t="str">
        <f>_xlfn.CONCAT(Table2[[#This Row],[FirstName]]," ",Table2[[#This Row],[LastName]])</f>
        <v>Evan Thompson</v>
      </c>
      <c r="E34" s="96" t="s">
        <v>18</v>
      </c>
      <c r="F34" s="96" t="s">
        <v>8</v>
      </c>
      <c r="G34" s="3">
        <v>43780</v>
      </c>
      <c r="H34" s="96">
        <f t="shared" ref="H34:H65" si="1">YEAR(HireDate)</f>
        <v>2019</v>
      </c>
      <c r="I34" s="96">
        <v>80</v>
      </c>
      <c r="J34" s="96">
        <v>10</v>
      </c>
      <c r="K34" s="33">
        <v>1400</v>
      </c>
      <c r="L34" s="26">
        <v>92</v>
      </c>
    </row>
    <row r="35" spans="1:12">
      <c r="A35" s="96" t="s">
        <v>119</v>
      </c>
      <c r="B35" s="96" t="s">
        <v>120</v>
      </c>
      <c r="C35" s="96" t="s">
        <v>121</v>
      </c>
      <c r="D35" s="96" t="str">
        <f>_xlfn.CONCAT(Table2[[#This Row],[FirstName]]," ",Table2[[#This Row],[LastName]])</f>
        <v>Zoe Young</v>
      </c>
      <c r="E35" s="96" t="s">
        <v>20</v>
      </c>
      <c r="F35" s="96" t="s">
        <v>5</v>
      </c>
      <c r="G35" s="3">
        <v>44319</v>
      </c>
      <c r="H35" s="96">
        <f t="shared" si="1"/>
        <v>2021</v>
      </c>
      <c r="I35" s="96">
        <v>86</v>
      </c>
      <c r="J35" s="96">
        <v>12</v>
      </c>
      <c r="K35" s="33">
        <v>1500</v>
      </c>
      <c r="L35" s="26">
        <v>94</v>
      </c>
    </row>
    <row r="36" spans="1:12">
      <c r="A36" s="96" t="s">
        <v>122</v>
      </c>
      <c r="B36" s="96" t="s">
        <v>123</v>
      </c>
      <c r="C36" s="96" t="s">
        <v>48</v>
      </c>
      <c r="D36" s="96" t="str">
        <f>_xlfn.CONCAT(Table2[[#This Row],[FirstName]]," ",Table2[[#This Row],[LastName]])</f>
        <v>Liam Garcia</v>
      </c>
      <c r="E36" s="96" t="s">
        <v>18</v>
      </c>
      <c r="F36" s="96" t="s">
        <v>7</v>
      </c>
      <c r="G36" s="3">
        <v>43881</v>
      </c>
      <c r="H36" s="96">
        <f t="shared" si="1"/>
        <v>2020</v>
      </c>
      <c r="I36" s="96">
        <v>88</v>
      </c>
      <c r="J36" s="96">
        <v>11</v>
      </c>
      <c r="K36" s="33">
        <v>1650</v>
      </c>
      <c r="L36" s="26">
        <v>96</v>
      </c>
    </row>
    <row r="37" spans="1:12">
      <c r="A37" s="96" t="s">
        <v>124</v>
      </c>
      <c r="B37" s="96" t="s">
        <v>125</v>
      </c>
      <c r="C37" s="96" t="s">
        <v>71</v>
      </c>
      <c r="D37" s="96" t="str">
        <f>_xlfn.CONCAT(Table2[[#This Row],[FirstName]]," ",Table2[[#This Row],[LastName]])</f>
        <v>Ava Nelson</v>
      </c>
      <c r="E37" s="96" t="s">
        <v>20</v>
      </c>
      <c r="F37" s="96" t="s">
        <v>4</v>
      </c>
      <c r="G37" s="3">
        <v>44576</v>
      </c>
      <c r="H37" s="96">
        <f t="shared" si="1"/>
        <v>2022</v>
      </c>
      <c r="I37" s="96">
        <v>82</v>
      </c>
      <c r="J37" s="96">
        <v>8</v>
      </c>
      <c r="K37" s="33">
        <v>1350</v>
      </c>
      <c r="L37" s="26">
        <v>95</v>
      </c>
    </row>
    <row r="38" spans="1:12">
      <c r="A38" s="96" t="s">
        <v>126</v>
      </c>
      <c r="B38" s="96" t="s">
        <v>127</v>
      </c>
      <c r="C38" s="96" t="s">
        <v>40</v>
      </c>
      <c r="D38" s="96" t="str">
        <f>_xlfn.CONCAT(Table2[[#This Row],[FirstName]]," ",Table2[[#This Row],[LastName]])</f>
        <v>Noah Lee</v>
      </c>
      <c r="E38" s="96" t="s">
        <v>18</v>
      </c>
      <c r="F38" s="96" t="s">
        <v>6</v>
      </c>
      <c r="G38" s="3">
        <v>43552</v>
      </c>
      <c r="H38" s="96">
        <f t="shared" si="1"/>
        <v>2019</v>
      </c>
      <c r="I38" s="96">
        <v>89</v>
      </c>
      <c r="J38" s="96">
        <v>13</v>
      </c>
      <c r="K38" s="33">
        <v>1750</v>
      </c>
      <c r="L38" s="26">
        <v>97</v>
      </c>
    </row>
    <row r="39" spans="1:12">
      <c r="A39" s="96" t="s">
        <v>128</v>
      </c>
      <c r="B39" s="96" t="s">
        <v>67</v>
      </c>
      <c r="C39" s="96" t="s">
        <v>129</v>
      </c>
      <c r="D39" s="96" t="str">
        <f>_xlfn.CONCAT(Table2[[#This Row],[FirstName]]," ",Table2[[#This Row],[LastName]])</f>
        <v>Mia Carter</v>
      </c>
      <c r="E39" s="96" t="s">
        <v>20</v>
      </c>
      <c r="F39" s="96" t="s">
        <v>8</v>
      </c>
      <c r="G39" s="3">
        <v>44393</v>
      </c>
      <c r="H39" s="96">
        <f t="shared" si="1"/>
        <v>2021</v>
      </c>
      <c r="I39" s="96">
        <v>78</v>
      </c>
      <c r="J39" s="96">
        <v>9</v>
      </c>
      <c r="K39" s="33">
        <v>1300</v>
      </c>
      <c r="L39" s="26">
        <v>91</v>
      </c>
    </row>
    <row r="40" spans="1:12">
      <c r="A40" s="96" t="s">
        <v>130</v>
      </c>
      <c r="B40" s="96" t="s">
        <v>131</v>
      </c>
      <c r="C40" s="96" t="s">
        <v>68</v>
      </c>
      <c r="D40" s="96" t="str">
        <f>_xlfn.CONCAT(Table2[[#This Row],[FirstName]]," ",Table2[[#This Row],[LastName]])</f>
        <v>Lucas Mitchell</v>
      </c>
      <c r="E40" s="96" t="s">
        <v>18</v>
      </c>
      <c r="F40" s="96" t="s">
        <v>5</v>
      </c>
      <c r="G40" s="3">
        <v>44113</v>
      </c>
      <c r="H40" s="96">
        <f t="shared" si="1"/>
        <v>2020</v>
      </c>
      <c r="I40" s="96">
        <v>84</v>
      </c>
      <c r="J40" s="96">
        <v>10</v>
      </c>
      <c r="K40" s="33">
        <v>1550</v>
      </c>
      <c r="L40" s="26">
        <v>93</v>
      </c>
    </row>
    <row r="41" spans="1:12">
      <c r="A41" s="96" t="s">
        <v>132</v>
      </c>
      <c r="B41" s="96" t="s">
        <v>133</v>
      </c>
      <c r="C41" s="96" t="s">
        <v>134</v>
      </c>
      <c r="D41" s="96" t="str">
        <f>_xlfn.CONCAT(Table2[[#This Row],[FirstName]]," ",Table2[[#This Row],[LastName]])</f>
        <v>Grace Perez</v>
      </c>
      <c r="E41" s="96" t="s">
        <v>20</v>
      </c>
      <c r="F41" s="96" t="s">
        <v>4</v>
      </c>
      <c r="G41" s="3">
        <v>44730</v>
      </c>
      <c r="H41" s="96">
        <f t="shared" si="1"/>
        <v>2022</v>
      </c>
      <c r="I41" s="96">
        <v>87</v>
      </c>
      <c r="J41" s="96">
        <v>12</v>
      </c>
      <c r="K41" s="33">
        <v>1600</v>
      </c>
      <c r="L41" s="26">
        <v>98</v>
      </c>
    </row>
    <row r="42" spans="1:12">
      <c r="A42" s="96" t="s">
        <v>135</v>
      </c>
      <c r="B42" s="96" t="s">
        <v>136</v>
      </c>
      <c r="C42" s="96" t="s">
        <v>137</v>
      </c>
      <c r="D42" s="96" t="str">
        <f>_xlfn.CONCAT(Table2[[#This Row],[FirstName]]," ",Table2[[#This Row],[LastName]])</f>
        <v>Henry Richardson</v>
      </c>
      <c r="E42" s="96" t="s">
        <v>18</v>
      </c>
      <c r="F42" s="96" t="s">
        <v>4</v>
      </c>
      <c r="G42" s="3">
        <v>43934</v>
      </c>
      <c r="H42" s="96">
        <f t="shared" si="1"/>
        <v>2020</v>
      </c>
      <c r="I42" s="96">
        <v>83</v>
      </c>
      <c r="J42" s="96">
        <v>9</v>
      </c>
      <c r="K42" s="33">
        <v>1450</v>
      </c>
      <c r="L42" s="26">
        <v>93</v>
      </c>
    </row>
    <row r="43" spans="1:12">
      <c r="A43" s="96" t="s">
        <v>138</v>
      </c>
      <c r="B43" s="96" t="s">
        <v>139</v>
      </c>
      <c r="C43" s="96" t="s">
        <v>140</v>
      </c>
      <c r="D43" s="96" t="str">
        <f>_xlfn.CONCAT(Table2[[#This Row],[FirstName]]," ",Table2[[#This Row],[LastName]])</f>
        <v>Sophia Torres</v>
      </c>
      <c r="E43" s="96" t="s">
        <v>20</v>
      </c>
      <c r="F43" s="96" t="s">
        <v>5</v>
      </c>
      <c r="G43" s="3">
        <v>44203</v>
      </c>
      <c r="H43" s="96">
        <f t="shared" si="1"/>
        <v>2021</v>
      </c>
      <c r="I43" s="96">
        <v>88</v>
      </c>
      <c r="J43" s="96">
        <v>10</v>
      </c>
      <c r="K43" s="33">
        <v>1500</v>
      </c>
      <c r="L43" s="26">
        <v>95</v>
      </c>
    </row>
    <row r="44" spans="1:12">
      <c r="A44" s="96" t="s">
        <v>141</v>
      </c>
      <c r="B44" s="96" t="s">
        <v>86</v>
      </c>
      <c r="C44" s="96" t="s">
        <v>134</v>
      </c>
      <c r="D44" s="96" t="str">
        <f>_xlfn.CONCAT(Table2[[#This Row],[FirstName]]," ",Table2[[#This Row],[LastName]])</f>
        <v>William Perez</v>
      </c>
      <c r="E44" s="96" t="s">
        <v>18</v>
      </c>
      <c r="F44" s="96" t="s">
        <v>7</v>
      </c>
      <c r="G44" s="3">
        <v>43727</v>
      </c>
      <c r="H44" s="96">
        <f t="shared" si="1"/>
        <v>2019</v>
      </c>
      <c r="I44" s="96">
        <v>78</v>
      </c>
      <c r="J44" s="96">
        <v>8</v>
      </c>
      <c r="K44" s="33">
        <v>1200</v>
      </c>
      <c r="L44" s="26">
        <v>89</v>
      </c>
    </row>
    <row r="45" spans="1:12">
      <c r="A45" s="96" t="s">
        <v>22</v>
      </c>
      <c r="B45" s="96" t="s">
        <v>36</v>
      </c>
      <c r="C45" s="96" t="s">
        <v>78</v>
      </c>
      <c r="D45" s="96" t="str">
        <f>_xlfn.CONCAT(Table2[[#This Row],[FirstName]]," ",Table2[[#This Row],[LastName]])</f>
        <v>Emily Rivera</v>
      </c>
      <c r="E45" s="96" t="s">
        <v>20</v>
      </c>
      <c r="F45" s="96" t="s">
        <v>8</v>
      </c>
      <c r="G45" s="3">
        <v>44757</v>
      </c>
      <c r="H45" s="96">
        <f t="shared" si="1"/>
        <v>2022</v>
      </c>
      <c r="I45" s="96">
        <v>92</v>
      </c>
      <c r="J45" s="96">
        <v>12</v>
      </c>
      <c r="K45" s="33">
        <v>1650</v>
      </c>
      <c r="L45" s="26">
        <v>98</v>
      </c>
    </row>
    <row r="46" spans="1:12">
      <c r="A46" s="96" t="s">
        <v>142</v>
      </c>
      <c r="B46" s="96" t="s">
        <v>80</v>
      </c>
      <c r="C46" s="96" t="s">
        <v>143</v>
      </c>
      <c r="D46" s="96" t="str">
        <f>_xlfn.CONCAT(Table2[[#This Row],[FirstName]]," ",Table2[[#This Row],[LastName]])</f>
        <v>Jackson Clark</v>
      </c>
      <c r="E46" s="96" t="s">
        <v>18</v>
      </c>
      <c r="F46" s="96" t="s">
        <v>6</v>
      </c>
      <c r="G46" s="3">
        <v>43890</v>
      </c>
      <c r="H46" s="96">
        <f t="shared" si="1"/>
        <v>2020</v>
      </c>
      <c r="I46" s="96">
        <v>85</v>
      </c>
      <c r="J46" s="96">
        <v>11</v>
      </c>
      <c r="K46" s="33">
        <v>1550</v>
      </c>
      <c r="L46" s="26">
        <v>94</v>
      </c>
    </row>
    <row r="47" spans="1:12">
      <c r="A47" s="96" t="s">
        <v>144</v>
      </c>
      <c r="B47" s="96" t="s">
        <v>145</v>
      </c>
      <c r="C47" s="96" t="s">
        <v>146</v>
      </c>
      <c r="D47" s="96" t="str">
        <f>_xlfn.CONCAT(Table2[[#This Row],[FirstName]]," ",Table2[[#This Row],[LastName]])</f>
        <v>Scarlett Bailey</v>
      </c>
      <c r="E47" s="96" t="s">
        <v>20</v>
      </c>
      <c r="F47" s="96" t="s">
        <v>4</v>
      </c>
      <c r="G47" s="3">
        <v>44489</v>
      </c>
      <c r="H47" s="96">
        <f t="shared" si="1"/>
        <v>2021</v>
      </c>
      <c r="I47" s="96">
        <v>90</v>
      </c>
      <c r="J47" s="96">
        <v>14</v>
      </c>
      <c r="K47" s="33">
        <v>1800</v>
      </c>
      <c r="L47" s="26">
        <v>97</v>
      </c>
    </row>
    <row r="48" spans="1:12">
      <c r="A48" s="96" t="s">
        <v>147</v>
      </c>
      <c r="B48" s="96" t="s">
        <v>148</v>
      </c>
      <c r="C48" s="96" t="s">
        <v>84</v>
      </c>
      <c r="D48" s="96" t="str">
        <f>_xlfn.CONCAT(Table2[[#This Row],[FirstName]]," ",Table2[[#This Row],[LastName]])</f>
        <v>Benjamin Morris</v>
      </c>
      <c r="E48" s="96" t="s">
        <v>18</v>
      </c>
      <c r="F48" s="96" t="s">
        <v>5</v>
      </c>
      <c r="G48" s="3">
        <v>43595</v>
      </c>
      <c r="H48" s="96">
        <f t="shared" si="1"/>
        <v>2019</v>
      </c>
      <c r="I48" s="96">
        <v>86</v>
      </c>
      <c r="J48" s="96">
        <v>9</v>
      </c>
      <c r="K48" s="33">
        <v>1500</v>
      </c>
      <c r="L48" s="26">
        <v>92</v>
      </c>
    </row>
    <row r="49" spans="1:12">
      <c r="A49" s="96" t="s">
        <v>149</v>
      </c>
      <c r="B49" s="96" t="s">
        <v>77</v>
      </c>
      <c r="C49" s="96" t="s">
        <v>51</v>
      </c>
      <c r="D49" s="96" t="str">
        <f>_xlfn.CONCAT(Table2[[#This Row],[FirstName]]," ",Table2[[#This Row],[LastName]])</f>
        <v>Victoria Martinez</v>
      </c>
      <c r="E49" s="96" t="s">
        <v>20</v>
      </c>
      <c r="F49" s="96" t="s">
        <v>7</v>
      </c>
      <c r="G49" s="3">
        <v>43983</v>
      </c>
      <c r="H49" s="96">
        <f t="shared" si="1"/>
        <v>2020</v>
      </c>
      <c r="I49" s="96">
        <v>79</v>
      </c>
      <c r="J49" s="96">
        <v>7</v>
      </c>
      <c r="K49" s="33">
        <v>1300</v>
      </c>
      <c r="L49" s="26">
        <v>90</v>
      </c>
    </row>
    <row r="50" spans="1:12">
      <c r="A50" s="96" t="s">
        <v>150</v>
      </c>
      <c r="B50" s="96" t="s">
        <v>151</v>
      </c>
      <c r="C50" s="96" t="s">
        <v>152</v>
      </c>
      <c r="D50" s="96" t="str">
        <f>_xlfn.CONCAT(Table2[[#This Row],[FirstName]]," ",Table2[[#This Row],[LastName]])</f>
        <v>Mason Roberts</v>
      </c>
      <c r="E50" s="96" t="s">
        <v>18</v>
      </c>
      <c r="F50" s="96" t="s">
        <v>8</v>
      </c>
      <c r="G50" s="3">
        <v>44542</v>
      </c>
      <c r="H50" s="96">
        <f t="shared" si="1"/>
        <v>2021</v>
      </c>
      <c r="I50" s="96">
        <v>82</v>
      </c>
      <c r="J50" s="96">
        <v>10</v>
      </c>
      <c r="K50" s="33">
        <v>1450</v>
      </c>
      <c r="L50" s="26">
        <v>95</v>
      </c>
    </row>
    <row r="51" spans="1:12">
      <c r="A51" s="96" t="s">
        <v>153</v>
      </c>
      <c r="B51" s="96" t="s">
        <v>125</v>
      </c>
      <c r="C51" s="96" t="s">
        <v>71</v>
      </c>
      <c r="D51" s="96" t="str">
        <f>_xlfn.CONCAT(Table2[[#This Row],[FirstName]]," ",Table2[[#This Row],[LastName]])</f>
        <v>Ava Nelson</v>
      </c>
      <c r="E51" s="96" t="s">
        <v>20</v>
      </c>
      <c r="F51" s="96" t="s">
        <v>4</v>
      </c>
      <c r="G51" s="3">
        <v>44638</v>
      </c>
      <c r="H51" s="96">
        <f t="shared" si="1"/>
        <v>2022</v>
      </c>
      <c r="I51" s="96">
        <v>88</v>
      </c>
      <c r="J51" s="96">
        <v>11</v>
      </c>
      <c r="K51" s="33">
        <v>1650</v>
      </c>
      <c r="L51" s="26">
        <v>98</v>
      </c>
    </row>
    <row r="52" spans="1:12">
      <c r="A52" s="96" t="s">
        <v>154</v>
      </c>
      <c r="B52" s="96" t="s">
        <v>155</v>
      </c>
      <c r="C52" s="96" t="s">
        <v>75</v>
      </c>
      <c r="D52" s="96" t="str">
        <f>_xlfn.CONCAT(Table2[[#This Row],[FirstName]]," ",Table2[[#This Row],[LastName]])</f>
        <v>Jacob Foster</v>
      </c>
      <c r="E52" s="96" t="s">
        <v>18</v>
      </c>
      <c r="F52" s="96" t="s">
        <v>6</v>
      </c>
      <c r="G52" s="3">
        <v>43699</v>
      </c>
      <c r="H52" s="96">
        <f t="shared" si="1"/>
        <v>2019</v>
      </c>
      <c r="I52" s="96">
        <v>89</v>
      </c>
      <c r="J52" s="96">
        <v>13</v>
      </c>
      <c r="K52" s="33">
        <v>1750</v>
      </c>
      <c r="L52" s="26">
        <v>96</v>
      </c>
    </row>
    <row r="53" spans="1:12">
      <c r="A53" s="96" t="s">
        <v>156</v>
      </c>
      <c r="B53" s="96" t="s">
        <v>67</v>
      </c>
      <c r="C53" s="96" t="s">
        <v>157</v>
      </c>
      <c r="D53" s="96" t="str">
        <f>_xlfn.CONCAT(Table2[[#This Row],[FirstName]]," ",Table2[[#This Row],[LastName]])</f>
        <v>Mia Jenkins</v>
      </c>
      <c r="E53" s="96" t="s">
        <v>20</v>
      </c>
      <c r="F53" s="96" t="s">
        <v>5</v>
      </c>
      <c r="G53" s="3">
        <v>44448</v>
      </c>
      <c r="H53" s="96">
        <f t="shared" si="1"/>
        <v>2021</v>
      </c>
      <c r="I53" s="96">
        <v>91</v>
      </c>
      <c r="J53" s="96">
        <v>10</v>
      </c>
      <c r="K53" s="33">
        <v>1600</v>
      </c>
      <c r="L53" s="26">
        <v>97</v>
      </c>
    </row>
    <row r="54" spans="1:12">
      <c r="A54" s="96" t="s">
        <v>158</v>
      </c>
      <c r="B54" s="96" t="s">
        <v>64</v>
      </c>
      <c r="C54" s="96" t="s">
        <v>159</v>
      </c>
      <c r="D54" s="96" t="str">
        <f>_xlfn.CONCAT(Table2[[#This Row],[FirstName]]," ",Table2[[#This Row],[LastName]])</f>
        <v>Logan Russell</v>
      </c>
      <c r="E54" s="96" t="s">
        <v>18</v>
      </c>
      <c r="F54" s="96" t="s">
        <v>7</v>
      </c>
      <c r="G54" s="3">
        <v>44169</v>
      </c>
      <c r="H54" s="96">
        <f t="shared" si="1"/>
        <v>2020</v>
      </c>
      <c r="I54" s="96">
        <v>83</v>
      </c>
      <c r="J54" s="96">
        <v>8</v>
      </c>
      <c r="K54" s="33">
        <v>1450</v>
      </c>
      <c r="L54" s="26">
        <v>92</v>
      </c>
    </row>
    <row r="55" spans="1:12">
      <c r="A55" s="96" t="s">
        <v>160</v>
      </c>
      <c r="B55" s="96" t="s">
        <v>161</v>
      </c>
      <c r="C55" s="96" t="s">
        <v>162</v>
      </c>
      <c r="D55" s="96" t="str">
        <f>_xlfn.CONCAT(Table2[[#This Row],[FirstName]]," ",Table2[[#This Row],[LastName]])</f>
        <v>Ella Ward</v>
      </c>
      <c r="E55" s="96" t="s">
        <v>20</v>
      </c>
      <c r="F55" s="96" t="s">
        <v>8</v>
      </c>
      <c r="G55" s="3">
        <v>44241</v>
      </c>
      <c r="H55" s="96">
        <f t="shared" si="1"/>
        <v>2021</v>
      </c>
      <c r="I55" s="96">
        <v>80</v>
      </c>
      <c r="J55" s="96">
        <v>9</v>
      </c>
      <c r="K55" s="33">
        <v>1400</v>
      </c>
      <c r="L55" s="26">
        <v>93</v>
      </c>
    </row>
    <row r="56" spans="1:12">
      <c r="A56" s="96" t="s">
        <v>163</v>
      </c>
      <c r="B56" s="96" t="s">
        <v>164</v>
      </c>
      <c r="C56" s="96" t="s">
        <v>165</v>
      </c>
      <c r="D56" s="96" t="str">
        <f>_xlfn.CONCAT(Table2[[#This Row],[FirstName]]," ",Table2[[#This Row],[LastName]])</f>
        <v>Samuel Gray</v>
      </c>
      <c r="E56" s="96" t="s">
        <v>18</v>
      </c>
      <c r="F56" s="96" t="s">
        <v>4</v>
      </c>
      <c r="G56" s="3">
        <v>44656</v>
      </c>
      <c r="H56" s="96">
        <f t="shared" si="1"/>
        <v>2022</v>
      </c>
      <c r="I56" s="96">
        <v>86</v>
      </c>
      <c r="J56" s="96">
        <v>12</v>
      </c>
      <c r="K56" s="33">
        <v>1550</v>
      </c>
      <c r="L56" s="26">
        <v>95</v>
      </c>
    </row>
    <row r="57" spans="1:12">
      <c r="A57" s="96" t="s">
        <v>166</v>
      </c>
      <c r="B57" s="96" t="s">
        <v>133</v>
      </c>
      <c r="C57" s="96" t="s">
        <v>167</v>
      </c>
      <c r="D57" s="96" t="str">
        <f>_xlfn.CONCAT(Table2[[#This Row],[FirstName]]," ",Table2[[#This Row],[LastName]])</f>
        <v>Grace Long</v>
      </c>
      <c r="E57" s="96" t="s">
        <v>20</v>
      </c>
      <c r="F57" s="96" t="s">
        <v>6</v>
      </c>
      <c r="G57" s="3">
        <v>44157</v>
      </c>
      <c r="H57" s="96">
        <f t="shared" si="1"/>
        <v>2020</v>
      </c>
      <c r="I57" s="96">
        <v>84</v>
      </c>
      <c r="J57" s="96">
        <v>10</v>
      </c>
      <c r="K57" s="33">
        <v>1500</v>
      </c>
      <c r="L57" s="26">
        <v>94</v>
      </c>
    </row>
    <row r="58" spans="1:12">
      <c r="A58" s="96" t="s">
        <v>168</v>
      </c>
      <c r="B58" s="96" t="s">
        <v>70</v>
      </c>
      <c r="C58" s="96" t="s">
        <v>169</v>
      </c>
      <c r="D58" s="96" t="str">
        <f>_xlfn.CONCAT(Table2[[#This Row],[FirstName]]," ",Table2[[#This Row],[LastName]])</f>
        <v>Ethan Patterson</v>
      </c>
      <c r="E58" s="96" t="s">
        <v>18</v>
      </c>
      <c r="F58" s="96" t="s">
        <v>5</v>
      </c>
      <c r="G58" s="3">
        <v>44416</v>
      </c>
      <c r="H58" s="96">
        <f t="shared" si="1"/>
        <v>2021</v>
      </c>
      <c r="I58" s="96">
        <v>87</v>
      </c>
      <c r="J58" s="96">
        <v>11</v>
      </c>
      <c r="K58" s="33">
        <v>1600</v>
      </c>
      <c r="L58" s="26">
        <v>96</v>
      </c>
    </row>
    <row r="59" spans="1:12">
      <c r="A59" s="96" t="s">
        <v>170</v>
      </c>
      <c r="B59" s="96" t="s">
        <v>61</v>
      </c>
      <c r="C59" s="96" t="s">
        <v>171</v>
      </c>
      <c r="D59" s="96" t="str">
        <f>_xlfn.CONCAT(Table2[[#This Row],[FirstName]]," ",Table2[[#This Row],[LastName]])</f>
        <v>Charlotte Hughes</v>
      </c>
      <c r="E59" s="96" t="s">
        <v>20</v>
      </c>
      <c r="F59" s="96" t="s">
        <v>7</v>
      </c>
      <c r="G59" s="3">
        <v>44711</v>
      </c>
      <c r="H59" s="96">
        <f t="shared" si="1"/>
        <v>2022</v>
      </c>
      <c r="I59" s="96">
        <v>90</v>
      </c>
      <c r="J59" s="96">
        <v>13</v>
      </c>
      <c r="K59" s="33">
        <v>1750</v>
      </c>
      <c r="L59" s="26">
        <v>97</v>
      </c>
    </row>
    <row r="60" spans="1:12">
      <c r="A60" s="96" t="s">
        <v>172</v>
      </c>
      <c r="B60" s="96" t="s">
        <v>74</v>
      </c>
      <c r="C60" s="96" t="s">
        <v>173</v>
      </c>
      <c r="D60" s="96" t="str">
        <f>_xlfn.CONCAT(Table2[[#This Row],[FirstName]]," ",Table2[[#This Row],[LastName]])</f>
        <v>James Bryant</v>
      </c>
      <c r="E60" s="96" t="s">
        <v>18</v>
      </c>
      <c r="F60" s="96" t="s">
        <v>8</v>
      </c>
      <c r="G60" s="3">
        <v>43658</v>
      </c>
      <c r="H60" s="96">
        <f t="shared" si="1"/>
        <v>2019</v>
      </c>
      <c r="I60" s="96">
        <v>75</v>
      </c>
      <c r="J60" s="96">
        <v>8</v>
      </c>
      <c r="K60" s="33">
        <v>1200</v>
      </c>
      <c r="L60" s="26">
        <v>88</v>
      </c>
    </row>
    <row r="61" spans="1:12">
      <c r="A61" s="96" t="s">
        <v>25</v>
      </c>
      <c r="B61" s="96" t="s">
        <v>101</v>
      </c>
      <c r="C61" s="96" t="s">
        <v>62</v>
      </c>
      <c r="D61" s="96" t="str">
        <f>_xlfn.CONCAT(Table2[[#This Row],[FirstName]]," ",Table2[[#This Row],[LastName]])</f>
        <v>Isabella Scott</v>
      </c>
      <c r="E61" s="96" t="s">
        <v>20</v>
      </c>
      <c r="F61" s="96" t="s">
        <v>4</v>
      </c>
      <c r="G61" s="3">
        <v>44364</v>
      </c>
      <c r="H61" s="96">
        <f t="shared" si="1"/>
        <v>2021</v>
      </c>
      <c r="I61" s="96">
        <v>92</v>
      </c>
      <c r="J61" s="96">
        <v>14</v>
      </c>
      <c r="K61" s="33">
        <v>1800</v>
      </c>
      <c r="L61" s="26">
        <v>99</v>
      </c>
    </row>
    <row r="62" spans="1:12">
      <c r="A62" s="96" t="s">
        <v>174</v>
      </c>
      <c r="B62" s="96" t="s">
        <v>175</v>
      </c>
      <c r="C62" s="96" t="s">
        <v>140</v>
      </c>
      <c r="D62" s="96" t="str">
        <f>_xlfn.CONCAT(Table2[[#This Row],[FirstName]]," ",Table2[[#This Row],[LastName]])</f>
        <v>Alexander Torres</v>
      </c>
      <c r="E62" s="96" t="s">
        <v>18</v>
      </c>
      <c r="F62" s="96" t="s">
        <v>5</v>
      </c>
      <c r="G62" s="3">
        <v>44103</v>
      </c>
      <c r="H62" s="96">
        <f t="shared" si="1"/>
        <v>2020</v>
      </c>
      <c r="I62" s="96">
        <v>80</v>
      </c>
      <c r="J62" s="96">
        <v>10</v>
      </c>
      <c r="K62" s="33">
        <v>1450</v>
      </c>
      <c r="L62" s="26">
        <v>91</v>
      </c>
    </row>
    <row r="63" spans="1:12">
      <c r="A63" s="96" t="s">
        <v>176</v>
      </c>
      <c r="B63" s="96" t="s">
        <v>177</v>
      </c>
      <c r="C63" s="96" t="s">
        <v>178</v>
      </c>
      <c r="D63" s="96" t="str">
        <f>_xlfn.CONCAT(Table2[[#This Row],[FirstName]]," ",Table2[[#This Row],[LastName]])</f>
        <v>Harper Ramirez</v>
      </c>
      <c r="E63" s="96" t="s">
        <v>20</v>
      </c>
      <c r="F63" s="96" t="s">
        <v>7</v>
      </c>
      <c r="G63" s="3">
        <v>44280</v>
      </c>
      <c r="H63" s="96">
        <f t="shared" si="1"/>
        <v>2021</v>
      </c>
      <c r="I63" s="96">
        <v>88</v>
      </c>
      <c r="J63" s="96">
        <v>12</v>
      </c>
      <c r="K63" s="33">
        <v>1650</v>
      </c>
      <c r="L63" s="26">
        <v>96</v>
      </c>
    </row>
    <row r="64" spans="1:12">
      <c r="A64" s="96" t="s">
        <v>179</v>
      </c>
      <c r="B64" s="96" t="s">
        <v>110</v>
      </c>
      <c r="C64" s="96" t="s">
        <v>180</v>
      </c>
      <c r="D64" s="96" t="str">
        <f>_xlfn.CONCAT(Table2[[#This Row],[FirstName]]," ",Table2[[#This Row],[LastName]])</f>
        <v>Jack Flores</v>
      </c>
      <c r="E64" s="96" t="s">
        <v>18</v>
      </c>
      <c r="F64" s="96" t="s">
        <v>8</v>
      </c>
      <c r="G64" s="3">
        <v>44610</v>
      </c>
      <c r="H64" s="96">
        <f t="shared" si="1"/>
        <v>2022</v>
      </c>
      <c r="I64" s="96">
        <v>83</v>
      </c>
      <c r="J64" s="96">
        <v>9</v>
      </c>
      <c r="K64" s="33">
        <v>1500</v>
      </c>
      <c r="L64" s="26">
        <v>94</v>
      </c>
    </row>
    <row r="65" spans="1:12">
      <c r="A65" s="96" t="s">
        <v>181</v>
      </c>
      <c r="B65" s="96" t="s">
        <v>112</v>
      </c>
      <c r="C65" s="96" t="s">
        <v>182</v>
      </c>
      <c r="D65" s="96" t="str">
        <f>_xlfn.CONCAT(Table2[[#This Row],[FirstName]]," ",Table2[[#This Row],[LastName]])</f>
        <v>Amelia Powell</v>
      </c>
      <c r="E65" s="96" t="s">
        <v>20</v>
      </c>
      <c r="F65" s="96" t="s">
        <v>6</v>
      </c>
      <c r="G65" s="3">
        <v>43959</v>
      </c>
      <c r="H65" s="96">
        <f t="shared" si="1"/>
        <v>2020</v>
      </c>
      <c r="I65" s="96">
        <v>89</v>
      </c>
      <c r="J65" s="96">
        <v>15</v>
      </c>
      <c r="K65" s="33">
        <v>1800</v>
      </c>
      <c r="L65" s="26">
        <v>98</v>
      </c>
    </row>
    <row r="66" spans="1:12">
      <c r="A66" s="96" t="s">
        <v>183</v>
      </c>
      <c r="B66" s="96" t="s">
        <v>131</v>
      </c>
      <c r="C66" s="96" t="s">
        <v>184</v>
      </c>
      <c r="D66" s="96" t="str">
        <f>_xlfn.CONCAT(Table2[[#This Row],[FirstName]]," ",Table2[[#This Row],[LastName]])</f>
        <v>Lucas Stewart</v>
      </c>
      <c r="E66" s="96" t="s">
        <v>18</v>
      </c>
      <c r="F66" s="96" t="s">
        <v>4</v>
      </c>
      <c r="G66" s="3">
        <v>44555</v>
      </c>
      <c r="H66" s="96">
        <f t="shared" ref="H66:H101" si="2">YEAR(HireDate)</f>
        <v>2021</v>
      </c>
      <c r="I66" s="96">
        <v>77</v>
      </c>
      <c r="J66" s="96">
        <v>7</v>
      </c>
      <c r="K66" s="33">
        <v>1200</v>
      </c>
      <c r="L66" s="26">
        <v>90</v>
      </c>
    </row>
    <row r="67" spans="1:12">
      <c r="A67" s="96" t="s">
        <v>185</v>
      </c>
      <c r="B67" s="96" t="s">
        <v>186</v>
      </c>
      <c r="C67" s="96" t="s">
        <v>187</v>
      </c>
      <c r="D67" s="96" t="str">
        <f>_xlfn.CONCAT(Table2[[#This Row],[FirstName]]," ",Table2[[#This Row],[LastName]])</f>
        <v>Evelyn Sanders</v>
      </c>
      <c r="E67" s="96" t="s">
        <v>20</v>
      </c>
      <c r="F67" s="96" t="s">
        <v>5</v>
      </c>
      <c r="G67" s="3">
        <v>44848</v>
      </c>
      <c r="H67" s="96">
        <f t="shared" si="2"/>
        <v>2022</v>
      </c>
      <c r="I67" s="96">
        <v>84</v>
      </c>
      <c r="J67" s="96">
        <v>10</v>
      </c>
      <c r="K67" s="33">
        <v>1500</v>
      </c>
      <c r="L67" s="26">
        <v>93</v>
      </c>
    </row>
    <row r="68" spans="1:12">
      <c r="A68" s="96" t="s">
        <v>188</v>
      </c>
      <c r="B68" s="96" t="s">
        <v>44</v>
      </c>
      <c r="C68" s="96" t="s">
        <v>78</v>
      </c>
      <c r="D68" s="96" t="str">
        <f>_xlfn.CONCAT(Table2[[#This Row],[FirstName]]," ",Table2[[#This Row],[LastName]])</f>
        <v>Daniel Rivera</v>
      </c>
      <c r="E68" s="96" t="s">
        <v>18</v>
      </c>
      <c r="F68" s="96" t="s">
        <v>7</v>
      </c>
      <c r="G68" s="3">
        <v>44138</v>
      </c>
      <c r="H68" s="96">
        <f t="shared" si="2"/>
        <v>2020</v>
      </c>
      <c r="I68" s="96">
        <v>81</v>
      </c>
      <c r="J68" s="96">
        <v>8</v>
      </c>
      <c r="K68" s="33">
        <v>1300</v>
      </c>
      <c r="L68" s="26">
        <v>89</v>
      </c>
    </row>
    <row r="69" spans="1:12">
      <c r="A69" s="96" t="s">
        <v>189</v>
      </c>
      <c r="B69" s="96" t="s">
        <v>77</v>
      </c>
      <c r="C69" s="96" t="s">
        <v>157</v>
      </c>
      <c r="D69" s="96" t="str">
        <f>_xlfn.CONCAT(Table2[[#This Row],[FirstName]]," ",Table2[[#This Row],[LastName]])</f>
        <v>Victoria Jenkins</v>
      </c>
      <c r="E69" s="96" t="s">
        <v>20</v>
      </c>
      <c r="F69" s="96" t="s">
        <v>8</v>
      </c>
      <c r="G69" s="3">
        <v>44445</v>
      </c>
      <c r="H69" s="96">
        <f t="shared" si="2"/>
        <v>2021</v>
      </c>
      <c r="I69" s="96">
        <v>90</v>
      </c>
      <c r="J69" s="96">
        <v>11</v>
      </c>
      <c r="K69" s="33">
        <v>1700</v>
      </c>
      <c r="L69" s="26">
        <v>97</v>
      </c>
    </row>
    <row r="70" spans="1:12">
      <c r="A70" s="96" t="s">
        <v>190</v>
      </c>
      <c r="B70" s="96" t="s">
        <v>191</v>
      </c>
      <c r="C70" s="96" t="s">
        <v>75</v>
      </c>
      <c r="D70" s="96" t="str">
        <f>_xlfn.CONCAT(Table2[[#This Row],[FirstName]]," ",Table2[[#This Row],[LastName]])</f>
        <v>Joshua Foster</v>
      </c>
      <c r="E70" s="96" t="s">
        <v>18</v>
      </c>
      <c r="F70" s="96" t="s">
        <v>4</v>
      </c>
      <c r="G70" s="3">
        <v>43939</v>
      </c>
      <c r="H70" s="96">
        <f t="shared" si="2"/>
        <v>2020</v>
      </c>
      <c r="I70" s="96">
        <v>85</v>
      </c>
      <c r="J70" s="96">
        <v>12</v>
      </c>
      <c r="K70" s="33">
        <v>1600</v>
      </c>
      <c r="L70" s="26">
        <v>95</v>
      </c>
    </row>
    <row r="71" spans="1:12">
      <c r="A71" s="96" t="s">
        <v>192</v>
      </c>
      <c r="B71" s="96" t="s">
        <v>193</v>
      </c>
      <c r="C71" s="96" t="s">
        <v>68</v>
      </c>
      <c r="D71" s="96" t="str">
        <f>_xlfn.CONCAT(Table2[[#This Row],[FirstName]]," ",Table2[[#This Row],[LastName]])</f>
        <v>Zoey Mitchell</v>
      </c>
      <c r="E71" s="96" t="s">
        <v>20</v>
      </c>
      <c r="F71" s="96" t="s">
        <v>6</v>
      </c>
      <c r="G71" s="3">
        <v>44572</v>
      </c>
      <c r="H71" s="96">
        <f t="shared" si="2"/>
        <v>2022</v>
      </c>
      <c r="I71" s="96">
        <v>88</v>
      </c>
      <c r="J71" s="96">
        <v>14</v>
      </c>
      <c r="K71" s="33">
        <v>1750</v>
      </c>
      <c r="L71" s="26">
        <v>99</v>
      </c>
    </row>
    <row r="72" spans="1:12">
      <c r="A72" s="96" t="s">
        <v>194</v>
      </c>
      <c r="B72" s="96" t="s">
        <v>83</v>
      </c>
      <c r="C72" s="96" t="s">
        <v>87</v>
      </c>
      <c r="D72" s="96" t="str">
        <f>_xlfn.CONCAT(Table2[[#This Row],[FirstName]]," ",Table2[[#This Row],[LastName]])</f>
        <v>Olivia Parker</v>
      </c>
      <c r="E72" s="96" t="s">
        <v>20</v>
      </c>
      <c r="F72" s="96" t="s">
        <v>4</v>
      </c>
      <c r="G72" s="3">
        <v>44278</v>
      </c>
      <c r="H72" s="96">
        <f t="shared" si="2"/>
        <v>2021</v>
      </c>
      <c r="I72" s="96">
        <v>86</v>
      </c>
      <c r="J72" s="96">
        <v>12</v>
      </c>
      <c r="K72" s="33">
        <v>1550</v>
      </c>
      <c r="L72" s="26">
        <v>94</v>
      </c>
    </row>
    <row r="73" spans="1:12">
      <c r="A73" s="96" t="s">
        <v>195</v>
      </c>
      <c r="B73" s="96" t="s">
        <v>196</v>
      </c>
      <c r="C73" s="96" t="s">
        <v>146</v>
      </c>
      <c r="D73" s="96" t="str">
        <f>_xlfn.CONCAT(Table2[[#This Row],[FirstName]]," ",Table2[[#This Row],[LastName]])</f>
        <v>Andrew Bailey</v>
      </c>
      <c r="E73" s="96" t="s">
        <v>18</v>
      </c>
      <c r="F73" s="96" t="s">
        <v>6</v>
      </c>
      <c r="G73" s="3">
        <v>44057</v>
      </c>
      <c r="H73" s="96">
        <f t="shared" si="2"/>
        <v>2020</v>
      </c>
      <c r="I73" s="96">
        <v>90</v>
      </c>
      <c r="J73" s="96">
        <v>14</v>
      </c>
      <c r="K73" s="33">
        <v>1800</v>
      </c>
      <c r="L73" s="26">
        <v>97</v>
      </c>
    </row>
    <row r="74" spans="1:12">
      <c r="A74" s="96" t="s">
        <v>197</v>
      </c>
      <c r="B74" s="96" t="s">
        <v>125</v>
      </c>
      <c r="C74" s="96" t="s">
        <v>198</v>
      </c>
      <c r="D74" s="96" t="str">
        <f>_xlfn.CONCAT(Table2[[#This Row],[FirstName]]," ",Table2[[#This Row],[LastName]])</f>
        <v>Ava Evans</v>
      </c>
      <c r="E74" s="96" t="s">
        <v>20</v>
      </c>
      <c r="F74" s="96" t="s">
        <v>7</v>
      </c>
      <c r="G74" s="3">
        <v>44742</v>
      </c>
      <c r="H74" s="96">
        <f t="shared" si="2"/>
        <v>2022</v>
      </c>
      <c r="I74" s="96">
        <v>82</v>
      </c>
      <c r="J74" s="96">
        <v>9</v>
      </c>
      <c r="K74" s="33">
        <v>1350</v>
      </c>
      <c r="L74" s="26">
        <v>91</v>
      </c>
    </row>
    <row r="75" spans="1:12">
      <c r="A75" s="96" t="s">
        <v>199</v>
      </c>
      <c r="B75" s="96" t="s">
        <v>115</v>
      </c>
      <c r="C75" s="96" t="s">
        <v>152</v>
      </c>
      <c r="D75" s="96" t="str">
        <f>_xlfn.CONCAT(Table2[[#This Row],[FirstName]]," ",Table2[[#This Row],[LastName]])</f>
        <v>Ryan Roberts</v>
      </c>
      <c r="E75" s="96" t="s">
        <v>18</v>
      </c>
      <c r="F75" s="96" t="s">
        <v>5</v>
      </c>
      <c r="G75" s="3">
        <v>43763</v>
      </c>
      <c r="H75" s="96">
        <f t="shared" si="2"/>
        <v>2019</v>
      </c>
      <c r="I75" s="96">
        <v>85</v>
      </c>
      <c r="J75" s="96">
        <v>10</v>
      </c>
      <c r="K75" s="33">
        <v>1500</v>
      </c>
      <c r="L75" s="26">
        <v>95</v>
      </c>
    </row>
    <row r="76" spans="1:12">
      <c r="A76" s="96" t="s">
        <v>200</v>
      </c>
      <c r="B76" s="96" t="s">
        <v>96</v>
      </c>
      <c r="C76" s="96" t="s">
        <v>201</v>
      </c>
      <c r="D76" s="96" t="str">
        <f>_xlfn.CONCAT(Table2[[#This Row],[FirstName]]," ",Table2[[#This Row],[LastName]])</f>
        <v>Lily Morgan</v>
      </c>
      <c r="E76" s="96" t="s">
        <v>20</v>
      </c>
      <c r="F76" s="96" t="s">
        <v>8</v>
      </c>
      <c r="G76" s="3">
        <v>44512</v>
      </c>
      <c r="H76" s="96">
        <f t="shared" si="2"/>
        <v>2021</v>
      </c>
      <c r="I76" s="96">
        <v>87</v>
      </c>
      <c r="J76" s="96">
        <v>11</v>
      </c>
      <c r="K76" s="33">
        <v>1600</v>
      </c>
      <c r="L76" s="26">
        <v>96</v>
      </c>
    </row>
    <row r="77" spans="1:12">
      <c r="A77" s="96" t="s">
        <v>202</v>
      </c>
      <c r="B77" s="96" t="s">
        <v>70</v>
      </c>
      <c r="C77" s="96" t="s">
        <v>203</v>
      </c>
      <c r="D77" s="96" t="str">
        <f>_xlfn.CONCAT(Table2[[#This Row],[FirstName]]," ",Table2[[#This Row],[LastName]])</f>
        <v>Ethan Rogers</v>
      </c>
      <c r="E77" s="96" t="s">
        <v>18</v>
      </c>
      <c r="F77" s="96" t="s">
        <v>4</v>
      </c>
      <c r="G77" s="3">
        <v>43951</v>
      </c>
      <c r="H77" s="96">
        <f t="shared" si="2"/>
        <v>2020</v>
      </c>
      <c r="I77" s="96">
        <v>89</v>
      </c>
      <c r="J77" s="96">
        <v>13</v>
      </c>
      <c r="K77" s="33">
        <v>1750</v>
      </c>
      <c r="L77" s="26">
        <v>98</v>
      </c>
    </row>
    <row r="78" spans="1:12">
      <c r="A78" s="96" t="s">
        <v>27</v>
      </c>
      <c r="B78" s="96" t="s">
        <v>101</v>
      </c>
      <c r="C78" s="96" t="s">
        <v>204</v>
      </c>
      <c r="D78" s="96" t="str">
        <f>_xlfn.CONCAT(Table2[[#This Row],[FirstName]]," ",Table2[[#This Row],[LastName]])</f>
        <v>Isabella Bell</v>
      </c>
      <c r="E78" s="96" t="s">
        <v>20</v>
      </c>
      <c r="F78" s="96" t="s">
        <v>5</v>
      </c>
      <c r="G78" s="3">
        <v>44440</v>
      </c>
      <c r="H78" s="96">
        <f t="shared" si="2"/>
        <v>2021</v>
      </c>
      <c r="I78" s="96">
        <v>91</v>
      </c>
      <c r="J78" s="96">
        <v>12</v>
      </c>
      <c r="K78" s="33">
        <v>1700</v>
      </c>
      <c r="L78" s="26">
        <v>97</v>
      </c>
    </row>
    <row r="79" spans="1:12">
      <c r="A79" s="96" t="s">
        <v>205</v>
      </c>
      <c r="B79" s="96" t="s">
        <v>80</v>
      </c>
      <c r="C79" s="96" t="s">
        <v>78</v>
      </c>
      <c r="D79" s="96" t="str">
        <f>_xlfn.CONCAT(Table2[[#This Row],[FirstName]]," ",Table2[[#This Row],[LastName]])</f>
        <v>Jackson Rivera</v>
      </c>
      <c r="E79" s="96" t="s">
        <v>18</v>
      </c>
      <c r="F79" s="96" t="s">
        <v>7</v>
      </c>
      <c r="G79" s="3">
        <v>43973</v>
      </c>
      <c r="H79" s="96">
        <f t="shared" si="2"/>
        <v>2020</v>
      </c>
      <c r="I79" s="96">
        <v>78</v>
      </c>
      <c r="J79" s="96">
        <v>8</v>
      </c>
      <c r="K79" s="33">
        <v>1300</v>
      </c>
      <c r="L79" s="26">
        <v>89</v>
      </c>
    </row>
    <row r="80" spans="1:12">
      <c r="A80" s="96" t="s">
        <v>206</v>
      </c>
      <c r="B80" s="96" t="s">
        <v>67</v>
      </c>
      <c r="C80" s="96" t="s">
        <v>129</v>
      </c>
      <c r="D80" s="96" t="str">
        <f>_xlfn.CONCAT(Table2[[#This Row],[FirstName]]," ",Table2[[#This Row],[LastName]])</f>
        <v>Mia Carter</v>
      </c>
      <c r="E80" s="96" t="s">
        <v>20</v>
      </c>
      <c r="F80" s="96" t="s">
        <v>8</v>
      </c>
      <c r="G80" s="3">
        <v>44603</v>
      </c>
      <c r="H80" s="96">
        <f t="shared" si="2"/>
        <v>2022</v>
      </c>
      <c r="I80" s="96">
        <v>84</v>
      </c>
      <c r="J80" s="96">
        <v>9</v>
      </c>
      <c r="K80" s="33">
        <v>1450</v>
      </c>
      <c r="L80" s="26">
        <v>93</v>
      </c>
    </row>
    <row r="81" spans="1:12">
      <c r="A81" s="96" t="s">
        <v>207</v>
      </c>
      <c r="B81" s="96" t="s">
        <v>74</v>
      </c>
      <c r="C81" s="96" t="s">
        <v>75</v>
      </c>
      <c r="D81" s="96" t="str">
        <f>_xlfn.CONCAT(Table2[[#This Row],[FirstName]]," ",Table2[[#This Row],[LastName]])</f>
        <v>James Foster</v>
      </c>
      <c r="E81" s="96" t="s">
        <v>18</v>
      </c>
      <c r="F81" s="96" t="s">
        <v>4</v>
      </c>
      <c r="G81" s="3">
        <v>43666</v>
      </c>
      <c r="H81" s="96">
        <f t="shared" si="2"/>
        <v>2019</v>
      </c>
      <c r="I81" s="96">
        <v>88</v>
      </c>
      <c r="J81" s="96">
        <v>11</v>
      </c>
      <c r="K81" s="33">
        <v>1650</v>
      </c>
      <c r="L81" s="26">
        <v>96</v>
      </c>
    </row>
    <row r="82" spans="1:12">
      <c r="A82" s="96" t="s">
        <v>208</v>
      </c>
      <c r="B82" s="96" t="s">
        <v>107</v>
      </c>
      <c r="C82" s="96" t="s">
        <v>84</v>
      </c>
      <c r="D82" s="96" t="str">
        <f>_xlfn.CONCAT(Table2[[#This Row],[FirstName]]," ",Table2[[#This Row],[LastName]])</f>
        <v>Emma Morris</v>
      </c>
      <c r="E82" s="96" t="s">
        <v>20</v>
      </c>
      <c r="F82" s="96" t="s">
        <v>6</v>
      </c>
      <c r="G82" s="3">
        <v>44294</v>
      </c>
      <c r="H82" s="96">
        <f t="shared" si="2"/>
        <v>2021</v>
      </c>
      <c r="I82" s="96">
        <v>83</v>
      </c>
      <c r="J82" s="96">
        <v>10</v>
      </c>
      <c r="K82" s="33">
        <v>1450</v>
      </c>
      <c r="L82" s="26">
        <v>92</v>
      </c>
    </row>
    <row r="83" spans="1:12">
      <c r="A83" s="96" t="s">
        <v>209</v>
      </c>
      <c r="B83" s="96" t="s">
        <v>123</v>
      </c>
      <c r="C83" s="96" t="s">
        <v>210</v>
      </c>
      <c r="D83" s="96" t="str">
        <f>_xlfn.CONCAT(Table2[[#This Row],[FirstName]]," ",Table2[[#This Row],[LastName]])</f>
        <v>Liam Cook</v>
      </c>
      <c r="E83" s="96" t="s">
        <v>18</v>
      </c>
      <c r="F83" s="96" t="s">
        <v>5</v>
      </c>
      <c r="G83" s="3">
        <v>44184</v>
      </c>
      <c r="H83" s="96">
        <f t="shared" si="2"/>
        <v>2020</v>
      </c>
      <c r="I83" s="96">
        <v>89</v>
      </c>
      <c r="J83" s="96">
        <v>13</v>
      </c>
      <c r="K83" s="33">
        <v>1750</v>
      </c>
      <c r="L83" s="26">
        <v>98</v>
      </c>
    </row>
    <row r="84" spans="1:12">
      <c r="A84" s="96" t="s">
        <v>211</v>
      </c>
      <c r="B84" s="96" t="s">
        <v>61</v>
      </c>
      <c r="C84" s="96" t="s">
        <v>73</v>
      </c>
      <c r="D84" s="96" t="str">
        <f>_xlfn.CONCAT(Table2[[#This Row],[FirstName]]," ",Table2[[#This Row],[LastName]])</f>
        <v>Charlotte Brooks</v>
      </c>
      <c r="E84" s="96" t="s">
        <v>20</v>
      </c>
      <c r="F84" s="96" t="s">
        <v>7</v>
      </c>
      <c r="G84" s="3">
        <v>44492</v>
      </c>
      <c r="H84" s="96">
        <f t="shared" si="2"/>
        <v>2021</v>
      </c>
      <c r="I84" s="96">
        <v>90</v>
      </c>
      <c r="J84" s="96">
        <v>12</v>
      </c>
      <c r="K84" s="33">
        <v>1700</v>
      </c>
      <c r="L84" s="26">
        <v>97</v>
      </c>
    </row>
    <row r="85" spans="1:12">
      <c r="A85" s="96" t="s">
        <v>212</v>
      </c>
      <c r="B85" s="96" t="s">
        <v>127</v>
      </c>
      <c r="C85" s="96" t="s">
        <v>159</v>
      </c>
      <c r="D85" s="96" t="str">
        <f>_xlfn.CONCAT(Table2[[#This Row],[FirstName]]," ",Table2[[#This Row],[LastName]])</f>
        <v>Noah Russell</v>
      </c>
      <c r="E85" s="96" t="s">
        <v>18</v>
      </c>
      <c r="F85" s="96" t="s">
        <v>8</v>
      </c>
      <c r="G85" s="3">
        <v>44029</v>
      </c>
      <c r="H85" s="96">
        <f t="shared" si="2"/>
        <v>2020</v>
      </c>
      <c r="I85" s="96">
        <v>79</v>
      </c>
      <c r="J85" s="96">
        <v>8</v>
      </c>
      <c r="K85" s="33">
        <v>1350</v>
      </c>
      <c r="L85" s="26">
        <v>90</v>
      </c>
    </row>
    <row r="86" spans="1:12">
      <c r="A86" s="96" t="s">
        <v>213</v>
      </c>
      <c r="B86" s="96" t="s">
        <v>133</v>
      </c>
      <c r="C86" s="96" t="s">
        <v>171</v>
      </c>
      <c r="D86" s="96" t="str">
        <f>_xlfn.CONCAT(Table2[[#This Row],[FirstName]]," ",Table2[[#This Row],[LastName]])</f>
        <v>Grace Hughes</v>
      </c>
      <c r="E86" s="96" t="s">
        <v>20</v>
      </c>
      <c r="F86" s="96" t="s">
        <v>4</v>
      </c>
      <c r="G86" s="3">
        <v>44648</v>
      </c>
      <c r="H86" s="96">
        <f t="shared" si="2"/>
        <v>2022</v>
      </c>
      <c r="I86" s="96">
        <v>85</v>
      </c>
      <c r="J86" s="96">
        <v>9</v>
      </c>
      <c r="K86" s="33">
        <v>1500</v>
      </c>
      <c r="L86" s="26">
        <v>93</v>
      </c>
    </row>
    <row r="87" spans="1:12">
      <c r="A87" s="96" t="s">
        <v>24</v>
      </c>
      <c r="B87" s="96" t="s">
        <v>64</v>
      </c>
      <c r="C87" s="96" t="s">
        <v>157</v>
      </c>
      <c r="D87" s="96" t="str">
        <f>_xlfn.CONCAT(Table2[[#This Row],[FirstName]]," ",Table2[[#This Row],[LastName]])</f>
        <v>Logan Jenkins</v>
      </c>
      <c r="E87" s="96" t="s">
        <v>18</v>
      </c>
      <c r="F87" s="96" t="s">
        <v>6</v>
      </c>
      <c r="G87" s="3">
        <v>43711</v>
      </c>
      <c r="H87" s="96">
        <f t="shared" si="2"/>
        <v>2019</v>
      </c>
      <c r="I87" s="96">
        <v>92</v>
      </c>
      <c r="J87" s="96">
        <v>15</v>
      </c>
      <c r="K87" s="33">
        <v>1800</v>
      </c>
      <c r="L87" s="26">
        <v>99</v>
      </c>
    </row>
    <row r="88" spans="1:12">
      <c r="A88" s="96" t="s">
        <v>214</v>
      </c>
      <c r="B88" s="96" t="s">
        <v>77</v>
      </c>
      <c r="C88" s="96" t="s">
        <v>215</v>
      </c>
      <c r="D88" s="96" t="str">
        <f>_xlfn.CONCAT(Table2[[#This Row],[FirstName]]," ",Table2[[#This Row],[LastName]])</f>
        <v>Victoria Peterson</v>
      </c>
      <c r="E88" s="96" t="s">
        <v>20</v>
      </c>
      <c r="F88" s="96" t="s">
        <v>5</v>
      </c>
      <c r="G88" s="3">
        <v>44243</v>
      </c>
      <c r="H88" s="96">
        <f t="shared" si="2"/>
        <v>2021</v>
      </c>
      <c r="I88" s="96">
        <v>83</v>
      </c>
      <c r="J88" s="96">
        <v>10</v>
      </c>
      <c r="K88" s="33">
        <v>1450</v>
      </c>
      <c r="L88" s="26">
        <v>94</v>
      </c>
    </row>
    <row r="89" spans="1:12">
      <c r="A89" s="96" t="s">
        <v>216</v>
      </c>
      <c r="B89" s="96" t="s">
        <v>148</v>
      </c>
      <c r="C89" s="96" t="s">
        <v>65</v>
      </c>
      <c r="D89" s="96" t="str">
        <f>_xlfn.CONCAT(Table2[[#This Row],[FirstName]]," ",Table2[[#This Row],[LastName]])</f>
        <v>Benjamin Cooper</v>
      </c>
      <c r="E89" s="96" t="s">
        <v>18</v>
      </c>
      <c r="F89" s="96" t="s">
        <v>7</v>
      </c>
      <c r="G89" s="3">
        <v>43991</v>
      </c>
      <c r="H89" s="96">
        <f t="shared" si="2"/>
        <v>2020</v>
      </c>
      <c r="I89" s="96">
        <v>81</v>
      </c>
      <c r="J89" s="96">
        <v>8</v>
      </c>
      <c r="K89" s="33">
        <v>1350</v>
      </c>
      <c r="L89" s="26">
        <v>91</v>
      </c>
    </row>
    <row r="90" spans="1:12">
      <c r="A90" s="96" t="s">
        <v>217</v>
      </c>
      <c r="B90" s="96" t="s">
        <v>125</v>
      </c>
      <c r="C90" s="96" t="s">
        <v>134</v>
      </c>
      <c r="D90" s="96" t="str">
        <f>_xlfn.CONCAT(Table2[[#This Row],[FirstName]]," ",Table2[[#This Row],[LastName]])</f>
        <v>Ava Perez</v>
      </c>
      <c r="E90" s="96" t="s">
        <v>20</v>
      </c>
      <c r="F90" s="96" t="s">
        <v>8</v>
      </c>
      <c r="G90" s="3">
        <v>44890</v>
      </c>
      <c r="H90" s="96">
        <f t="shared" si="2"/>
        <v>2022</v>
      </c>
      <c r="I90" s="96">
        <v>90</v>
      </c>
      <c r="J90" s="96">
        <v>11</v>
      </c>
      <c r="K90" s="33">
        <v>1700</v>
      </c>
      <c r="L90" s="26">
        <v>96</v>
      </c>
    </row>
    <row r="91" spans="1:12">
      <c r="A91" s="96" t="s">
        <v>218</v>
      </c>
      <c r="B91" s="96" t="s">
        <v>86</v>
      </c>
      <c r="C91" s="96" t="s">
        <v>219</v>
      </c>
      <c r="D91" s="96" t="str">
        <f>_xlfn.CONCAT(Table2[[#This Row],[FirstName]]," ",Table2[[#This Row],[LastName]])</f>
        <v>William Murphy</v>
      </c>
      <c r="E91" s="96" t="s">
        <v>18</v>
      </c>
      <c r="F91" s="96" t="s">
        <v>4</v>
      </c>
      <c r="G91" s="3">
        <v>44057</v>
      </c>
      <c r="H91" s="96">
        <f t="shared" si="2"/>
        <v>2020</v>
      </c>
      <c r="I91" s="96">
        <v>89</v>
      </c>
      <c r="J91" s="96">
        <v>14</v>
      </c>
      <c r="K91" s="33">
        <v>1750</v>
      </c>
      <c r="L91" s="26">
        <v>98</v>
      </c>
    </row>
    <row r="92" spans="1:12">
      <c r="A92" s="96" t="s">
        <v>220</v>
      </c>
      <c r="B92" s="96" t="s">
        <v>36</v>
      </c>
      <c r="C92" s="96" t="s">
        <v>65</v>
      </c>
      <c r="D92" s="96" t="str">
        <f>_xlfn.CONCAT(Table2[[#This Row],[FirstName]]," ",Table2[[#This Row],[LastName]])</f>
        <v>Emily Cooper</v>
      </c>
      <c r="E92" s="96" t="s">
        <v>20</v>
      </c>
      <c r="F92" s="96" t="s">
        <v>6</v>
      </c>
      <c r="G92" s="3">
        <v>44385</v>
      </c>
      <c r="H92" s="96">
        <f t="shared" si="2"/>
        <v>2021</v>
      </c>
      <c r="I92" s="96">
        <v>87</v>
      </c>
      <c r="J92" s="96">
        <v>12</v>
      </c>
      <c r="K92" s="33">
        <v>1600</v>
      </c>
      <c r="L92" s="26">
        <v>97</v>
      </c>
    </row>
    <row r="93" spans="1:12">
      <c r="A93" s="96" t="s">
        <v>221</v>
      </c>
      <c r="B93" s="96" t="s">
        <v>131</v>
      </c>
      <c r="C93" s="96" t="s">
        <v>222</v>
      </c>
      <c r="D93" s="96" t="str">
        <f>_xlfn.CONCAT(Table2[[#This Row],[FirstName]]," ",Table2[[#This Row],[LastName]])</f>
        <v>Lucas Turner</v>
      </c>
      <c r="E93" s="96" t="s">
        <v>18</v>
      </c>
      <c r="F93" s="96" t="s">
        <v>5</v>
      </c>
      <c r="G93" s="3">
        <v>43773</v>
      </c>
      <c r="H93" s="96">
        <f t="shared" si="2"/>
        <v>2019</v>
      </c>
      <c r="I93" s="96">
        <v>82</v>
      </c>
      <c r="J93" s="96">
        <v>9</v>
      </c>
      <c r="K93" s="33">
        <v>1450</v>
      </c>
      <c r="L93" s="26">
        <v>92</v>
      </c>
    </row>
    <row r="94" spans="1:12">
      <c r="A94" s="96" t="s">
        <v>223</v>
      </c>
      <c r="B94" s="96" t="s">
        <v>101</v>
      </c>
      <c r="C94" s="96" t="s">
        <v>62</v>
      </c>
      <c r="D94" s="96" t="str">
        <f>_xlfn.CONCAT(Table2[[#This Row],[FirstName]]," ",Table2[[#This Row],[LastName]])</f>
        <v>Isabella Scott</v>
      </c>
      <c r="E94" s="96" t="s">
        <v>20</v>
      </c>
      <c r="F94" s="96" t="s">
        <v>7</v>
      </c>
      <c r="G94" s="3">
        <v>44256</v>
      </c>
      <c r="H94" s="96">
        <f t="shared" si="2"/>
        <v>2021</v>
      </c>
      <c r="I94" s="96">
        <v>88</v>
      </c>
      <c r="J94" s="96">
        <v>10</v>
      </c>
      <c r="K94" s="33">
        <v>1650</v>
      </c>
      <c r="L94" s="26">
        <v>95</v>
      </c>
    </row>
    <row r="95" spans="1:12">
      <c r="A95" s="96" t="s">
        <v>224</v>
      </c>
      <c r="B95" s="96" t="s">
        <v>70</v>
      </c>
      <c r="C95" s="96" t="s">
        <v>81</v>
      </c>
      <c r="D95" s="96" t="str">
        <f>_xlfn.CONCAT(Table2[[#This Row],[FirstName]]," ",Table2[[#This Row],[LastName]])</f>
        <v>Ethan Diaz</v>
      </c>
      <c r="E95" s="96" t="s">
        <v>18</v>
      </c>
      <c r="F95" s="96" t="s">
        <v>8</v>
      </c>
      <c r="G95" s="3">
        <v>43980</v>
      </c>
      <c r="H95" s="96">
        <f t="shared" si="2"/>
        <v>2020</v>
      </c>
      <c r="I95" s="96">
        <v>91</v>
      </c>
      <c r="J95" s="96">
        <v>13</v>
      </c>
      <c r="K95" s="33">
        <v>1750</v>
      </c>
      <c r="L95" s="26">
        <v>98</v>
      </c>
    </row>
    <row r="96" spans="1:12">
      <c r="A96" s="96" t="s">
        <v>225</v>
      </c>
      <c r="B96" s="96" t="s">
        <v>177</v>
      </c>
      <c r="C96" s="96" t="s">
        <v>226</v>
      </c>
      <c r="D96" s="96" t="str">
        <f>_xlfn.CONCAT(Table2[[#This Row],[FirstName]]," ",Table2[[#This Row],[LastName]])</f>
        <v>Harper Phillips</v>
      </c>
      <c r="E96" s="96" t="s">
        <v>20</v>
      </c>
      <c r="F96" s="96" t="s">
        <v>4</v>
      </c>
      <c r="G96" s="3">
        <v>44665</v>
      </c>
      <c r="H96" s="96">
        <f t="shared" si="2"/>
        <v>2022</v>
      </c>
      <c r="I96" s="96">
        <v>83</v>
      </c>
      <c r="J96" s="96">
        <v>9</v>
      </c>
      <c r="K96" s="33">
        <v>1500</v>
      </c>
      <c r="L96" s="26">
        <v>94</v>
      </c>
    </row>
    <row r="97" spans="1:12">
      <c r="A97" s="96" t="s">
        <v>227</v>
      </c>
      <c r="B97" s="96" t="s">
        <v>110</v>
      </c>
      <c r="C97" s="96" t="s">
        <v>162</v>
      </c>
      <c r="D97" s="96" t="str">
        <f>_xlfn.CONCAT(Table2[[#This Row],[FirstName]]," ",Table2[[#This Row],[LastName]])</f>
        <v>Jack Ward</v>
      </c>
      <c r="E97" s="96" t="s">
        <v>18</v>
      </c>
      <c r="F97" s="96" t="s">
        <v>6</v>
      </c>
      <c r="G97" s="3">
        <v>43521</v>
      </c>
      <c r="H97" s="96">
        <f t="shared" si="2"/>
        <v>2019</v>
      </c>
      <c r="I97" s="96">
        <v>85</v>
      </c>
      <c r="J97" s="96">
        <v>11</v>
      </c>
      <c r="K97" s="33">
        <v>1600</v>
      </c>
      <c r="L97" s="26">
        <v>96</v>
      </c>
    </row>
    <row r="98" spans="1:12">
      <c r="A98" s="96" t="s">
        <v>228</v>
      </c>
      <c r="B98" s="96" t="s">
        <v>112</v>
      </c>
      <c r="C98" s="96" t="s">
        <v>184</v>
      </c>
      <c r="D98" s="96" t="str">
        <f>_xlfn.CONCAT(Table2[[#This Row],[FirstName]]," ",Table2[[#This Row],[LastName]])</f>
        <v>Amelia Stewart</v>
      </c>
      <c r="E98" s="96" t="s">
        <v>20</v>
      </c>
      <c r="F98" s="96" t="s">
        <v>5</v>
      </c>
      <c r="G98" s="3">
        <v>44518</v>
      </c>
      <c r="H98" s="96">
        <f t="shared" si="2"/>
        <v>2021</v>
      </c>
      <c r="I98" s="96">
        <v>80</v>
      </c>
      <c r="J98" s="96">
        <v>7</v>
      </c>
      <c r="K98" s="33">
        <v>1300</v>
      </c>
      <c r="L98" s="26">
        <v>90</v>
      </c>
    </row>
    <row r="99" spans="1:12">
      <c r="A99" s="96" t="s">
        <v>229</v>
      </c>
      <c r="B99" s="96" t="s">
        <v>44</v>
      </c>
      <c r="C99" s="96" t="s">
        <v>230</v>
      </c>
      <c r="D99" s="96" t="str">
        <f>_xlfn.CONCAT(Table2[[#This Row],[FirstName]]," ",Table2[[#This Row],[LastName]])</f>
        <v>Daniel Nguyen</v>
      </c>
      <c r="E99" s="96" t="s">
        <v>18</v>
      </c>
      <c r="F99" s="96" t="s">
        <v>7</v>
      </c>
      <c r="G99" s="3">
        <v>44171</v>
      </c>
      <c r="H99" s="96">
        <f t="shared" si="2"/>
        <v>2020</v>
      </c>
      <c r="I99" s="96">
        <v>79</v>
      </c>
      <c r="J99" s="96">
        <v>8</v>
      </c>
      <c r="K99" s="33">
        <v>1400</v>
      </c>
      <c r="L99" s="26">
        <v>89</v>
      </c>
    </row>
    <row r="100" spans="1:12">
      <c r="A100" s="96" t="s">
        <v>231</v>
      </c>
      <c r="B100" s="96" t="s">
        <v>232</v>
      </c>
      <c r="C100" s="96" t="s">
        <v>233</v>
      </c>
      <c r="D100" s="96" t="str">
        <f>_xlfn.CONCAT(Table2[[#This Row],[FirstName]]," ",Table2[[#This Row],[LastName]])</f>
        <v>Abigail Lopez</v>
      </c>
      <c r="E100" s="96" t="s">
        <v>20</v>
      </c>
      <c r="F100" s="96" t="s">
        <v>8</v>
      </c>
      <c r="G100" s="3">
        <v>44772</v>
      </c>
      <c r="H100" s="96">
        <f t="shared" si="2"/>
        <v>2022</v>
      </c>
      <c r="I100" s="96">
        <v>88</v>
      </c>
      <c r="J100" s="96">
        <v>10</v>
      </c>
      <c r="K100" s="33">
        <v>1650</v>
      </c>
      <c r="L100" s="26">
        <v>95</v>
      </c>
    </row>
    <row r="101" spans="1:12">
      <c r="A101" s="96" t="s">
        <v>23</v>
      </c>
      <c r="B101" s="96" t="s">
        <v>164</v>
      </c>
      <c r="C101" s="96" t="s">
        <v>129</v>
      </c>
      <c r="D101" s="96" t="str">
        <f>_xlfn.CONCAT(Table2[[#This Row],[FirstName]]," ",Table2[[#This Row],[LastName]])</f>
        <v>Samuel Carter</v>
      </c>
      <c r="E101" s="96" t="s">
        <v>18</v>
      </c>
      <c r="F101" s="96" t="s">
        <v>4</v>
      </c>
      <c r="G101" s="3">
        <v>44360</v>
      </c>
      <c r="H101" s="96">
        <f t="shared" si="2"/>
        <v>2021</v>
      </c>
      <c r="I101" s="96">
        <v>92</v>
      </c>
      <c r="J101" s="96">
        <v>14</v>
      </c>
      <c r="K101" s="33">
        <v>1800</v>
      </c>
      <c r="L101" s="26">
        <v>99</v>
      </c>
    </row>
    <row r="102" spans="1:12">
      <c r="A102" s="96">
        <f>COUNTA(EmployeeID)</f>
        <v>100</v>
      </c>
      <c r="B102" s="96"/>
      <c r="C102" s="96"/>
      <c r="D102" s="96"/>
      <c r="E102" s="96"/>
      <c r="F102" s="96"/>
      <c r="G102" s="3"/>
      <c r="H102" s="96"/>
      <c r="I102" s="96">
        <f>SUBTOTAL(109,PerformanceScore)</f>
        <v>8520</v>
      </c>
      <c r="J102" s="96">
        <f>SUBTOTAL(109,ProjectsCompleted)</f>
        <v>1068</v>
      </c>
      <c r="K102" s="35">
        <f>SUM(BonusAmount)</f>
        <v>154050</v>
      </c>
      <c r="L102" s="38">
        <f>AVERAGE(AttendanceRate)</f>
        <v>94.59</v>
      </c>
    </row>
    <row r="103" spans="1:12">
      <c r="A103" s="96"/>
      <c r="B103" s="96"/>
      <c r="C103" s="96"/>
      <c r="D103" s="96"/>
      <c r="E103" s="96"/>
      <c r="F103" s="96"/>
      <c r="G103" s="96"/>
      <c r="H103" s="96"/>
      <c r="I103" s="96"/>
      <c r="J103" s="96"/>
      <c r="K103" s="96"/>
      <c r="L103" s="96"/>
    </row>
    <row r="104" spans="1:12">
      <c r="A104" s="96"/>
      <c r="B104" s="96"/>
      <c r="C104" s="96"/>
      <c r="D104" s="96"/>
      <c r="E104" s="96"/>
      <c r="F104" s="96"/>
      <c r="G104" s="96"/>
      <c r="H104" s="96"/>
      <c r="I104" s="96"/>
      <c r="J104" s="96"/>
      <c r="K104" s="96"/>
      <c r="L104" s="96"/>
    </row>
  </sheetData>
  <mergeCells count="2">
    <mergeCell ref="U2:W2"/>
    <mergeCell ref="U23:W23"/>
  </mergeCells>
  <phoneticPr fontId="4" type="noConversion"/>
  <conditionalFormatting sqref="A2:A101">
    <cfRule type="duplicateValues" dxfId="66" priority="1"/>
  </conditionalFormatting>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2B494-2658-47EB-91E5-5FB7145E354F}">
  <sheetPr codeName="Sheet3"/>
  <dimension ref="A3:G78"/>
  <sheetViews>
    <sheetView workbookViewId="0">
      <selection activeCell="B72" sqref="A72:B77"/>
    </sheetView>
  </sheetViews>
  <sheetFormatPr defaultRowHeight="18"/>
  <cols>
    <col min="1" max="1" width="26.625" bestFit="1" customWidth="1"/>
    <col min="2" max="2" width="17.625" bestFit="1" customWidth="1"/>
    <col min="3" max="3" width="4" bestFit="1" customWidth="1"/>
    <col min="4" max="4" width="3.25" bestFit="1" customWidth="1"/>
    <col min="5" max="5" width="10.625" bestFit="1" customWidth="1"/>
    <col min="6" max="6" width="5.875" bestFit="1" customWidth="1"/>
    <col min="7" max="7" width="12.75" bestFit="1" customWidth="1"/>
    <col min="8" max="8" width="9.875" bestFit="1" customWidth="1"/>
    <col min="9" max="9" width="8.75" bestFit="1" customWidth="1"/>
    <col min="10" max="11" width="9.875" bestFit="1" customWidth="1"/>
    <col min="12" max="12" width="11" bestFit="1" customWidth="1"/>
    <col min="13" max="14" width="9.875" bestFit="1" customWidth="1"/>
    <col min="15" max="16" width="8.75" bestFit="1" customWidth="1"/>
    <col min="17" max="17" width="9.875" bestFit="1" customWidth="1"/>
    <col min="18" max="18" width="14.25" bestFit="1" customWidth="1"/>
    <col min="19" max="20" width="9.875" bestFit="1" customWidth="1"/>
    <col min="21" max="21" width="8.75" bestFit="1" customWidth="1"/>
    <col min="22" max="22" width="11" bestFit="1" customWidth="1"/>
    <col min="23" max="23" width="9.875" bestFit="1" customWidth="1"/>
    <col min="24" max="25" width="8.75" bestFit="1" customWidth="1"/>
    <col min="26" max="28" width="9.875" bestFit="1" customWidth="1"/>
    <col min="29" max="29" width="11" bestFit="1" customWidth="1"/>
    <col min="30" max="30" width="8.75" bestFit="1" customWidth="1"/>
    <col min="31" max="31" width="9.875" bestFit="1" customWidth="1"/>
    <col min="32" max="35" width="8.75" bestFit="1" customWidth="1"/>
    <col min="36" max="36" width="11" bestFit="1" customWidth="1"/>
    <col min="37" max="37" width="9.875" bestFit="1" customWidth="1"/>
    <col min="38" max="38" width="11" bestFit="1" customWidth="1"/>
    <col min="39" max="39" width="9.625" bestFit="1" customWidth="1"/>
    <col min="40" max="53" width="9.875" bestFit="1" customWidth="1"/>
    <col min="54" max="55" width="11" bestFit="1" customWidth="1"/>
    <col min="56" max="59" width="9.875" bestFit="1" customWidth="1"/>
    <col min="60" max="60" width="8.75" bestFit="1" customWidth="1"/>
    <col min="61" max="65" width="9.875" bestFit="1" customWidth="1"/>
    <col min="66" max="66" width="8.75" bestFit="1" customWidth="1"/>
    <col min="67" max="67" width="13" bestFit="1" customWidth="1"/>
    <col min="68" max="71" width="9.875" bestFit="1" customWidth="1"/>
    <col min="72" max="73" width="8.75" bestFit="1" customWidth="1"/>
    <col min="74" max="77" width="9.875" bestFit="1" customWidth="1"/>
    <col min="78" max="78" width="8.75" bestFit="1" customWidth="1"/>
    <col min="79" max="79" width="9.875" bestFit="1" customWidth="1"/>
    <col min="80" max="80" width="8.75" bestFit="1" customWidth="1"/>
    <col min="81" max="81" width="11" bestFit="1" customWidth="1"/>
    <col min="82" max="83" width="9.875" bestFit="1" customWidth="1"/>
    <col min="84" max="84" width="11" bestFit="1" customWidth="1"/>
    <col min="85" max="85" width="16.5" bestFit="1" customWidth="1"/>
    <col min="86" max="86" width="8.25" bestFit="1" customWidth="1"/>
    <col min="87" max="87" width="12.75" bestFit="1" customWidth="1"/>
    <col min="88" max="88" width="11.5" bestFit="1" customWidth="1"/>
    <col min="89" max="89" width="18.5" bestFit="1" customWidth="1"/>
    <col min="90" max="90" width="8.875" bestFit="1" customWidth="1"/>
    <col min="91" max="91" width="13.75" bestFit="1" customWidth="1"/>
    <col min="92" max="92" width="18.5" bestFit="1" customWidth="1"/>
    <col min="93" max="94" width="11.5" bestFit="1" customWidth="1"/>
    <col min="95" max="95" width="18.5" bestFit="1" customWidth="1"/>
    <col min="96" max="96" width="8.875" bestFit="1" customWidth="1"/>
    <col min="97" max="97" width="13.75" bestFit="1" customWidth="1"/>
    <col min="98" max="98" width="18.5" bestFit="1" customWidth="1"/>
    <col min="99" max="99" width="13.75" bestFit="1" customWidth="1"/>
    <col min="100" max="100" width="18.5" bestFit="1" customWidth="1"/>
    <col min="101" max="103" width="11.5" bestFit="1" customWidth="1"/>
    <col min="104" max="104" width="18.5" bestFit="1" customWidth="1"/>
    <col min="105" max="105" width="13.75" bestFit="1" customWidth="1"/>
    <col min="106" max="106" width="18.5" bestFit="1" customWidth="1"/>
    <col min="107" max="107" width="13.75" bestFit="1" customWidth="1"/>
    <col min="108" max="108" width="18.5" bestFit="1" customWidth="1"/>
    <col min="109" max="109" width="8.875" bestFit="1" customWidth="1"/>
    <col min="110" max="110" width="13.75" bestFit="1" customWidth="1"/>
    <col min="111" max="111" width="18.5" bestFit="1" customWidth="1"/>
    <col min="112" max="113" width="11.5" bestFit="1" customWidth="1"/>
    <col min="114" max="114" width="18.5" bestFit="1" customWidth="1"/>
    <col min="115" max="115" width="13.75" bestFit="1" customWidth="1"/>
    <col min="116" max="116" width="18.5" bestFit="1" customWidth="1"/>
    <col min="117" max="117" width="8.875" bestFit="1" customWidth="1"/>
    <col min="118" max="119" width="11.5" bestFit="1" customWidth="1"/>
    <col min="120" max="120" width="18.5" bestFit="1" customWidth="1"/>
    <col min="121" max="121" width="13.75" bestFit="1" customWidth="1"/>
    <col min="122" max="122" width="18.5" bestFit="1" customWidth="1"/>
    <col min="123" max="124" width="11.5" bestFit="1" customWidth="1"/>
    <col min="125" max="125" width="18.5" bestFit="1" customWidth="1"/>
    <col min="126" max="126" width="8.875" bestFit="1" customWidth="1"/>
    <col min="127" max="128" width="11.5" bestFit="1" customWidth="1"/>
    <col min="129" max="129" width="18.5" bestFit="1" customWidth="1"/>
    <col min="130" max="131" width="11.5" bestFit="1" customWidth="1"/>
    <col min="132" max="132" width="18.5" bestFit="1" customWidth="1"/>
    <col min="133" max="133" width="13.75" bestFit="1" customWidth="1"/>
    <col min="134" max="134" width="18.5" bestFit="1" customWidth="1"/>
    <col min="135" max="135" width="8.875" bestFit="1" customWidth="1"/>
    <col min="136" max="136" width="13.75" bestFit="1" customWidth="1"/>
    <col min="137" max="137" width="18.5" bestFit="1" customWidth="1"/>
    <col min="138" max="140" width="11.5" bestFit="1" customWidth="1"/>
    <col min="141" max="141" width="18.5" bestFit="1" customWidth="1"/>
    <col min="142" max="142" width="13.75" bestFit="1" customWidth="1"/>
    <col min="143" max="143" width="18.5" bestFit="1" customWidth="1"/>
    <col min="144" max="144" width="8.875" bestFit="1" customWidth="1"/>
    <col min="145" max="145" width="13.75" bestFit="1" customWidth="1"/>
    <col min="146" max="146" width="18.5" bestFit="1" customWidth="1"/>
    <col min="147" max="147" width="8.875" bestFit="1" customWidth="1"/>
    <col min="148" max="148" width="12.75" customWidth="1"/>
    <col min="149" max="149" width="15.5" customWidth="1"/>
    <col min="150" max="150" width="11.75" customWidth="1"/>
    <col min="151" max="151" width="14.5" customWidth="1"/>
    <col min="152" max="152" width="12.75" customWidth="1"/>
    <col min="153" max="153" width="15.5" customWidth="1"/>
    <col min="154" max="154" width="12.75" customWidth="1"/>
    <col min="155" max="155" width="15.5" customWidth="1"/>
    <col min="156" max="156" width="11.75" customWidth="1"/>
    <col min="157" max="157" width="14.5" customWidth="1"/>
    <col min="158" max="158" width="11.75" customWidth="1"/>
    <col min="159" max="159" width="14.5" customWidth="1"/>
    <col min="160" max="160" width="11.75" customWidth="1"/>
    <col min="161" max="161" width="14.5" customWidth="1"/>
    <col min="162" max="162" width="11.75" customWidth="1"/>
    <col min="163" max="163" width="14.5" customWidth="1"/>
    <col min="164" max="164" width="11.75" customWidth="1"/>
    <col min="165" max="165" width="14.5" customWidth="1"/>
    <col min="166" max="166" width="11.75" customWidth="1"/>
    <col min="167" max="167" width="14.5" customWidth="1"/>
    <col min="168" max="168" width="11.75" customWidth="1"/>
    <col min="169" max="169" width="14.5" customWidth="1"/>
    <col min="170" max="170" width="10.75" customWidth="1"/>
    <col min="171" max="171" width="13.5" customWidth="1"/>
    <col min="172" max="172" width="11.75" customWidth="1"/>
    <col min="173" max="173" width="14.5" customWidth="1"/>
    <col min="174" max="174" width="11.75" customWidth="1"/>
    <col min="175" max="175" width="14.5" customWidth="1"/>
    <col min="176" max="176" width="11.75" customWidth="1"/>
    <col min="177" max="177" width="14.5" customWidth="1"/>
    <col min="178" max="178" width="11.75" customWidth="1"/>
    <col min="179" max="179" width="14.5" customWidth="1"/>
    <col min="180" max="180" width="11.75" customWidth="1"/>
    <col min="181" max="181" width="14.5" customWidth="1"/>
    <col min="182" max="182" width="11.75" customWidth="1"/>
    <col min="183" max="183" width="14.5" customWidth="1"/>
    <col min="184" max="184" width="11.75" customWidth="1"/>
    <col min="185" max="185" width="14.5" customWidth="1"/>
    <col min="186" max="186" width="11.75" customWidth="1"/>
    <col min="187" max="187" width="14.5" customWidth="1"/>
    <col min="188" max="188" width="11.75" customWidth="1"/>
    <col min="189" max="189" width="14.5" customWidth="1"/>
    <col min="190" max="190" width="11.75" customWidth="1"/>
    <col min="191" max="191" width="14.5" customWidth="1"/>
    <col min="192" max="192" width="12.75" customWidth="1"/>
    <col min="193" max="193" width="15.5" customWidth="1"/>
    <col min="194" max="194" width="12.75" customWidth="1"/>
    <col min="195" max="195" width="15.5" customWidth="1"/>
    <col min="196" max="196" width="12.75" customWidth="1"/>
    <col min="197" max="197" width="15.5" customWidth="1"/>
    <col min="198" max="198" width="10.75" customWidth="1"/>
  </cols>
  <sheetData>
    <row r="3" spans="1:2">
      <c r="A3" s="39" t="s">
        <v>247</v>
      </c>
      <c r="B3" s="37" t="s">
        <v>248</v>
      </c>
    </row>
    <row r="4" spans="1:2">
      <c r="A4" s="40" t="s">
        <v>6</v>
      </c>
      <c r="B4" s="37">
        <v>26600</v>
      </c>
    </row>
    <row r="5" spans="1:2">
      <c r="A5" s="40" t="s">
        <v>5</v>
      </c>
      <c r="B5" s="37">
        <v>30550</v>
      </c>
    </row>
    <row r="6" spans="1:2">
      <c r="A6" s="40" t="s">
        <v>4</v>
      </c>
      <c r="B6" s="37">
        <v>41300</v>
      </c>
    </row>
    <row r="7" spans="1:2">
      <c r="A7" s="40" t="s">
        <v>7</v>
      </c>
      <c r="B7" s="37">
        <v>27400</v>
      </c>
    </row>
    <row r="8" spans="1:2">
      <c r="A8" s="40" t="s">
        <v>8</v>
      </c>
      <c r="B8" s="37">
        <v>28200</v>
      </c>
    </row>
    <row r="9" spans="1:2">
      <c r="A9" s="40" t="s">
        <v>249</v>
      </c>
      <c r="B9" s="37">
        <v>154050</v>
      </c>
    </row>
    <row r="13" spans="1:2">
      <c r="A13" s="28" t="s">
        <v>247</v>
      </c>
      <c r="B13" s="96" t="s">
        <v>250</v>
      </c>
    </row>
    <row r="14" spans="1:2">
      <c r="A14" s="29" t="s">
        <v>6</v>
      </c>
      <c r="B14" s="96">
        <v>1401</v>
      </c>
    </row>
    <row r="15" spans="1:2">
      <c r="A15" s="29" t="s">
        <v>5</v>
      </c>
      <c r="B15" s="96">
        <v>1704</v>
      </c>
    </row>
    <row r="16" spans="1:2">
      <c r="A16" s="29" t="s">
        <v>4</v>
      </c>
      <c r="B16" s="96">
        <v>2242</v>
      </c>
    </row>
    <row r="17" spans="1:2">
      <c r="A17" s="29" t="s">
        <v>7</v>
      </c>
      <c r="B17" s="96">
        <v>1581</v>
      </c>
    </row>
    <row r="18" spans="1:2">
      <c r="A18" s="29" t="s">
        <v>8</v>
      </c>
      <c r="B18" s="96">
        <v>1592</v>
      </c>
    </row>
    <row r="19" spans="1:2">
      <c r="A19" s="29" t="s">
        <v>249</v>
      </c>
      <c r="B19" s="96">
        <v>8520</v>
      </c>
    </row>
    <row r="22" spans="1:2">
      <c r="A22" s="28" t="s">
        <v>247</v>
      </c>
      <c r="B22" s="96" t="s">
        <v>251</v>
      </c>
    </row>
    <row r="23" spans="1:2">
      <c r="A23" s="29" t="s">
        <v>6</v>
      </c>
      <c r="B23" s="96">
        <v>16</v>
      </c>
    </row>
    <row r="24" spans="1:2">
      <c r="A24" s="29" t="s">
        <v>5</v>
      </c>
      <c r="B24" s="96">
        <v>20</v>
      </c>
    </row>
    <row r="25" spans="1:2">
      <c r="A25" s="29" t="s">
        <v>4</v>
      </c>
      <c r="B25" s="96">
        <v>26</v>
      </c>
    </row>
    <row r="26" spans="1:2">
      <c r="A26" s="29" t="s">
        <v>7</v>
      </c>
      <c r="B26" s="96">
        <v>19</v>
      </c>
    </row>
    <row r="27" spans="1:2">
      <c r="A27" s="29" t="s">
        <v>8</v>
      </c>
      <c r="B27" s="96">
        <v>19</v>
      </c>
    </row>
    <row r="28" spans="1:2">
      <c r="A28" s="29" t="s">
        <v>249</v>
      </c>
      <c r="B28" s="96">
        <v>100</v>
      </c>
    </row>
    <row r="31" spans="1:2">
      <c r="A31" s="28" t="s">
        <v>247</v>
      </c>
      <c r="B31" s="96" t="s">
        <v>250</v>
      </c>
    </row>
    <row r="32" spans="1:2">
      <c r="A32" s="29" t="s">
        <v>252</v>
      </c>
      <c r="B32" s="96">
        <v>445</v>
      </c>
    </row>
    <row r="33" spans="1:5">
      <c r="A33" s="29" t="s">
        <v>253</v>
      </c>
      <c r="B33" s="96">
        <v>516</v>
      </c>
      <c r="C33" s="96"/>
      <c r="D33" s="96"/>
      <c r="E33" s="96"/>
    </row>
    <row r="34" spans="1:5">
      <c r="A34" s="29" t="s">
        <v>254</v>
      </c>
      <c r="B34" s="96">
        <v>352</v>
      </c>
      <c r="C34" s="96"/>
      <c r="D34" s="96"/>
      <c r="E34" s="96"/>
    </row>
    <row r="35" spans="1:5">
      <c r="A35" s="29" t="s">
        <v>255</v>
      </c>
      <c r="B35" s="96">
        <v>88</v>
      </c>
      <c r="C35" s="96"/>
      <c r="D35" s="96"/>
      <c r="E35" s="96"/>
    </row>
    <row r="36" spans="1:5">
      <c r="A36" s="29" t="s">
        <v>249</v>
      </c>
      <c r="B36" s="96">
        <v>1401</v>
      </c>
      <c r="C36" s="96"/>
      <c r="D36" s="96"/>
      <c r="E36" s="96"/>
    </row>
    <row r="38" spans="1:5">
      <c r="A38" s="28" t="s">
        <v>247</v>
      </c>
      <c r="B38" s="96" t="s">
        <v>250</v>
      </c>
      <c r="C38" s="96" t="s">
        <v>248</v>
      </c>
      <c r="D38" s="96" t="s">
        <v>256</v>
      </c>
      <c r="E38" s="96"/>
    </row>
    <row r="39" spans="1:5">
      <c r="A39" s="29" t="s">
        <v>252</v>
      </c>
      <c r="B39" s="96">
        <v>1439</v>
      </c>
      <c r="C39" s="96">
        <v>26400</v>
      </c>
      <c r="D39" s="96">
        <v>189</v>
      </c>
      <c r="E39" s="96"/>
    </row>
    <row r="40" spans="1:5">
      <c r="A40" s="29" t="s">
        <v>253</v>
      </c>
      <c r="B40" s="96">
        <v>2612</v>
      </c>
      <c r="C40" s="96">
        <v>47050</v>
      </c>
      <c r="D40" s="96">
        <v>329</v>
      </c>
      <c r="E40" s="96"/>
    </row>
    <row r="41" spans="1:5">
      <c r="A41" s="29" t="s">
        <v>254</v>
      </c>
      <c r="B41" s="96">
        <v>2662</v>
      </c>
      <c r="C41" s="96">
        <v>47950</v>
      </c>
      <c r="D41" s="96">
        <v>339</v>
      </c>
      <c r="E41" s="96"/>
    </row>
    <row r="42" spans="1:5">
      <c r="A42" s="29" t="s">
        <v>255</v>
      </c>
      <c r="B42" s="96">
        <v>1807</v>
      </c>
      <c r="C42" s="96">
        <v>32650</v>
      </c>
      <c r="D42" s="96">
        <v>211</v>
      </c>
      <c r="E42" s="96"/>
    </row>
    <row r="43" spans="1:5">
      <c r="A43" s="29" t="s">
        <v>249</v>
      </c>
      <c r="B43" s="96">
        <v>8520</v>
      </c>
      <c r="C43" s="96">
        <v>154050</v>
      </c>
      <c r="D43" s="96">
        <v>1068</v>
      </c>
      <c r="E43" s="96"/>
    </row>
    <row r="46" spans="1:5">
      <c r="A46" s="28" t="s">
        <v>247</v>
      </c>
      <c r="B46" s="96" t="s">
        <v>251</v>
      </c>
      <c r="C46" s="96" t="s">
        <v>248</v>
      </c>
      <c r="D46" s="96" t="s">
        <v>256</v>
      </c>
      <c r="E46" s="96" t="s">
        <v>250</v>
      </c>
    </row>
    <row r="47" spans="1:5">
      <c r="A47" s="29" t="s">
        <v>20</v>
      </c>
      <c r="B47" s="96">
        <v>50</v>
      </c>
      <c r="C47" s="96">
        <v>77900</v>
      </c>
      <c r="D47" s="96">
        <v>535</v>
      </c>
      <c r="E47" s="96">
        <v>4293</v>
      </c>
    </row>
    <row r="48" spans="1:5">
      <c r="A48" s="29" t="s">
        <v>18</v>
      </c>
      <c r="B48" s="96">
        <v>50</v>
      </c>
      <c r="C48" s="96">
        <v>76150</v>
      </c>
      <c r="D48" s="96">
        <v>533</v>
      </c>
      <c r="E48" s="96">
        <v>4227</v>
      </c>
    </row>
    <row r="49" spans="1:5">
      <c r="A49" s="29" t="s">
        <v>249</v>
      </c>
      <c r="B49" s="96">
        <v>100</v>
      </c>
      <c r="C49" s="96">
        <v>154050</v>
      </c>
      <c r="D49" s="96">
        <v>1068</v>
      </c>
      <c r="E49" s="96">
        <v>8520</v>
      </c>
    </row>
    <row r="52" spans="1:5">
      <c r="A52" s="28" t="s">
        <v>256</v>
      </c>
      <c r="B52" s="28" t="s">
        <v>257</v>
      </c>
      <c r="C52" s="96"/>
      <c r="D52" s="96"/>
      <c r="E52" s="96"/>
    </row>
    <row r="53" spans="1:5">
      <c r="A53" s="28" t="s">
        <v>247</v>
      </c>
      <c r="B53" s="96" t="s">
        <v>20</v>
      </c>
      <c r="C53" s="96" t="s">
        <v>18</v>
      </c>
      <c r="D53" s="96" t="s">
        <v>249</v>
      </c>
      <c r="E53" s="96"/>
    </row>
    <row r="54" spans="1:5">
      <c r="A54" s="29">
        <v>2019</v>
      </c>
      <c r="B54" s="96">
        <v>45</v>
      </c>
      <c r="C54" s="96">
        <v>144</v>
      </c>
      <c r="D54" s="96">
        <v>189</v>
      </c>
      <c r="E54" s="96"/>
    </row>
    <row r="55" spans="1:5">
      <c r="A55" s="29">
        <v>2020</v>
      </c>
      <c r="B55" s="96">
        <v>121</v>
      </c>
      <c r="C55" s="96">
        <v>208</v>
      </c>
      <c r="D55" s="96">
        <v>329</v>
      </c>
      <c r="E55" s="96"/>
    </row>
    <row r="56" spans="1:5">
      <c r="A56" s="29">
        <v>2021</v>
      </c>
      <c r="B56" s="96">
        <v>217</v>
      </c>
      <c r="C56" s="96">
        <v>122</v>
      </c>
      <c r="D56" s="96">
        <v>339</v>
      </c>
      <c r="E56" s="96"/>
    </row>
    <row r="57" spans="1:5">
      <c r="A57" s="29">
        <v>2022</v>
      </c>
      <c r="B57" s="96">
        <v>152</v>
      </c>
      <c r="C57" s="96">
        <v>59</v>
      </c>
      <c r="D57" s="96">
        <v>211</v>
      </c>
      <c r="E57" s="96"/>
    </row>
    <row r="58" spans="1:5">
      <c r="A58" s="29" t="s">
        <v>249</v>
      </c>
      <c r="B58" s="96">
        <v>535</v>
      </c>
      <c r="C58" s="96">
        <v>533</v>
      </c>
      <c r="D58" s="96">
        <v>1068</v>
      </c>
      <c r="E58" s="96"/>
    </row>
    <row r="61" spans="1:5">
      <c r="A61" s="28" t="s">
        <v>247</v>
      </c>
      <c r="B61" s="96" t="s">
        <v>258</v>
      </c>
      <c r="C61" s="96" t="s">
        <v>259</v>
      </c>
      <c r="D61" s="96"/>
      <c r="E61" s="96"/>
    </row>
    <row r="62" spans="1:5">
      <c r="A62" s="29" t="s">
        <v>20</v>
      </c>
      <c r="B62" s="96">
        <v>1558</v>
      </c>
      <c r="C62" s="36">
        <v>85.86</v>
      </c>
      <c r="D62" s="96"/>
      <c r="E62" s="96"/>
    </row>
    <row r="63" spans="1:5">
      <c r="A63" s="29" t="s">
        <v>18</v>
      </c>
      <c r="B63" s="96">
        <v>1523</v>
      </c>
      <c r="C63" s="36">
        <v>84.54</v>
      </c>
      <c r="D63" s="96"/>
      <c r="E63" s="96"/>
    </row>
    <row r="64" spans="1:5">
      <c r="A64" s="29" t="s">
        <v>249</v>
      </c>
      <c r="B64" s="36">
        <v>1540.5</v>
      </c>
      <c r="C64" s="36">
        <v>85.2</v>
      </c>
      <c r="D64" s="96"/>
      <c r="E64" s="96"/>
    </row>
    <row r="66" spans="1:7">
      <c r="A66" s="28" t="s">
        <v>247</v>
      </c>
      <c r="B66" s="96" t="s">
        <v>258</v>
      </c>
      <c r="C66" s="96" t="s">
        <v>260</v>
      </c>
      <c r="D66" s="96" t="s">
        <v>259</v>
      </c>
      <c r="E66" s="96"/>
      <c r="F66" s="96"/>
      <c r="G66" s="96"/>
    </row>
    <row r="67" spans="1:7">
      <c r="A67" s="29" t="s">
        <v>20</v>
      </c>
      <c r="B67" s="96">
        <v>1558</v>
      </c>
      <c r="C67" s="36">
        <v>10.7</v>
      </c>
      <c r="D67" s="36">
        <v>85.86</v>
      </c>
      <c r="E67" s="96"/>
      <c r="F67" s="96"/>
      <c r="G67" s="96"/>
    </row>
    <row r="68" spans="1:7">
      <c r="A68" s="29" t="s">
        <v>18</v>
      </c>
      <c r="B68" s="96">
        <v>1523</v>
      </c>
      <c r="C68" s="36">
        <v>10.66</v>
      </c>
      <c r="D68" s="36">
        <v>84.54</v>
      </c>
      <c r="E68" s="96"/>
      <c r="F68" s="96"/>
      <c r="G68" s="96"/>
    </row>
    <row r="69" spans="1:7">
      <c r="A69" s="29" t="s">
        <v>249</v>
      </c>
      <c r="B69" s="96">
        <v>1540.5</v>
      </c>
      <c r="C69" s="36">
        <v>10.68</v>
      </c>
      <c r="D69" s="36">
        <v>85.2</v>
      </c>
      <c r="E69" s="96"/>
      <c r="F69" s="96"/>
      <c r="G69" s="96"/>
    </row>
    <row r="72" spans="1:7">
      <c r="A72" s="28" t="s">
        <v>261</v>
      </c>
      <c r="B72" s="28" t="s">
        <v>257</v>
      </c>
      <c r="C72" s="96"/>
      <c r="D72" s="96"/>
      <c r="E72" s="96"/>
      <c r="F72" s="96"/>
      <c r="G72" s="96"/>
    </row>
    <row r="73" spans="1:7">
      <c r="A73" s="28" t="s">
        <v>247</v>
      </c>
      <c r="B73" s="96" t="s">
        <v>6</v>
      </c>
      <c r="C73" s="96" t="s">
        <v>5</v>
      </c>
      <c r="D73" s="96" t="s">
        <v>4</v>
      </c>
      <c r="E73" s="96" t="s">
        <v>7</v>
      </c>
      <c r="F73" s="96" t="s">
        <v>8</v>
      </c>
      <c r="G73" s="96" t="s">
        <v>249</v>
      </c>
    </row>
    <row r="74" spans="1:7">
      <c r="A74" s="29" t="s">
        <v>252</v>
      </c>
      <c r="B74" s="96">
        <v>5</v>
      </c>
      <c r="C74" s="96">
        <v>5</v>
      </c>
      <c r="D74" s="96">
        <v>2</v>
      </c>
      <c r="E74" s="96">
        <v>3</v>
      </c>
      <c r="F74" s="96">
        <v>2</v>
      </c>
      <c r="G74" s="96">
        <v>17</v>
      </c>
    </row>
    <row r="75" spans="1:7">
      <c r="A75" s="29" t="s">
        <v>253</v>
      </c>
      <c r="B75" s="96">
        <v>6</v>
      </c>
      <c r="C75" s="96">
        <v>6</v>
      </c>
      <c r="D75" s="96">
        <v>7</v>
      </c>
      <c r="E75" s="96">
        <v>9</v>
      </c>
      <c r="F75" s="96">
        <v>3</v>
      </c>
      <c r="G75" s="96">
        <v>31</v>
      </c>
    </row>
    <row r="76" spans="1:7">
      <c r="A76" s="29" t="s">
        <v>254</v>
      </c>
      <c r="B76" s="96">
        <v>4</v>
      </c>
      <c r="C76" s="96">
        <v>7</v>
      </c>
      <c r="D76" s="96">
        <v>7</v>
      </c>
      <c r="E76" s="96">
        <v>4</v>
      </c>
      <c r="F76" s="96">
        <v>9</v>
      </c>
      <c r="G76" s="96">
        <v>31</v>
      </c>
    </row>
    <row r="77" spans="1:7">
      <c r="A77" s="29" t="s">
        <v>255</v>
      </c>
      <c r="B77" s="96">
        <v>1</v>
      </c>
      <c r="C77" s="96">
        <v>2</v>
      </c>
      <c r="D77" s="96">
        <v>10</v>
      </c>
      <c r="E77" s="96">
        <v>3</v>
      </c>
      <c r="F77" s="96">
        <v>5</v>
      </c>
      <c r="G77" s="96">
        <v>21</v>
      </c>
    </row>
    <row r="78" spans="1:7">
      <c r="A78" s="29" t="s">
        <v>249</v>
      </c>
      <c r="B78" s="96">
        <v>16</v>
      </c>
      <c r="C78" s="96">
        <v>20</v>
      </c>
      <c r="D78" s="96">
        <v>26</v>
      </c>
      <c r="E78" s="96">
        <v>19</v>
      </c>
      <c r="F78" s="96">
        <v>19</v>
      </c>
      <c r="G78" s="96">
        <v>100</v>
      </c>
    </row>
  </sheetData>
  <pageMargins left="0.7" right="0.7" top="0.75" bottom="0.75" header="0.3" footer="0.3"/>
  <drawing r:id="rId1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66D933-B69A-4D99-B849-7A3B196CC765}">
  <sheetPr codeName="Sheet7"/>
  <dimension ref="A1:G11"/>
  <sheetViews>
    <sheetView topLeftCell="C1" workbookViewId="0">
      <selection activeCell="A14" sqref="A14"/>
    </sheetView>
  </sheetViews>
  <sheetFormatPr defaultRowHeight="18"/>
  <cols>
    <col min="1" max="1" width="14.75" bestFit="1" customWidth="1"/>
    <col min="2" max="2" width="21.25" bestFit="1" customWidth="1"/>
    <col min="3" max="3" width="21.875" bestFit="1" customWidth="1"/>
    <col min="4" max="4" width="18.75" bestFit="1" customWidth="1"/>
    <col min="5" max="5" width="22.5" bestFit="1" customWidth="1"/>
    <col min="6" max="6" width="10.5" bestFit="1" customWidth="1"/>
    <col min="7" max="7" width="14.875" bestFit="1" customWidth="1"/>
  </cols>
  <sheetData>
    <row r="1" spans="1:7">
      <c r="A1" s="96" t="s">
        <v>11</v>
      </c>
      <c r="B1" s="57" t="s">
        <v>12</v>
      </c>
      <c r="C1" s="96" t="s">
        <v>13</v>
      </c>
      <c r="D1" s="37" t="s">
        <v>14</v>
      </c>
      <c r="E1" s="96" t="s">
        <v>15</v>
      </c>
      <c r="F1" s="96" t="s">
        <v>16</v>
      </c>
      <c r="G1" s="96" t="s">
        <v>1</v>
      </c>
    </row>
    <row r="2" spans="1:7">
      <c r="A2" s="96" t="s">
        <v>17</v>
      </c>
      <c r="B2" s="92">
        <v>93</v>
      </c>
      <c r="C2" s="96">
        <v>14</v>
      </c>
      <c r="D2" s="37">
        <v>1750</v>
      </c>
      <c r="E2" s="96">
        <v>99</v>
      </c>
      <c r="F2" s="96" t="s">
        <v>18</v>
      </c>
      <c r="G2" s="96" t="s">
        <v>6</v>
      </c>
    </row>
    <row r="3" spans="1:7">
      <c r="A3" s="96" t="s">
        <v>19</v>
      </c>
      <c r="B3" s="92">
        <v>92</v>
      </c>
      <c r="C3" s="96">
        <v>15</v>
      </c>
      <c r="D3" s="37">
        <v>1850</v>
      </c>
      <c r="E3" s="96">
        <v>99</v>
      </c>
      <c r="F3" s="96" t="s">
        <v>20</v>
      </c>
      <c r="G3" s="96" t="s">
        <v>6</v>
      </c>
    </row>
    <row r="4" spans="1:7">
      <c r="A4" s="96" t="s">
        <v>21</v>
      </c>
      <c r="B4" s="92">
        <v>92</v>
      </c>
      <c r="C4" s="96">
        <v>13</v>
      </c>
      <c r="D4" s="37">
        <v>1800</v>
      </c>
      <c r="E4" s="96">
        <v>98</v>
      </c>
      <c r="F4" s="96" t="s">
        <v>18</v>
      </c>
      <c r="G4" s="96" t="s">
        <v>4</v>
      </c>
    </row>
    <row r="5" spans="1:7">
      <c r="A5" s="96" t="s">
        <v>22</v>
      </c>
      <c r="B5" s="92">
        <v>92</v>
      </c>
      <c r="C5" s="96">
        <v>12</v>
      </c>
      <c r="D5" s="37">
        <v>1650</v>
      </c>
      <c r="E5" s="96">
        <v>98</v>
      </c>
      <c r="F5" s="96" t="s">
        <v>20</v>
      </c>
      <c r="G5" s="96" t="s">
        <v>8</v>
      </c>
    </row>
    <row r="6" spans="1:7">
      <c r="A6" s="96" t="s">
        <v>23</v>
      </c>
      <c r="B6" s="92">
        <v>92</v>
      </c>
      <c r="C6" s="96">
        <v>14</v>
      </c>
      <c r="D6" s="37">
        <v>1800</v>
      </c>
      <c r="E6" s="96">
        <v>99</v>
      </c>
      <c r="F6" s="96" t="s">
        <v>18</v>
      </c>
      <c r="G6" s="96" t="s">
        <v>4</v>
      </c>
    </row>
    <row r="7" spans="1:7">
      <c r="A7" s="96" t="s">
        <v>24</v>
      </c>
      <c r="B7" s="92">
        <v>92</v>
      </c>
      <c r="C7" s="96">
        <v>15</v>
      </c>
      <c r="D7" s="37">
        <v>1800</v>
      </c>
      <c r="E7" s="96">
        <v>99</v>
      </c>
      <c r="F7" s="96" t="s">
        <v>18</v>
      </c>
      <c r="G7" s="96" t="s">
        <v>6</v>
      </c>
    </row>
    <row r="8" spans="1:7">
      <c r="A8" s="96" t="s">
        <v>25</v>
      </c>
      <c r="B8" s="92">
        <v>92</v>
      </c>
      <c r="C8" s="96">
        <v>14</v>
      </c>
      <c r="D8" s="37">
        <v>1800</v>
      </c>
      <c r="E8" s="96">
        <v>99</v>
      </c>
      <c r="F8" s="96" t="s">
        <v>20</v>
      </c>
      <c r="G8" s="96" t="s">
        <v>4</v>
      </c>
    </row>
    <row r="9" spans="1:7">
      <c r="A9" s="96" t="s">
        <v>26</v>
      </c>
      <c r="B9" s="92">
        <v>91</v>
      </c>
      <c r="C9" s="96">
        <v>11</v>
      </c>
      <c r="D9" s="37">
        <v>1700</v>
      </c>
      <c r="E9" s="96">
        <v>99</v>
      </c>
      <c r="F9" s="96" t="s">
        <v>20</v>
      </c>
      <c r="G9" s="96" t="s">
        <v>7</v>
      </c>
    </row>
    <row r="10" spans="1:7">
      <c r="A10" s="96" t="s">
        <v>27</v>
      </c>
      <c r="B10" s="92">
        <v>91</v>
      </c>
      <c r="C10" s="96">
        <v>12</v>
      </c>
      <c r="D10" s="37">
        <v>1700</v>
      </c>
      <c r="E10" s="96">
        <v>97</v>
      </c>
      <c r="F10" s="96" t="s">
        <v>20</v>
      </c>
      <c r="G10" s="96" t="s">
        <v>5</v>
      </c>
    </row>
    <row r="11" spans="1:7">
      <c r="A11" s="96" t="s">
        <v>28</v>
      </c>
      <c r="B11" s="92">
        <v>91</v>
      </c>
      <c r="C11" s="96">
        <v>7</v>
      </c>
      <c r="D11" s="37">
        <v>1600</v>
      </c>
      <c r="E11" s="96">
        <v>99</v>
      </c>
      <c r="F11" s="96" t="s">
        <v>20</v>
      </c>
      <c r="G11" s="96" t="s">
        <v>4</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357B3-E0BA-48AF-BAD4-93A8B2BF028F}">
  <dimension ref="A1:T101"/>
  <sheetViews>
    <sheetView topLeftCell="K1" workbookViewId="0">
      <selection activeCell="G9" sqref="G9"/>
    </sheetView>
  </sheetViews>
  <sheetFormatPr defaultRowHeight="18"/>
  <cols>
    <col min="1" max="1" width="16.25" bestFit="1" customWidth="1"/>
    <col min="2" max="2" width="14.75" bestFit="1" customWidth="1"/>
    <col min="3" max="3" width="14.25" bestFit="1" customWidth="1"/>
    <col min="4" max="4" width="12.25" bestFit="1" customWidth="1"/>
    <col min="5" max="5" width="16.25" bestFit="1" customWidth="1"/>
    <col min="6" max="6" width="13.5" bestFit="1" customWidth="1"/>
    <col min="7" max="7" width="22.25" bestFit="1" customWidth="1"/>
    <col min="8" max="8" width="22.75" bestFit="1" customWidth="1"/>
    <col min="9" max="9" width="22.75" customWidth="1"/>
    <col min="10" max="10" width="18.25" style="88" bestFit="1" customWidth="1"/>
    <col min="11" max="11" width="23.5" bestFit="1" customWidth="1"/>
    <col min="13" max="16" width="19.375" customWidth="1"/>
    <col min="17" max="17" width="10.5" style="8" customWidth="1"/>
    <col min="18" max="18" width="33.125" style="8" customWidth="1"/>
    <col min="19" max="19" width="34.5" style="8" customWidth="1"/>
    <col min="23" max="23" width="9.75" customWidth="1"/>
  </cols>
  <sheetData>
    <row r="1" spans="1:19" ht="36">
      <c r="A1" s="1" t="s">
        <v>11</v>
      </c>
      <c r="B1" s="1" t="s">
        <v>29</v>
      </c>
      <c r="C1" s="1" t="s">
        <v>30</v>
      </c>
      <c r="D1" s="1" t="s">
        <v>16</v>
      </c>
      <c r="E1" s="1" t="s">
        <v>1</v>
      </c>
      <c r="F1" s="1" t="s">
        <v>31</v>
      </c>
      <c r="G1" s="1" t="s">
        <v>12</v>
      </c>
      <c r="H1" s="1" t="s">
        <v>13</v>
      </c>
      <c r="I1" s="1" t="s">
        <v>262</v>
      </c>
      <c r="J1" s="91" t="s">
        <v>14</v>
      </c>
      <c r="K1" s="1" t="s">
        <v>15</v>
      </c>
      <c r="L1" s="1" t="s">
        <v>263</v>
      </c>
      <c r="M1" s="1" t="s">
        <v>264</v>
      </c>
      <c r="N1" s="1" t="s">
        <v>239</v>
      </c>
      <c r="O1" s="96" t="s">
        <v>265</v>
      </c>
      <c r="P1" s="96"/>
    </row>
    <row r="2" spans="1:19">
      <c r="A2" s="2" t="s">
        <v>32</v>
      </c>
      <c r="B2" s="2" t="s">
        <v>33</v>
      </c>
      <c r="C2" s="2" t="s">
        <v>34</v>
      </c>
      <c r="D2" s="2" t="s">
        <v>18</v>
      </c>
      <c r="E2" s="2" t="s">
        <v>4</v>
      </c>
      <c r="F2" s="4">
        <v>44242</v>
      </c>
      <c r="G2" s="2">
        <v>85</v>
      </c>
      <c r="H2" s="2">
        <v>12</v>
      </c>
      <c r="I2" s="2" t="str">
        <f>IF(Table1[[#This Row],[ProjectsCompleted]]&gt;10, "Yes","No")</f>
        <v>Yes</v>
      </c>
      <c r="J2" s="90">
        <v>1500</v>
      </c>
      <c r="K2" s="2">
        <v>95</v>
      </c>
      <c r="L2" s="96" t="str">
        <f>IF(Table1[[#This Row],[ProjectsCompleted]]&gt;10, "Yes", "No")</f>
        <v>Yes</v>
      </c>
      <c r="M2" s="96">
        <f ca="1">TODAY()-Table1[[#This Row],[HireDate]]</f>
        <v>1399</v>
      </c>
      <c r="N2" s="96">
        <f>YEAR(Table1[[#This Row],[HireDate]])</f>
        <v>2021</v>
      </c>
      <c r="O2" s="96"/>
      <c r="P2" s="96"/>
    </row>
    <row r="3" spans="1:19">
      <c r="A3" s="2" t="s">
        <v>35</v>
      </c>
      <c r="B3" s="2" t="s">
        <v>36</v>
      </c>
      <c r="C3" s="2" t="s">
        <v>37</v>
      </c>
      <c r="D3" s="2" t="s">
        <v>20</v>
      </c>
      <c r="E3" s="2" t="s">
        <v>5</v>
      </c>
      <c r="F3" s="4">
        <v>44691</v>
      </c>
      <c r="G3" s="2">
        <v>90</v>
      </c>
      <c r="H3" s="2">
        <v>8</v>
      </c>
      <c r="I3" s="2" t="str">
        <f>IF(Table1[[#This Row],[ProjectsCompleted]]&gt;10, "Yes","No")</f>
        <v>No</v>
      </c>
      <c r="J3" s="90">
        <v>1800</v>
      </c>
      <c r="K3" s="2">
        <v>98</v>
      </c>
      <c r="L3" s="96" t="str">
        <f>IF(Table1[[#This Row],[ProjectsCompleted]]&gt;10, "Yes", "No")</f>
        <v>No</v>
      </c>
      <c r="M3" s="96">
        <f ca="1">TODAY()-Table1[[#This Row],[HireDate]]</f>
        <v>950</v>
      </c>
      <c r="N3" s="96">
        <f>YEAR(Table1[[#This Row],[HireDate]])</f>
        <v>2022</v>
      </c>
      <c r="O3" s="96"/>
      <c r="P3" s="96"/>
      <c r="Q3" s="8" t="s">
        <v>266</v>
      </c>
      <c r="R3" s="8" t="s">
        <v>267</v>
      </c>
      <c r="S3" s="8" t="s">
        <v>268</v>
      </c>
    </row>
    <row r="4" spans="1:19">
      <c r="A4" s="2" t="s">
        <v>38</v>
      </c>
      <c r="B4" s="2" t="s">
        <v>39</v>
      </c>
      <c r="C4" s="2" t="s">
        <v>40</v>
      </c>
      <c r="D4" s="2" t="s">
        <v>18</v>
      </c>
      <c r="E4" s="2" t="s">
        <v>7</v>
      </c>
      <c r="F4" s="4">
        <v>44032</v>
      </c>
      <c r="G4" s="2">
        <v>75</v>
      </c>
      <c r="H4" s="2">
        <v>10</v>
      </c>
      <c r="I4" s="2" t="str">
        <f>IF(Table1[[#This Row],[ProjectsCompleted]]&gt;10, "Yes","No")</f>
        <v>No</v>
      </c>
      <c r="J4" s="90">
        <v>1200</v>
      </c>
      <c r="K4" s="2">
        <v>92</v>
      </c>
      <c r="L4" s="96" t="str">
        <f>IF(Table1[[#This Row],[ProjectsCompleted]]&gt;10, "Yes", "No")</f>
        <v>No</v>
      </c>
      <c r="M4" s="96">
        <f ca="1">TODAY()-Table1[[#This Row],[HireDate]]</f>
        <v>1609</v>
      </c>
      <c r="N4" s="96">
        <f>YEAR(Table1[[#This Row],[HireDate]])</f>
        <v>2020</v>
      </c>
      <c r="O4" s="96"/>
      <c r="P4" s="96"/>
      <c r="Q4" s="9" t="s">
        <v>269</v>
      </c>
      <c r="R4" s="18" t="s">
        <v>270</v>
      </c>
      <c r="S4" s="11">
        <f>COUNTA(Table1[EmployeeID])</f>
        <v>100</v>
      </c>
    </row>
    <row r="5" spans="1:19">
      <c r="A5" s="2" t="s">
        <v>41</v>
      </c>
      <c r="B5" s="2" t="s">
        <v>42</v>
      </c>
      <c r="C5" s="2" t="s">
        <v>43</v>
      </c>
      <c r="D5" s="2" t="s">
        <v>20</v>
      </c>
      <c r="E5" s="2" t="s">
        <v>4</v>
      </c>
      <c r="F5" s="4">
        <v>43804</v>
      </c>
      <c r="G5" s="2">
        <v>88</v>
      </c>
      <c r="H5" s="2">
        <v>15</v>
      </c>
      <c r="I5" s="2" t="str">
        <f>IF(Table1[[#This Row],[ProjectsCompleted]]&gt;10, "Yes","No")</f>
        <v>Yes</v>
      </c>
      <c r="J5" s="90">
        <v>2000</v>
      </c>
      <c r="K5" s="2">
        <v>97</v>
      </c>
      <c r="L5" s="96" t="str">
        <f>IF(Table1[[#This Row],[ProjectsCompleted]]&gt;10, "Yes", "No")</f>
        <v>Yes</v>
      </c>
      <c r="M5" s="96">
        <f ca="1">TODAY()-Table1[[#This Row],[HireDate]]</f>
        <v>1837</v>
      </c>
      <c r="N5" s="96">
        <f>YEAR(Table1[[#This Row],[HireDate]])</f>
        <v>2019</v>
      </c>
      <c r="O5" s="96"/>
      <c r="P5" s="96"/>
      <c r="Q5" s="9" t="s">
        <v>271</v>
      </c>
      <c r="R5" s="18"/>
      <c r="S5" s="11">
        <f>SUM(Table1[BonusAmount])</f>
        <v>154050</v>
      </c>
    </row>
    <row r="6" spans="1:19">
      <c r="A6" s="2" t="s">
        <v>17</v>
      </c>
      <c r="B6" s="2" t="s">
        <v>44</v>
      </c>
      <c r="C6" s="2" t="s">
        <v>45</v>
      </c>
      <c r="D6" s="2" t="s">
        <v>18</v>
      </c>
      <c r="E6" s="2" t="s">
        <v>6</v>
      </c>
      <c r="F6" s="4">
        <v>44214</v>
      </c>
      <c r="G6" s="2">
        <v>93</v>
      </c>
      <c r="H6" s="2">
        <v>14</v>
      </c>
      <c r="I6" s="2" t="str">
        <f>IF(Table1[[#This Row],[ProjectsCompleted]]&gt;10, "Yes","No")</f>
        <v>Yes</v>
      </c>
      <c r="J6" s="90">
        <v>1750</v>
      </c>
      <c r="K6" s="2">
        <v>99</v>
      </c>
      <c r="L6" s="96" t="str">
        <f>IF(Table1[[#This Row],[ProjectsCompleted]]&gt;10, "Yes", "No")</f>
        <v>Yes</v>
      </c>
      <c r="M6" s="96">
        <f ca="1">TODAY()-Table1[[#This Row],[HireDate]]</f>
        <v>1427</v>
      </c>
      <c r="N6" s="96">
        <f>YEAR(Table1[[#This Row],[HireDate]])</f>
        <v>2021</v>
      </c>
      <c r="O6" s="96"/>
      <c r="P6" s="96"/>
      <c r="Q6" s="9" t="s">
        <v>272</v>
      </c>
      <c r="R6" s="18" t="s">
        <v>273</v>
      </c>
      <c r="S6" s="11"/>
    </row>
    <row r="7" spans="1:19" ht="16.149999999999999" customHeight="1">
      <c r="A7" s="2" t="s">
        <v>46</v>
      </c>
      <c r="B7" s="2" t="s">
        <v>47</v>
      </c>
      <c r="C7" s="2" t="s">
        <v>48</v>
      </c>
      <c r="D7" s="2" t="s">
        <v>20</v>
      </c>
      <c r="E7" s="2" t="s">
        <v>5</v>
      </c>
      <c r="F7" s="4">
        <v>44065</v>
      </c>
      <c r="G7" s="2">
        <v>80</v>
      </c>
      <c r="H7" s="2">
        <v>9</v>
      </c>
      <c r="I7" s="2" t="str">
        <f>IF(Table1[[#This Row],[ProjectsCompleted]]&gt;10, "Yes","No")</f>
        <v>No</v>
      </c>
      <c r="J7" s="90">
        <v>1300</v>
      </c>
      <c r="K7" s="2">
        <v>94</v>
      </c>
      <c r="L7" s="96" t="str">
        <f>IF(Table1[[#This Row],[ProjectsCompleted]]&gt;10, "Yes", "No")</f>
        <v>No</v>
      </c>
      <c r="M7" s="96">
        <f ca="1">TODAY()-Table1[[#This Row],[HireDate]]</f>
        <v>1576</v>
      </c>
      <c r="N7" s="96">
        <f>YEAR(Table1[[#This Row],[HireDate]])</f>
        <v>2020</v>
      </c>
      <c r="O7" s="96"/>
      <c r="P7" s="96"/>
      <c r="Q7" s="10" t="s">
        <v>274</v>
      </c>
      <c r="R7" s="19" t="s">
        <v>275</v>
      </c>
      <c r="S7" s="14">
        <f>MAX(Table1[ProjectsCompleted])</f>
        <v>15</v>
      </c>
    </row>
    <row r="8" spans="1:19" ht="36">
      <c r="A8" s="2" t="s">
        <v>49</v>
      </c>
      <c r="B8" s="2" t="s">
        <v>50</v>
      </c>
      <c r="C8" s="2" t="s">
        <v>51</v>
      </c>
      <c r="D8" s="2" t="s">
        <v>18</v>
      </c>
      <c r="E8" s="2" t="s">
        <v>8</v>
      </c>
      <c r="F8" s="4">
        <v>44269</v>
      </c>
      <c r="G8" s="2">
        <v>82</v>
      </c>
      <c r="H8" s="2">
        <v>11</v>
      </c>
      <c r="I8" s="2" t="str">
        <f>IF(Table1[[#This Row],[ProjectsCompleted]]&gt;10, "Yes","No")</f>
        <v>Yes</v>
      </c>
      <c r="J8" s="90">
        <v>1400</v>
      </c>
      <c r="K8" s="2">
        <v>96</v>
      </c>
      <c r="L8" s="96" t="str">
        <f>IF(Table1[[#This Row],[ProjectsCompleted]]&gt;10, "Yes", "No")</f>
        <v>Yes</v>
      </c>
      <c r="M8" s="96">
        <f ca="1">TODAY()-Table1[[#This Row],[HireDate]]</f>
        <v>1372</v>
      </c>
      <c r="N8" s="96">
        <f>YEAR(Table1[[#This Row],[HireDate]])</f>
        <v>2021</v>
      </c>
      <c r="O8" s="96"/>
      <c r="P8" s="96"/>
      <c r="Q8" s="9" t="s">
        <v>276</v>
      </c>
      <c r="R8" s="18" t="s">
        <v>277</v>
      </c>
      <c r="S8" s="15">
        <f>SUMIF(Table1[Department],"IT",Table1[ProjectsCompleted])</f>
        <v>289</v>
      </c>
    </row>
    <row r="9" spans="1:19">
      <c r="A9" s="2" t="s">
        <v>28</v>
      </c>
      <c r="B9" s="2" t="s">
        <v>52</v>
      </c>
      <c r="C9" s="2" t="s">
        <v>53</v>
      </c>
      <c r="D9" s="2" t="s">
        <v>20</v>
      </c>
      <c r="E9" s="2" t="s">
        <v>4</v>
      </c>
      <c r="F9" s="4">
        <v>44723</v>
      </c>
      <c r="G9" s="2">
        <v>91</v>
      </c>
      <c r="H9" s="2">
        <v>7</v>
      </c>
      <c r="I9" s="2" t="str">
        <f>IF(Table1[[#This Row],[ProjectsCompleted]]&gt;10, "Yes","No")</f>
        <v>No</v>
      </c>
      <c r="J9" s="90">
        <v>1600</v>
      </c>
      <c r="K9" s="2">
        <v>99</v>
      </c>
      <c r="L9" s="96" t="str">
        <f>IF(Table1[[#This Row],[ProjectsCompleted]]&gt;10, "Yes", "No")</f>
        <v>No</v>
      </c>
      <c r="M9" s="96">
        <f ca="1">TODAY()-Table1[[#This Row],[HireDate]]</f>
        <v>918</v>
      </c>
      <c r="N9" s="96">
        <f>YEAR(Table1[[#This Row],[HireDate]])</f>
        <v>2022</v>
      </c>
      <c r="O9" s="96"/>
      <c r="P9" s="96"/>
      <c r="Q9" s="10" t="s">
        <v>278</v>
      </c>
      <c r="R9" s="19" t="s">
        <v>264</v>
      </c>
      <c r="S9" s="14"/>
    </row>
    <row r="10" spans="1:19">
      <c r="A10" s="2" t="s">
        <v>54</v>
      </c>
      <c r="B10" s="2" t="s">
        <v>55</v>
      </c>
      <c r="C10" s="2" t="s">
        <v>56</v>
      </c>
      <c r="D10" s="2" t="s">
        <v>18</v>
      </c>
      <c r="E10" s="2" t="s">
        <v>7</v>
      </c>
      <c r="F10" s="4">
        <v>43739</v>
      </c>
      <c r="G10" s="2">
        <v>89</v>
      </c>
      <c r="H10" s="2">
        <v>13</v>
      </c>
      <c r="I10" s="2" t="str">
        <f>IF(Table1[[#This Row],[ProjectsCompleted]]&gt;10, "Yes","No")</f>
        <v>Yes</v>
      </c>
      <c r="J10" s="90">
        <v>1550</v>
      </c>
      <c r="K10" s="2">
        <v>98</v>
      </c>
      <c r="L10" s="96" t="str">
        <f>IF(Table1[[#This Row],[ProjectsCompleted]]&gt;10, "Yes", "No")</f>
        <v>Yes</v>
      </c>
      <c r="M10" s="96">
        <f ca="1">TODAY()-Table1[[#This Row],[HireDate]]</f>
        <v>1902</v>
      </c>
      <c r="N10" s="96">
        <f>YEAR(Table1[[#This Row],[HireDate]])</f>
        <v>2019</v>
      </c>
      <c r="O10" s="96"/>
      <c r="P10" s="96"/>
      <c r="Q10" s="12" t="s">
        <v>279</v>
      </c>
      <c r="R10" s="19" t="s">
        <v>280</v>
      </c>
      <c r="S10" s="16"/>
    </row>
    <row r="11" spans="1:19">
      <c r="A11" s="2" t="s">
        <v>57</v>
      </c>
      <c r="B11" s="2" t="s">
        <v>58</v>
      </c>
      <c r="C11" s="2" t="s">
        <v>59</v>
      </c>
      <c r="D11" s="2" t="s">
        <v>20</v>
      </c>
      <c r="E11" s="2" t="s">
        <v>6</v>
      </c>
      <c r="F11" s="4">
        <v>43837</v>
      </c>
      <c r="G11" s="2">
        <v>76</v>
      </c>
      <c r="H11" s="2">
        <v>10</v>
      </c>
      <c r="I11" s="2" t="str">
        <f>IF(Table1[[#This Row],[ProjectsCompleted]]&gt;10, "Yes","No")</f>
        <v>No</v>
      </c>
      <c r="J11" s="90">
        <v>1100</v>
      </c>
      <c r="K11" s="2">
        <v>91</v>
      </c>
      <c r="L11" s="96" t="str">
        <f>IF(Table1[[#This Row],[ProjectsCompleted]]&gt;10, "Yes", "No")</f>
        <v>No</v>
      </c>
      <c r="M11" s="96">
        <f ca="1">TODAY()-Table1[[#This Row],[HireDate]]</f>
        <v>1804</v>
      </c>
      <c r="N11" s="96">
        <f>YEAR(Table1[[#This Row],[HireDate]])</f>
        <v>2020</v>
      </c>
      <c r="O11" s="96"/>
      <c r="P11" s="96"/>
      <c r="Q11" s="12" t="s">
        <v>281</v>
      </c>
      <c r="R11" s="20"/>
      <c r="S11" s="17"/>
    </row>
    <row r="12" spans="1:19">
      <c r="A12" s="96" t="s">
        <v>60</v>
      </c>
      <c r="B12" s="96" t="s">
        <v>61</v>
      </c>
      <c r="C12" s="96" t="s">
        <v>62</v>
      </c>
      <c r="D12" s="96" t="s">
        <v>20</v>
      </c>
      <c r="E12" s="96" t="s">
        <v>4</v>
      </c>
      <c r="F12" s="3">
        <v>43845</v>
      </c>
      <c r="G12" s="96">
        <v>84</v>
      </c>
      <c r="H12" s="96">
        <v>11</v>
      </c>
      <c r="I12" s="96" t="str">
        <f>IF(Table1[[#This Row],[ProjectsCompleted]]&gt;10, "Yes","No")</f>
        <v>Yes</v>
      </c>
      <c r="J12" s="88">
        <v>1500</v>
      </c>
      <c r="K12" s="96">
        <v>94</v>
      </c>
      <c r="L12" s="96" t="str">
        <f>IF(Table1[[#This Row],[ProjectsCompleted]]&gt;10, "Yes", "No")</f>
        <v>Yes</v>
      </c>
      <c r="M12" s="96">
        <f ca="1">TODAY()-Table1[[#This Row],[HireDate]]</f>
        <v>1796</v>
      </c>
      <c r="N12" s="96">
        <f>YEAR(Table1[[#This Row],[HireDate]])</f>
        <v>2020</v>
      </c>
      <c r="O12" s="96"/>
      <c r="P12" s="96"/>
      <c r="Q12" s="13" t="s">
        <v>282</v>
      </c>
      <c r="R12" s="20"/>
      <c r="S12" s="17"/>
    </row>
    <row r="13" spans="1:19">
      <c r="A13" s="96" t="s">
        <v>63</v>
      </c>
      <c r="B13" s="96" t="s">
        <v>64</v>
      </c>
      <c r="C13" s="96" t="s">
        <v>65</v>
      </c>
      <c r="D13" s="96" t="s">
        <v>18</v>
      </c>
      <c r="E13" s="96" t="s">
        <v>6</v>
      </c>
      <c r="F13" s="3">
        <v>44249</v>
      </c>
      <c r="G13" s="96">
        <v>89</v>
      </c>
      <c r="H13" s="96">
        <v>14</v>
      </c>
      <c r="I13" s="96" t="str">
        <f>IF(Table1[[#This Row],[ProjectsCompleted]]&gt;10, "Yes","No")</f>
        <v>Yes</v>
      </c>
      <c r="J13" s="88">
        <v>1750</v>
      </c>
      <c r="K13" s="96">
        <v>97</v>
      </c>
      <c r="L13" s="96" t="str">
        <f>IF(Table1[[#This Row],[ProjectsCompleted]]&gt;10, "Yes", "No")</f>
        <v>Yes</v>
      </c>
      <c r="M13" s="96">
        <f ca="1">TODAY()-Table1[[#This Row],[HireDate]]</f>
        <v>1392</v>
      </c>
      <c r="N13" s="96">
        <f>YEAR(Table1[[#This Row],[HireDate]])</f>
        <v>2021</v>
      </c>
      <c r="O13" s="96"/>
      <c r="P13" s="96"/>
      <c r="Q13" s="13" t="s">
        <v>283</v>
      </c>
      <c r="R13" s="20"/>
      <c r="S13" s="17"/>
    </row>
    <row r="14" spans="1:19">
      <c r="A14" s="96" t="s">
        <v>66</v>
      </c>
      <c r="B14" s="96" t="s">
        <v>67</v>
      </c>
      <c r="C14" s="96" t="s">
        <v>68</v>
      </c>
      <c r="D14" s="96" t="s">
        <v>20</v>
      </c>
      <c r="E14" s="96" t="s">
        <v>7</v>
      </c>
      <c r="F14" s="3">
        <v>43687</v>
      </c>
      <c r="G14" s="96">
        <v>78</v>
      </c>
      <c r="H14" s="96">
        <v>8</v>
      </c>
      <c r="I14" s="96" t="str">
        <f>IF(Table1[[#This Row],[ProjectsCompleted]]&gt;10, "Yes","No")</f>
        <v>No</v>
      </c>
      <c r="J14" s="88">
        <v>1250</v>
      </c>
      <c r="K14" s="96">
        <v>90</v>
      </c>
      <c r="L14" s="96" t="str">
        <f>IF(Table1[[#This Row],[ProjectsCompleted]]&gt;10, "Yes", "No")</f>
        <v>No</v>
      </c>
      <c r="M14" s="96">
        <f ca="1">TODAY()-Table1[[#This Row],[HireDate]]</f>
        <v>1954</v>
      </c>
      <c r="N14" s="96">
        <f>YEAR(Table1[[#This Row],[HireDate]])</f>
        <v>2019</v>
      </c>
      <c r="O14" s="96"/>
      <c r="P14" s="96"/>
      <c r="Q14" s="13" t="s">
        <v>284</v>
      </c>
      <c r="R14" s="20"/>
      <c r="S14" s="17"/>
    </row>
    <row r="15" spans="1:19" ht="90">
      <c r="A15" s="96" t="s">
        <v>69</v>
      </c>
      <c r="B15" s="96" t="s">
        <v>70</v>
      </c>
      <c r="C15" s="96" t="s">
        <v>71</v>
      </c>
      <c r="D15" s="96" t="s">
        <v>18</v>
      </c>
      <c r="E15" s="96" t="s">
        <v>5</v>
      </c>
      <c r="F15" s="3">
        <v>43895</v>
      </c>
      <c r="G15" s="96">
        <v>85</v>
      </c>
      <c r="H15" s="96">
        <v>10</v>
      </c>
      <c r="I15" s="96" t="str">
        <f>IF(Table1[[#This Row],[ProjectsCompleted]]&gt;10, "Yes","No")</f>
        <v>No</v>
      </c>
      <c r="J15" s="88">
        <v>1450</v>
      </c>
      <c r="K15" s="96">
        <v>93</v>
      </c>
      <c r="L15" s="96" t="str">
        <f>IF(Table1[[#This Row],[ProjectsCompleted]]&gt;10, "Yes", "No")</f>
        <v>No</v>
      </c>
      <c r="M15" s="96">
        <f ca="1">TODAY()-Table1[[#This Row],[HireDate]]</f>
        <v>1746</v>
      </c>
      <c r="N15" s="96">
        <f>YEAR(Table1[[#This Row],[HireDate]])</f>
        <v>2020</v>
      </c>
      <c r="O15" s="96"/>
      <c r="P15" s="96"/>
      <c r="Q15" s="13" t="s">
        <v>285</v>
      </c>
      <c r="R15" s="20" t="s">
        <v>286</v>
      </c>
      <c r="S15" s="17" t="s">
        <v>287</v>
      </c>
    </row>
    <row r="16" spans="1:19" ht="54">
      <c r="A16" s="96" t="s">
        <v>72</v>
      </c>
      <c r="B16" s="96" t="s">
        <v>36</v>
      </c>
      <c r="C16" s="96" t="s">
        <v>73</v>
      </c>
      <c r="D16" s="96" t="s">
        <v>20</v>
      </c>
      <c r="E16" s="96" t="s">
        <v>8</v>
      </c>
      <c r="F16" s="3">
        <v>44396</v>
      </c>
      <c r="G16" s="96">
        <v>88</v>
      </c>
      <c r="H16" s="96">
        <v>12</v>
      </c>
      <c r="I16" s="96" t="str">
        <f>IF(Table1[[#This Row],[ProjectsCompleted]]&gt;10, "Yes","No")</f>
        <v>Yes</v>
      </c>
      <c r="J16" s="88">
        <v>1600</v>
      </c>
      <c r="K16" s="96">
        <v>96</v>
      </c>
      <c r="L16" s="96" t="str">
        <f>IF(Table1[[#This Row],[ProjectsCompleted]]&gt;10, "Yes", "No")</f>
        <v>Yes</v>
      </c>
      <c r="M16" s="96">
        <f ca="1">TODAY()-Table1[[#This Row],[HireDate]]</f>
        <v>1245</v>
      </c>
      <c r="N16" s="96">
        <f>YEAR(Table1[[#This Row],[HireDate]])</f>
        <v>2021</v>
      </c>
      <c r="O16" s="96"/>
      <c r="P16" s="96"/>
      <c r="Q16" s="13" t="s">
        <v>288</v>
      </c>
      <c r="R16" s="20" t="s">
        <v>289</v>
      </c>
      <c r="S16" s="17">
        <f>COUNTIF(G2:G101, "&gt;90")</f>
        <v>12</v>
      </c>
    </row>
    <row r="17" spans="1:20" ht="54">
      <c r="A17" s="96" t="s">
        <v>21</v>
      </c>
      <c r="B17" s="96" t="s">
        <v>74</v>
      </c>
      <c r="C17" s="96" t="s">
        <v>75</v>
      </c>
      <c r="D17" s="96" t="s">
        <v>18</v>
      </c>
      <c r="E17" s="96" t="s">
        <v>4</v>
      </c>
      <c r="F17" s="3">
        <v>44833</v>
      </c>
      <c r="G17" s="96">
        <v>92</v>
      </c>
      <c r="H17" s="96">
        <v>13</v>
      </c>
      <c r="I17" s="96" t="str">
        <f>IF(Table1[[#This Row],[ProjectsCompleted]]&gt;10, "Yes","No")</f>
        <v>Yes</v>
      </c>
      <c r="J17" s="88">
        <v>1800</v>
      </c>
      <c r="K17" s="96">
        <v>98</v>
      </c>
      <c r="L17" s="96" t="str">
        <f>IF(Table1[[#This Row],[ProjectsCompleted]]&gt;10, "Yes", "No")</f>
        <v>Yes</v>
      </c>
      <c r="M17" s="96">
        <f ca="1">TODAY()-Table1[[#This Row],[HireDate]]</f>
        <v>808</v>
      </c>
      <c r="N17" s="96">
        <f>YEAR(Table1[[#This Row],[HireDate]])</f>
        <v>2022</v>
      </c>
      <c r="O17" s="96"/>
      <c r="P17" s="96"/>
      <c r="Q17" s="13" t="s">
        <v>290</v>
      </c>
      <c r="R17" s="20" t="s">
        <v>291</v>
      </c>
      <c r="S17" s="89">
        <f>SUMIF(E2:E101,"Sales",J2:J101)</f>
        <v>28200</v>
      </c>
      <c r="T17" s="96"/>
    </row>
    <row r="18" spans="1:20" ht="18.600000000000001" thickBot="1">
      <c r="A18" s="96" t="s">
        <v>76</v>
      </c>
      <c r="B18" s="96" t="s">
        <v>77</v>
      </c>
      <c r="C18" s="96" t="s">
        <v>78</v>
      </c>
      <c r="D18" s="96" t="s">
        <v>20</v>
      </c>
      <c r="E18" s="96" t="s">
        <v>5</v>
      </c>
      <c r="F18" s="3">
        <v>43637</v>
      </c>
      <c r="G18" s="96">
        <v>81</v>
      </c>
      <c r="H18" s="96">
        <v>9</v>
      </c>
      <c r="I18" s="96" t="str">
        <f>IF(Table1[[#This Row],[ProjectsCompleted]]&gt;10, "Yes","No")</f>
        <v>No</v>
      </c>
      <c r="J18" s="88">
        <v>1400</v>
      </c>
      <c r="K18" s="96">
        <v>91</v>
      </c>
      <c r="L18" s="96" t="str">
        <f>IF(Table1[[#This Row],[ProjectsCompleted]]&gt;10, "Yes", "No")</f>
        <v>No</v>
      </c>
      <c r="M18" s="96">
        <f ca="1">TODAY()-Table1[[#This Row],[HireDate]]</f>
        <v>2004</v>
      </c>
      <c r="N18" s="96">
        <f>YEAR(Table1[[#This Row],[HireDate]])</f>
        <v>2019</v>
      </c>
      <c r="O18" s="96"/>
      <c r="P18" s="96"/>
      <c r="T18" s="96"/>
    </row>
    <row r="19" spans="1:20" ht="18.600000000000001" thickBot="1">
      <c r="A19" s="96" t="s">
        <v>79</v>
      </c>
      <c r="B19" s="96" t="s">
        <v>80</v>
      </c>
      <c r="C19" s="96" t="s">
        <v>81</v>
      </c>
      <c r="D19" s="96" t="s">
        <v>18</v>
      </c>
      <c r="E19" s="96" t="s">
        <v>7</v>
      </c>
      <c r="F19" s="3">
        <v>44324</v>
      </c>
      <c r="G19" s="96">
        <v>86</v>
      </c>
      <c r="H19" s="96">
        <v>11</v>
      </c>
      <c r="I19" s="96" t="str">
        <f>IF(Table1[[#This Row],[ProjectsCompleted]]&gt;10, "Yes","No")</f>
        <v>Yes</v>
      </c>
      <c r="J19" s="88">
        <v>1550</v>
      </c>
      <c r="K19" s="96">
        <v>94</v>
      </c>
      <c r="L19" s="96" t="str">
        <f>IF(Table1[[#This Row],[ProjectsCompleted]]&gt;10, "Yes", "No")</f>
        <v>Yes</v>
      </c>
      <c r="M19" s="96">
        <f ca="1">TODAY()-Table1[[#This Row],[HireDate]]</f>
        <v>1317</v>
      </c>
      <c r="N19" s="96">
        <f>YEAR(Table1[[#This Row],[HireDate]])</f>
        <v>2021</v>
      </c>
      <c r="O19" s="96"/>
      <c r="P19" s="96"/>
      <c r="Q19" s="7"/>
      <c r="R19" s="96"/>
      <c r="S19" s="96"/>
      <c r="T19" s="7" t="s">
        <v>292</v>
      </c>
    </row>
    <row r="20" spans="1:20">
      <c r="A20" s="96" t="s">
        <v>82</v>
      </c>
      <c r="B20" s="96" t="s">
        <v>83</v>
      </c>
      <c r="C20" s="96" t="s">
        <v>84</v>
      </c>
      <c r="D20" s="96" t="s">
        <v>20</v>
      </c>
      <c r="E20" s="96" t="s">
        <v>8</v>
      </c>
      <c r="F20" s="3">
        <v>44137</v>
      </c>
      <c r="G20" s="96">
        <v>83</v>
      </c>
      <c r="H20" s="96">
        <v>10</v>
      </c>
      <c r="I20" s="96" t="str">
        <f>IF(Table1[[#This Row],[ProjectsCompleted]]&gt;10, "Yes","No")</f>
        <v>No</v>
      </c>
      <c r="J20" s="88">
        <v>1450</v>
      </c>
      <c r="K20" s="96">
        <v>92</v>
      </c>
      <c r="L20" s="96" t="str">
        <f>IF(Table1[[#This Row],[ProjectsCompleted]]&gt;10, "Yes", "No")</f>
        <v>No</v>
      </c>
      <c r="M20" s="96">
        <f ca="1">TODAY()-Table1[[#This Row],[HireDate]]</f>
        <v>1504</v>
      </c>
      <c r="N20" s="96">
        <f>YEAR(Table1[[#This Row],[HireDate]])</f>
        <v>2020</v>
      </c>
      <c r="O20" s="96"/>
      <c r="P20" s="96"/>
      <c r="Q20" s="5"/>
      <c r="R20" s="96"/>
      <c r="S20" s="96"/>
      <c r="T20" s="96"/>
    </row>
    <row r="21" spans="1:20">
      <c r="A21" s="96" t="s">
        <v>85</v>
      </c>
      <c r="B21" s="96" t="s">
        <v>86</v>
      </c>
      <c r="C21" s="96" t="s">
        <v>87</v>
      </c>
      <c r="D21" s="96" t="s">
        <v>18</v>
      </c>
      <c r="E21" s="96" t="s">
        <v>4</v>
      </c>
      <c r="F21" s="3">
        <v>44637</v>
      </c>
      <c r="G21" s="96">
        <v>90</v>
      </c>
      <c r="H21" s="96">
        <v>12</v>
      </c>
      <c r="I21" s="96" t="str">
        <f>IF(Table1[[#This Row],[ProjectsCompleted]]&gt;10, "Yes","No")</f>
        <v>Yes</v>
      </c>
      <c r="J21" s="88">
        <v>1700</v>
      </c>
      <c r="K21" s="96">
        <v>97</v>
      </c>
      <c r="L21" s="96" t="str">
        <f>IF(Table1[[#This Row],[ProjectsCompleted]]&gt;10, "Yes", "No")</f>
        <v>Yes</v>
      </c>
      <c r="M21" s="96">
        <f ca="1">TODAY()-Table1[[#This Row],[HireDate]]</f>
        <v>1004</v>
      </c>
      <c r="N21" s="96">
        <f>YEAR(Table1[[#This Row],[HireDate]])</f>
        <v>2022</v>
      </c>
      <c r="O21" s="96"/>
      <c r="P21" s="96"/>
      <c r="Q21" s="5" t="s">
        <v>293</v>
      </c>
      <c r="R21" s="96"/>
      <c r="S21" s="96"/>
      <c r="T21" s="96"/>
    </row>
    <row r="22" spans="1:20">
      <c r="A22" s="96" t="s">
        <v>88</v>
      </c>
      <c r="B22" s="96" t="s">
        <v>89</v>
      </c>
      <c r="C22" s="96" t="s">
        <v>90</v>
      </c>
      <c r="D22" s="96" t="s">
        <v>18</v>
      </c>
      <c r="E22" s="96" t="s">
        <v>4</v>
      </c>
      <c r="F22" s="3">
        <v>44453</v>
      </c>
      <c r="G22" s="96">
        <v>83</v>
      </c>
      <c r="H22" s="96">
        <v>9</v>
      </c>
      <c r="I22" s="96" t="str">
        <f>IF(Table1[[#This Row],[ProjectsCompleted]]&gt;10, "Yes","No")</f>
        <v>No</v>
      </c>
      <c r="J22" s="88">
        <v>1450</v>
      </c>
      <c r="K22" s="96">
        <v>93</v>
      </c>
      <c r="L22" s="96" t="str">
        <f>IF(Table1[[#This Row],[ProjectsCompleted]]&gt;10, "Yes", "No")</f>
        <v>No</v>
      </c>
      <c r="M22" s="96">
        <f ca="1">TODAY()-Table1[[#This Row],[HireDate]]</f>
        <v>1188</v>
      </c>
      <c r="N22" s="96">
        <f>YEAR(Table1[[#This Row],[HireDate]])</f>
        <v>2021</v>
      </c>
      <c r="O22" s="96"/>
      <c r="P22" s="96"/>
      <c r="Q22" s="5" t="s">
        <v>294</v>
      </c>
      <c r="R22" s="96"/>
      <c r="S22" s="96"/>
      <c r="T22" s="96"/>
    </row>
    <row r="23" spans="1:20" ht="18.600000000000001" thickBot="1">
      <c r="A23" s="96" t="s">
        <v>91</v>
      </c>
      <c r="B23" s="96" t="s">
        <v>83</v>
      </c>
      <c r="C23" s="96" t="s">
        <v>62</v>
      </c>
      <c r="D23" s="96" t="s">
        <v>20</v>
      </c>
      <c r="E23" s="96" t="s">
        <v>5</v>
      </c>
      <c r="F23" s="3">
        <v>43923</v>
      </c>
      <c r="G23" s="96">
        <v>88</v>
      </c>
      <c r="H23" s="96">
        <v>11</v>
      </c>
      <c r="I23" s="96" t="str">
        <f>IF(Table1[[#This Row],[ProjectsCompleted]]&gt;10, "Yes","No")</f>
        <v>Yes</v>
      </c>
      <c r="J23" s="88">
        <v>1650</v>
      </c>
      <c r="K23" s="96">
        <v>96</v>
      </c>
      <c r="L23" s="96" t="str">
        <f>IF(Table1[[#This Row],[ProjectsCompleted]]&gt;10, "Yes", "No")</f>
        <v>Yes</v>
      </c>
      <c r="M23" s="96">
        <f ca="1">TODAY()-Table1[[#This Row],[HireDate]]</f>
        <v>1718</v>
      </c>
      <c r="N23" s="96">
        <f>YEAR(Table1[[#This Row],[HireDate]])</f>
        <v>2020</v>
      </c>
      <c r="O23" s="96"/>
      <c r="P23" s="96"/>
      <c r="Q23" s="6" t="s">
        <v>295</v>
      </c>
      <c r="R23" s="96"/>
      <c r="S23" s="96"/>
      <c r="T23" s="96"/>
    </row>
    <row r="24" spans="1:20">
      <c r="A24" s="96" t="s">
        <v>92</v>
      </c>
      <c r="B24" s="96" t="s">
        <v>93</v>
      </c>
      <c r="C24" s="96" t="s">
        <v>94</v>
      </c>
      <c r="D24" s="96" t="s">
        <v>18</v>
      </c>
      <c r="E24" s="96" t="s">
        <v>7</v>
      </c>
      <c r="F24" s="3">
        <v>44893</v>
      </c>
      <c r="G24" s="96">
        <v>77</v>
      </c>
      <c r="H24" s="96">
        <v>6</v>
      </c>
      <c r="I24" s="96" t="str">
        <f>IF(Table1[[#This Row],[ProjectsCompleted]]&gt;10, "Yes","No")</f>
        <v>No</v>
      </c>
      <c r="J24" s="88">
        <v>1100</v>
      </c>
      <c r="K24" s="96">
        <v>89</v>
      </c>
      <c r="L24" s="96" t="str">
        <f>IF(Table1[[#This Row],[ProjectsCompleted]]&gt;10, "Yes", "No")</f>
        <v>No</v>
      </c>
      <c r="M24" s="96">
        <f ca="1">TODAY()-Table1[[#This Row],[HireDate]]</f>
        <v>748</v>
      </c>
      <c r="N24" s="96">
        <f>YEAR(Table1[[#This Row],[HireDate]])</f>
        <v>2022</v>
      </c>
      <c r="O24" s="96"/>
      <c r="P24" s="96"/>
      <c r="Q24" s="96"/>
      <c r="R24" s="96"/>
      <c r="S24" s="96"/>
      <c r="T24" s="96"/>
    </row>
    <row r="25" spans="1:20">
      <c r="A25" s="96" t="s">
        <v>95</v>
      </c>
      <c r="B25" s="96" t="s">
        <v>96</v>
      </c>
      <c r="C25" s="96" t="s">
        <v>97</v>
      </c>
      <c r="D25" s="96" t="s">
        <v>20</v>
      </c>
      <c r="E25" s="96" t="s">
        <v>4</v>
      </c>
      <c r="F25" s="3">
        <v>43999</v>
      </c>
      <c r="G25" s="96">
        <v>85</v>
      </c>
      <c r="H25" s="96">
        <v>12</v>
      </c>
      <c r="I25" s="96" t="str">
        <f>IF(Table1[[#This Row],[ProjectsCompleted]]&gt;10, "Yes","No")</f>
        <v>Yes</v>
      </c>
      <c r="J25" s="88">
        <v>1500</v>
      </c>
      <c r="K25" s="96">
        <v>95</v>
      </c>
      <c r="L25" s="96" t="str">
        <f>IF(Table1[[#This Row],[ProjectsCompleted]]&gt;10, "Yes", "No")</f>
        <v>Yes</v>
      </c>
      <c r="M25" s="96">
        <f ca="1">TODAY()-Table1[[#This Row],[HireDate]]</f>
        <v>1642</v>
      </c>
      <c r="N25" s="96">
        <f>YEAR(Table1[[#This Row],[HireDate]])</f>
        <v>2020</v>
      </c>
      <c r="O25" s="96"/>
      <c r="P25" s="96"/>
      <c r="T25" s="96"/>
    </row>
    <row r="26" spans="1:20">
      <c r="A26" s="96" t="s">
        <v>98</v>
      </c>
      <c r="B26" s="96" t="s">
        <v>70</v>
      </c>
      <c r="C26" s="96" t="s">
        <v>99</v>
      </c>
      <c r="D26" s="96" t="s">
        <v>18</v>
      </c>
      <c r="E26" s="96" t="s">
        <v>6</v>
      </c>
      <c r="F26" s="3">
        <v>43743</v>
      </c>
      <c r="G26" s="96">
        <v>90</v>
      </c>
      <c r="H26" s="96">
        <v>14</v>
      </c>
      <c r="I26" s="96" t="str">
        <f>IF(Table1[[#This Row],[ProjectsCompleted]]&gt;10, "Yes","No")</f>
        <v>Yes</v>
      </c>
      <c r="J26" s="88">
        <v>1800</v>
      </c>
      <c r="K26" s="96">
        <v>98</v>
      </c>
      <c r="L26" s="96" t="str">
        <f>IF(Table1[[#This Row],[ProjectsCompleted]]&gt;10, "Yes", "No")</f>
        <v>Yes</v>
      </c>
      <c r="M26" s="96">
        <f ca="1">TODAY()-Table1[[#This Row],[HireDate]]</f>
        <v>1898</v>
      </c>
      <c r="N26" s="96">
        <f>YEAR(Table1[[#This Row],[HireDate]])</f>
        <v>2019</v>
      </c>
      <c r="O26" s="96"/>
      <c r="P26" s="96"/>
      <c r="T26" s="96"/>
    </row>
    <row r="27" spans="1:20">
      <c r="A27" s="96" t="s">
        <v>100</v>
      </c>
      <c r="B27" s="96" t="s">
        <v>101</v>
      </c>
      <c r="C27" s="96" t="s">
        <v>102</v>
      </c>
      <c r="D27" s="96" t="s">
        <v>20</v>
      </c>
      <c r="E27" s="96" t="s">
        <v>8</v>
      </c>
      <c r="F27" s="3">
        <v>44433</v>
      </c>
      <c r="G27" s="96">
        <v>81</v>
      </c>
      <c r="H27" s="96">
        <v>8</v>
      </c>
      <c r="I27" s="96" t="str">
        <f>IF(Table1[[#This Row],[ProjectsCompleted]]&gt;10, "Yes","No")</f>
        <v>No</v>
      </c>
      <c r="J27" s="88">
        <v>1350</v>
      </c>
      <c r="K27" s="96">
        <v>92</v>
      </c>
      <c r="L27" s="96" t="str">
        <f>IF(Table1[[#This Row],[ProjectsCompleted]]&gt;10, "Yes", "No")</f>
        <v>No</v>
      </c>
      <c r="M27" s="96">
        <f ca="1">TODAY()-Table1[[#This Row],[HireDate]]</f>
        <v>1208</v>
      </c>
      <c r="N27" s="96">
        <f>YEAR(Table1[[#This Row],[HireDate]])</f>
        <v>2021</v>
      </c>
      <c r="O27" s="96"/>
      <c r="P27" s="96"/>
      <c r="T27" s="96"/>
    </row>
    <row r="28" spans="1:20">
      <c r="A28" s="96" t="s">
        <v>103</v>
      </c>
      <c r="B28" s="96" t="s">
        <v>104</v>
      </c>
      <c r="C28" s="96" t="s">
        <v>105</v>
      </c>
      <c r="D28" s="96" t="s">
        <v>18</v>
      </c>
      <c r="E28" s="96" t="s">
        <v>4</v>
      </c>
      <c r="F28" s="3">
        <v>43903</v>
      </c>
      <c r="G28" s="96">
        <v>87</v>
      </c>
      <c r="H28" s="96">
        <v>10</v>
      </c>
      <c r="I28" s="96" t="str">
        <f>IF(Table1[[#This Row],[ProjectsCompleted]]&gt;10, "Yes","No")</f>
        <v>No</v>
      </c>
      <c r="J28" s="88">
        <v>1550</v>
      </c>
      <c r="K28" s="96">
        <v>97</v>
      </c>
      <c r="L28" s="96" t="str">
        <f>IF(Table1[[#This Row],[ProjectsCompleted]]&gt;10, "Yes", "No")</f>
        <v>No</v>
      </c>
      <c r="M28" s="96">
        <f ca="1">TODAY()-Table1[[#This Row],[HireDate]]</f>
        <v>1738</v>
      </c>
      <c r="N28" s="96">
        <f>YEAR(Table1[[#This Row],[HireDate]])</f>
        <v>2020</v>
      </c>
      <c r="O28" s="96"/>
      <c r="P28" s="96"/>
      <c r="T28" s="96"/>
    </row>
    <row r="29" spans="1:20">
      <c r="A29" s="96" t="s">
        <v>106</v>
      </c>
      <c r="B29" s="96" t="s">
        <v>107</v>
      </c>
      <c r="C29" s="96" t="s">
        <v>108</v>
      </c>
      <c r="D29" s="96" t="s">
        <v>20</v>
      </c>
      <c r="E29" s="96" t="s">
        <v>5</v>
      </c>
      <c r="F29" s="3">
        <v>43654</v>
      </c>
      <c r="G29" s="96">
        <v>84</v>
      </c>
      <c r="H29" s="96">
        <v>13</v>
      </c>
      <c r="I29" s="96" t="str">
        <f>IF(Table1[[#This Row],[ProjectsCompleted]]&gt;10, "Yes","No")</f>
        <v>Yes</v>
      </c>
      <c r="J29" s="88">
        <v>1600</v>
      </c>
      <c r="K29" s="96">
        <v>96</v>
      </c>
      <c r="L29" s="96" t="str">
        <f>IF(Table1[[#This Row],[ProjectsCompleted]]&gt;10, "Yes", "No")</f>
        <v>Yes</v>
      </c>
      <c r="M29" s="96">
        <f ca="1">TODAY()-Table1[[#This Row],[HireDate]]</f>
        <v>1987</v>
      </c>
      <c r="N29" s="96">
        <f>YEAR(Table1[[#This Row],[HireDate]])</f>
        <v>2019</v>
      </c>
      <c r="O29" s="96"/>
      <c r="P29" s="96"/>
      <c r="T29" s="96"/>
    </row>
    <row r="30" spans="1:20">
      <c r="A30" s="96" t="s">
        <v>109</v>
      </c>
      <c r="B30" s="96" t="s">
        <v>110</v>
      </c>
      <c r="C30" s="96" t="s">
        <v>111</v>
      </c>
      <c r="D30" s="96" t="s">
        <v>18</v>
      </c>
      <c r="E30" s="96" t="s">
        <v>8</v>
      </c>
      <c r="F30" s="3">
        <v>44531</v>
      </c>
      <c r="G30" s="96">
        <v>79</v>
      </c>
      <c r="H30" s="96">
        <v>9</v>
      </c>
      <c r="I30" s="96" t="str">
        <f>IF(Table1[[#This Row],[ProjectsCompleted]]&gt;10, "Yes","No")</f>
        <v>No</v>
      </c>
      <c r="J30" s="88">
        <v>1300</v>
      </c>
      <c r="K30" s="96">
        <v>91</v>
      </c>
      <c r="L30" s="96" t="str">
        <f>IF(Table1[[#This Row],[ProjectsCompleted]]&gt;10, "Yes", "No")</f>
        <v>No</v>
      </c>
      <c r="M30" s="96">
        <f ca="1">TODAY()-Table1[[#This Row],[HireDate]]</f>
        <v>1110</v>
      </c>
      <c r="N30" s="96">
        <f>YEAR(Table1[[#This Row],[HireDate]])</f>
        <v>2021</v>
      </c>
      <c r="O30" s="96"/>
      <c r="P30" s="96"/>
      <c r="T30" s="96"/>
    </row>
    <row r="31" spans="1:20">
      <c r="A31" s="96" t="s">
        <v>26</v>
      </c>
      <c r="B31" s="96" t="s">
        <v>112</v>
      </c>
      <c r="C31" s="96" t="s">
        <v>113</v>
      </c>
      <c r="D31" s="96" t="s">
        <v>20</v>
      </c>
      <c r="E31" s="96" t="s">
        <v>7</v>
      </c>
      <c r="F31" s="3">
        <v>43973</v>
      </c>
      <c r="G31" s="96">
        <v>91</v>
      </c>
      <c r="H31" s="96">
        <v>11</v>
      </c>
      <c r="I31" s="96" t="str">
        <f>IF(Table1[[#This Row],[ProjectsCompleted]]&gt;10, "Yes","No")</f>
        <v>Yes</v>
      </c>
      <c r="J31" s="88">
        <v>1700</v>
      </c>
      <c r="K31" s="96">
        <v>99</v>
      </c>
      <c r="L31" s="96" t="str">
        <f>IF(Table1[[#This Row],[ProjectsCompleted]]&gt;10, "Yes", "No")</f>
        <v>Yes</v>
      </c>
      <c r="M31" s="96">
        <f ca="1">TODAY()-Table1[[#This Row],[HireDate]]</f>
        <v>1668</v>
      </c>
      <c r="N31" s="96">
        <f>YEAR(Table1[[#This Row],[HireDate]])</f>
        <v>2020</v>
      </c>
      <c r="O31" s="96"/>
      <c r="P31" s="96"/>
      <c r="T31" s="96"/>
    </row>
    <row r="32" spans="1:20">
      <c r="A32" s="96" t="s">
        <v>114</v>
      </c>
      <c r="B32" s="96" t="s">
        <v>115</v>
      </c>
      <c r="C32" s="96" t="s">
        <v>84</v>
      </c>
      <c r="D32" s="96" t="s">
        <v>18</v>
      </c>
      <c r="E32" s="96" t="s">
        <v>4</v>
      </c>
      <c r="F32" s="3">
        <v>44814</v>
      </c>
      <c r="G32" s="96">
        <v>75</v>
      </c>
      <c r="H32" s="96">
        <v>7</v>
      </c>
      <c r="I32" s="96" t="str">
        <f>IF(Table1[[#This Row],[ProjectsCompleted]]&gt;10, "Yes","No")</f>
        <v>No</v>
      </c>
      <c r="J32" s="88">
        <v>1200</v>
      </c>
      <c r="K32" s="96">
        <v>88</v>
      </c>
      <c r="L32" s="96" t="str">
        <f>IF(Table1[[#This Row],[ProjectsCompleted]]&gt;10, "Yes", "No")</f>
        <v>No</v>
      </c>
      <c r="M32" s="96">
        <f ca="1">TODAY()-Table1[[#This Row],[HireDate]]</f>
        <v>827</v>
      </c>
      <c r="N32" s="96">
        <f>YEAR(Table1[[#This Row],[HireDate]])</f>
        <v>2022</v>
      </c>
      <c r="O32" s="96"/>
      <c r="P32" s="96"/>
      <c r="T32" s="96"/>
    </row>
    <row r="33" spans="1:14">
      <c r="A33" s="96" t="s">
        <v>19</v>
      </c>
      <c r="B33" s="96" t="s">
        <v>42</v>
      </c>
      <c r="C33" s="96" t="s">
        <v>51</v>
      </c>
      <c r="D33" s="96" t="s">
        <v>20</v>
      </c>
      <c r="E33" s="96" t="s">
        <v>6</v>
      </c>
      <c r="F33" s="3">
        <v>44073</v>
      </c>
      <c r="G33" s="96">
        <v>92</v>
      </c>
      <c r="H33" s="96">
        <v>15</v>
      </c>
      <c r="I33" s="96" t="str">
        <f>IF(Table1[[#This Row],[ProjectsCompleted]]&gt;10, "Yes","No")</f>
        <v>Yes</v>
      </c>
      <c r="J33" s="88">
        <v>1850</v>
      </c>
      <c r="K33" s="96">
        <v>99</v>
      </c>
      <c r="L33" s="96" t="str">
        <f>IF(Table1[[#This Row],[ProjectsCompleted]]&gt;10, "Yes", "No")</f>
        <v>Yes</v>
      </c>
      <c r="M33" s="96">
        <f ca="1">TODAY()-Table1[[#This Row],[HireDate]]</f>
        <v>1568</v>
      </c>
      <c r="N33" s="96">
        <f>YEAR(Table1[[#This Row],[HireDate]])</f>
        <v>2020</v>
      </c>
    </row>
    <row r="34" spans="1:14">
      <c r="A34" s="96" t="s">
        <v>116</v>
      </c>
      <c r="B34" s="96" t="s">
        <v>117</v>
      </c>
      <c r="C34" s="96" t="s">
        <v>118</v>
      </c>
      <c r="D34" s="96" t="s">
        <v>18</v>
      </c>
      <c r="E34" s="96" t="s">
        <v>8</v>
      </c>
      <c r="F34" s="3">
        <v>43780</v>
      </c>
      <c r="G34" s="96">
        <v>80</v>
      </c>
      <c r="H34" s="96">
        <v>10</v>
      </c>
      <c r="I34" s="96" t="str">
        <f>IF(Table1[[#This Row],[ProjectsCompleted]]&gt;10, "Yes","No")</f>
        <v>No</v>
      </c>
      <c r="J34" s="88">
        <v>1400</v>
      </c>
      <c r="K34" s="96">
        <v>92</v>
      </c>
      <c r="L34" s="96" t="str">
        <f>IF(Table1[[#This Row],[ProjectsCompleted]]&gt;10, "Yes", "No")</f>
        <v>No</v>
      </c>
      <c r="M34" s="96">
        <f ca="1">TODAY()-Table1[[#This Row],[HireDate]]</f>
        <v>1861</v>
      </c>
      <c r="N34" s="96">
        <f>YEAR(Table1[[#This Row],[HireDate]])</f>
        <v>2019</v>
      </c>
    </row>
    <row r="35" spans="1:14">
      <c r="A35" s="96" t="s">
        <v>119</v>
      </c>
      <c r="B35" s="96" t="s">
        <v>120</v>
      </c>
      <c r="C35" s="96" t="s">
        <v>121</v>
      </c>
      <c r="D35" s="96" t="s">
        <v>20</v>
      </c>
      <c r="E35" s="96" t="s">
        <v>5</v>
      </c>
      <c r="F35" s="3">
        <v>44319</v>
      </c>
      <c r="G35" s="96">
        <v>86</v>
      </c>
      <c r="H35" s="96">
        <v>12</v>
      </c>
      <c r="I35" s="96" t="str">
        <f>IF(Table1[[#This Row],[ProjectsCompleted]]&gt;10, "Yes","No")</f>
        <v>Yes</v>
      </c>
      <c r="J35" s="88">
        <v>1500</v>
      </c>
      <c r="K35" s="96">
        <v>94</v>
      </c>
      <c r="L35" s="96" t="str">
        <f>IF(Table1[[#This Row],[ProjectsCompleted]]&gt;10, "Yes", "No")</f>
        <v>Yes</v>
      </c>
      <c r="M35" s="96">
        <f ca="1">TODAY()-Table1[[#This Row],[HireDate]]</f>
        <v>1322</v>
      </c>
      <c r="N35" s="96">
        <f>YEAR(Table1[[#This Row],[HireDate]])</f>
        <v>2021</v>
      </c>
    </row>
    <row r="36" spans="1:14">
      <c r="A36" s="96" t="s">
        <v>122</v>
      </c>
      <c r="B36" s="96" t="s">
        <v>123</v>
      </c>
      <c r="C36" s="96" t="s">
        <v>48</v>
      </c>
      <c r="D36" s="96" t="s">
        <v>18</v>
      </c>
      <c r="E36" s="96" t="s">
        <v>7</v>
      </c>
      <c r="F36" s="3">
        <v>43881</v>
      </c>
      <c r="G36" s="96">
        <v>88</v>
      </c>
      <c r="H36" s="96">
        <v>11</v>
      </c>
      <c r="I36" s="96" t="str">
        <f>IF(Table1[[#This Row],[ProjectsCompleted]]&gt;10, "Yes","No")</f>
        <v>Yes</v>
      </c>
      <c r="J36" s="88">
        <v>1650</v>
      </c>
      <c r="K36" s="96">
        <v>96</v>
      </c>
      <c r="L36" s="96" t="str">
        <f>IF(Table1[[#This Row],[ProjectsCompleted]]&gt;10, "Yes", "No")</f>
        <v>Yes</v>
      </c>
      <c r="M36" s="96">
        <f ca="1">TODAY()-Table1[[#This Row],[HireDate]]</f>
        <v>1760</v>
      </c>
      <c r="N36" s="96">
        <f>YEAR(Table1[[#This Row],[HireDate]])</f>
        <v>2020</v>
      </c>
    </row>
    <row r="37" spans="1:14">
      <c r="A37" s="96" t="s">
        <v>124</v>
      </c>
      <c r="B37" s="96" t="s">
        <v>125</v>
      </c>
      <c r="C37" s="96" t="s">
        <v>71</v>
      </c>
      <c r="D37" s="96" t="s">
        <v>20</v>
      </c>
      <c r="E37" s="96" t="s">
        <v>4</v>
      </c>
      <c r="F37" s="3">
        <v>44576</v>
      </c>
      <c r="G37" s="96">
        <v>82</v>
      </c>
      <c r="H37" s="96">
        <v>8</v>
      </c>
      <c r="I37" s="96" t="str">
        <f>IF(Table1[[#This Row],[ProjectsCompleted]]&gt;10, "Yes","No")</f>
        <v>No</v>
      </c>
      <c r="J37" s="88">
        <v>1350</v>
      </c>
      <c r="K37" s="96">
        <v>95</v>
      </c>
      <c r="L37" s="96" t="str">
        <f>IF(Table1[[#This Row],[ProjectsCompleted]]&gt;10, "Yes", "No")</f>
        <v>No</v>
      </c>
      <c r="M37" s="96">
        <f ca="1">TODAY()-Table1[[#This Row],[HireDate]]</f>
        <v>1065</v>
      </c>
      <c r="N37" s="96">
        <f>YEAR(Table1[[#This Row],[HireDate]])</f>
        <v>2022</v>
      </c>
    </row>
    <row r="38" spans="1:14">
      <c r="A38" s="96" t="s">
        <v>126</v>
      </c>
      <c r="B38" s="96" t="s">
        <v>127</v>
      </c>
      <c r="C38" s="96" t="s">
        <v>40</v>
      </c>
      <c r="D38" s="96" t="s">
        <v>18</v>
      </c>
      <c r="E38" s="96" t="s">
        <v>6</v>
      </c>
      <c r="F38" s="3">
        <v>43552</v>
      </c>
      <c r="G38" s="96">
        <v>89</v>
      </c>
      <c r="H38" s="96">
        <v>13</v>
      </c>
      <c r="I38" s="96" t="str">
        <f>IF(Table1[[#This Row],[ProjectsCompleted]]&gt;10, "Yes","No")</f>
        <v>Yes</v>
      </c>
      <c r="J38" s="88">
        <v>1750</v>
      </c>
      <c r="K38" s="96">
        <v>97</v>
      </c>
      <c r="L38" s="96" t="str">
        <f>IF(Table1[[#This Row],[ProjectsCompleted]]&gt;10, "Yes", "No")</f>
        <v>Yes</v>
      </c>
      <c r="M38" s="96">
        <f ca="1">TODAY()-Table1[[#This Row],[HireDate]]</f>
        <v>2089</v>
      </c>
      <c r="N38" s="96">
        <f>YEAR(Table1[[#This Row],[HireDate]])</f>
        <v>2019</v>
      </c>
    </row>
    <row r="39" spans="1:14">
      <c r="A39" s="96" t="s">
        <v>128</v>
      </c>
      <c r="B39" s="96" t="s">
        <v>67</v>
      </c>
      <c r="C39" s="96" t="s">
        <v>129</v>
      </c>
      <c r="D39" s="96" t="s">
        <v>20</v>
      </c>
      <c r="E39" s="96" t="s">
        <v>8</v>
      </c>
      <c r="F39" s="3">
        <v>44393</v>
      </c>
      <c r="G39" s="96">
        <v>78</v>
      </c>
      <c r="H39" s="96">
        <v>9</v>
      </c>
      <c r="I39" s="96" t="str">
        <f>IF(Table1[[#This Row],[ProjectsCompleted]]&gt;10, "Yes","No")</f>
        <v>No</v>
      </c>
      <c r="J39" s="88">
        <v>1300</v>
      </c>
      <c r="K39" s="96">
        <v>91</v>
      </c>
      <c r="L39" s="96" t="str">
        <f>IF(Table1[[#This Row],[ProjectsCompleted]]&gt;10, "Yes", "No")</f>
        <v>No</v>
      </c>
      <c r="M39" s="96">
        <f ca="1">TODAY()-Table1[[#This Row],[HireDate]]</f>
        <v>1248</v>
      </c>
      <c r="N39" s="96">
        <f>YEAR(Table1[[#This Row],[HireDate]])</f>
        <v>2021</v>
      </c>
    </row>
    <row r="40" spans="1:14">
      <c r="A40" s="96" t="s">
        <v>130</v>
      </c>
      <c r="B40" s="96" t="s">
        <v>131</v>
      </c>
      <c r="C40" s="96" t="s">
        <v>68</v>
      </c>
      <c r="D40" s="96" t="s">
        <v>18</v>
      </c>
      <c r="E40" s="96" t="s">
        <v>5</v>
      </c>
      <c r="F40" s="3">
        <v>44113</v>
      </c>
      <c r="G40" s="96">
        <v>84</v>
      </c>
      <c r="H40" s="96">
        <v>10</v>
      </c>
      <c r="I40" s="96" t="str">
        <f>IF(Table1[[#This Row],[ProjectsCompleted]]&gt;10, "Yes","No")</f>
        <v>No</v>
      </c>
      <c r="J40" s="88">
        <v>1550</v>
      </c>
      <c r="K40" s="96">
        <v>93</v>
      </c>
      <c r="L40" s="96" t="str">
        <f>IF(Table1[[#This Row],[ProjectsCompleted]]&gt;10, "Yes", "No")</f>
        <v>No</v>
      </c>
      <c r="M40" s="96">
        <f ca="1">TODAY()-Table1[[#This Row],[HireDate]]</f>
        <v>1528</v>
      </c>
      <c r="N40" s="96">
        <f>YEAR(Table1[[#This Row],[HireDate]])</f>
        <v>2020</v>
      </c>
    </row>
    <row r="41" spans="1:14">
      <c r="A41" s="96" t="s">
        <v>132</v>
      </c>
      <c r="B41" s="96" t="s">
        <v>133</v>
      </c>
      <c r="C41" s="96" t="s">
        <v>134</v>
      </c>
      <c r="D41" s="96" t="s">
        <v>20</v>
      </c>
      <c r="E41" s="96" t="s">
        <v>4</v>
      </c>
      <c r="F41" s="3">
        <v>44730</v>
      </c>
      <c r="G41" s="96">
        <v>87</v>
      </c>
      <c r="H41" s="96">
        <v>12</v>
      </c>
      <c r="I41" s="96" t="str">
        <f>IF(Table1[[#This Row],[ProjectsCompleted]]&gt;10, "Yes","No")</f>
        <v>Yes</v>
      </c>
      <c r="J41" s="88">
        <v>1600</v>
      </c>
      <c r="K41" s="96">
        <v>98</v>
      </c>
      <c r="L41" s="96" t="str">
        <f>IF(Table1[[#This Row],[ProjectsCompleted]]&gt;10, "Yes", "No")</f>
        <v>Yes</v>
      </c>
      <c r="M41" s="96">
        <f ca="1">TODAY()-Table1[[#This Row],[HireDate]]</f>
        <v>911</v>
      </c>
      <c r="N41" s="96">
        <f>YEAR(Table1[[#This Row],[HireDate]])</f>
        <v>2022</v>
      </c>
    </row>
    <row r="42" spans="1:14">
      <c r="A42" s="96" t="s">
        <v>135</v>
      </c>
      <c r="B42" s="96" t="s">
        <v>136</v>
      </c>
      <c r="C42" s="96" t="s">
        <v>137</v>
      </c>
      <c r="D42" s="96" t="s">
        <v>18</v>
      </c>
      <c r="E42" s="96" t="s">
        <v>4</v>
      </c>
      <c r="F42" s="3">
        <v>43934</v>
      </c>
      <c r="G42" s="96">
        <v>83</v>
      </c>
      <c r="H42" s="96">
        <v>9</v>
      </c>
      <c r="I42" s="96" t="str">
        <f>IF(Table1[[#This Row],[ProjectsCompleted]]&gt;10, "Yes","No")</f>
        <v>No</v>
      </c>
      <c r="J42" s="88">
        <v>1450</v>
      </c>
      <c r="K42" s="96">
        <v>93</v>
      </c>
      <c r="L42" s="96" t="str">
        <f>IF(Table1[[#This Row],[ProjectsCompleted]]&gt;10, "Yes", "No")</f>
        <v>No</v>
      </c>
      <c r="M42" s="96">
        <f ca="1">TODAY()-Table1[[#This Row],[HireDate]]</f>
        <v>1707</v>
      </c>
      <c r="N42" s="96">
        <f>YEAR(Table1[[#This Row],[HireDate]])</f>
        <v>2020</v>
      </c>
    </row>
    <row r="43" spans="1:14">
      <c r="A43" s="96" t="s">
        <v>138</v>
      </c>
      <c r="B43" s="96" t="s">
        <v>139</v>
      </c>
      <c r="C43" s="96" t="s">
        <v>140</v>
      </c>
      <c r="D43" s="96" t="s">
        <v>20</v>
      </c>
      <c r="E43" s="96" t="s">
        <v>5</v>
      </c>
      <c r="F43" s="3">
        <v>44203</v>
      </c>
      <c r="G43" s="96">
        <v>88</v>
      </c>
      <c r="H43" s="96">
        <v>10</v>
      </c>
      <c r="I43" s="96" t="str">
        <f>IF(Table1[[#This Row],[ProjectsCompleted]]&gt;10, "Yes","No")</f>
        <v>No</v>
      </c>
      <c r="J43" s="88">
        <v>1500</v>
      </c>
      <c r="K43" s="96">
        <v>95</v>
      </c>
      <c r="L43" s="96" t="str">
        <f>IF(Table1[[#This Row],[ProjectsCompleted]]&gt;10, "Yes", "No")</f>
        <v>No</v>
      </c>
      <c r="M43" s="96">
        <f ca="1">TODAY()-Table1[[#This Row],[HireDate]]</f>
        <v>1438</v>
      </c>
      <c r="N43" s="96">
        <f>YEAR(Table1[[#This Row],[HireDate]])</f>
        <v>2021</v>
      </c>
    </row>
    <row r="44" spans="1:14">
      <c r="A44" s="96" t="s">
        <v>141</v>
      </c>
      <c r="B44" s="96" t="s">
        <v>86</v>
      </c>
      <c r="C44" s="96" t="s">
        <v>134</v>
      </c>
      <c r="D44" s="96" t="s">
        <v>18</v>
      </c>
      <c r="E44" s="96" t="s">
        <v>7</v>
      </c>
      <c r="F44" s="3">
        <v>43727</v>
      </c>
      <c r="G44" s="96">
        <v>78</v>
      </c>
      <c r="H44" s="96">
        <v>8</v>
      </c>
      <c r="I44" s="96" t="str">
        <f>IF(Table1[[#This Row],[ProjectsCompleted]]&gt;10, "Yes","No")</f>
        <v>No</v>
      </c>
      <c r="J44" s="88">
        <v>1200</v>
      </c>
      <c r="K44" s="96">
        <v>89</v>
      </c>
      <c r="L44" s="96" t="str">
        <f>IF(Table1[[#This Row],[ProjectsCompleted]]&gt;10, "Yes", "No")</f>
        <v>No</v>
      </c>
      <c r="M44" s="96">
        <f ca="1">TODAY()-Table1[[#This Row],[HireDate]]</f>
        <v>1914</v>
      </c>
      <c r="N44" s="96">
        <f>YEAR(Table1[[#This Row],[HireDate]])</f>
        <v>2019</v>
      </c>
    </row>
    <row r="45" spans="1:14">
      <c r="A45" s="96" t="s">
        <v>22</v>
      </c>
      <c r="B45" s="96" t="s">
        <v>36</v>
      </c>
      <c r="C45" s="96" t="s">
        <v>78</v>
      </c>
      <c r="D45" s="96" t="s">
        <v>20</v>
      </c>
      <c r="E45" s="96" t="s">
        <v>8</v>
      </c>
      <c r="F45" s="3">
        <v>44757</v>
      </c>
      <c r="G45" s="96">
        <v>92</v>
      </c>
      <c r="H45" s="96">
        <v>12</v>
      </c>
      <c r="I45" s="96" t="str">
        <f>IF(Table1[[#This Row],[ProjectsCompleted]]&gt;10, "Yes","No")</f>
        <v>Yes</v>
      </c>
      <c r="J45" s="88">
        <v>1650</v>
      </c>
      <c r="K45" s="96">
        <v>98</v>
      </c>
      <c r="L45" s="96" t="str">
        <f>IF(Table1[[#This Row],[ProjectsCompleted]]&gt;10, "Yes", "No")</f>
        <v>Yes</v>
      </c>
      <c r="M45" s="96">
        <f ca="1">TODAY()-Table1[[#This Row],[HireDate]]</f>
        <v>884</v>
      </c>
      <c r="N45" s="96">
        <f>YEAR(Table1[[#This Row],[HireDate]])</f>
        <v>2022</v>
      </c>
    </row>
    <row r="46" spans="1:14">
      <c r="A46" s="96" t="s">
        <v>142</v>
      </c>
      <c r="B46" s="96" t="s">
        <v>80</v>
      </c>
      <c r="C46" s="96" t="s">
        <v>143</v>
      </c>
      <c r="D46" s="96" t="s">
        <v>18</v>
      </c>
      <c r="E46" s="96" t="s">
        <v>6</v>
      </c>
      <c r="F46" s="3">
        <v>43890</v>
      </c>
      <c r="G46" s="96">
        <v>85</v>
      </c>
      <c r="H46" s="96">
        <v>11</v>
      </c>
      <c r="I46" s="96" t="str">
        <f>IF(Table1[[#This Row],[ProjectsCompleted]]&gt;10, "Yes","No")</f>
        <v>Yes</v>
      </c>
      <c r="J46" s="88">
        <v>1550</v>
      </c>
      <c r="K46" s="96">
        <v>94</v>
      </c>
      <c r="L46" s="96" t="str">
        <f>IF(Table1[[#This Row],[ProjectsCompleted]]&gt;10, "Yes", "No")</f>
        <v>Yes</v>
      </c>
      <c r="M46" s="96">
        <f ca="1">TODAY()-Table1[[#This Row],[HireDate]]</f>
        <v>1751</v>
      </c>
      <c r="N46" s="96">
        <f>YEAR(Table1[[#This Row],[HireDate]])</f>
        <v>2020</v>
      </c>
    </row>
    <row r="47" spans="1:14">
      <c r="A47" s="96" t="s">
        <v>144</v>
      </c>
      <c r="B47" s="96" t="s">
        <v>145</v>
      </c>
      <c r="C47" s="96" t="s">
        <v>146</v>
      </c>
      <c r="D47" s="96" t="s">
        <v>20</v>
      </c>
      <c r="E47" s="96" t="s">
        <v>4</v>
      </c>
      <c r="F47" s="3">
        <v>44489</v>
      </c>
      <c r="G47" s="96">
        <v>90</v>
      </c>
      <c r="H47" s="96">
        <v>14</v>
      </c>
      <c r="I47" s="96" t="str">
        <f>IF(Table1[[#This Row],[ProjectsCompleted]]&gt;10, "Yes","No")</f>
        <v>Yes</v>
      </c>
      <c r="J47" s="88">
        <v>1800</v>
      </c>
      <c r="K47" s="96">
        <v>97</v>
      </c>
      <c r="L47" s="96" t="str">
        <f>IF(Table1[[#This Row],[ProjectsCompleted]]&gt;10, "Yes", "No")</f>
        <v>Yes</v>
      </c>
      <c r="M47" s="96">
        <f ca="1">TODAY()-Table1[[#This Row],[HireDate]]</f>
        <v>1152</v>
      </c>
      <c r="N47" s="96">
        <f>YEAR(Table1[[#This Row],[HireDate]])</f>
        <v>2021</v>
      </c>
    </row>
    <row r="48" spans="1:14">
      <c r="A48" s="96" t="s">
        <v>147</v>
      </c>
      <c r="B48" s="96" t="s">
        <v>148</v>
      </c>
      <c r="C48" s="96" t="s">
        <v>84</v>
      </c>
      <c r="D48" s="96" t="s">
        <v>18</v>
      </c>
      <c r="E48" s="96" t="s">
        <v>5</v>
      </c>
      <c r="F48" s="3">
        <v>43595</v>
      </c>
      <c r="G48" s="96">
        <v>86</v>
      </c>
      <c r="H48" s="96">
        <v>9</v>
      </c>
      <c r="I48" s="96" t="str">
        <f>IF(Table1[[#This Row],[ProjectsCompleted]]&gt;10, "Yes","No")</f>
        <v>No</v>
      </c>
      <c r="J48" s="88">
        <v>1500</v>
      </c>
      <c r="K48" s="96">
        <v>92</v>
      </c>
      <c r="L48" s="96" t="str">
        <f>IF(Table1[[#This Row],[ProjectsCompleted]]&gt;10, "Yes", "No")</f>
        <v>No</v>
      </c>
      <c r="M48" s="96">
        <f ca="1">TODAY()-Table1[[#This Row],[HireDate]]</f>
        <v>2046</v>
      </c>
      <c r="N48" s="96">
        <f>YEAR(Table1[[#This Row],[HireDate]])</f>
        <v>2019</v>
      </c>
    </row>
    <row r="49" spans="1:14">
      <c r="A49" s="96" t="s">
        <v>149</v>
      </c>
      <c r="B49" s="96" t="s">
        <v>77</v>
      </c>
      <c r="C49" s="96" t="s">
        <v>51</v>
      </c>
      <c r="D49" s="96" t="s">
        <v>20</v>
      </c>
      <c r="E49" s="96" t="s">
        <v>7</v>
      </c>
      <c r="F49" s="3">
        <v>43983</v>
      </c>
      <c r="G49" s="96">
        <v>79</v>
      </c>
      <c r="H49" s="96">
        <v>7</v>
      </c>
      <c r="I49" s="96" t="str">
        <f>IF(Table1[[#This Row],[ProjectsCompleted]]&gt;10, "Yes","No")</f>
        <v>No</v>
      </c>
      <c r="J49" s="88">
        <v>1300</v>
      </c>
      <c r="K49" s="96">
        <v>90</v>
      </c>
      <c r="L49" s="96" t="str">
        <f>IF(Table1[[#This Row],[ProjectsCompleted]]&gt;10, "Yes", "No")</f>
        <v>No</v>
      </c>
      <c r="M49" s="96">
        <f ca="1">TODAY()-Table1[[#This Row],[HireDate]]</f>
        <v>1658</v>
      </c>
      <c r="N49" s="96">
        <f>YEAR(Table1[[#This Row],[HireDate]])</f>
        <v>2020</v>
      </c>
    </row>
    <row r="50" spans="1:14">
      <c r="A50" s="96" t="s">
        <v>150</v>
      </c>
      <c r="B50" s="96" t="s">
        <v>151</v>
      </c>
      <c r="C50" s="96" t="s">
        <v>152</v>
      </c>
      <c r="D50" s="96" t="s">
        <v>18</v>
      </c>
      <c r="E50" s="96" t="s">
        <v>8</v>
      </c>
      <c r="F50" s="3">
        <v>44542</v>
      </c>
      <c r="G50" s="96">
        <v>82</v>
      </c>
      <c r="H50" s="96">
        <v>10</v>
      </c>
      <c r="I50" s="96" t="str">
        <f>IF(Table1[[#This Row],[ProjectsCompleted]]&gt;10, "Yes","No")</f>
        <v>No</v>
      </c>
      <c r="J50" s="88">
        <v>1450</v>
      </c>
      <c r="K50" s="96">
        <v>95</v>
      </c>
      <c r="L50" s="96" t="str">
        <f>IF(Table1[[#This Row],[ProjectsCompleted]]&gt;10, "Yes", "No")</f>
        <v>No</v>
      </c>
      <c r="M50" s="96">
        <f ca="1">TODAY()-Table1[[#This Row],[HireDate]]</f>
        <v>1099</v>
      </c>
      <c r="N50" s="96">
        <f>YEAR(Table1[[#This Row],[HireDate]])</f>
        <v>2021</v>
      </c>
    </row>
    <row r="51" spans="1:14">
      <c r="A51" s="96" t="s">
        <v>153</v>
      </c>
      <c r="B51" s="96" t="s">
        <v>125</v>
      </c>
      <c r="C51" s="96" t="s">
        <v>71</v>
      </c>
      <c r="D51" s="96" t="s">
        <v>20</v>
      </c>
      <c r="E51" s="96" t="s">
        <v>4</v>
      </c>
      <c r="F51" s="3">
        <v>44638</v>
      </c>
      <c r="G51" s="96">
        <v>88</v>
      </c>
      <c r="H51" s="96">
        <v>11</v>
      </c>
      <c r="I51" s="96" t="str">
        <f>IF(Table1[[#This Row],[ProjectsCompleted]]&gt;10, "Yes","No")</f>
        <v>Yes</v>
      </c>
      <c r="J51" s="88">
        <v>1650</v>
      </c>
      <c r="K51" s="96">
        <v>98</v>
      </c>
      <c r="L51" s="96" t="str">
        <f>IF(Table1[[#This Row],[ProjectsCompleted]]&gt;10, "Yes", "No")</f>
        <v>Yes</v>
      </c>
      <c r="M51" s="96">
        <f ca="1">TODAY()-Table1[[#This Row],[HireDate]]</f>
        <v>1003</v>
      </c>
      <c r="N51" s="96">
        <f>YEAR(Table1[[#This Row],[HireDate]])</f>
        <v>2022</v>
      </c>
    </row>
    <row r="52" spans="1:14">
      <c r="A52" s="96" t="s">
        <v>154</v>
      </c>
      <c r="B52" s="96" t="s">
        <v>155</v>
      </c>
      <c r="C52" s="96" t="s">
        <v>75</v>
      </c>
      <c r="D52" s="96" t="s">
        <v>18</v>
      </c>
      <c r="E52" s="96" t="s">
        <v>6</v>
      </c>
      <c r="F52" s="3">
        <v>43699</v>
      </c>
      <c r="G52" s="96">
        <v>89</v>
      </c>
      <c r="H52" s="96">
        <v>13</v>
      </c>
      <c r="I52" s="96" t="str">
        <f>IF(Table1[[#This Row],[ProjectsCompleted]]&gt;10, "Yes","No")</f>
        <v>Yes</v>
      </c>
      <c r="J52" s="88">
        <v>1750</v>
      </c>
      <c r="K52" s="96">
        <v>96</v>
      </c>
      <c r="L52" s="96" t="str">
        <f>IF(Table1[[#This Row],[ProjectsCompleted]]&gt;10, "Yes", "No")</f>
        <v>Yes</v>
      </c>
      <c r="M52" s="96">
        <f ca="1">TODAY()-Table1[[#This Row],[HireDate]]</f>
        <v>1942</v>
      </c>
      <c r="N52" s="96">
        <f>YEAR(Table1[[#This Row],[HireDate]])</f>
        <v>2019</v>
      </c>
    </row>
    <row r="53" spans="1:14">
      <c r="A53" s="96" t="s">
        <v>156</v>
      </c>
      <c r="B53" s="96" t="s">
        <v>67</v>
      </c>
      <c r="C53" s="96" t="s">
        <v>157</v>
      </c>
      <c r="D53" s="96" t="s">
        <v>20</v>
      </c>
      <c r="E53" s="96" t="s">
        <v>5</v>
      </c>
      <c r="F53" s="3">
        <v>44448</v>
      </c>
      <c r="G53" s="96">
        <v>91</v>
      </c>
      <c r="H53" s="96">
        <v>10</v>
      </c>
      <c r="I53" s="96" t="str">
        <f>IF(Table1[[#This Row],[ProjectsCompleted]]&gt;10, "Yes","No")</f>
        <v>No</v>
      </c>
      <c r="J53" s="88">
        <v>1600</v>
      </c>
      <c r="K53" s="96">
        <v>97</v>
      </c>
      <c r="L53" s="96" t="str">
        <f>IF(Table1[[#This Row],[ProjectsCompleted]]&gt;10, "Yes", "No")</f>
        <v>No</v>
      </c>
      <c r="M53" s="96">
        <f ca="1">TODAY()-Table1[[#This Row],[HireDate]]</f>
        <v>1193</v>
      </c>
      <c r="N53" s="96">
        <f>YEAR(Table1[[#This Row],[HireDate]])</f>
        <v>2021</v>
      </c>
    </row>
    <row r="54" spans="1:14">
      <c r="A54" s="96" t="s">
        <v>158</v>
      </c>
      <c r="B54" s="96" t="s">
        <v>64</v>
      </c>
      <c r="C54" s="96" t="s">
        <v>159</v>
      </c>
      <c r="D54" s="96" t="s">
        <v>18</v>
      </c>
      <c r="E54" s="96" t="s">
        <v>7</v>
      </c>
      <c r="F54" s="3">
        <v>44169</v>
      </c>
      <c r="G54" s="96">
        <v>83</v>
      </c>
      <c r="H54" s="96">
        <v>8</v>
      </c>
      <c r="I54" s="96" t="str">
        <f>IF(Table1[[#This Row],[ProjectsCompleted]]&gt;10, "Yes","No")</f>
        <v>No</v>
      </c>
      <c r="J54" s="88">
        <v>1450</v>
      </c>
      <c r="K54" s="96">
        <v>92</v>
      </c>
      <c r="L54" s="96" t="str">
        <f>IF(Table1[[#This Row],[ProjectsCompleted]]&gt;10, "Yes", "No")</f>
        <v>No</v>
      </c>
      <c r="M54" s="96">
        <f ca="1">TODAY()-Table1[[#This Row],[HireDate]]</f>
        <v>1472</v>
      </c>
      <c r="N54" s="96">
        <f>YEAR(Table1[[#This Row],[HireDate]])</f>
        <v>2020</v>
      </c>
    </row>
    <row r="55" spans="1:14">
      <c r="A55" s="96" t="s">
        <v>160</v>
      </c>
      <c r="B55" s="96" t="s">
        <v>161</v>
      </c>
      <c r="C55" s="96" t="s">
        <v>162</v>
      </c>
      <c r="D55" s="96" t="s">
        <v>20</v>
      </c>
      <c r="E55" s="96" t="s">
        <v>8</v>
      </c>
      <c r="F55" s="3">
        <v>44241</v>
      </c>
      <c r="G55" s="96">
        <v>80</v>
      </c>
      <c r="H55" s="96">
        <v>9</v>
      </c>
      <c r="I55" s="96" t="str">
        <f>IF(Table1[[#This Row],[ProjectsCompleted]]&gt;10, "Yes","No")</f>
        <v>No</v>
      </c>
      <c r="J55" s="88">
        <v>1400</v>
      </c>
      <c r="K55" s="96">
        <v>93</v>
      </c>
      <c r="L55" s="96" t="str">
        <f>IF(Table1[[#This Row],[ProjectsCompleted]]&gt;10, "Yes", "No")</f>
        <v>No</v>
      </c>
      <c r="M55" s="96">
        <f ca="1">TODAY()-Table1[[#This Row],[HireDate]]</f>
        <v>1400</v>
      </c>
      <c r="N55" s="96">
        <f>YEAR(Table1[[#This Row],[HireDate]])</f>
        <v>2021</v>
      </c>
    </row>
    <row r="56" spans="1:14">
      <c r="A56" s="96" t="s">
        <v>163</v>
      </c>
      <c r="B56" s="96" t="s">
        <v>164</v>
      </c>
      <c r="C56" s="96" t="s">
        <v>165</v>
      </c>
      <c r="D56" s="96" t="s">
        <v>18</v>
      </c>
      <c r="E56" s="96" t="s">
        <v>4</v>
      </c>
      <c r="F56" s="3">
        <v>44656</v>
      </c>
      <c r="G56" s="96">
        <v>86</v>
      </c>
      <c r="H56" s="96">
        <v>12</v>
      </c>
      <c r="I56" s="96" t="str">
        <f>IF(Table1[[#This Row],[ProjectsCompleted]]&gt;10, "Yes","No")</f>
        <v>Yes</v>
      </c>
      <c r="J56" s="88">
        <v>1550</v>
      </c>
      <c r="K56" s="96">
        <v>95</v>
      </c>
      <c r="L56" s="96" t="str">
        <f>IF(Table1[[#This Row],[ProjectsCompleted]]&gt;10, "Yes", "No")</f>
        <v>Yes</v>
      </c>
      <c r="M56" s="96">
        <f ca="1">TODAY()-Table1[[#This Row],[HireDate]]</f>
        <v>985</v>
      </c>
      <c r="N56" s="96">
        <f>YEAR(Table1[[#This Row],[HireDate]])</f>
        <v>2022</v>
      </c>
    </row>
    <row r="57" spans="1:14">
      <c r="A57" s="96" t="s">
        <v>166</v>
      </c>
      <c r="B57" s="96" t="s">
        <v>133</v>
      </c>
      <c r="C57" s="96" t="s">
        <v>167</v>
      </c>
      <c r="D57" s="96" t="s">
        <v>20</v>
      </c>
      <c r="E57" s="96" t="s">
        <v>6</v>
      </c>
      <c r="F57" s="3">
        <v>44157</v>
      </c>
      <c r="G57" s="96">
        <v>84</v>
      </c>
      <c r="H57" s="96">
        <v>10</v>
      </c>
      <c r="I57" s="96" t="str">
        <f>IF(Table1[[#This Row],[ProjectsCompleted]]&gt;10, "Yes","No")</f>
        <v>No</v>
      </c>
      <c r="J57" s="88">
        <v>1500</v>
      </c>
      <c r="K57" s="96">
        <v>94</v>
      </c>
      <c r="L57" s="96" t="str">
        <f>IF(Table1[[#This Row],[ProjectsCompleted]]&gt;10, "Yes", "No")</f>
        <v>No</v>
      </c>
      <c r="M57" s="96">
        <f ca="1">TODAY()-Table1[[#This Row],[HireDate]]</f>
        <v>1484</v>
      </c>
      <c r="N57" s="96">
        <f>YEAR(Table1[[#This Row],[HireDate]])</f>
        <v>2020</v>
      </c>
    </row>
    <row r="58" spans="1:14">
      <c r="A58" s="96" t="s">
        <v>168</v>
      </c>
      <c r="B58" s="96" t="s">
        <v>70</v>
      </c>
      <c r="C58" s="96" t="s">
        <v>169</v>
      </c>
      <c r="D58" s="96" t="s">
        <v>18</v>
      </c>
      <c r="E58" s="96" t="s">
        <v>5</v>
      </c>
      <c r="F58" s="3">
        <v>44416</v>
      </c>
      <c r="G58" s="96">
        <v>87</v>
      </c>
      <c r="H58" s="96">
        <v>11</v>
      </c>
      <c r="I58" s="96" t="str">
        <f>IF(Table1[[#This Row],[ProjectsCompleted]]&gt;10, "Yes","No")</f>
        <v>Yes</v>
      </c>
      <c r="J58" s="88">
        <v>1600</v>
      </c>
      <c r="K58" s="96">
        <v>96</v>
      </c>
      <c r="L58" s="96" t="str">
        <f>IF(Table1[[#This Row],[ProjectsCompleted]]&gt;10, "Yes", "No")</f>
        <v>Yes</v>
      </c>
      <c r="M58" s="96">
        <f ca="1">TODAY()-Table1[[#This Row],[HireDate]]</f>
        <v>1225</v>
      </c>
      <c r="N58" s="96">
        <f>YEAR(Table1[[#This Row],[HireDate]])</f>
        <v>2021</v>
      </c>
    </row>
    <row r="59" spans="1:14">
      <c r="A59" s="96" t="s">
        <v>170</v>
      </c>
      <c r="B59" s="96" t="s">
        <v>61</v>
      </c>
      <c r="C59" s="96" t="s">
        <v>171</v>
      </c>
      <c r="D59" s="96" t="s">
        <v>20</v>
      </c>
      <c r="E59" s="96" t="s">
        <v>7</v>
      </c>
      <c r="F59" s="3">
        <v>44711</v>
      </c>
      <c r="G59" s="96">
        <v>90</v>
      </c>
      <c r="H59" s="96">
        <v>13</v>
      </c>
      <c r="I59" s="96" t="str">
        <f>IF(Table1[[#This Row],[ProjectsCompleted]]&gt;10, "Yes","No")</f>
        <v>Yes</v>
      </c>
      <c r="J59" s="88">
        <v>1750</v>
      </c>
      <c r="K59" s="96">
        <v>97</v>
      </c>
      <c r="L59" s="96" t="str">
        <f>IF(Table1[[#This Row],[ProjectsCompleted]]&gt;10, "Yes", "No")</f>
        <v>Yes</v>
      </c>
      <c r="M59" s="96">
        <f ca="1">TODAY()-Table1[[#This Row],[HireDate]]</f>
        <v>930</v>
      </c>
      <c r="N59" s="96">
        <f>YEAR(Table1[[#This Row],[HireDate]])</f>
        <v>2022</v>
      </c>
    </row>
    <row r="60" spans="1:14">
      <c r="A60" s="96" t="s">
        <v>172</v>
      </c>
      <c r="B60" s="96" t="s">
        <v>74</v>
      </c>
      <c r="C60" s="96" t="s">
        <v>173</v>
      </c>
      <c r="D60" s="96" t="s">
        <v>18</v>
      </c>
      <c r="E60" s="96" t="s">
        <v>8</v>
      </c>
      <c r="F60" s="3">
        <v>43658</v>
      </c>
      <c r="G60" s="96">
        <v>75</v>
      </c>
      <c r="H60" s="96">
        <v>8</v>
      </c>
      <c r="I60" s="96" t="str">
        <f>IF(Table1[[#This Row],[ProjectsCompleted]]&gt;10, "Yes","No")</f>
        <v>No</v>
      </c>
      <c r="J60" s="88">
        <v>1200</v>
      </c>
      <c r="K60" s="96">
        <v>88</v>
      </c>
      <c r="L60" s="96" t="str">
        <f>IF(Table1[[#This Row],[ProjectsCompleted]]&gt;10, "Yes", "No")</f>
        <v>No</v>
      </c>
      <c r="M60" s="96">
        <f ca="1">TODAY()-Table1[[#This Row],[HireDate]]</f>
        <v>1983</v>
      </c>
      <c r="N60" s="96">
        <f>YEAR(Table1[[#This Row],[HireDate]])</f>
        <v>2019</v>
      </c>
    </row>
    <row r="61" spans="1:14">
      <c r="A61" s="96" t="s">
        <v>25</v>
      </c>
      <c r="B61" s="96" t="s">
        <v>101</v>
      </c>
      <c r="C61" s="96" t="s">
        <v>62</v>
      </c>
      <c r="D61" s="96" t="s">
        <v>20</v>
      </c>
      <c r="E61" s="96" t="s">
        <v>4</v>
      </c>
      <c r="F61" s="3">
        <v>44364</v>
      </c>
      <c r="G61" s="96">
        <v>92</v>
      </c>
      <c r="H61" s="96">
        <v>14</v>
      </c>
      <c r="I61" s="96" t="str">
        <f>IF(Table1[[#This Row],[ProjectsCompleted]]&gt;10, "Yes","No")</f>
        <v>Yes</v>
      </c>
      <c r="J61" s="88">
        <v>1800</v>
      </c>
      <c r="K61" s="96">
        <v>99</v>
      </c>
      <c r="L61" s="96" t="str">
        <f>IF(Table1[[#This Row],[ProjectsCompleted]]&gt;10, "Yes", "No")</f>
        <v>Yes</v>
      </c>
      <c r="M61" s="96">
        <f ca="1">TODAY()-Table1[[#This Row],[HireDate]]</f>
        <v>1277</v>
      </c>
      <c r="N61" s="96">
        <f>YEAR(Table1[[#This Row],[HireDate]])</f>
        <v>2021</v>
      </c>
    </row>
    <row r="62" spans="1:14">
      <c r="A62" s="96" t="s">
        <v>174</v>
      </c>
      <c r="B62" s="96" t="s">
        <v>175</v>
      </c>
      <c r="C62" s="96" t="s">
        <v>140</v>
      </c>
      <c r="D62" s="96" t="s">
        <v>18</v>
      </c>
      <c r="E62" s="96" t="s">
        <v>5</v>
      </c>
      <c r="F62" s="3">
        <v>44103</v>
      </c>
      <c r="G62" s="96">
        <v>80</v>
      </c>
      <c r="H62" s="96">
        <v>10</v>
      </c>
      <c r="I62" s="96" t="str">
        <f>IF(Table1[[#This Row],[ProjectsCompleted]]&gt;10, "Yes","No")</f>
        <v>No</v>
      </c>
      <c r="J62" s="88">
        <v>1450</v>
      </c>
      <c r="K62" s="96">
        <v>91</v>
      </c>
      <c r="L62" s="96" t="str">
        <f>IF(Table1[[#This Row],[ProjectsCompleted]]&gt;10, "Yes", "No")</f>
        <v>No</v>
      </c>
      <c r="M62" s="96">
        <f ca="1">TODAY()-Table1[[#This Row],[HireDate]]</f>
        <v>1538</v>
      </c>
      <c r="N62" s="96">
        <f>YEAR(Table1[[#This Row],[HireDate]])</f>
        <v>2020</v>
      </c>
    </row>
    <row r="63" spans="1:14">
      <c r="A63" s="96" t="s">
        <v>176</v>
      </c>
      <c r="B63" s="96" t="s">
        <v>177</v>
      </c>
      <c r="C63" s="96" t="s">
        <v>178</v>
      </c>
      <c r="D63" s="96" t="s">
        <v>20</v>
      </c>
      <c r="E63" s="96" t="s">
        <v>7</v>
      </c>
      <c r="F63" s="3">
        <v>44280</v>
      </c>
      <c r="G63" s="96">
        <v>88</v>
      </c>
      <c r="H63" s="96">
        <v>12</v>
      </c>
      <c r="I63" s="96" t="str">
        <f>IF(Table1[[#This Row],[ProjectsCompleted]]&gt;10, "Yes","No")</f>
        <v>Yes</v>
      </c>
      <c r="J63" s="88">
        <v>1650</v>
      </c>
      <c r="K63" s="96">
        <v>96</v>
      </c>
      <c r="L63" s="96" t="str">
        <f>IF(Table1[[#This Row],[ProjectsCompleted]]&gt;10, "Yes", "No")</f>
        <v>Yes</v>
      </c>
      <c r="M63" s="96">
        <f ca="1">TODAY()-Table1[[#This Row],[HireDate]]</f>
        <v>1361</v>
      </c>
      <c r="N63" s="96">
        <f>YEAR(Table1[[#This Row],[HireDate]])</f>
        <v>2021</v>
      </c>
    </row>
    <row r="64" spans="1:14">
      <c r="A64" s="96" t="s">
        <v>179</v>
      </c>
      <c r="B64" s="96" t="s">
        <v>110</v>
      </c>
      <c r="C64" s="96" t="s">
        <v>180</v>
      </c>
      <c r="D64" s="96" t="s">
        <v>18</v>
      </c>
      <c r="E64" s="96" t="s">
        <v>8</v>
      </c>
      <c r="F64" s="3">
        <v>44610</v>
      </c>
      <c r="G64" s="96">
        <v>83</v>
      </c>
      <c r="H64" s="96">
        <v>9</v>
      </c>
      <c r="I64" s="96" t="str">
        <f>IF(Table1[[#This Row],[ProjectsCompleted]]&gt;10, "Yes","No")</f>
        <v>No</v>
      </c>
      <c r="J64" s="88">
        <v>1500</v>
      </c>
      <c r="K64" s="96">
        <v>94</v>
      </c>
      <c r="L64" s="96" t="str">
        <f>IF(Table1[[#This Row],[ProjectsCompleted]]&gt;10, "Yes", "No")</f>
        <v>No</v>
      </c>
      <c r="M64" s="96">
        <f ca="1">TODAY()-Table1[[#This Row],[HireDate]]</f>
        <v>1031</v>
      </c>
      <c r="N64" s="96">
        <f>YEAR(Table1[[#This Row],[HireDate]])</f>
        <v>2022</v>
      </c>
    </row>
    <row r="65" spans="1:14">
      <c r="A65" s="96" t="s">
        <v>181</v>
      </c>
      <c r="B65" s="96" t="s">
        <v>112</v>
      </c>
      <c r="C65" s="96" t="s">
        <v>182</v>
      </c>
      <c r="D65" s="96" t="s">
        <v>20</v>
      </c>
      <c r="E65" s="96" t="s">
        <v>6</v>
      </c>
      <c r="F65" s="3">
        <v>43959</v>
      </c>
      <c r="G65" s="96">
        <v>89</v>
      </c>
      <c r="H65" s="96">
        <v>15</v>
      </c>
      <c r="I65" s="96" t="str">
        <f>IF(Table1[[#This Row],[ProjectsCompleted]]&gt;10, "Yes","No")</f>
        <v>Yes</v>
      </c>
      <c r="J65" s="88">
        <v>1800</v>
      </c>
      <c r="K65" s="96">
        <v>98</v>
      </c>
      <c r="L65" s="96" t="str">
        <f>IF(Table1[[#This Row],[ProjectsCompleted]]&gt;10, "Yes", "No")</f>
        <v>Yes</v>
      </c>
      <c r="M65" s="96">
        <f ca="1">TODAY()-Table1[[#This Row],[HireDate]]</f>
        <v>1682</v>
      </c>
      <c r="N65" s="96">
        <f>YEAR(Table1[[#This Row],[HireDate]])</f>
        <v>2020</v>
      </c>
    </row>
    <row r="66" spans="1:14">
      <c r="A66" s="96" t="s">
        <v>183</v>
      </c>
      <c r="B66" s="96" t="s">
        <v>131</v>
      </c>
      <c r="C66" s="96" t="s">
        <v>184</v>
      </c>
      <c r="D66" s="96" t="s">
        <v>18</v>
      </c>
      <c r="E66" s="96" t="s">
        <v>4</v>
      </c>
      <c r="F66" s="3">
        <v>44555</v>
      </c>
      <c r="G66" s="96">
        <v>77</v>
      </c>
      <c r="H66" s="96">
        <v>7</v>
      </c>
      <c r="I66" s="96" t="str">
        <f>IF(Table1[[#This Row],[ProjectsCompleted]]&gt;10, "Yes","No")</f>
        <v>No</v>
      </c>
      <c r="J66" s="88">
        <v>1200</v>
      </c>
      <c r="K66" s="96">
        <v>90</v>
      </c>
      <c r="L66" s="96" t="str">
        <f>IF(Table1[[#This Row],[ProjectsCompleted]]&gt;10, "Yes", "No")</f>
        <v>No</v>
      </c>
      <c r="M66" s="96">
        <f ca="1">TODAY()-Table1[[#This Row],[HireDate]]</f>
        <v>1086</v>
      </c>
      <c r="N66" s="96">
        <f>YEAR(Table1[[#This Row],[HireDate]])</f>
        <v>2021</v>
      </c>
    </row>
    <row r="67" spans="1:14">
      <c r="A67" s="96" t="s">
        <v>185</v>
      </c>
      <c r="B67" s="96" t="s">
        <v>186</v>
      </c>
      <c r="C67" s="96" t="s">
        <v>187</v>
      </c>
      <c r="D67" s="96" t="s">
        <v>20</v>
      </c>
      <c r="E67" s="96" t="s">
        <v>5</v>
      </c>
      <c r="F67" s="3">
        <v>44848</v>
      </c>
      <c r="G67" s="96">
        <v>84</v>
      </c>
      <c r="H67" s="96">
        <v>10</v>
      </c>
      <c r="I67" s="96" t="str">
        <f>IF(Table1[[#This Row],[ProjectsCompleted]]&gt;10, "Yes","No")</f>
        <v>No</v>
      </c>
      <c r="J67" s="88">
        <v>1500</v>
      </c>
      <c r="K67" s="96">
        <v>93</v>
      </c>
      <c r="L67" s="96" t="str">
        <f>IF(Table1[[#This Row],[ProjectsCompleted]]&gt;10, "Yes", "No")</f>
        <v>No</v>
      </c>
      <c r="M67" s="96">
        <f ca="1">TODAY()-Table1[[#This Row],[HireDate]]</f>
        <v>793</v>
      </c>
      <c r="N67" s="96">
        <f>YEAR(Table1[[#This Row],[HireDate]])</f>
        <v>2022</v>
      </c>
    </row>
    <row r="68" spans="1:14">
      <c r="A68" s="96" t="s">
        <v>188</v>
      </c>
      <c r="B68" s="96" t="s">
        <v>44</v>
      </c>
      <c r="C68" s="96" t="s">
        <v>78</v>
      </c>
      <c r="D68" s="96" t="s">
        <v>18</v>
      </c>
      <c r="E68" s="96" t="s">
        <v>7</v>
      </c>
      <c r="F68" s="3">
        <v>44138</v>
      </c>
      <c r="G68" s="96">
        <v>81</v>
      </c>
      <c r="H68" s="96">
        <v>8</v>
      </c>
      <c r="I68" s="96" t="str">
        <f>IF(Table1[[#This Row],[ProjectsCompleted]]&gt;10, "Yes","No")</f>
        <v>No</v>
      </c>
      <c r="J68" s="88">
        <v>1300</v>
      </c>
      <c r="K68" s="96">
        <v>89</v>
      </c>
      <c r="L68" s="96" t="str">
        <f>IF(Table1[[#This Row],[ProjectsCompleted]]&gt;10, "Yes", "No")</f>
        <v>No</v>
      </c>
      <c r="M68" s="96">
        <f ca="1">TODAY()-Table1[[#This Row],[HireDate]]</f>
        <v>1503</v>
      </c>
      <c r="N68" s="96">
        <f>YEAR(Table1[[#This Row],[HireDate]])</f>
        <v>2020</v>
      </c>
    </row>
    <row r="69" spans="1:14">
      <c r="A69" s="96" t="s">
        <v>189</v>
      </c>
      <c r="B69" s="96" t="s">
        <v>77</v>
      </c>
      <c r="C69" s="96" t="s">
        <v>157</v>
      </c>
      <c r="D69" s="96" t="s">
        <v>20</v>
      </c>
      <c r="E69" s="96" t="s">
        <v>8</v>
      </c>
      <c r="F69" s="3">
        <v>44445</v>
      </c>
      <c r="G69" s="96">
        <v>90</v>
      </c>
      <c r="H69" s="96">
        <v>11</v>
      </c>
      <c r="I69" s="96" t="str">
        <f>IF(Table1[[#This Row],[ProjectsCompleted]]&gt;10, "Yes","No")</f>
        <v>Yes</v>
      </c>
      <c r="J69" s="88">
        <v>1700</v>
      </c>
      <c r="K69" s="96">
        <v>97</v>
      </c>
      <c r="L69" s="96" t="str">
        <f>IF(Table1[[#This Row],[ProjectsCompleted]]&gt;10, "Yes", "No")</f>
        <v>Yes</v>
      </c>
      <c r="M69" s="96">
        <f ca="1">TODAY()-Table1[[#This Row],[HireDate]]</f>
        <v>1196</v>
      </c>
      <c r="N69" s="96">
        <f>YEAR(Table1[[#This Row],[HireDate]])</f>
        <v>2021</v>
      </c>
    </row>
    <row r="70" spans="1:14">
      <c r="A70" s="96" t="s">
        <v>190</v>
      </c>
      <c r="B70" s="96" t="s">
        <v>191</v>
      </c>
      <c r="C70" s="96" t="s">
        <v>75</v>
      </c>
      <c r="D70" s="96" t="s">
        <v>18</v>
      </c>
      <c r="E70" s="96" t="s">
        <v>4</v>
      </c>
      <c r="F70" s="3">
        <v>43939</v>
      </c>
      <c r="G70" s="96">
        <v>85</v>
      </c>
      <c r="H70" s="96">
        <v>12</v>
      </c>
      <c r="I70" s="96" t="str">
        <f>IF(Table1[[#This Row],[ProjectsCompleted]]&gt;10, "Yes","No")</f>
        <v>Yes</v>
      </c>
      <c r="J70" s="88">
        <v>1600</v>
      </c>
      <c r="K70" s="96">
        <v>95</v>
      </c>
      <c r="L70" s="96" t="str">
        <f>IF(Table1[[#This Row],[ProjectsCompleted]]&gt;10, "Yes", "No")</f>
        <v>Yes</v>
      </c>
      <c r="M70" s="96">
        <f ca="1">TODAY()-Table1[[#This Row],[HireDate]]</f>
        <v>1702</v>
      </c>
      <c r="N70" s="96">
        <f>YEAR(Table1[[#This Row],[HireDate]])</f>
        <v>2020</v>
      </c>
    </row>
    <row r="71" spans="1:14">
      <c r="A71" s="96" t="s">
        <v>192</v>
      </c>
      <c r="B71" s="96" t="s">
        <v>193</v>
      </c>
      <c r="C71" s="96" t="s">
        <v>68</v>
      </c>
      <c r="D71" s="96" t="s">
        <v>20</v>
      </c>
      <c r="E71" s="96" t="s">
        <v>6</v>
      </c>
      <c r="F71" s="3">
        <v>44572</v>
      </c>
      <c r="G71" s="96">
        <v>88</v>
      </c>
      <c r="H71" s="96">
        <v>14</v>
      </c>
      <c r="I71" s="96" t="str">
        <f>IF(Table1[[#This Row],[ProjectsCompleted]]&gt;10, "Yes","No")</f>
        <v>Yes</v>
      </c>
      <c r="J71" s="88">
        <v>1750</v>
      </c>
      <c r="K71" s="96">
        <v>99</v>
      </c>
      <c r="L71" s="96" t="str">
        <f>IF(Table1[[#This Row],[ProjectsCompleted]]&gt;10, "Yes", "No")</f>
        <v>Yes</v>
      </c>
      <c r="M71" s="96">
        <f ca="1">TODAY()-Table1[[#This Row],[HireDate]]</f>
        <v>1069</v>
      </c>
      <c r="N71" s="96">
        <f>YEAR(Table1[[#This Row],[HireDate]])</f>
        <v>2022</v>
      </c>
    </row>
    <row r="72" spans="1:14">
      <c r="A72" s="96" t="s">
        <v>194</v>
      </c>
      <c r="B72" s="96" t="s">
        <v>83</v>
      </c>
      <c r="C72" s="96" t="s">
        <v>87</v>
      </c>
      <c r="D72" s="96" t="s">
        <v>20</v>
      </c>
      <c r="E72" s="96" t="s">
        <v>4</v>
      </c>
      <c r="F72" s="3">
        <v>44278</v>
      </c>
      <c r="G72" s="96">
        <v>86</v>
      </c>
      <c r="H72" s="96">
        <v>12</v>
      </c>
      <c r="I72" s="96" t="str">
        <f>IF(Table1[[#This Row],[ProjectsCompleted]]&gt;10, "Yes","No")</f>
        <v>Yes</v>
      </c>
      <c r="J72" s="88">
        <v>1550</v>
      </c>
      <c r="K72" s="96">
        <v>94</v>
      </c>
      <c r="L72" s="96" t="str">
        <f>IF(Table1[[#This Row],[ProjectsCompleted]]&gt;10, "Yes", "No")</f>
        <v>Yes</v>
      </c>
      <c r="M72" s="96">
        <f ca="1">TODAY()-Table1[[#This Row],[HireDate]]</f>
        <v>1363</v>
      </c>
      <c r="N72" s="96">
        <f>YEAR(Table1[[#This Row],[HireDate]])</f>
        <v>2021</v>
      </c>
    </row>
    <row r="73" spans="1:14">
      <c r="A73" s="96" t="s">
        <v>195</v>
      </c>
      <c r="B73" s="96" t="s">
        <v>196</v>
      </c>
      <c r="C73" s="96" t="s">
        <v>146</v>
      </c>
      <c r="D73" s="96" t="s">
        <v>18</v>
      </c>
      <c r="E73" s="96" t="s">
        <v>6</v>
      </c>
      <c r="F73" s="3">
        <v>44057</v>
      </c>
      <c r="G73" s="96">
        <v>90</v>
      </c>
      <c r="H73" s="96">
        <v>14</v>
      </c>
      <c r="I73" s="96" t="str">
        <f>IF(Table1[[#This Row],[ProjectsCompleted]]&gt;10, "Yes","No")</f>
        <v>Yes</v>
      </c>
      <c r="J73" s="88">
        <v>1800</v>
      </c>
      <c r="K73" s="96">
        <v>97</v>
      </c>
      <c r="L73" s="96" t="str">
        <f>IF(Table1[[#This Row],[ProjectsCompleted]]&gt;10, "Yes", "No")</f>
        <v>Yes</v>
      </c>
      <c r="M73" s="96">
        <f ca="1">TODAY()-Table1[[#This Row],[HireDate]]</f>
        <v>1584</v>
      </c>
      <c r="N73" s="96">
        <f>YEAR(Table1[[#This Row],[HireDate]])</f>
        <v>2020</v>
      </c>
    </row>
    <row r="74" spans="1:14">
      <c r="A74" s="96" t="s">
        <v>197</v>
      </c>
      <c r="B74" s="96" t="s">
        <v>125</v>
      </c>
      <c r="C74" s="96" t="s">
        <v>198</v>
      </c>
      <c r="D74" s="96" t="s">
        <v>20</v>
      </c>
      <c r="E74" s="96" t="s">
        <v>7</v>
      </c>
      <c r="F74" s="3">
        <v>44742</v>
      </c>
      <c r="G74" s="96">
        <v>82</v>
      </c>
      <c r="H74" s="96">
        <v>9</v>
      </c>
      <c r="I74" s="96" t="str">
        <f>IF(Table1[[#This Row],[ProjectsCompleted]]&gt;10, "Yes","No")</f>
        <v>No</v>
      </c>
      <c r="J74" s="88">
        <v>1350</v>
      </c>
      <c r="K74" s="96">
        <v>91</v>
      </c>
      <c r="L74" s="96" t="str">
        <f>IF(Table1[[#This Row],[ProjectsCompleted]]&gt;10, "Yes", "No")</f>
        <v>No</v>
      </c>
      <c r="M74" s="96">
        <f ca="1">TODAY()-Table1[[#This Row],[HireDate]]</f>
        <v>899</v>
      </c>
      <c r="N74" s="96">
        <f>YEAR(Table1[[#This Row],[HireDate]])</f>
        <v>2022</v>
      </c>
    </row>
    <row r="75" spans="1:14">
      <c r="A75" s="96" t="s">
        <v>199</v>
      </c>
      <c r="B75" s="96" t="s">
        <v>115</v>
      </c>
      <c r="C75" s="96" t="s">
        <v>152</v>
      </c>
      <c r="D75" s="96" t="s">
        <v>18</v>
      </c>
      <c r="E75" s="96" t="s">
        <v>5</v>
      </c>
      <c r="F75" s="3">
        <v>43763</v>
      </c>
      <c r="G75" s="96">
        <v>85</v>
      </c>
      <c r="H75" s="96">
        <v>10</v>
      </c>
      <c r="I75" s="96" t="str">
        <f>IF(Table1[[#This Row],[ProjectsCompleted]]&gt;10, "Yes","No")</f>
        <v>No</v>
      </c>
      <c r="J75" s="88">
        <v>1500</v>
      </c>
      <c r="K75" s="96">
        <v>95</v>
      </c>
      <c r="L75" s="96" t="str">
        <f>IF(Table1[[#This Row],[ProjectsCompleted]]&gt;10, "Yes", "No")</f>
        <v>No</v>
      </c>
      <c r="M75" s="96">
        <f ca="1">TODAY()-Table1[[#This Row],[HireDate]]</f>
        <v>1878</v>
      </c>
      <c r="N75" s="96">
        <f>YEAR(Table1[[#This Row],[HireDate]])</f>
        <v>2019</v>
      </c>
    </row>
    <row r="76" spans="1:14">
      <c r="A76" s="96" t="s">
        <v>200</v>
      </c>
      <c r="B76" s="96" t="s">
        <v>96</v>
      </c>
      <c r="C76" s="96" t="s">
        <v>201</v>
      </c>
      <c r="D76" s="96" t="s">
        <v>20</v>
      </c>
      <c r="E76" s="96" t="s">
        <v>8</v>
      </c>
      <c r="F76" s="3">
        <v>44512</v>
      </c>
      <c r="G76" s="96">
        <v>87</v>
      </c>
      <c r="H76" s="96">
        <v>11</v>
      </c>
      <c r="I76" s="96" t="str">
        <f>IF(Table1[[#This Row],[ProjectsCompleted]]&gt;10, "Yes","No")</f>
        <v>Yes</v>
      </c>
      <c r="J76" s="88">
        <v>1600</v>
      </c>
      <c r="K76" s="96">
        <v>96</v>
      </c>
      <c r="L76" s="96" t="str">
        <f>IF(Table1[[#This Row],[ProjectsCompleted]]&gt;10, "Yes", "No")</f>
        <v>Yes</v>
      </c>
      <c r="M76" s="96">
        <f ca="1">TODAY()-Table1[[#This Row],[HireDate]]</f>
        <v>1129</v>
      </c>
      <c r="N76" s="96">
        <f>YEAR(Table1[[#This Row],[HireDate]])</f>
        <v>2021</v>
      </c>
    </row>
    <row r="77" spans="1:14">
      <c r="A77" s="96" t="s">
        <v>202</v>
      </c>
      <c r="B77" s="96" t="s">
        <v>70</v>
      </c>
      <c r="C77" s="96" t="s">
        <v>203</v>
      </c>
      <c r="D77" s="96" t="s">
        <v>18</v>
      </c>
      <c r="E77" s="96" t="s">
        <v>4</v>
      </c>
      <c r="F77" s="3">
        <v>43951</v>
      </c>
      <c r="G77" s="96">
        <v>89</v>
      </c>
      <c r="H77" s="96">
        <v>13</v>
      </c>
      <c r="I77" s="96" t="str">
        <f>IF(Table1[[#This Row],[ProjectsCompleted]]&gt;10, "Yes","No")</f>
        <v>Yes</v>
      </c>
      <c r="J77" s="88">
        <v>1750</v>
      </c>
      <c r="K77" s="96">
        <v>98</v>
      </c>
      <c r="L77" s="96" t="str">
        <f>IF(Table1[[#This Row],[ProjectsCompleted]]&gt;10, "Yes", "No")</f>
        <v>Yes</v>
      </c>
      <c r="M77" s="96">
        <f ca="1">TODAY()-Table1[[#This Row],[HireDate]]</f>
        <v>1690</v>
      </c>
      <c r="N77" s="96">
        <f>YEAR(Table1[[#This Row],[HireDate]])</f>
        <v>2020</v>
      </c>
    </row>
    <row r="78" spans="1:14">
      <c r="A78" s="96" t="s">
        <v>27</v>
      </c>
      <c r="B78" s="96" t="s">
        <v>101</v>
      </c>
      <c r="C78" s="96" t="s">
        <v>204</v>
      </c>
      <c r="D78" s="96" t="s">
        <v>20</v>
      </c>
      <c r="E78" s="96" t="s">
        <v>5</v>
      </c>
      <c r="F78" s="3">
        <v>44440</v>
      </c>
      <c r="G78" s="96">
        <v>91</v>
      </c>
      <c r="H78" s="96">
        <v>12</v>
      </c>
      <c r="I78" s="96" t="str">
        <f>IF(Table1[[#This Row],[ProjectsCompleted]]&gt;10, "Yes","No")</f>
        <v>Yes</v>
      </c>
      <c r="J78" s="88">
        <v>1700</v>
      </c>
      <c r="K78" s="96">
        <v>97</v>
      </c>
      <c r="L78" s="96" t="str">
        <f>IF(Table1[[#This Row],[ProjectsCompleted]]&gt;10, "Yes", "No")</f>
        <v>Yes</v>
      </c>
      <c r="M78" s="96">
        <f ca="1">TODAY()-Table1[[#This Row],[HireDate]]</f>
        <v>1201</v>
      </c>
      <c r="N78" s="96">
        <f>YEAR(Table1[[#This Row],[HireDate]])</f>
        <v>2021</v>
      </c>
    </row>
    <row r="79" spans="1:14">
      <c r="A79" s="96" t="s">
        <v>205</v>
      </c>
      <c r="B79" s="96" t="s">
        <v>80</v>
      </c>
      <c r="C79" s="96" t="s">
        <v>78</v>
      </c>
      <c r="D79" s="96" t="s">
        <v>18</v>
      </c>
      <c r="E79" s="96" t="s">
        <v>7</v>
      </c>
      <c r="F79" s="3">
        <v>43973</v>
      </c>
      <c r="G79" s="96">
        <v>78</v>
      </c>
      <c r="H79" s="96">
        <v>8</v>
      </c>
      <c r="I79" s="96" t="str">
        <f>IF(Table1[[#This Row],[ProjectsCompleted]]&gt;10, "Yes","No")</f>
        <v>No</v>
      </c>
      <c r="J79" s="88">
        <v>1300</v>
      </c>
      <c r="K79" s="96">
        <v>89</v>
      </c>
      <c r="L79" s="96" t="str">
        <f>IF(Table1[[#This Row],[ProjectsCompleted]]&gt;10, "Yes", "No")</f>
        <v>No</v>
      </c>
      <c r="M79" s="96">
        <f ca="1">TODAY()-Table1[[#This Row],[HireDate]]</f>
        <v>1668</v>
      </c>
      <c r="N79" s="96">
        <f>YEAR(Table1[[#This Row],[HireDate]])</f>
        <v>2020</v>
      </c>
    </row>
    <row r="80" spans="1:14">
      <c r="A80" s="96" t="s">
        <v>206</v>
      </c>
      <c r="B80" s="96" t="s">
        <v>67</v>
      </c>
      <c r="C80" s="96" t="s">
        <v>129</v>
      </c>
      <c r="D80" s="96" t="s">
        <v>20</v>
      </c>
      <c r="E80" s="96" t="s">
        <v>8</v>
      </c>
      <c r="F80" s="3">
        <v>44603</v>
      </c>
      <c r="G80" s="96">
        <v>84</v>
      </c>
      <c r="H80" s="96">
        <v>9</v>
      </c>
      <c r="I80" s="96" t="str">
        <f>IF(Table1[[#This Row],[ProjectsCompleted]]&gt;10, "Yes","No")</f>
        <v>No</v>
      </c>
      <c r="J80" s="88">
        <v>1450</v>
      </c>
      <c r="K80" s="96">
        <v>93</v>
      </c>
      <c r="L80" s="96" t="str">
        <f>IF(Table1[[#This Row],[ProjectsCompleted]]&gt;10, "Yes", "No")</f>
        <v>No</v>
      </c>
      <c r="M80" s="96">
        <f ca="1">TODAY()-Table1[[#This Row],[HireDate]]</f>
        <v>1038</v>
      </c>
      <c r="N80" s="96">
        <f>YEAR(Table1[[#This Row],[HireDate]])</f>
        <v>2022</v>
      </c>
    </row>
    <row r="81" spans="1:14">
      <c r="A81" s="96" t="s">
        <v>207</v>
      </c>
      <c r="B81" s="96" t="s">
        <v>74</v>
      </c>
      <c r="C81" s="96" t="s">
        <v>75</v>
      </c>
      <c r="D81" s="96" t="s">
        <v>18</v>
      </c>
      <c r="E81" s="96" t="s">
        <v>4</v>
      </c>
      <c r="F81" s="3">
        <v>43666</v>
      </c>
      <c r="G81" s="96">
        <v>88</v>
      </c>
      <c r="H81" s="96">
        <v>11</v>
      </c>
      <c r="I81" s="96" t="str">
        <f>IF(Table1[[#This Row],[ProjectsCompleted]]&gt;10, "Yes","No")</f>
        <v>Yes</v>
      </c>
      <c r="J81" s="88">
        <v>1650</v>
      </c>
      <c r="K81" s="96">
        <v>96</v>
      </c>
      <c r="L81" s="96" t="str">
        <f>IF(Table1[[#This Row],[ProjectsCompleted]]&gt;10, "Yes", "No")</f>
        <v>Yes</v>
      </c>
      <c r="M81" s="96">
        <f ca="1">TODAY()-Table1[[#This Row],[HireDate]]</f>
        <v>1975</v>
      </c>
      <c r="N81" s="96">
        <f>YEAR(Table1[[#This Row],[HireDate]])</f>
        <v>2019</v>
      </c>
    </row>
    <row r="82" spans="1:14">
      <c r="A82" s="96" t="s">
        <v>208</v>
      </c>
      <c r="B82" s="96" t="s">
        <v>107</v>
      </c>
      <c r="C82" s="96" t="s">
        <v>84</v>
      </c>
      <c r="D82" s="96" t="s">
        <v>20</v>
      </c>
      <c r="E82" s="96" t="s">
        <v>6</v>
      </c>
      <c r="F82" s="3">
        <v>44294</v>
      </c>
      <c r="G82" s="96">
        <v>83</v>
      </c>
      <c r="H82" s="96">
        <v>10</v>
      </c>
      <c r="I82" s="96" t="str">
        <f>IF(Table1[[#This Row],[ProjectsCompleted]]&gt;10, "Yes","No")</f>
        <v>No</v>
      </c>
      <c r="J82" s="88">
        <v>1450</v>
      </c>
      <c r="K82" s="96">
        <v>92</v>
      </c>
      <c r="L82" s="96" t="str">
        <f>IF(Table1[[#This Row],[ProjectsCompleted]]&gt;10, "Yes", "No")</f>
        <v>No</v>
      </c>
      <c r="M82" s="96">
        <f ca="1">TODAY()-Table1[[#This Row],[HireDate]]</f>
        <v>1347</v>
      </c>
      <c r="N82" s="96">
        <f>YEAR(Table1[[#This Row],[HireDate]])</f>
        <v>2021</v>
      </c>
    </row>
    <row r="83" spans="1:14">
      <c r="A83" s="96" t="s">
        <v>209</v>
      </c>
      <c r="B83" s="96" t="s">
        <v>123</v>
      </c>
      <c r="C83" s="96" t="s">
        <v>210</v>
      </c>
      <c r="D83" s="96" t="s">
        <v>18</v>
      </c>
      <c r="E83" s="96" t="s">
        <v>5</v>
      </c>
      <c r="F83" s="3">
        <v>44184</v>
      </c>
      <c r="G83" s="96">
        <v>89</v>
      </c>
      <c r="H83" s="96">
        <v>13</v>
      </c>
      <c r="I83" s="96" t="str">
        <f>IF(Table1[[#This Row],[ProjectsCompleted]]&gt;10, "Yes","No")</f>
        <v>Yes</v>
      </c>
      <c r="J83" s="88">
        <v>1750</v>
      </c>
      <c r="K83" s="96">
        <v>98</v>
      </c>
      <c r="L83" s="96" t="str">
        <f>IF(Table1[[#This Row],[ProjectsCompleted]]&gt;10, "Yes", "No")</f>
        <v>Yes</v>
      </c>
      <c r="M83" s="96">
        <f ca="1">TODAY()-Table1[[#This Row],[HireDate]]</f>
        <v>1457</v>
      </c>
      <c r="N83" s="96">
        <f>YEAR(Table1[[#This Row],[HireDate]])</f>
        <v>2020</v>
      </c>
    </row>
    <row r="84" spans="1:14">
      <c r="A84" s="96" t="s">
        <v>211</v>
      </c>
      <c r="B84" s="96" t="s">
        <v>61</v>
      </c>
      <c r="C84" s="96" t="s">
        <v>73</v>
      </c>
      <c r="D84" s="96" t="s">
        <v>20</v>
      </c>
      <c r="E84" s="96" t="s">
        <v>7</v>
      </c>
      <c r="F84" s="3">
        <v>44492</v>
      </c>
      <c r="G84" s="96">
        <v>90</v>
      </c>
      <c r="H84" s="96">
        <v>12</v>
      </c>
      <c r="I84" s="96" t="str">
        <f>IF(Table1[[#This Row],[ProjectsCompleted]]&gt;10, "Yes","No")</f>
        <v>Yes</v>
      </c>
      <c r="J84" s="88">
        <v>1700</v>
      </c>
      <c r="K84" s="96">
        <v>97</v>
      </c>
      <c r="L84" s="96" t="str">
        <f>IF(Table1[[#This Row],[ProjectsCompleted]]&gt;10, "Yes", "No")</f>
        <v>Yes</v>
      </c>
      <c r="M84" s="96">
        <f ca="1">TODAY()-Table1[[#This Row],[HireDate]]</f>
        <v>1149</v>
      </c>
      <c r="N84" s="96">
        <f>YEAR(Table1[[#This Row],[HireDate]])</f>
        <v>2021</v>
      </c>
    </row>
    <row r="85" spans="1:14">
      <c r="A85" s="96" t="s">
        <v>212</v>
      </c>
      <c r="B85" s="96" t="s">
        <v>127</v>
      </c>
      <c r="C85" s="96" t="s">
        <v>159</v>
      </c>
      <c r="D85" s="96" t="s">
        <v>18</v>
      </c>
      <c r="E85" s="96" t="s">
        <v>8</v>
      </c>
      <c r="F85" s="3">
        <v>44029</v>
      </c>
      <c r="G85" s="96">
        <v>79</v>
      </c>
      <c r="H85" s="96">
        <v>8</v>
      </c>
      <c r="I85" s="96" t="str">
        <f>IF(Table1[[#This Row],[ProjectsCompleted]]&gt;10, "Yes","No")</f>
        <v>No</v>
      </c>
      <c r="J85" s="88">
        <v>1350</v>
      </c>
      <c r="K85" s="96">
        <v>90</v>
      </c>
      <c r="L85" s="96" t="str">
        <f>IF(Table1[[#This Row],[ProjectsCompleted]]&gt;10, "Yes", "No")</f>
        <v>No</v>
      </c>
      <c r="M85" s="96">
        <f ca="1">TODAY()-Table1[[#This Row],[HireDate]]</f>
        <v>1612</v>
      </c>
      <c r="N85" s="96">
        <f>YEAR(Table1[[#This Row],[HireDate]])</f>
        <v>2020</v>
      </c>
    </row>
    <row r="86" spans="1:14">
      <c r="A86" s="96" t="s">
        <v>213</v>
      </c>
      <c r="B86" s="96" t="s">
        <v>133</v>
      </c>
      <c r="C86" s="96" t="s">
        <v>171</v>
      </c>
      <c r="D86" s="96" t="s">
        <v>20</v>
      </c>
      <c r="E86" s="96" t="s">
        <v>4</v>
      </c>
      <c r="F86" s="3">
        <v>44648</v>
      </c>
      <c r="G86" s="96">
        <v>85</v>
      </c>
      <c r="H86" s="96">
        <v>9</v>
      </c>
      <c r="I86" s="96" t="str">
        <f>IF(Table1[[#This Row],[ProjectsCompleted]]&gt;10, "Yes","No")</f>
        <v>No</v>
      </c>
      <c r="J86" s="88">
        <v>1500</v>
      </c>
      <c r="K86" s="96">
        <v>93</v>
      </c>
      <c r="L86" s="96" t="str">
        <f>IF(Table1[[#This Row],[ProjectsCompleted]]&gt;10, "Yes", "No")</f>
        <v>No</v>
      </c>
      <c r="M86" s="96">
        <f ca="1">TODAY()-Table1[[#This Row],[HireDate]]</f>
        <v>993</v>
      </c>
      <c r="N86" s="96">
        <f>YEAR(Table1[[#This Row],[HireDate]])</f>
        <v>2022</v>
      </c>
    </row>
    <row r="87" spans="1:14">
      <c r="A87" s="96" t="s">
        <v>24</v>
      </c>
      <c r="B87" s="96" t="s">
        <v>64</v>
      </c>
      <c r="C87" s="96" t="s">
        <v>157</v>
      </c>
      <c r="D87" s="96" t="s">
        <v>18</v>
      </c>
      <c r="E87" s="96" t="s">
        <v>6</v>
      </c>
      <c r="F87" s="3">
        <v>43711</v>
      </c>
      <c r="G87" s="96">
        <v>92</v>
      </c>
      <c r="H87" s="96">
        <v>15</v>
      </c>
      <c r="I87" s="96" t="str">
        <f>IF(Table1[[#This Row],[ProjectsCompleted]]&gt;10, "Yes","No")</f>
        <v>Yes</v>
      </c>
      <c r="J87" s="88">
        <v>1800</v>
      </c>
      <c r="K87" s="96">
        <v>99</v>
      </c>
      <c r="L87" s="96" t="str">
        <f>IF(Table1[[#This Row],[ProjectsCompleted]]&gt;10, "Yes", "No")</f>
        <v>Yes</v>
      </c>
      <c r="M87" s="96">
        <f ca="1">TODAY()-Table1[[#This Row],[HireDate]]</f>
        <v>1930</v>
      </c>
      <c r="N87" s="96">
        <f>YEAR(Table1[[#This Row],[HireDate]])</f>
        <v>2019</v>
      </c>
    </row>
    <row r="88" spans="1:14">
      <c r="A88" s="96" t="s">
        <v>214</v>
      </c>
      <c r="B88" s="96" t="s">
        <v>77</v>
      </c>
      <c r="C88" s="96" t="s">
        <v>215</v>
      </c>
      <c r="D88" s="96" t="s">
        <v>20</v>
      </c>
      <c r="E88" s="96" t="s">
        <v>5</v>
      </c>
      <c r="F88" s="3">
        <v>44243</v>
      </c>
      <c r="G88" s="96">
        <v>83</v>
      </c>
      <c r="H88" s="96">
        <v>10</v>
      </c>
      <c r="I88" s="96" t="str">
        <f>IF(Table1[[#This Row],[ProjectsCompleted]]&gt;10, "Yes","No")</f>
        <v>No</v>
      </c>
      <c r="J88" s="88">
        <v>1450</v>
      </c>
      <c r="K88" s="96">
        <v>94</v>
      </c>
      <c r="L88" s="96" t="str">
        <f>IF(Table1[[#This Row],[ProjectsCompleted]]&gt;10, "Yes", "No")</f>
        <v>No</v>
      </c>
      <c r="M88" s="96">
        <f ca="1">TODAY()-Table1[[#This Row],[HireDate]]</f>
        <v>1398</v>
      </c>
      <c r="N88" s="96">
        <f>YEAR(Table1[[#This Row],[HireDate]])</f>
        <v>2021</v>
      </c>
    </row>
    <row r="89" spans="1:14">
      <c r="A89" s="96" t="s">
        <v>216</v>
      </c>
      <c r="B89" s="96" t="s">
        <v>148</v>
      </c>
      <c r="C89" s="96" t="s">
        <v>65</v>
      </c>
      <c r="D89" s="96" t="s">
        <v>18</v>
      </c>
      <c r="E89" s="96" t="s">
        <v>7</v>
      </c>
      <c r="F89" s="3">
        <v>43991</v>
      </c>
      <c r="G89" s="96">
        <v>81</v>
      </c>
      <c r="H89" s="96">
        <v>8</v>
      </c>
      <c r="I89" s="96" t="str">
        <f>IF(Table1[[#This Row],[ProjectsCompleted]]&gt;10, "Yes","No")</f>
        <v>No</v>
      </c>
      <c r="J89" s="88">
        <v>1350</v>
      </c>
      <c r="K89" s="96">
        <v>91</v>
      </c>
      <c r="L89" s="96" t="str">
        <f>IF(Table1[[#This Row],[ProjectsCompleted]]&gt;10, "Yes", "No")</f>
        <v>No</v>
      </c>
      <c r="M89" s="96">
        <f ca="1">TODAY()-Table1[[#This Row],[HireDate]]</f>
        <v>1650</v>
      </c>
      <c r="N89" s="96">
        <f>YEAR(Table1[[#This Row],[HireDate]])</f>
        <v>2020</v>
      </c>
    </row>
    <row r="90" spans="1:14">
      <c r="A90" s="96" t="s">
        <v>217</v>
      </c>
      <c r="B90" s="96" t="s">
        <v>125</v>
      </c>
      <c r="C90" s="96" t="s">
        <v>134</v>
      </c>
      <c r="D90" s="96" t="s">
        <v>20</v>
      </c>
      <c r="E90" s="96" t="s">
        <v>8</v>
      </c>
      <c r="F90" s="3">
        <v>44890</v>
      </c>
      <c r="G90" s="96">
        <v>90</v>
      </c>
      <c r="H90" s="96">
        <v>11</v>
      </c>
      <c r="I90" s="96" t="str">
        <f>IF(Table1[[#This Row],[ProjectsCompleted]]&gt;10, "Yes","No")</f>
        <v>Yes</v>
      </c>
      <c r="J90" s="88">
        <v>1700</v>
      </c>
      <c r="K90" s="96">
        <v>96</v>
      </c>
      <c r="L90" s="96" t="str">
        <f>IF(Table1[[#This Row],[ProjectsCompleted]]&gt;10, "Yes", "No")</f>
        <v>Yes</v>
      </c>
      <c r="M90" s="96">
        <f ca="1">TODAY()-Table1[[#This Row],[HireDate]]</f>
        <v>751</v>
      </c>
      <c r="N90" s="96">
        <f>YEAR(Table1[[#This Row],[HireDate]])</f>
        <v>2022</v>
      </c>
    </row>
    <row r="91" spans="1:14">
      <c r="A91" s="96" t="s">
        <v>218</v>
      </c>
      <c r="B91" s="96" t="s">
        <v>86</v>
      </c>
      <c r="C91" s="96" t="s">
        <v>219</v>
      </c>
      <c r="D91" s="96" t="s">
        <v>18</v>
      </c>
      <c r="E91" s="96" t="s">
        <v>4</v>
      </c>
      <c r="F91" s="3">
        <v>44057</v>
      </c>
      <c r="G91" s="96">
        <v>89</v>
      </c>
      <c r="H91" s="96">
        <v>14</v>
      </c>
      <c r="I91" s="96" t="str">
        <f>IF(Table1[[#This Row],[ProjectsCompleted]]&gt;10, "Yes","No")</f>
        <v>Yes</v>
      </c>
      <c r="J91" s="88">
        <v>1750</v>
      </c>
      <c r="K91" s="96">
        <v>98</v>
      </c>
      <c r="L91" s="96" t="str">
        <f>IF(Table1[[#This Row],[ProjectsCompleted]]&gt;10, "Yes", "No")</f>
        <v>Yes</v>
      </c>
      <c r="M91" s="96">
        <f ca="1">TODAY()-Table1[[#This Row],[HireDate]]</f>
        <v>1584</v>
      </c>
      <c r="N91" s="96">
        <f>YEAR(Table1[[#This Row],[HireDate]])</f>
        <v>2020</v>
      </c>
    </row>
    <row r="92" spans="1:14">
      <c r="A92" s="96" t="s">
        <v>220</v>
      </c>
      <c r="B92" s="96" t="s">
        <v>36</v>
      </c>
      <c r="C92" s="96" t="s">
        <v>65</v>
      </c>
      <c r="D92" s="96" t="s">
        <v>20</v>
      </c>
      <c r="E92" s="96" t="s">
        <v>6</v>
      </c>
      <c r="F92" s="3">
        <v>44385</v>
      </c>
      <c r="G92" s="96">
        <v>87</v>
      </c>
      <c r="H92" s="96">
        <v>12</v>
      </c>
      <c r="I92" s="96" t="str">
        <f>IF(Table1[[#This Row],[ProjectsCompleted]]&gt;10, "Yes","No")</f>
        <v>Yes</v>
      </c>
      <c r="J92" s="88">
        <v>1600</v>
      </c>
      <c r="K92" s="96">
        <v>97</v>
      </c>
      <c r="L92" s="96" t="str">
        <f>IF(Table1[[#This Row],[ProjectsCompleted]]&gt;10, "Yes", "No")</f>
        <v>Yes</v>
      </c>
      <c r="M92" s="96">
        <f ca="1">TODAY()-Table1[[#This Row],[HireDate]]</f>
        <v>1256</v>
      </c>
      <c r="N92" s="96">
        <f>YEAR(Table1[[#This Row],[HireDate]])</f>
        <v>2021</v>
      </c>
    </row>
    <row r="93" spans="1:14">
      <c r="A93" s="96" t="s">
        <v>221</v>
      </c>
      <c r="B93" s="96" t="s">
        <v>131</v>
      </c>
      <c r="C93" s="96" t="s">
        <v>222</v>
      </c>
      <c r="D93" s="96" t="s">
        <v>18</v>
      </c>
      <c r="E93" s="96" t="s">
        <v>5</v>
      </c>
      <c r="F93" s="3">
        <v>43773</v>
      </c>
      <c r="G93" s="96">
        <v>82</v>
      </c>
      <c r="H93" s="96">
        <v>9</v>
      </c>
      <c r="I93" s="96" t="str">
        <f>IF(Table1[[#This Row],[ProjectsCompleted]]&gt;10, "Yes","No")</f>
        <v>No</v>
      </c>
      <c r="J93" s="88">
        <v>1450</v>
      </c>
      <c r="K93" s="96">
        <v>92</v>
      </c>
      <c r="L93" s="96" t="str">
        <f>IF(Table1[[#This Row],[ProjectsCompleted]]&gt;10, "Yes", "No")</f>
        <v>No</v>
      </c>
      <c r="M93" s="96">
        <f ca="1">TODAY()-Table1[[#This Row],[HireDate]]</f>
        <v>1868</v>
      </c>
      <c r="N93" s="96">
        <f>YEAR(Table1[[#This Row],[HireDate]])</f>
        <v>2019</v>
      </c>
    </row>
    <row r="94" spans="1:14">
      <c r="A94" s="96" t="s">
        <v>223</v>
      </c>
      <c r="B94" s="96" t="s">
        <v>101</v>
      </c>
      <c r="C94" s="96" t="s">
        <v>62</v>
      </c>
      <c r="D94" s="96" t="s">
        <v>20</v>
      </c>
      <c r="E94" s="96" t="s">
        <v>7</v>
      </c>
      <c r="F94" s="3">
        <v>44256</v>
      </c>
      <c r="G94" s="96">
        <v>88</v>
      </c>
      <c r="H94" s="96">
        <v>10</v>
      </c>
      <c r="I94" s="96" t="str">
        <f>IF(Table1[[#This Row],[ProjectsCompleted]]&gt;10, "Yes","No")</f>
        <v>No</v>
      </c>
      <c r="J94" s="88">
        <v>1650</v>
      </c>
      <c r="K94" s="96">
        <v>95</v>
      </c>
      <c r="L94" s="96" t="str">
        <f>IF(Table1[[#This Row],[ProjectsCompleted]]&gt;10, "Yes", "No")</f>
        <v>No</v>
      </c>
      <c r="M94" s="96">
        <f ca="1">TODAY()-Table1[[#This Row],[HireDate]]</f>
        <v>1385</v>
      </c>
      <c r="N94" s="96">
        <f>YEAR(Table1[[#This Row],[HireDate]])</f>
        <v>2021</v>
      </c>
    </row>
    <row r="95" spans="1:14">
      <c r="A95" s="96" t="s">
        <v>224</v>
      </c>
      <c r="B95" s="96" t="s">
        <v>70</v>
      </c>
      <c r="C95" s="96" t="s">
        <v>81</v>
      </c>
      <c r="D95" s="96" t="s">
        <v>18</v>
      </c>
      <c r="E95" s="96" t="s">
        <v>8</v>
      </c>
      <c r="F95" s="3">
        <v>43980</v>
      </c>
      <c r="G95" s="96">
        <v>91</v>
      </c>
      <c r="H95" s="96">
        <v>13</v>
      </c>
      <c r="I95" s="96" t="str">
        <f>IF(Table1[[#This Row],[ProjectsCompleted]]&gt;10, "Yes","No")</f>
        <v>Yes</v>
      </c>
      <c r="J95" s="88">
        <v>1750</v>
      </c>
      <c r="K95" s="96">
        <v>98</v>
      </c>
      <c r="L95" s="96" t="str">
        <f>IF(Table1[[#This Row],[ProjectsCompleted]]&gt;10, "Yes", "No")</f>
        <v>Yes</v>
      </c>
      <c r="M95" s="96">
        <f ca="1">TODAY()-Table1[[#This Row],[HireDate]]</f>
        <v>1661</v>
      </c>
      <c r="N95" s="96">
        <f>YEAR(Table1[[#This Row],[HireDate]])</f>
        <v>2020</v>
      </c>
    </row>
    <row r="96" spans="1:14">
      <c r="A96" s="96" t="s">
        <v>225</v>
      </c>
      <c r="B96" s="96" t="s">
        <v>177</v>
      </c>
      <c r="C96" s="96" t="s">
        <v>226</v>
      </c>
      <c r="D96" s="96" t="s">
        <v>20</v>
      </c>
      <c r="E96" s="96" t="s">
        <v>4</v>
      </c>
      <c r="F96" s="3">
        <v>44665</v>
      </c>
      <c r="G96" s="96">
        <v>83</v>
      </c>
      <c r="H96" s="96">
        <v>9</v>
      </c>
      <c r="I96" s="96" t="str">
        <f>IF(Table1[[#This Row],[ProjectsCompleted]]&gt;10, "Yes","No")</f>
        <v>No</v>
      </c>
      <c r="J96" s="88">
        <v>1500</v>
      </c>
      <c r="K96" s="96">
        <v>94</v>
      </c>
      <c r="L96" s="96" t="str">
        <f>IF(Table1[[#This Row],[ProjectsCompleted]]&gt;10, "Yes", "No")</f>
        <v>No</v>
      </c>
      <c r="M96" s="96">
        <f ca="1">TODAY()-Table1[[#This Row],[HireDate]]</f>
        <v>976</v>
      </c>
      <c r="N96" s="96">
        <f>YEAR(Table1[[#This Row],[HireDate]])</f>
        <v>2022</v>
      </c>
    </row>
    <row r="97" spans="1:14">
      <c r="A97" s="96" t="s">
        <v>227</v>
      </c>
      <c r="B97" s="96" t="s">
        <v>110</v>
      </c>
      <c r="C97" s="96" t="s">
        <v>162</v>
      </c>
      <c r="D97" s="96" t="s">
        <v>18</v>
      </c>
      <c r="E97" s="96" t="s">
        <v>6</v>
      </c>
      <c r="F97" s="3">
        <v>43521</v>
      </c>
      <c r="G97" s="96">
        <v>85</v>
      </c>
      <c r="H97" s="96">
        <v>11</v>
      </c>
      <c r="I97" s="96" t="str">
        <f>IF(Table1[[#This Row],[ProjectsCompleted]]&gt;10, "Yes","No")</f>
        <v>Yes</v>
      </c>
      <c r="J97" s="88">
        <v>1600</v>
      </c>
      <c r="K97" s="96">
        <v>96</v>
      </c>
      <c r="L97" s="96" t="str">
        <f>IF(Table1[[#This Row],[ProjectsCompleted]]&gt;10, "Yes", "No")</f>
        <v>Yes</v>
      </c>
      <c r="M97" s="96">
        <f ca="1">TODAY()-Table1[[#This Row],[HireDate]]</f>
        <v>2120</v>
      </c>
      <c r="N97" s="96">
        <f>YEAR(Table1[[#This Row],[HireDate]])</f>
        <v>2019</v>
      </c>
    </row>
    <row r="98" spans="1:14">
      <c r="A98" s="96" t="s">
        <v>228</v>
      </c>
      <c r="B98" s="96" t="s">
        <v>112</v>
      </c>
      <c r="C98" s="96" t="s">
        <v>184</v>
      </c>
      <c r="D98" s="96" t="s">
        <v>20</v>
      </c>
      <c r="E98" s="96" t="s">
        <v>5</v>
      </c>
      <c r="F98" s="3">
        <v>44518</v>
      </c>
      <c r="G98" s="96">
        <v>80</v>
      </c>
      <c r="H98" s="96">
        <v>7</v>
      </c>
      <c r="I98" s="96" t="str">
        <f>IF(Table1[[#This Row],[ProjectsCompleted]]&gt;10, "Yes","No")</f>
        <v>No</v>
      </c>
      <c r="J98" s="88">
        <v>1300</v>
      </c>
      <c r="K98" s="96">
        <v>90</v>
      </c>
      <c r="L98" s="96" t="str">
        <f>IF(Table1[[#This Row],[ProjectsCompleted]]&gt;10, "Yes", "No")</f>
        <v>No</v>
      </c>
      <c r="M98" s="96">
        <f ca="1">TODAY()-Table1[[#This Row],[HireDate]]</f>
        <v>1123</v>
      </c>
      <c r="N98" s="96">
        <f>YEAR(Table1[[#This Row],[HireDate]])</f>
        <v>2021</v>
      </c>
    </row>
    <row r="99" spans="1:14">
      <c r="A99" s="96" t="s">
        <v>229</v>
      </c>
      <c r="B99" s="96" t="s">
        <v>44</v>
      </c>
      <c r="C99" s="96" t="s">
        <v>230</v>
      </c>
      <c r="D99" s="96" t="s">
        <v>18</v>
      </c>
      <c r="E99" s="96" t="s">
        <v>7</v>
      </c>
      <c r="F99" s="3">
        <v>44171</v>
      </c>
      <c r="G99" s="96">
        <v>79</v>
      </c>
      <c r="H99" s="96">
        <v>8</v>
      </c>
      <c r="I99" s="96" t="str">
        <f>IF(Table1[[#This Row],[ProjectsCompleted]]&gt;10, "Yes","No")</f>
        <v>No</v>
      </c>
      <c r="J99" s="88">
        <v>1400</v>
      </c>
      <c r="K99" s="96">
        <v>89</v>
      </c>
      <c r="L99" s="96" t="str">
        <f>IF(Table1[[#This Row],[ProjectsCompleted]]&gt;10, "Yes", "No")</f>
        <v>No</v>
      </c>
      <c r="M99" s="96">
        <f ca="1">TODAY()-Table1[[#This Row],[HireDate]]</f>
        <v>1470</v>
      </c>
      <c r="N99" s="96">
        <f>YEAR(Table1[[#This Row],[HireDate]])</f>
        <v>2020</v>
      </c>
    </row>
    <row r="100" spans="1:14">
      <c r="A100" s="96" t="s">
        <v>231</v>
      </c>
      <c r="B100" s="96" t="s">
        <v>232</v>
      </c>
      <c r="C100" s="96" t="s">
        <v>233</v>
      </c>
      <c r="D100" s="96" t="s">
        <v>20</v>
      </c>
      <c r="E100" s="96" t="s">
        <v>8</v>
      </c>
      <c r="F100" s="3">
        <v>44772</v>
      </c>
      <c r="G100" s="96">
        <v>88</v>
      </c>
      <c r="H100" s="96">
        <v>10</v>
      </c>
      <c r="I100" s="96" t="str">
        <f>IF(Table1[[#This Row],[ProjectsCompleted]]&gt;10, "Yes","No")</f>
        <v>No</v>
      </c>
      <c r="J100" s="88">
        <v>1650</v>
      </c>
      <c r="K100" s="96">
        <v>95</v>
      </c>
      <c r="L100" s="96" t="str">
        <f>IF(Table1[[#This Row],[ProjectsCompleted]]&gt;10, "Yes", "No")</f>
        <v>No</v>
      </c>
      <c r="M100" s="96">
        <f ca="1">TODAY()-Table1[[#This Row],[HireDate]]</f>
        <v>869</v>
      </c>
      <c r="N100" s="96">
        <f>YEAR(Table1[[#This Row],[HireDate]])</f>
        <v>2022</v>
      </c>
    </row>
    <row r="101" spans="1:14">
      <c r="A101" s="96" t="s">
        <v>23</v>
      </c>
      <c r="B101" s="96" t="s">
        <v>164</v>
      </c>
      <c r="C101" s="96" t="s">
        <v>129</v>
      </c>
      <c r="D101" s="96" t="s">
        <v>18</v>
      </c>
      <c r="E101" s="96" t="s">
        <v>4</v>
      </c>
      <c r="F101" s="3">
        <v>44360</v>
      </c>
      <c r="G101" s="96">
        <v>92</v>
      </c>
      <c r="H101" s="96">
        <v>14</v>
      </c>
      <c r="I101" s="96" t="str">
        <f>IF(Table1[[#This Row],[ProjectsCompleted]]&gt;10, "Yes","No")</f>
        <v>Yes</v>
      </c>
      <c r="J101" s="88">
        <v>1800</v>
      </c>
      <c r="K101" s="96">
        <v>99</v>
      </c>
      <c r="L101" s="96" t="str">
        <f>IF(Table1[[#This Row],[ProjectsCompleted]]&gt;10, "Yes", "No")</f>
        <v>Yes</v>
      </c>
      <c r="M101" s="96">
        <f ca="1">TODAY()-Table1[[#This Row],[HireDate]]</f>
        <v>1281</v>
      </c>
      <c r="N101" s="96">
        <f>YEAR(Table1[[#This Row],[HireDate]])</f>
        <v>2021</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244C2-AB70-4940-A325-D7BE9BEC37B3}">
  <dimension ref="A1:R176"/>
  <sheetViews>
    <sheetView topLeftCell="I55" zoomScaleNormal="100" workbookViewId="0">
      <selection activeCell="K155" sqref="K155:K158"/>
    </sheetView>
  </sheetViews>
  <sheetFormatPr defaultRowHeight="18"/>
  <cols>
    <col min="1" max="1" width="18" customWidth="1"/>
    <col min="2" max="2" width="17" customWidth="1"/>
    <col min="3" max="3" width="16.125" customWidth="1"/>
    <col min="4" max="4" width="20.125" customWidth="1"/>
    <col min="5" max="5" width="26.25" customWidth="1"/>
    <col min="6" max="6" width="14.5" customWidth="1"/>
    <col min="7" max="7" width="19.5" customWidth="1"/>
    <col min="8" max="8" width="20.625" customWidth="1"/>
    <col min="9" max="9" width="28.125" customWidth="1"/>
    <col min="10" max="10" width="26.625" customWidth="1"/>
    <col min="11" max="11" width="20.75" customWidth="1"/>
    <col min="12" max="12" width="25.5" customWidth="1"/>
    <col min="13" max="13" width="26" bestFit="1" customWidth="1"/>
    <col min="14" max="14" width="39.5" bestFit="1" customWidth="1"/>
    <col min="15" max="15" width="39.5" customWidth="1"/>
    <col min="16" max="16" width="22.25" bestFit="1" customWidth="1"/>
    <col min="17" max="17" width="27" bestFit="1" customWidth="1"/>
    <col min="18" max="18" width="58.375" bestFit="1" customWidth="1"/>
  </cols>
  <sheetData>
    <row r="1" spans="1:18" ht="21.6">
      <c r="A1" s="86" t="s">
        <v>11</v>
      </c>
      <c r="B1" s="86" t="s">
        <v>29</v>
      </c>
      <c r="C1" s="86" t="s">
        <v>30</v>
      </c>
      <c r="D1" s="86" t="s">
        <v>234</v>
      </c>
      <c r="E1" s="86" t="s">
        <v>296</v>
      </c>
      <c r="F1" s="86" t="s">
        <v>16</v>
      </c>
      <c r="G1" s="86" t="s">
        <v>1</v>
      </c>
      <c r="H1" s="86" t="s">
        <v>297</v>
      </c>
      <c r="I1" s="86" t="s">
        <v>31</v>
      </c>
      <c r="J1" s="86" t="s">
        <v>298</v>
      </c>
      <c r="K1" s="86" t="s">
        <v>299</v>
      </c>
      <c r="L1" s="86" t="s">
        <v>12</v>
      </c>
      <c r="M1" s="86" t="s">
        <v>13</v>
      </c>
      <c r="N1" s="86" t="s">
        <v>300</v>
      </c>
      <c r="O1" s="86" t="s">
        <v>301</v>
      </c>
      <c r="P1" s="87" t="s">
        <v>14</v>
      </c>
      <c r="Q1" s="86" t="s">
        <v>15</v>
      </c>
      <c r="R1" s="86" t="s">
        <v>302</v>
      </c>
    </row>
    <row r="2" spans="1:18" ht="21.6">
      <c r="A2" s="83" t="s">
        <v>32</v>
      </c>
      <c r="B2" s="83" t="s">
        <v>33</v>
      </c>
      <c r="C2" s="83" t="s">
        <v>34</v>
      </c>
      <c r="D2" s="83" t="str">
        <f>_xlfn.CONCAT(MyAssignment8[[#This Row],[FirstName]]," ",MyAssignment8[[#This Row],[LastName]])</f>
        <v>John Smith</v>
      </c>
      <c r="E2" s="83" t="str">
        <f>LEFT(MyAssignment8[[#This Row],[LastName]],3)</f>
        <v>Smi</v>
      </c>
      <c r="F2" s="83" t="s">
        <v>18</v>
      </c>
      <c r="G2" s="83" t="s">
        <v>4</v>
      </c>
      <c r="H2" s="83" t="str">
        <f>UPPER(MyAssignment8[[#This Row],[Department]])</f>
        <v>IT</v>
      </c>
      <c r="I2" s="85">
        <v>44242</v>
      </c>
      <c r="J2" s="83">
        <f ca="1">_xlfn.DAYS($M$125,MyAssignment8[[#This Row],[HireDate]])</f>
        <v>1399</v>
      </c>
      <c r="K2" s="83">
        <f>YEAR(MyAssignment8[[#This Row],[HireDate]])</f>
        <v>2021</v>
      </c>
      <c r="L2" s="83">
        <v>85</v>
      </c>
      <c r="M2" s="83">
        <v>12</v>
      </c>
      <c r="N2" s="83" t="str">
        <f>IF(MyAssignment8[[#This Row],[ProjectsCompleted]]&gt;10,"Yes","No")</f>
        <v>Yes</v>
      </c>
      <c r="O2" s="83" t="b">
        <f>AND(MyAssignment8[[#This Row],[PerformanceScore]]&gt;85,MyAssignment8[[#This Row],[ProjectsCompleted]]&gt;10)</f>
        <v>0</v>
      </c>
      <c r="P2" s="84">
        <v>1500</v>
      </c>
      <c r="Q2" s="83">
        <v>95</v>
      </c>
      <c r="R2" s="80" t="b">
        <f>OR(MyAssignment8[[#This Row],[PerformanceScore]]&lt;85,MyAssignment8[[#This Row],[AttendanceRate (%)]]&lt;90)</f>
        <v>0</v>
      </c>
    </row>
    <row r="3" spans="1:18" ht="21.6">
      <c r="A3" s="83" t="s">
        <v>35</v>
      </c>
      <c r="B3" s="83" t="s">
        <v>36</v>
      </c>
      <c r="C3" s="83" t="s">
        <v>37</v>
      </c>
      <c r="D3" s="83" t="str">
        <f>_xlfn.CONCAT(MyAssignment8[[#This Row],[FirstName]]," ",MyAssignment8[[#This Row],[LastName]])</f>
        <v>Emily Johnson</v>
      </c>
      <c r="E3" s="83" t="str">
        <f>LEFT(MyAssignment8[[#This Row],[LastName]],3)</f>
        <v>Joh</v>
      </c>
      <c r="F3" s="83" t="s">
        <v>20</v>
      </c>
      <c r="G3" s="83" t="s">
        <v>5</v>
      </c>
      <c r="H3" s="83" t="str">
        <f>UPPER(MyAssignment8[[#This Row],[Department]])</f>
        <v>HR</v>
      </c>
      <c r="I3" s="85">
        <v>44691</v>
      </c>
      <c r="J3" s="83">
        <f ca="1">_xlfn.DAYS($M$125,MyAssignment8[[#This Row],[HireDate]])</f>
        <v>950</v>
      </c>
      <c r="K3" s="83">
        <f>YEAR(MyAssignment8[[#This Row],[HireDate]])</f>
        <v>2022</v>
      </c>
      <c r="L3" s="83">
        <v>90</v>
      </c>
      <c r="M3" s="83">
        <v>8</v>
      </c>
      <c r="N3" s="83" t="str">
        <f>IF(MyAssignment8[[#This Row],[ProjectsCompleted]]&gt;10,"Yes","No")</f>
        <v>No</v>
      </c>
      <c r="O3" s="83" t="b">
        <f>AND(MyAssignment8[[#This Row],[PerformanceScore]]&gt;85,MyAssignment8[[#This Row],[ProjectsCompleted]]&gt;10)</f>
        <v>0</v>
      </c>
      <c r="P3" s="84">
        <v>1800</v>
      </c>
      <c r="Q3" s="83">
        <v>98</v>
      </c>
      <c r="R3" s="80" t="b">
        <f>OR(MyAssignment8[[#This Row],[PerformanceScore]]&lt;85,MyAssignment8[[#This Row],[AttendanceRate (%)]]&lt;90)</f>
        <v>0</v>
      </c>
    </row>
    <row r="4" spans="1:18" ht="21.6">
      <c r="A4" s="83" t="s">
        <v>38</v>
      </c>
      <c r="B4" s="83" t="s">
        <v>39</v>
      </c>
      <c r="C4" s="83" t="s">
        <v>40</v>
      </c>
      <c r="D4" s="83" t="str">
        <f>_xlfn.CONCAT(MyAssignment8[[#This Row],[FirstName]]," ",MyAssignment8[[#This Row],[LastName]])</f>
        <v>David Lee</v>
      </c>
      <c r="E4" s="83" t="str">
        <f>LEFT(MyAssignment8[[#This Row],[LastName]],3)</f>
        <v>Lee</v>
      </c>
      <c r="F4" s="83" t="s">
        <v>18</v>
      </c>
      <c r="G4" s="83" t="s">
        <v>7</v>
      </c>
      <c r="H4" s="83" t="str">
        <f>UPPER(MyAssignment8[[#This Row],[Department]])</f>
        <v>MARKETING</v>
      </c>
      <c r="I4" s="85">
        <v>44032</v>
      </c>
      <c r="J4" s="83">
        <f ca="1">_xlfn.DAYS($M$125,MyAssignment8[[#This Row],[HireDate]])</f>
        <v>1609</v>
      </c>
      <c r="K4" s="83">
        <f>YEAR(MyAssignment8[[#This Row],[HireDate]])</f>
        <v>2020</v>
      </c>
      <c r="L4" s="83">
        <v>75</v>
      </c>
      <c r="M4" s="83">
        <v>10</v>
      </c>
      <c r="N4" s="83" t="str">
        <f>IF(MyAssignment8[[#This Row],[ProjectsCompleted]]&gt;10,"Yes","No")</f>
        <v>No</v>
      </c>
      <c r="O4" s="83" t="b">
        <f>AND(MyAssignment8[[#This Row],[PerformanceScore]]&gt;85,MyAssignment8[[#This Row],[ProjectsCompleted]]&gt;10)</f>
        <v>0</v>
      </c>
      <c r="P4" s="84">
        <v>1200</v>
      </c>
      <c r="Q4" s="83">
        <v>92</v>
      </c>
      <c r="R4" s="80" t="b">
        <f>OR(MyAssignment8[[#This Row],[PerformanceScore]]&lt;85,MyAssignment8[[#This Row],[AttendanceRate (%)]]&lt;90)</f>
        <v>1</v>
      </c>
    </row>
    <row r="5" spans="1:18" ht="21.6">
      <c r="A5" s="83" t="s">
        <v>41</v>
      </c>
      <c r="B5" s="83" t="s">
        <v>42</v>
      </c>
      <c r="C5" s="83" t="s">
        <v>43</v>
      </c>
      <c r="D5" s="83" t="str">
        <f>_xlfn.CONCAT(MyAssignment8[[#This Row],[FirstName]]," ",MyAssignment8[[#This Row],[LastName]])</f>
        <v>Sarah Brown</v>
      </c>
      <c r="E5" s="83" t="str">
        <f>LEFT(MyAssignment8[[#This Row],[LastName]],3)</f>
        <v>Bro</v>
      </c>
      <c r="F5" s="83" t="s">
        <v>20</v>
      </c>
      <c r="G5" s="83" t="s">
        <v>4</v>
      </c>
      <c r="H5" s="83" t="str">
        <f>UPPER(MyAssignment8[[#This Row],[Department]])</f>
        <v>IT</v>
      </c>
      <c r="I5" s="85">
        <v>43804</v>
      </c>
      <c r="J5" s="83">
        <f ca="1">_xlfn.DAYS($M$125,MyAssignment8[[#This Row],[HireDate]])</f>
        <v>1837</v>
      </c>
      <c r="K5" s="83">
        <f>YEAR(MyAssignment8[[#This Row],[HireDate]])</f>
        <v>2019</v>
      </c>
      <c r="L5" s="83">
        <v>88</v>
      </c>
      <c r="M5" s="83">
        <v>15</v>
      </c>
      <c r="N5" s="83" t="str">
        <f>IF(MyAssignment8[[#This Row],[ProjectsCompleted]]&gt;10,"Yes","No")</f>
        <v>Yes</v>
      </c>
      <c r="O5" s="83" t="b">
        <f>AND(MyAssignment8[[#This Row],[PerformanceScore]]&gt;85,MyAssignment8[[#This Row],[ProjectsCompleted]]&gt;10)</f>
        <v>1</v>
      </c>
      <c r="P5" s="84">
        <v>2000</v>
      </c>
      <c r="Q5" s="83">
        <v>97</v>
      </c>
      <c r="R5" s="80" t="b">
        <f>OR(MyAssignment8[[#This Row],[PerformanceScore]]&lt;85,MyAssignment8[[#This Row],[AttendanceRate (%)]]&lt;90)</f>
        <v>0</v>
      </c>
    </row>
    <row r="6" spans="1:18" ht="21.6">
      <c r="A6" s="83" t="s">
        <v>17</v>
      </c>
      <c r="B6" s="83" t="s">
        <v>44</v>
      </c>
      <c r="C6" s="83" t="s">
        <v>45</v>
      </c>
      <c r="D6" s="83" t="str">
        <f>_xlfn.CONCAT(MyAssignment8[[#This Row],[FirstName]]," ",MyAssignment8[[#This Row],[LastName]])</f>
        <v>Daniel Williams</v>
      </c>
      <c r="E6" s="83" t="str">
        <f>LEFT(MyAssignment8[[#This Row],[LastName]],3)</f>
        <v>Wil</v>
      </c>
      <c r="F6" s="83" t="s">
        <v>18</v>
      </c>
      <c r="G6" s="83" t="s">
        <v>6</v>
      </c>
      <c r="H6" s="83" t="str">
        <f>UPPER(MyAssignment8[[#This Row],[Department]])</f>
        <v>FINANCE</v>
      </c>
      <c r="I6" s="85">
        <v>44214</v>
      </c>
      <c r="J6" s="83">
        <f ca="1">_xlfn.DAYS($M$125,MyAssignment8[[#This Row],[HireDate]])</f>
        <v>1427</v>
      </c>
      <c r="K6" s="83">
        <f>YEAR(MyAssignment8[[#This Row],[HireDate]])</f>
        <v>2021</v>
      </c>
      <c r="L6" s="83">
        <v>93</v>
      </c>
      <c r="M6" s="83">
        <v>14</v>
      </c>
      <c r="N6" s="83" t="str">
        <f>IF(MyAssignment8[[#This Row],[ProjectsCompleted]]&gt;10,"Yes","No")</f>
        <v>Yes</v>
      </c>
      <c r="O6" s="83" t="b">
        <f>AND(MyAssignment8[[#This Row],[PerformanceScore]]&gt;85,MyAssignment8[[#This Row],[ProjectsCompleted]]&gt;10)</f>
        <v>1</v>
      </c>
      <c r="P6" s="84">
        <v>1750</v>
      </c>
      <c r="Q6" s="83">
        <v>99</v>
      </c>
      <c r="R6" s="80" t="b">
        <f>OR(MyAssignment8[[#This Row],[PerformanceScore]]&lt;85,MyAssignment8[[#This Row],[AttendanceRate (%)]]&lt;90)</f>
        <v>0</v>
      </c>
    </row>
    <row r="7" spans="1:18" ht="21.6">
      <c r="A7" s="83" t="s">
        <v>46</v>
      </c>
      <c r="B7" s="83" t="s">
        <v>47</v>
      </c>
      <c r="C7" s="83" t="s">
        <v>48</v>
      </c>
      <c r="D7" s="83" t="str">
        <f>_xlfn.CONCAT(MyAssignment8[[#This Row],[FirstName]]," ",MyAssignment8[[#This Row],[LastName]])</f>
        <v>Anna Garcia</v>
      </c>
      <c r="E7" s="83" t="str">
        <f>LEFT(MyAssignment8[[#This Row],[LastName]],3)</f>
        <v>Gar</v>
      </c>
      <c r="F7" s="83" t="s">
        <v>20</v>
      </c>
      <c r="G7" s="83" t="s">
        <v>5</v>
      </c>
      <c r="H7" s="83" t="str">
        <f>UPPER(MyAssignment8[[#This Row],[Department]])</f>
        <v>HR</v>
      </c>
      <c r="I7" s="85">
        <v>44065</v>
      </c>
      <c r="J7" s="83">
        <f ca="1">_xlfn.DAYS($M$125,MyAssignment8[[#This Row],[HireDate]])</f>
        <v>1576</v>
      </c>
      <c r="K7" s="83">
        <f>YEAR(MyAssignment8[[#This Row],[HireDate]])</f>
        <v>2020</v>
      </c>
      <c r="L7" s="83">
        <v>80</v>
      </c>
      <c r="M7" s="83">
        <v>9</v>
      </c>
      <c r="N7" s="83" t="str">
        <f>IF(MyAssignment8[[#This Row],[ProjectsCompleted]]&gt;10,"Yes","No")</f>
        <v>No</v>
      </c>
      <c r="O7" s="83" t="b">
        <f>AND(MyAssignment8[[#This Row],[PerformanceScore]]&gt;85,MyAssignment8[[#This Row],[ProjectsCompleted]]&gt;10)</f>
        <v>0</v>
      </c>
      <c r="P7" s="84">
        <v>1300</v>
      </c>
      <c r="Q7" s="83">
        <v>94</v>
      </c>
      <c r="R7" s="80" t="b">
        <f>OR(MyAssignment8[[#This Row],[PerformanceScore]]&lt;85,MyAssignment8[[#This Row],[AttendanceRate (%)]]&lt;90)</f>
        <v>1</v>
      </c>
    </row>
    <row r="8" spans="1:18" ht="21.6">
      <c r="A8" s="83" t="s">
        <v>49</v>
      </c>
      <c r="B8" s="83" t="s">
        <v>50</v>
      </c>
      <c r="C8" s="83" t="s">
        <v>51</v>
      </c>
      <c r="D8" s="83" t="str">
        <f>_xlfn.CONCAT(MyAssignment8[[#This Row],[FirstName]]," ",MyAssignment8[[#This Row],[LastName]])</f>
        <v>Michael Martinez</v>
      </c>
      <c r="E8" s="83" t="str">
        <f>LEFT(MyAssignment8[[#This Row],[LastName]],3)</f>
        <v>Mar</v>
      </c>
      <c r="F8" s="83" t="s">
        <v>18</v>
      </c>
      <c r="G8" s="83" t="s">
        <v>8</v>
      </c>
      <c r="H8" s="83" t="str">
        <f>UPPER(MyAssignment8[[#This Row],[Department]])</f>
        <v>SALES</v>
      </c>
      <c r="I8" s="85">
        <v>44269</v>
      </c>
      <c r="J8" s="83">
        <f ca="1">_xlfn.DAYS($M$125,MyAssignment8[[#This Row],[HireDate]])</f>
        <v>1372</v>
      </c>
      <c r="K8" s="83">
        <f>YEAR(MyAssignment8[[#This Row],[HireDate]])</f>
        <v>2021</v>
      </c>
      <c r="L8" s="83">
        <v>82</v>
      </c>
      <c r="M8" s="83">
        <v>11</v>
      </c>
      <c r="N8" s="83" t="str">
        <f>IF(MyAssignment8[[#This Row],[ProjectsCompleted]]&gt;10,"Yes","No")</f>
        <v>Yes</v>
      </c>
      <c r="O8" s="83" t="b">
        <f>AND(MyAssignment8[[#This Row],[PerformanceScore]]&gt;85,MyAssignment8[[#This Row],[ProjectsCompleted]]&gt;10)</f>
        <v>0</v>
      </c>
      <c r="P8" s="84">
        <v>1400</v>
      </c>
      <c r="Q8" s="83">
        <v>96</v>
      </c>
      <c r="R8" s="80" t="b">
        <f>OR(MyAssignment8[[#This Row],[PerformanceScore]]&lt;85,MyAssignment8[[#This Row],[AttendanceRate (%)]]&lt;90)</f>
        <v>1</v>
      </c>
    </row>
    <row r="9" spans="1:18" ht="21.6">
      <c r="A9" s="83" t="s">
        <v>28</v>
      </c>
      <c r="B9" s="83" t="s">
        <v>52</v>
      </c>
      <c r="C9" s="83" t="s">
        <v>53</v>
      </c>
      <c r="D9" s="83" t="str">
        <f>_xlfn.CONCAT(MyAssignment8[[#This Row],[FirstName]]," ",MyAssignment8[[#This Row],[LastName]])</f>
        <v>Chloe Miller</v>
      </c>
      <c r="E9" s="83" t="str">
        <f>LEFT(MyAssignment8[[#This Row],[LastName]],3)</f>
        <v>Mil</v>
      </c>
      <c r="F9" s="83" t="s">
        <v>20</v>
      </c>
      <c r="G9" s="83" t="s">
        <v>4</v>
      </c>
      <c r="H9" s="83" t="str">
        <f>UPPER(MyAssignment8[[#This Row],[Department]])</f>
        <v>IT</v>
      </c>
      <c r="I9" s="85">
        <v>44723</v>
      </c>
      <c r="J9" s="83">
        <f ca="1">_xlfn.DAYS($M$125,MyAssignment8[[#This Row],[HireDate]])</f>
        <v>918</v>
      </c>
      <c r="K9" s="83">
        <f>YEAR(MyAssignment8[[#This Row],[HireDate]])</f>
        <v>2022</v>
      </c>
      <c r="L9" s="83">
        <v>91</v>
      </c>
      <c r="M9" s="83">
        <v>7</v>
      </c>
      <c r="N9" s="83" t="str">
        <f>IF(MyAssignment8[[#This Row],[ProjectsCompleted]]&gt;10,"Yes","No")</f>
        <v>No</v>
      </c>
      <c r="O9" s="83" t="b">
        <f>AND(MyAssignment8[[#This Row],[PerformanceScore]]&gt;85,MyAssignment8[[#This Row],[ProjectsCompleted]]&gt;10)</f>
        <v>0</v>
      </c>
      <c r="P9" s="84">
        <v>1600</v>
      </c>
      <c r="Q9" s="83">
        <v>99</v>
      </c>
      <c r="R9" s="80" t="b">
        <f>OR(MyAssignment8[[#This Row],[PerformanceScore]]&lt;85,MyAssignment8[[#This Row],[AttendanceRate (%)]]&lt;90)</f>
        <v>0</v>
      </c>
    </row>
    <row r="10" spans="1:18" ht="21.6">
      <c r="A10" s="83" t="s">
        <v>54</v>
      </c>
      <c r="B10" s="83" t="s">
        <v>55</v>
      </c>
      <c r="C10" s="83" t="s">
        <v>56</v>
      </c>
      <c r="D10" s="83" t="str">
        <f>_xlfn.CONCAT(MyAssignment8[[#This Row],[FirstName]]," ",MyAssignment8[[#This Row],[LastName]])</f>
        <v>Chris Wilson</v>
      </c>
      <c r="E10" s="83" t="str">
        <f>LEFT(MyAssignment8[[#This Row],[LastName]],3)</f>
        <v>Wil</v>
      </c>
      <c r="F10" s="83" t="s">
        <v>18</v>
      </c>
      <c r="G10" s="83" t="s">
        <v>7</v>
      </c>
      <c r="H10" s="83" t="str">
        <f>UPPER(MyAssignment8[[#This Row],[Department]])</f>
        <v>MARKETING</v>
      </c>
      <c r="I10" s="85">
        <v>43739</v>
      </c>
      <c r="J10" s="83">
        <f ca="1">_xlfn.DAYS($M$125,MyAssignment8[[#This Row],[HireDate]])</f>
        <v>1902</v>
      </c>
      <c r="K10" s="83">
        <f>YEAR(MyAssignment8[[#This Row],[HireDate]])</f>
        <v>2019</v>
      </c>
      <c r="L10" s="83">
        <v>89</v>
      </c>
      <c r="M10" s="83">
        <v>13</v>
      </c>
      <c r="N10" s="83" t="str">
        <f>IF(MyAssignment8[[#This Row],[ProjectsCompleted]]&gt;10,"Yes","No")</f>
        <v>Yes</v>
      </c>
      <c r="O10" s="83" t="b">
        <f>AND(MyAssignment8[[#This Row],[PerformanceScore]]&gt;85,MyAssignment8[[#This Row],[ProjectsCompleted]]&gt;10)</f>
        <v>1</v>
      </c>
      <c r="P10" s="84">
        <v>1550</v>
      </c>
      <c r="Q10" s="83">
        <v>98</v>
      </c>
      <c r="R10" s="80" t="b">
        <f>OR(MyAssignment8[[#This Row],[PerformanceScore]]&lt;85,MyAssignment8[[#This Row],[AttendanceRate (%)]]&lt;90)</f>
        <v>0</v>
      </c>
    </row>
    <row r="11" spans="1:18" ht="21.6">
      <c r="A11" s="83" t="s">
        <v>57</v>
      </c>
      <c r="B11" s="83" t="s">
        <v>58</v>
      </c>
      <c r="C11" s="83" t="s">
        <v>59</v>
      </c>
      <c r="D11" s="83" t="str">
        <f>_xlfn.CONCAT(MyAssignment8[[#This Row],[FirstName]]," ",MyAssignment8[[#This Row],[LastName]])</f>
        <v>Laura Moore</v>
      </c>
      <c r="E11" s="83" t="str">
        <f>LEFT(MyAssignment8[[#This Row],[LastName]],3)</f>
        <v>Moo</v>
      </c>
      <c r="F11" s="83" t="s">
        <v>20</v>
      </c>
      <c r="G11" s="83" t="s">
        <v>6</v>
      </c>
      <c r="H11" s="83" t="str">
        <f>UPPER(MyAssignment8[[#This Row],[Department]])</f>
        <v>FINANCE</v>
      </c>
      <c r="I11" s="85">
        <v>43837</v>
      </c>
      <c r="J11" s="83">
        <f ca="1">_xlfn.DAYS($M$125,MyAssignment8[[#This Row],[HireDate]])</f>
        <v>1804</v>
      </c>
      <c r="K11" s="83">
        <f>YEAR(MyAssignment8[[#This Row],[HireDate]])</f>
        <v>2020</v>
      </c>
      <c r="L11" s="83">
        <v>76</v>
      </c>
      <c r="M11" s="83">
        <v>10</v>
      </c>
      <c r="N11" s="83" t="str">
        <f>IF(MyAssignment8[[#This Row],[ProjectsCompleted]]&gt;10,"Yes","No")</f>
        <v>No</v>
      </c>
      <c r="O11" s="83" t="b">
        <f>AND(MyAssignment8[[#This Row],[PerformanceScore]]&gt;85,MyAssignment8[[#This Row],[ProjectsCompleted]]&gt;10)</f>
        <v>0</v>
      </c>
      <c r="P11" s="84">
        <v>1100</v>
      </c>
      <c r="Q11" s="83">
        <v>91</v>
      </c>
      <c r="R11" s="80" t="b">
        <f>OR(MyAssignment8[[#This Row],[PerformanceScore]]&lt;85,MyAssignment8[[#This Row],[AttendanceRate (%)]]&lt;90)</f>
        <v>1</v>
      </c>
    </row>
    <row r="12" spans="1:18" ht="21.6">
      <c r="A12" s="80" t="s">
        <v>60</v>
      </c>
      <c r="B12" s="80" t="s">
        <v>61</v>
      </c>
      <c r="C12" s="80" t="s">
        <v>62</v>
      </c>
      <c r="D12" s="80" t="str">
        <f>_xlfn.CONCAT(MyAssignment8[[#This Row],[FirstName]]," ",MyAssignment8[[#This Row],[LastName]])</f>
        <v>Charlotte Scott</v>
      </c>
      <c r="E12" s="80" t="str">
        <f>LEFT(MyAssignment8[[#This Row],[LastName]],3)</f>
        <v>Sco</v>
      </c>
      <c r="F12" s="80" t="s">
        <v>20</v>
      </c>
      <c r="G12" s="80" t="s">
        <v>4</v>
      </c>
      <c r="H12" s="80" t="str">
        <f>UPPER(MyAssignment8[[#This Row],[Department]])</f>
        <v>IT</v>
      </c>
      <c r="I12" s="82">
        <v>43845</v>
      </c>
      <c r="J12" s="83">
        <f ca="1">_xlfn.DAYS($M$125,MyAssignment8[[#This Row],[HireDate]])</f>
        <v>1796</v>
      </c>
      <c r="K12" s="83">
        <f>YEAR(MyAssignment8[[#This Row],[HireDate]])</f>
        <v>2020</v>
      </c>
      <c r="L12" s="80">
        <v>84</v>
      </c>
      <c r="M12" s="80">
        <v>11</v>
      </c>
      <c r="N12" s="80" t="str">
        <f>IF(MyAssignment8[[#This Row],[ProjectsCompleted]]&gt;10,"Yes","No")</f>
        <v>Yes</v>
      </c>
      <c r="O12" s="80" t="b">
        <f>AND(MyAssignment8[[#This Row],[PerformanceScore]]&gt;85,MyAssignment8[[#This Row],[ProjectsCompleted]]&gt;10)</f>
        <v>0</v>
      </c>
      <c r="P12" s="81">
        <v>1500</v>
      </c>
      <c r="Q12" s="80">
        <v>94</v>
      </c>
      <c r="R12" s="80" t="b">
        <f>OR(MyAssignment8[[#This Row],[PerformanceScore]]&lt;85,MyAssignment8[[#This Row],[AttendanceRate (%)]]&lt;90)</f>
        <v>1</v>
      </c>
    </row>
    <row r="13" spans="1:18" ht="21.6">
      <c r="A13" s="80" t="s">
        <v>63</v>
      </c>
      <c r="B13" s="80" t="s">
        <v>64</v>
      </c>
      <c r="C13" s="80" t="s">
        <v>65</v>
      </c>
      <c r="D13" s="80" t="str">
        <f>_xlfn.CONCAT(MyAssignment8[[#This Row],[FirstName]]," ",MyAssignment8[[#This Row],[LastName]])</f>
        <v>Logan Cooper</v>
      </c>
      <c r="E13" s="80" t="str">
        <f>LEFT(MyAssignment8[[#This Row],[LastName]],3)</f>
        <v>Coo</v>
      </c>
      <c r="F13" s="80" t="s">
        <v>18</v>
      </c>
      <c r="G13" s="80" t="s">
        <v>6</v>
      </c>
      <c r="H13" s="80" t="str">
        <f>UPPER(MyAssignment8[[#This Row],[Department]])</f>
        <v>FINANCE</v>
      </c>
      <c r="I13" s="82">
        <v>44249</v>
      </c>
      <c r="J13" s="83">
        <f ca="1">_xlfn.DAYS($M$125,MyAssignment8[[#This Row],[HireDate]])</f>
        <v>1392</v>
      </c>
      <c r="K13" s="83">
        <f>YEAR(MyAssignment8[[#This Row],[HireDate]])</f>
        <v>2021</v>
      </c>
      <c r="L13" s="80">
        <v>89</v>
      </c>
      <c r="M13" s="80">
        <v>14</v>
      </c>
      <c r="N13" s="80" t="str">
        <f>IF(MyAssignment8[[#This Row],[ProjectsCompleted]]&gt;10,"Yes","No")</f>
        <v>Yes</v>
      </c>
      <c r="O13" s="80" t="b">
        <f>AND(MyAssignment8[[#This Row],[PerformanceScore]]&gt;85,MyAssignment8[[#This Row],[ProjectsCompleted]]&gt;10)</f>
        <v>1</v>
      </c>
      <c r="P13" s="81">
        <v>1750</v>
      </c>
      <c r="Q13" s="80">
        <v>97</v>
      </c>
      <c r="R13" s="80" t="b">
        <f>OR(MyAssignment8[[#This Row],[PerformanceScore]]&lt;85,MyAssignment8[[#This Row],[AttendanceRate (%)]]&lt;90)</f>
        <v>0</v>
      </c>
    </row>
    <row r="14" spans="1:18" ht="21.6">
      <c r="A14" s="80" t="s">
        <v>66</v>
      </c>
      <c r="B14" s="80" t="s">
        <v>67</v>
      </c>
      <c r="C14" s="80" t="s">
        <v>68</v>
      </c>
      <c r="D14" s="80" t="str">
        <f>_xlfn.CONCAT(MyAssignment8[[#This Row],[FirstName]]," ",MyAssignment8[[#This Row],[LastName]])</f>
        <v>Mia Mitchell</v>
      </c>
      <c r="E14" s="80" t="str">
        <f>LEFT(MyAssignment8[[#This Row],[LastName]],3)</f>
        <v>Mit</v>
      </c>
      <c r="F14" s="80" t="s">
        <v>20</v>
      </c>
      <c r="G14" s="80" t="s">
        <v>7</v>
      </c>
      <c r="H14" s="80" t="str">
        <f>UPPER(MyAssignment8[[#This Row],[Department]])</f>
        <v>MARKETING</v>
      </c>
      <c r="I14" s="82">
        <v>43687</v>
      </c>
      <c r="J14" s="83">
        <f ca="1">_xlfn.DAYS($M$125,MyAssignment8[[#This Row],[HireDate]])</f>
        <v>1954</v>
      </c>
      <c r="K14" s="83">
        <f>YEAR(MyAssignment8[[#This Row],[HireDate]])</f>
        <v>2019</v>
      </c>
      <c r="L14" s="80">
        <v>78</v>
      </c>
      <c r="M14" s="80">
        <v>8</v>
      </c>
      <c r="N14" s="80" t="str">
        <f>IF(MyAssignment8[[#This Row],[ProjectsCompleted]]&gt;10,"Yes","No")</f>
        <v>No</v>
      </c>
      <c r="O14" s="80" t="b">
        <f>AND(MyAssignment8[[#This Row],[PerformanceScore]]&gt;85,MyAssignment8[[#This Row],[ProjectsCompleted]]&gt;10)</f>
        <v>0</v>
      </c>
      <c r="P14" s="81">
        <v>1250</v>
      </c>
      <c r="Q14" s="80">
        <v>90</v>
      </c>
      <c r="R14" s="80" t="b">
        <f>OR(MyAssignment8[[#This Row],[PerformanceScore]]&lt;85,MyAssignment8[[#This Row],[AttendanceRate (%)]]&lt;90)</f>
        <v>1</v>
      </c>
    </row>
    <row r="15" spans="1:18" ht="21.6">
      <c r="A15" s="80" t="s">
        <v>69</v>
      </c>
      <c r="B15" s="80" t="s">
        <v>70</v>
      </c>
      <c r="C15" s="80" t="s">
        <v>71</v>
      </c>
      <c r="D15" s="80" t="str">
        <f>_xlfn.CONCAT(MyAssignment8[[#This Row],[FirstName]]," ",MyAssignment8[[#This Row],[LastName]])</f>
        <v>Ethan Nelson</v>
      </c>
      <c r="E15" s="80" t="str">
        <f>LEFT(MyAssignment8[[#This Row],[LastName]],3)</f>
        <v>Nel</v>
      </c>
      <c r="F15" s="80" t="s">
        <v>18</v>
      </c>
      <c r="G15" s="80" t="s">
        <v>5</v>
      </c>
      <c r="H15" s="80" t="str">
        <f>UPPER(MyAssignment8[[#This Row],[Department]])</f>
        <v>HR</v>
      </c>
      <c r="I15" s="82">
        <v>43895</v>
      </c>
      <c r="J15" s="83">
        <f ca="1">_xlfn.DAYS($M$125,MyAssignment8[[#This Row],[HireDate]])</f>
        <v>1746</v>
      </c>
      <c r="K15" s="83">
        <f>YEAR(MyAssignment8[[#This Row],[HireDate]])</f>
        <v>2020</v>
      </c>
      <c r="L15" s="80">
        <v>85</v>
      </c>
      <c r="M15" s="80">
        <v>10</v>
      </c>
      <c r="N15" s="80" t="str">
        <f>IF(MyAssignment8[[#This Row],[ProjectsCompleted]]&gt;10,"Yes","No")</f>
        <v>No</v>
      </c>
      <c r="O15" s="80" t="b">
        <f>AND(MyAssignment8[[#This Row],[PerformanceScore]]&gt;85,MyAssignment8[[#This Row],[ProjectsCompleted]]&gt;10)</f>
        <v>0</v>
      </c>
      <c r="P15" s="81">
        <v>1450</v>
      </c>
      <c r="Q15" s="80">
        <v>93</v>
      </c>
      <c r="R15" s="80" t="b">
        <f>OR(MyAssignment8[[#This Row],[PerformanceScore]]&lt;85,MyAssignment8[[#This Row],[AttendanceRate (%)]]&lt;90)</f>
        <v>0</v>
      </c>
    </row>
    <row r="16" spans="1:18" ht="21.6">
      <c r="A16" s="80" t="s">
        <v>72</v>
      </c>
      <c r="B16" s="80" t="s">
        <v>36</v>
      </c>
      <c r="C16" s="80" t="s">
        <v>73</v>
      </c>
      <c r="D16" s="80" t="str">
        <f>_xlfn.CONCAT(MyAssignment8[[#This Row],[FirstName]]," ",MyAssignment8[[#This Row],[LastName]])</f>
        <v>Emily Brooks</v>
      </c>
      <c r="E16" s="80" t="str">
        <f>LEFT(MyAssignment8[[#This Row],[LastName]],3)</f>
        <v>Bro</v>
      </c>
      <c r="F16" s="80" t="s">
        <v>20</v>
      </c>
      <c r="G16" s="80" t="s">
        <v>8</v>
      </c>
      <c r="H16" s="80" t="str">
        <f>UPPER(MyAssignment8[[#This Row],[Department]])</f>
        <v>SALES</v>
      </c>
      <c r="I16" s="82">
        <v>44396</v>
      </c>
      <c r="J16" s="83">
        <f ca="1">_xlfn.DAYS($M$125,MyAssignment8[[#This Row],[HireDate]])</f>
        <v>1245</v>
      </c>
      <c r="K16" s="83">
        <f>YEAR(MyAssignment8[[#This Row],[HireDate]])</f>
        <v>2021</v>
      </c>
      <c r="L16" s="80">
        <v>88</v>
      </c>
      <c r="M16" s="80">
        <v>12</v>
      </c>
      <c r="N16" s="80" t="str">
        <f>IF(MyAssignment8[[#This Row],[ProjectsCompleted]]&gt;10,"Yes","No")</f>
        <v>Yes</v>
      </c>
      <c r="O16" s="80" t="b">
        <f>AND(MyAssignment8[[#This Row],[PerformanceScore]]&gt;85,MyAssignment8[[#This Row],[ProjectsCompleted]]&gt;10)</f>
        <v>1</v>
      </c>
      <c r="P16" s="81">
        <v>1600</v>
      </c>
      <c r="Q16" s="80">
        <v>96</v>
      </c>
      <c r="R16" s="80" t="b">
        <f>OR(MyAssignment8[[#This Row],[PerformanceScore]]&lt;85,MyAssignment8[[#This Row],[AttendanceRate (%)]]&lt;90)</f>
        <v>0</v>
      </c>
    </row>
    <row r="17" spans="1:18" ht="21.6">
      <c r="A17" s="80" t="s">
        <v>21</v>
      </c>
      <c r="B17" s="80" t="s">
        <v>74</v>
      </c>
      <c r="C17" s="80" t="s">
        <v>75</v>
      </c>
      <c r="D17" s="80" t="str">
        <f>_xlfn.CONCAT(MyAssignment8[[#This Row],[FirstName]]," ",MyAssignment8[[#This Row],[LastName]])</f>
        <v>James Foster</v>
      </c>
      <c r="E17" s="80" t="str">
        <f>LEFT(MyAssignment8[[#This Row],[LastName]],3)</f>
        <v>Fos</v>
      </c>
      <c r="F17" s="80" t="s">
        <v>18</v>
      </c>
      <c r="G17" s="80" t="s">
        <v>4</v>
      </c>
      <c r="H17" s="80" t="str">
        <f>UPPER(MyAssignment8[[#This Row],[Department]])</f>
        <v>IT</v>
      </c>
      <c r="I17" s="82">
        <v>44833</v>
      </c>
      <c r="J17" s="83">
        <f ca="1">_xlfn.DAYS($M$125,MyAssignment8[[#This Row],[HireDate]])</f>
        <v>808</v>
      </c>
      <c r="K17" s="83">
        <f>YEAR(MyAssignment8[[#This Row],[HireDate]])</f>
        <v>2022</v>
      </c>
      <c r="L17" s="80">
        <v>92</v>
      </c>
      <c r="M17" s="80">
        <v>13</v>
      </c>
      <c r="N17" s="80" t="str">
        <f>IF(MyAssignment8[[#This Row],[ProjectsCompleted]]&gt;10,"Yes","No")</f>
        <v>Yes</v>
      </c>
      <c r="O17" s="80" t="b">
        <f>AND(MyAssignment8[[#This Row],[PerformanceScore]]&gt;85,MyAssignment8[[#This Row],[ProjectsCompleted]]&gt;10)</f>
        <v>1</v>
      </c>
      <c r="P17" s="81">
        <v>1800</v>
      </c>
      <c r="Q17" s="80">
        <v>98</v>
      </c>
      <c r="R17" s="80" t="b">
        <f>OR(MyAssignment8[[#This Row],[PerformanceScore]]&lt;85,MyAssignment8[[#This Row],[AttendanceRate (%)]]&lt;90)</f>
        <v>0</v>
      </c>
    </row>
    <row r="18" spans="1:18" ht="21.6">
      <c r="A18" s="80" t="s">
        <v>76</v>
      </c>
      <c r="B18" s="80" t="s">
        <v>77</v>
      </c>
      <c r="C18" s="80" t="s">
        <v>78</v>
      </c>
      <c r="D18" s="80" t="str">
        <f>_xlfn.CONCAT(MyAssignment8[[#This Row],[FirstName]]," ",MyAssignment8[[#This Row],[LastName]])</f>
        <v>Victoria Rivera</v>
      </c>
      <c r="E18" s="80" t="str">
        <f>LEFT(MyAssignment8[[#This Row],[LastName]],3)</f>
        <v>Riv</v>
      </c>
      <c r="F18" s="80" t="s">
        <v>20</v>
      </c>
      <c r="G18" s="80" t="s">
        <v>5</v>
      </c>
      <c r="H18" s="80" t="str">
        <f>UPPER(MyAssignment8[[#This Row],[Department]])</f>
        <v>HR</v>
      </c>
      <c r="I18" s="82">
        <v>43637</v>
      </c>
      <c r="J18" s="83">
        <f ca="1">_xlfn.DAYS($M$125,MyAssignment8[[#This Row],[HireDate]])</f>
        <v>2004</v>
      </c>
      <c r="K18" s="83">
        <f>YEAR(MyAssignment8[[#This Row],[HireDate]])</f>
        <v>2019</v>
      </c>
      <c r="L18" s="80">
        <v>81</v>
      </c>
      <c r="M18" s="80">
        <v>9</v>
      </c>
      <c r="N18" s="80" t="str">
        <f>IF(MyAssignment8[[#This Row],[ProjectsCompleted]]&gt;10,"Yes","No")</f>
        <v>No</v>
      </c>
      <c r="O18" s="80" t="b">
        <f>AND(MyAssignment8[[#This Row],[PerformanceScore]]&gt;85,MyAssignment8[[#This Row],[ProjectsCompleted]]&gt;10)</f>
        <v>0</v>
      </c>
      <c r="P18" s="81">
        <v>1400</v>
      </c>
      <c r="Q18" s="80">
        <v>91</v>
      </c>
      <c r="R18" s="80" t="b">
        <f>OR(MyAssignment8[[#This Row],[PerformanceScore]]&lt;85,MyAssignment8[[#This Row],[AttendanceRate (%)]]&lt;90)</f>
        <v>1</v>
      </c>
    </row>
    <row r="19" spans="1:18" ht="21.6">
      <c r="A19" s="80" t="s">
        <v>79</v>
      </c>
      <c r="B19" s="80" t="s">
        <v>80</v>
      </c>
      <c r="C19" s="80" t="s">
        <v>81</v>
      </c>
      <c r="D19" s="80" t="str">
        <f>_xlfn.CONCAT(MyAssignment8[[#This Row],[FirstName]]," ",MyAssignment8[[#This Row],[LastName]])</f>
        <v>Jackson Diaz</v>
      </c>
      <c r="E19" s="80" t="str">
        <f>LEFT(MyAssignment8[[#This Row],[LastName]],3)</f>
        <v>Dia</v>
      </c>
      <c r="F19" s="80" t="s">
        <v>18</v>
      </c>
      <c r="G19" s="80" t="s">
        <v>7</v>
      </c>
      <c r="H19" s="80" t="str">
        <f>UPPER(MyAssignment8[[#This Row],[Department]])</f>
        <v>MARKETING</v>
      </c>
      <c r="I19" s="82">
        <v>44324</v>
      </c>
      <c r="J19" s="83">
        <f ca="1">_xlfn.DAYS($M$125,MyAssignment8[[#This Row],[HireDate]])</f>
        <v>1317</v>
      </c>
      <c r="K19" s="83">
        <f>YEAR(MyAssignment8[[#This Row],[HireDate]])</f>
        <v>2021</v>
      </c>
      <c r="L19" s="80">
        <v>86</v>
      </c>
      <c r="M19" s="80">
        <v>11</v>
      </c>
      <c r="N19" s="80" t="str">
        <f>IF(MyAssignment8[[#This Row],[ProjectsCompleted]]&gt;10,"Yes","No")</f>
        <v>Yes</v>
      </c>
      <c r="O19" s="80" t="b">
        <f>AND(MyAssignment8[[#This Row],[PerformanceScore]]&gt;85,MyAssignment8[[#This Row],[ProjectsCompleted]]&gt;10)</f>
        <v>1</v>
      </c>
      <c r="P19" s="81">
        <v>1550</v>
      </c>
      <c r="Q19" s="80">
        <v>94</v>
      </c>
      <c r="R19" s="80" t="b">
        <f>OR(MyAssignment8[[#This Row],[PerformanceScore]]&lt;85,MyAssignment8[[#This Row],[AttendanceRate (%)]]&lt;90)</f>
        <v>0</v>
      </c>
    </row>
    <row r="20" spans="1:18" ht="21.6">
      <c r="A20" s="80" t="s">
        <v>82</v>
      </c>
      <c r="B20" s="80" t="s">
        <v>83</v>
      </c>
      <c r="C20" s="80" t="s">
        <v>84</v>
      </c>
      <c r="D20" s="80" t="str">
        <f>_xlfn.CONCAT(MyAssignment8[[#This Row],[FirstName]]," ",MyAssignment8[[#This Row],[LastName]])</f>
        <v>Olivia Morris</v>
      </c>
      <c r="E20" s="80" t="str">
        <f>LEFT(MyAssignment8[[#This Row],[LastName]],3)</f>
        <v>Mor</v>
      </c>
      <c r="F20" s="80" t="s">
        <v>20</v>
      </c>
      <c r="G20" s="80" t="s">
        <v>8</v>
      </c>
      <c r="H20" s="80" t="str">
        <f>UPPER(MyAssignment8[[#This Row],[Department]])</f>
        <v>SALES</v>
      </c>
      <c r="I20" s="82">
        <v>44137</v>
      </c>
      <c r="J20" s="83">
        <f ca="1">_xlfn.DAYS($M$125,MyAssignment8[[#This Row],[HireDate]])</f>
        <v>1504</v>
      </c>
      <c r="K20" s="83">
        <f>YEAR(MyAssignment8[[#This Row],[HireDate]])</f>
        <v>2020</v>
      </c>
      <c r="L20" s="80">
        <v>83</v>
      </c>
      <c r="M20" s="80">
        <v>10</v>
      </c>
      <c r="N20" s="80" t="str">
        <f>IF(MyAssignment8[[#This Row],[ProjectsCompleted]]&gt;10,"Yes","No")</f>
        <v>No</v>
      </c>
      <c r="O20" s="80" t="b">
        <f>AND(MyAssignment8[[#This Row],[PerformanceScore]]&gt;85,MyAssignment8[[#This Row],[ProjectsCompleted]]&gt;10)</f>
        <v>0</v>
      </c>
      <c r="P20" s="81">
        <v>1450</v>
      </c>
      <c r="Q20" s="80">
        <v>92</v>
      </c>
      <c r="R20" s="80" t="b">
        <f>OR(MyAssignment8[[#This Row],[PerformanceScore]]&lt;85,MyAssignment8[[#This Row],[AttendanceRate (%)]]&lt;90)</f>
        <v>1</v>
      </c>
    </row>
    <row r="21" spans="1:18" ht="21.6">
      <c r="A21" s="80" t="s">
        <v>85</v>
      </c>
      <c r="B21" s="80" t="s">
        <v>86</v>
      </c>
      <c r="C21" s="80" t="s">
        <v>87</v>
      </c>
      <c r="D21" s="80" t="str">
        <f>_xlfn.CONCAT(MyAssignment8[[#This Row],[FirstName]]," ",MyAssignment8[[#This Row],[LastName]])</f>
        <v>William Parker</v>
      </c>
      <c r="E21" s="80" t="str">
        <f>LEFT(MyAssignment8[[#This Row],[LastName]],3)</f>
        <v>Par</v>
      </c>
      <c r="F21" s="80" t="s">
        <v>18</v>
      </c>
      <c r="G21" s="80" t="s">
        <v>4</v>
      </c>
      <c r="H21" s="80" t="str">
        <f>UPPER(MyAssignment8[[#This Row],[Department]])</f>
        <v>IT</v>
      </c>
      <c r="I21" s="82">
        <v>44637</v>
      </c>
      <c r="J21" s="83">
        <f ca="1">_xlfn.DAYS($M$125,MyAssignment8[[#This Row],[HireDate]])</f>
        <v>1004</v>
      </c>
      <c r="K21" s="83">
        <f>YEAR(MyAssignment8[[#This Row],[HireDate]])</f>
        <v>2022</v>
      </c>
      <c r="L21" s="80">
        <v>90</v>
      </c>
      <c r="M21" s="80">
        <v>12</v>
      </c>
      <c r="N21" s="80" t="str">
        <f>IF(MyAssignment8[[#This Row],[ProjectsCompleted]]&gt;10,"Yes","No")</f>
        <v>Yes</v>
      </c>
      <c r="O21" s="80" t="b">
        <f>AND(MyAssignment8[[#This Row],[PerformanceScore]]&gt;85,MyAssignment8[[#This Row],[ProjectsCompleted]]&gt;10)</f>
        <v>1</v>
      </c>
      <c r="P21" s="81">
        <v>1700</v>
      </c>
      <c r="Q21" s="80">
        <v>97</v>
      </c>
      <c r="R21" s="80" t="b">
        <f>OR(MyAssignment8[[#This Row],[PerformanceScore]]&lt;85,MyAssignment8[[#This Row],[AttendanceRate (%)]]&lt;90)</f>
        <v>0</v>
      </c>
    </row>
    <row r="22" spans="1:18" ht="21.6">
      <c r="A22" s="80" t="s">
        <v>88</v>
      </c>
      <c r="B22" s="80" t="s">
        <v>89</v>
      </c>
      <c r="C22" s="80" t="s">
        <v>90</v>
      </c>
      <c r="D22" s="80" t="str">
        <f>_xlfn.CONCAT(MyAssignment8[[#This Row],[FirstName]]," ",MyAssignment8[[#This Row],[LastName]])</f>
        <v>Kevin Adams</v>
      </c>
      <c r="E22" s="80" t="str">
        <f>LEFT(MyAssignment8[[#This Row],[LastName]],3)</f>
        <v>Ada</v>
      </c>
      <c r="F22" s="80" t="s">
        <v>18</v>
      </c>
      <c r="G22" s="80" t="s">
        <v>4</v>
      </c>
      <c r="H22" s="80" t="str">
        <f>UPPER(MyAssignment8[[#This Row],[Department]])</f>
        <v>IT</v>
      </c>
      <c r="I22" s="82">
        <v>44453</v>
      </c>
      <c r="J22" s="83">
        <f ca="1">_xlfn.DAYS($M$125,MyAssignment8[[#This Row],[HireDate]])</f>
        <v>1188</v>
      </c>
      <c r="K22" s="83">
        <f>YEAR(MyAssignment8[[#This Row],[HireDate]])</f>
        <v>2021</v>
      </c>
      <c r="L22" s="80">
        <v>83</v>
      </c>
      <c r="M22" s="80">
        <v>9</v>
      </c>
      <c r="N22" s="80" t="str">
        <f>IF(MyAssignment8[[#This Row],[ProjectsCompleted]]&gt;10,"Yes","No")</f>
        <v>No</v>
      </c>
      <c r="O22" s="80" t="b">
        <f>AND(MyAssignment8[[#This Row],[PerformanceScore]]&gt;85,MyAssignment8[[#This Row],[ProjectsCompleted]]&gt;10)</f>
        <v>0</v>
      </c>
      <c r="P22" s="81">
        <v>1450</v>
      </c>
      <c r="Q22" s="80">
        <v>93</v>
      </c>
      <c r="R22" s="80" t="b">
        <f>OR(MyAssignment8[[#This Row],[PerformanceScore]]&lt;85,MyAssignment8[[#This Row],[AttendanceRate (%)]]&lt;90)</f>
        <v>1</v>
      </c>
    </row>
    <row r="23" spans="1:18" ht="21.6">
      <c r="A23" s="80" t="s">
        <v>91</v>
      </c>
      <c r="B23" s="80" t="s">
        <v>83</v>
      </c>
      <c r="C23" s="80" t="s">
        <v>62</v>
      </c>
      <c r="D23" s="80" t="str">
        <f>_xlfn.CONCAT(MyAssignment8[[#This Row],[FirstName]]," ",MyAssignment8[[#This Row],[LastName]])</f>
        <v>Olivia Scott</v>
      </c>
      <c r="E23" s="80" t="str">
        <f>LEFT(MyAssignment8[[#This Row],[LastName]],3)</f>
        <v>Sco</v>
      </c>
      <c r="F23" s="80" t="s">
        <v>20</v>
      </c>
      <c r="G23" s="80" t="s">
        <v>5</v>
      </c>
      <c r="H23" s="80" t="str">
        <f>UPPER(MyAssignment8[[#This Row],[Department]])</f>
        <v>HR</v>
      </c>
      <c r="I23" s="82">
        <v>43923</v>
      </c>
      <c r="J23" s="83">
        <f ca="1">_xlfn.DAYS($M$125,MyAssignment8[[#This Row],[HireDate]])</f>
        <v>1718</v>
      </c>
      <c r="K23" s="83">
        <f>YEAR(MyAssignment8[[#This Row],[HireDate]])</f>
        <v>2020</v>
      </c>
      <c r="L23" s="80">
        <v>88</v>
      </c>
      <c r="M23" s="80">
        <v>11</v>
      </c>
      <c r="N23" s="80" t="str">
        <f>IF(MyAssignment8[[#This Row],[ProjectsCompleted]]&gt;10,"Yes","No")</f>
        <v>Yes</v>
      </c>
      <c r="O23" s="80" t="b">
        <f>AND(MyAssignment8[[#This Row],[PerformanceScore]]&gt;85,MyAssignment8[[#This Row],[ProjectsCompleted]]&gt;10)</f>
        <v>1</v>
      </c>
      <c r="P23" s="81">
        <v>1650</v>
      </c>
      <c r="Q23" s="80">
        <v>96</v>
      </c>
      <c r="R23" s="80" t="b">
        <f>OR(MyAssignment8[[#This Row],[PerformanceScore]]&lt;85,MyAssignment8[[#This Row],[AttendanceRate (%)]]&lt;90)</f>
        <v>0</v>
      </c>
    </row>
    <row r="24" spans="1:18" ht="21.6">
      <c r="A24" s="80" t="s">
        <v>92</v>
      </c>
      <c r="B24" s="80" t="s">
        <v>93</v>
      </c>
      <c r="C24" s="80" t="s">
        <v>94</v>
      </c>
      <c r="D24" s="80" t="str">
        <f>_xlfn.CONCAT(MyAssignment8[[#This Row],[FirstName]]," ",MyAssignment8[[#This Row],[LastName]])</f>
        <v>Adam Rodriguez</v>
      </c>
      <c r="E24" s="80" t="str">
        <f>LEFT(MyAssignment8[[#This Row],[LastName]],3)</f>
        <v>Rod</v>
      </c>
      <c r="F24" s="80" t="s">
        <v>18</v>
      </c>
      <c r="G24" s="80" t="s">
        <v>7</v>
      </c>
      <c r="H24" s="80" t="str">
        <f>UPPER(MyAssignment8[[#This Row],[Department]])</f>
        <v>MARKETING</v>
      </c>
      <c r="I24" s="82">
        <v>44893</v>
      </c>
      <c r="J24" s="83">
        <f ca="1">_xlfn.DAYS($M$125,MyAssignment8[[#This Row],[HireDate]])</f>
        <v>748</v>
      </c>
      <c r="K24" s="83">
        <f>YEAR(MyAssignment8[[#This Row],[HireDate]])</f>
        <v>2022</v>
      </c>
      <c r="L24" s="80">
        <v>77</v>
      </c>
      <c r="M24" s="80">
        <v>6</v>
      </c>
      <c r="N24" s="80" t="str">
        <f>IF(MyAssignment8[[#This Row],[ProjectsCompleted]]&gt;10,"Yes","No")</f>
        <v>No</v>
      </c>
      <c r="O24" s="80" t="b">
        <f>AND(MyAssignment8[[#This Row],[PerformanceScore]]&gt;85,MyAssignment8[[#This Row],[ProjectsCompleted]]&gt;10)</f>
        <v>0</v>
      </c>
      <c r="P24" s="81">
        <v>1100</v>
      </c>
      <c r="Q24" s="80">
        <v>89</v>
      </c>
      <c r="R24" s="80" t="b">
        <f>OR(MyAssignment8[[#This Row],[PerformanceScore]]&lt;85,MyAssignment8[[#This Row],[AttendanceRate (%)]]&lt;90)</f>
        <v>1</v>
      </c>
    </row>
    <row r="25" spans="1:18" ht="21.6">
      <c r="A25" s="80" t="s">
        <v>95</v>
      </c>
      <c r="B25" s="80" t="s">
        <v>96</v>
      </c>
      <c r="C25" s="80" t="s">
        <v>97</v>
      </c>
      <c r="D25" s="80" t="str">
        <f>_xlfn.CONCAT(MyAssignment8[[#This Row],[FirstName]]," ",MyAssignment8[[#This Row],[LastName]])</f>
        <v>Lily Harris</v>
      </c>
      <c r="E25" s="80" t="str">
        <f>LEFT(MyAssignment8[[#This Row],[LastName]],3)</f>
        <v>Har</v>
      </c>
      <c r="F25" s="80" t="s">
        <v>20</v>
      </c>
      <c r="G25" s="80" t="s">
        <v>4</v>
      </c>
      <c r="H25" s="80" t="str">
        <f>UPPER(MyAssignment8[[#This Row],[Department]])</f>
        <v>IT</v>
      </c>
      <c r="I25" s="82">
        <v>43999</v>
      </c>
      <c r="J25" s="83">
        <f ca="1">_xlfn.DAYS($M$125,MyAssignment8[[#This Row],[HireDate]])</f>
        <v>1642</v>
      </c>
      <c r="K25" s="83">
        <f>YEAR(MyAssignment8[[#This Row],[HireDate]])</f>
        <v>2020</v>
      </c>
      <c r="L25" s="80">
        <v>85</v>
      </c>
      <c r="M25" s="80">
        <v>12</v>
      </c>
      <c r="N25" s="80" t="str">
        <f>IF(MyAssignment8[[#This Row],[ProjectsCompleted]]&gt;10,"Yes","No")</f>
        <v>Yes</v>
      </c>
      <c r="O25" s="80" t="b">
        <f>AND(MyAssignment8[[#This Row],[PerformanceScore]]&gt;85,MyAssignment8[[#This Row],[ProjectsCompleted]]&gt;10)</f>
        <v>0</v>
      </c>
      <c r="P25" s="81">
        <v>1500</v>
      </c>
      <c r="Q25" s="80">
        <v>95</v>
      </c>
      <c r="R25" s="80" t="b">
        <f>OR(MyAssignment8[[#This Row],[PerformanceScore]]&lt;85,MyAssignment8[[#This Row],[AttendanceRate (%)]]&lt;90)</f>
        <v>0</v>
      </c>
    </row>
    <row r="26" spans="1:18" ht="21.6">
      <c r="A26" s="80" t="s">
        <v>98</v>
      </c>
      <c r="B26" s="80" t="s">
        <v>70</v>
      </c>
      <c r="C26" s="80" t="s">
        <v>99</v>
      </c>
      <c r="D26" s="80" t="str">
        <f>_xlfn.CONCAT(MyAssignment8[[#This Row],[FirstName]]," ",MyAssignment8[[#This Row],[LastName]])</f>
        <v>Ethan White</v>
      </c>
      <c r="E26" s="80" t="str">
        <f>LEFT(MyAssignment8[[#This Row],[LastName]],3)</f>
        <v>Whi</v>
      </c>
      <c r="F26" s="80" t="s">
        <v>18</v>
      </c>
      <c r="G26" s="80" t="s">
        <v>6</v>
      </c>
      <c r="H26" s="80" t="str">
        <f>UPPER(MyAssignment8[[#This Row],[Department]])</f>
        <v>FINANCE</v>
      </c>
      <c r="I26" s="82">
        <v>43743</v>
      </c>
      <c r="J26" s="83">
        <f ca="1">_xlfn.DAYS($M$125,MyAssignment8[[#This Row],[HireDate]])</f>
        <v>1898</v>
      </c>
      <c r="K26" s="83">
        <f>YEAR(MyAssignment8[[#This Row],[HireDate]])</f>
        <v>2019</v>
      </c>
      <c r="L26" s="80">
        <v>90</v>
      </c>
      <c r="M26" s="80">
        <v>14</v>
      </c>
      <c r="N26" s="80" t="str">
        <f>IF(MyAssignment8[[#This Row],[ProjectsCompleted]]&gt;10,"Yes","No")</f>
        <v>Yes</v>
      </c>
      <c r="O26" s="80" t="b">
        <f>AND(MyAssignment8[[#This Row],[PerformanceScore]]&gt;85,MyAssignment8[[#This Row],[ProjectsCompleted]]&gt;10)</f>
        <v>1</v>
      </c>
      <c r="P26" s="81">
        <v>1800</v>
      </c>
      <c r="Q26" s="80">
        <v>98</v>
      </c>
      <c r="R26" s="80" t="b">
        <f>OR(MyAssignment8[[#This Row],[PerformanceScore]]&lt;85,MyAssignment8[[#This Row],[AttendanceRate (%)]]&lt;90)</f>
        <v>0</v>
      </c>
    </row>
    <row r="27" spans="1:18" ht="21.6">
      <c r="A27" s="80" t="s">
        <v>100</v>
      </c>
      <c r="B27" s="80" t="s">
        <v>101</v>
      </c>
      <c r="C27" s="80" t="s">
        <v>102</v>
      </c>
      <c r="D27" s="80" t="str">
        <f>_xlfn.CONCAT(MyAssignment8[[#This Row],[FirstName]]," ",MyAssignment8[[#This Row],[LastName]])</f>
        <v>Isabella King</v>
      </c>
      <c r="E27" s="80" t="str">
        <f>LEFT(MyAssignment8[[#This Row],[LastName]],3)</f>
        <v>Kin</v>
      </c>
      <c r="F27" s="80" t="s">
        <v>20</v>
      </c>
      <c r="G27" s="80" t="s">
        <v>8</v>
      </c>
      <c r="H27" s="80" t="str">
        <f>UPPER(MyAssignment8[[#This Row],[Department]])</f>
        <v>SALES</v>
      </c>
      <c r="I27" s="82">
        <v>44433</v>
      </c>
      <c r="J27" s="83">
        <f ca="1">_xlfn.DAYS($M$125,MyAssignment8[[#This Row],[HireDate]])</f>
        <v>1208</v>
      </c>
      <c r="K27" s="83">
        <f>YEAR(MyAssignment8[[#This Row],[HireDate]])</f>
        <v>2021</v>
      </c>
      <c r="L27" s="80">
        <v>81</v>
      </c>
      <c r="M27" s="80">
        <v>8</v>
      </c>
      <c r="N27" s="80" t="str">
        <f>IF(MyAssignment8[[#This Row],[ProjectsCompleted]]&gt;10,"Yes","No")</f>
        <v>No</v>
      </c>
      <c r="O27" s="80" t="b">
        <f>AND(MyAssignment8[[#This Row],[PerformanceScore]]&gt;85,MyAssignment8[[#This Row],[ProjectsCompleted]]&gt;10)</f>
        <v>0</v>
      </c>
      <c r="P27" s="81">
        <v>1350</v>
      </c>
      <c r="Q27" s="80">
        <v>92</v>
      </c>
      <c r="R27" s="80" t="b">
        <f>OR(MyAssignment8[[#This Row],[PerformanceScore]]&lt;85,MyAssignment8[[#This Row],[AttendanceRate (%)]]&lt;90)</f>
        <v>1</v>
      </c>
    </row>
    <row r="28" spans="1:18" ht="21.6">
      <c r="A28" s="80" t="s">
        <v>103</v>
      </c>
      <c r="B28" s="80" t="s">
        <v>104</v>
      </c>
      <c r="C28" s="80" t="s">
        <v>105</v>
      </c>
      <c r="D28" s="80" t="str">
        <f>_xlfn.CONCAT(MyAssignment8[[#This Row],[FirstName]]," ",MyAssignment8[[#This Row],[LastName]])</f>
        <v>Jason Lewis</v>
      </c>
      <c r="E28" s="80" t="str">
        <f>LEFT(MyAssignment8[[#This Row],[LastName]],3)</f>
        <v>Lew</v>
      </c>
      <c r="F28" s="80" t="s">
        <v>18</v>
      </c>
      <c r="G28" s="80" t="s">
        <v>4</v>
      </c>
      <c r="H28" s="80" t="str">
        <f>UPPER(MyAssignment8[[#This Row],[Department]])</f>
        <v>IT</v>
      </c>
      <c r="I28" s="82">
        <v>43903</v>
      </c>
      <c r="J28" s="83">
        <f ca="1">_xlfn.DAYS($M$125,MyAssignment8[[#This Row],[HireDate]])</f>
        <v>1738</v>
      </c>
      <c r="K28" s="83">
        <f>YEAR(MyAssignment8[[#This Row],[HireDate]])</f>
        <v>2020</v>
      </c>
      <c r="L28" s="80">
        <v>87</v>
      </c>
      <c r="M28" s="80">
        <v>10</v>
      </c>
      <c r="N28" s="80" t="str">
        <f>IF(MyAssignment8[[#This Row],[ProjectsCompleted]]&gt;10,"Yes","No")</f>
        <v>No</v>
      </c>
      <c r="O28" s="80" t="b">
        <f>AND(MyAssignment8[[#This Row],[PerformanceScore]]&gt;85,MyAssignment8[[#This Row],[ProjectsCompleted]]&gt;10)</f>
        <v>0</v>
      </c>
      <c r="P28" s="81">
        <v>1550</v>
      </c>
      <c r="Q28" s="80">
        <v>97</v>
      </c>
      <c r="R28" s="80" t="b">
        <f>OR(MyAssignment8[[#This Row],[PerformanceScore]]&lt;85,MyAssignment8[[#This Row],[AttendanceRate (%)]]&lt;90)</f>
        <v>0</v>
      </c>
    </row>
    <row r="29" spans="1:18" ht="21.6">
      <c r="A29" s="80" t="s">
        <v>106</v>
      </c>
      <c r="B29" s="80" t="s">
        <v>107</v>
      </c>
      <c r="C29" s="80" t="s">
        <v>108</v>
      </c>
      <c r="D29" s="80" t="str">
        <f>_xlfn.CONCAT(MyAssignment8[[#This Row],[FirstName]]," ",MyAssignment8[[#This Row],[LastName]])</f>
        <v>Emma Anderson</v>
      </c>
      <c r="E29" s="80" t="str">
        <f>LEFT(MyAssignment8[[#This Row],[LastName]],3)</f>
        <v>And</v>
      </c>
      <c r="F29" s="80" t="s">
        <v>20</v>
      </c>
      <c r="G29" s="80" t="s">
        <v>5</v>
      </c>
      <c r="H29" s="80" t="str">
        <f>UPPER(MyAssignment8[[#This Row],[Department]])</f>
        <v>HR</v>
      </c>
      <c r="I29" s="82">
        <v>43654</v>
      </c>
      <c r="J29" s="83">
        <f ca="1">_xlfn.DAYS($M$125,MyAssignment8[[#This Row],[HireDate]])</f>
        <v>1987</v>
      </c>
      <c r="K29" s="83">
        <f>YEAR(MyAssignment8[[#This Row],[HireDate]])</f>
        <v>2019</v>
      </c>
      <c r="L29" s="80">
        <v>84</v>
      </c>
      <c r="M29" s="80">
        <v>13</v>
      </c>
      <c r="N29" s="80" t="str">
        <f>IF(MyAssignment8[[#This Row],[ProjectsCompleted]]&gt;10,"Yes","No")</f>
        <v>Yes</v>
      </c>
      <c r="O29" s="80" t="b">
        <f>AND(MyAssignment8[[#This Row],[PerformanceScore]]&gt;85,MyAssignment8[[#This Row],[ProjectsCompleted]]&gt;10)</f>
        <v>0</v>
      </c>
      <c r="P29" s="81">
        <v>1600</v>
      </c>
      <c r="Q29" s="80">
        <v>96</v>
      </c>
      <c r="R29" s="80" t="b">
        <f>OR(MyAssignment8[[#This Row],[PerformanceScore]]&lt;85,MyAssignment8[[#This Row],[AttendanceRate (%)]]&lt;90)</f>
        <v>1</v>
      </c>
    </row>
    <row r="30" spans="1:18" ht="21.6">
      <c r="A30" s="80" t="s">
        <v>109</v>
      </c>
      <c r="B30" s="80" t="s">
        <v>110</v>
      </c>
      <c r="C30" s="80" t="s">
        <v>111</v>
      </c>
      <c r="D30" s="80" t="str">
        <f>_xlfn.CONCAT(MyAssignment8[[#This Row],[FirstName]]," ",MyAssignment8[[#This Row],[LastName]])</f>
        <v>Jack Walker</v>
      </c>
      <c r="E30" s="80" t="str">
        <f>LEFT(MyAssignment8[[#This Row],[LastName]],3)</f>
        <v>Wal</v>
      </c>
      <c r="F30" s="80" t="s">
        <v>18</v>
      </c>
      <c r="G30" s="80" t="s">
        <v>8</v>
      </c>
      <c r="H30" s="80" t="str">
        <f>UPPER(MyAssignment8[[#This Row],[Department]])</f>
        <v>SALES</v>
      </c>
      <c r="I30" s="82">
        <v>44531</v>
      </c>
      <c r="J30" s="83">
        <f ca="1">_xlfn.DAYS($M$125,MyAssignment8[[#This Row],[HireDate]])</f>
        <v>1110</v>
      </c>
      <c r="K30" s="83">
        <f>YEAR(MyAssignment8[[#This Row],[HireDate]])</f>
        <v>2021</v>
      </c>
      <c r="L30" s="80">
        <v>79</v>
      </c>
      <c r="M30" s="80">
        <v>9</v>
      </c>
      <c r="N30" s="80" t="str">
        <f>IF(MyAssignment8[[#This Row],[ProjectsCompleted]]&gt;10,"Yes","No")</f>
        <v>No</v>
      </c>
      <c r="O30" s="80" t="b">
        <f>AND(MyAssignment8[[#This Row],[PerformanceScore]]&gt;85,MyAssignment8[[#This Row],[ProjectsCompleted]]&gt;10)</f>
        <v>0</v>
      </c>
      <c r="P30" s="81">
        <v>1300</v>
      </c>
      <c r="Q30" s="80">
        <v>91</v>
      </c>
      <c r="R30" s="80" t="b">
        <f>OR(MyAssignment8[[#This Row],[PerformanceScore]]&lt;85,MyAssignment8[[#This Row],[AttendanceRate (%)]]&lt;90)</f>
        <v>1</v>
      </c>
    </row>
    <row r="31" spans="1:18" ht="21.6">
      <c r="A31" s="80" t="s">
        <v>26</v>
      </c>
      <c r="B31" s="80" t="s">
        <v>112</v>
      </c>
      <c r="C31" s="80" t="s">
        <v>113</v>
      </c>
      <c r="D31" s="80" t="str">
        <f>_xlfn.CONCAT(MyAssignment8[[#This Row],[FirstName]]," ",MyAssignment8[[#This Row],[LastName]])</f>
        <v>Amelia Campbell</v>
      </c>
      <c r="E31" s="80" t="str">
        <f>LEFT(MyAssignment8[[#This Row],[LastName]],3)</f>
        <v>Cam</v>
      </c>
      <c r="F31" s="80" t="s">
        <v>20</v>
      </c>
      <c r="G31" s="80" t="s">
        <v>7</v>
      </c>
      <c r="H31" s="80" t="str">
        <f>UPPER(MyAssignment8[[#This Row],[Department]])</f>
        <v>MARKETING</v>
      </c>
      <c r="I31" s="82">
        <v>43973</v>
      </c>
      <c r="J31" s="83">
        <f ca="1">_xlfn.DAYS($M$125,MyAssignment8[[#This Row],[HireDate]])</f>
        <v>1668</v>
      </c>
      <c r="K31" s="83">
        <f>YEAR(MyAssignment8[[#This Row],[HireDate]])</f>
        <v>2020</v>
      </c>
      <c r="L31" s="80">
        <v>91</v>
      </c>
      <c r="M31" s="80">
        <v>11</v>
      </c>
      <c r="N31" s="80" t="str">
        <f>IF(MyAssignment8[[#This Row],[ProjectsCompleted]]&gt;10,"Yes","No")</f>
        <v>Yes</v>
      </c>
      <c r="O31" s="80" t="b">
        <f>AND(MyAssignment8[[#This Row],[PerformanceScore]]&gt;85,MyAssignment8[[#This Row],[ProjectsCompleted]]&gt;10)</f>
        <v>1</v>
      </c>
      <c r="P31" s="81">
        <v>1700</v>
      </c>
      <c r="Q31" s="80">
        <v>99</v>
      </c>
      <c r="R31" s="80" t="b">
        <f>OR(MyAssignment8[[#This Row],[PerformanceScore]]&lt;85,MyAssignment8[[#This Row],[AttendanceRate (%)]]&lt;90)</f>
        <v>0</v>
      </c>
    </row>
    <row r="32" spans="1:18" ht="21.6">
      <c r="A32" s="80" t="s">
        <v>114</v>
      </c>
      <c r="B32" s="80" t="s">
        <v>115</v>
      </c>
      <c r="C32" s="80" t="s">
        <v>84</v>
      </c>
      <c r="D32" s="80" t="str">
        <f>_xlfn.CONCAT(MyAssignment8[[#This Row],[FirstName]]," ",MyAssignment8[[#This Row],[LastName]])</f>
        <v>Ryan Morris</v>
      </c>
      <c r="E32" s="80" t="str">
        <f>LEFT(MyAssignment8[[#This Row],[LastName]],3)</f>
        <v>Mor</v>
      </c>
      <c r="F32" s="80" t="s">
        <v>18</v>
      </c>
      <c r="G32" s="80" t="s">
        <v>4</v>
      </c>
      <c r="H32" s="80" t="str">
        <f>UPPER(MyAssignment8[[#This Row],[Department]])</f>
        <v>IT</v>
      </c>
      <c r="I32" s="82">
        <v>44814</v>
      </c>
      <c r="J32" s="83">
        <f ca="1">_xlfn.DAYS($M$125,MyAssignment8[[#This Row],[HireDate]])</f>
        <v>827</v>
      </c>
      <c r="K32" s="83">
        <f>YEAR(MyAssignment8[[#This Row],[HireDate]])</f>
        <v>2022</v>
      </c>
      <c r="L32" s="80">
        <v>75</v>
      </c>
      <c r="M32" s="80">
        <v>7</v>
      </c>
      <c r="N32" s="80" t="str">
        <f>IF(MyAssignment8[[#This Row],[ProjectsCompleted]]&gt;10,"Yes","No")</f>
        <v>No</v>
      </c>
      <c r="O32" s="80" t="b">
        <f>AND(MyAssignment8[[#This Row],[PerformanceScore]]&gt;85,MyAssignment8[[#This Row],[ProjectsCompleted]]&gt;10)</f>
        <v>0</v>
      </c>
      <c r="P32" s="81">
        <v>1200</v>
      </c>
      <c r="Q32" s="80">
        <v>88</v>
      </c>
      <c r="R32" s="80" t="b">
        <f>OR(MyAssignment8[[#This Row],[PerformanceScore]]&lt;85,MyAssignment8[[#This Row],[AttendanceRate (%)]]&lt;90)</f>
        <v>1</v>
      </c>
    </row>
    <row r="33" spans="1:18" ht="21.6">
      <c r="A33" s="80" t="s">
        <v>19</v>
      </c>
      <c r="B33" s="80" t="s">
        <v>42</v>
      </c>
      <c r="C33" s="80" t="s">
        <v>51</v>
      </c>
      <c r="D33" s="80" t="str">
        <f>_xlfn.CONCAT(MyAssignment8[[#This Row],[FirstName]]," ",MyAssignment8[[#This Row],[LastName]])</f>
        <v>Sarah Martinez</v>
      </c>
      <c r="E33" s="80" t="str">
        <f>LEFT(MyAssignment8[[#This Row],[LastName]],3)</f>
        <v>Mar</v>
      </c>
      <c r="F33" s="80" t="s">
        <v>20</v>
      </c>
      <c r="G33" s="80" t="s">
        <v>6</v>
      </c>
      <c r="H33" s="80" t="str">
        <f>UPPER(MyAssignment8[[#This Row],[Department]])</f>
        <v>FINANCE</v>
      </c>
      <c r="I33" s="82">
        <v>44073</v>
      </c>
      <c r="J33" s="83">
        <f ca="1">_xlfn.DAYS($M$125,MyAssignment8[[#This Row],[HireDate]])</f>
        <v>1568</v>
      </c>
      <c r="K33" s="83">
        <f>YEAR(MyAssignment8[[#This Row],[HireDate]])</f>
        <v>2020</v>
      </c>
      <c r="L33" s="80">
        <v>92</v>
      </c>
      <c r="M33" s="80">
        <v>15</v>
      </c>
      <c r="N33" s="80" t="str">
        <f>IF(MyAssignment8[[#This Row],[ProjectsCompleted]]&gt;10,"Yes","No")</f>
        <v>Yes</v>
      </c>
      <c r="O33" s="80" t="b">
        <f>AND(MyAssignment8[[#This Row],[PerformanceScore]]&gt;85,MyAssignment8[[#This Row],[ProjectsCompleted]]&gt;10)</f>
        <v>1</v>
      </c>
      <c r="P33" s="81">
        <v>1850</v>
      </c>
      <c r="Q33" s="80">
        <v>99</v>
      </c>
      <c r="R33" s="80" t="b">
        <f>OR(MyAssignment8[[#This Row],[PerformanceScore]]&lt;85,MyAssignment8[[#This Row],[AttendanceRate (%)]]&lt;90)</f>
        <v>0</v>
      </c>
    </row>
    <row r="34" spans="1:18" ht="21.6">
      <c r="A34" s="80" t="s">
        <v>116</v>
      </c>
      <c r="B34" s="80" t="s">
        <v>117</v>
      </c>
      <c r="C34" s="80" t="s">
        <v>118</v>
      </c>
      <c r="D34" s="80" t="str">
        <f>_xlfn.CONCAT(MyAssignment8[[#This Row],[FirstName]]," ",MyAssignment8[[#This Row],[LastName]])</f>
        <v>Evan Thompson</v>
      </c>
      <c r="E34" s="80" t="str">
        <f>LEFT(MyAssignment8[[#This Row],[LastName]],3)</f>
        <v>Tho</v>
      </c>
      <c r="F34" s="80" t="s">
        <v>18</v>
      </c>
      <c r="G34" s="80" t="s">
        <v>8</v>
      </c>
      <c r="H34" s="80" t="str">
        <f>UPPER(MyAssignment8[[#This Row],[Department]])</f>
        <v>SALES</v>
      </c>
      <c r="I34" s="82">
        <v>43780</v>
      </c>
      <c r="J34" s="83">
        <f ca="1">_xlfn.DAYS($M$125,MyAssignment8[[#This Row],[HireDate]])</f>
        <v>1861</v>
      </c>
      <c r="K34" s="83">
        <f>YEAR(MyAssignment8[[#This Row],[HireDate]])</f>
        <v>2019</v>
      </c>
      <c r="L34" s="80">
        <v>80</v>
      </c>
      <c r="M34" s="80">
        <v>10</v>
      </c>
      <c r="N34" s="80" t="str">
        <f>IF(MyAssignment8[[#This Row],[ProjectsCompleted]]&gt;10,"Yes","No")</f>
        <v>No</v>
      </c>
      <c r="O34" s="80" t="b">
        <f>AND(MyAssignment8[[#This Row],[PerformanceScore]]&gt;85,MyAssignment8[[#This Row],[ProjectsCompleted]]&gt;10)</f>
        <v>0</v>
      </c>
      <c r="P34" s="81">
        <v>1400</v>
      </c>
      <c r="Q34" s="80">
        <v>92</v>
      </c>
      <c r="R34" s="80" t="b">
        <f>OR(MyAssignment8[[#This Row],[PerformanceScore]]&lt;85,MyAssignment8[[#This Row],[AttendanceRate (%)]]&lt;90)</f>
        <v>1</v>
      </c>
    </row>
    <row r="35" spans="1:18" ht="21.6">
      <c r="A35" s="80" t="s">
        <v>119</v>
      </c>
      <c r="B35" s="80" t="s">
        <v>120</v>
      </c>
      <c r="C35" s="80" t="s">
        <v>121</v>
      </c>
      <c r="D35" s="80" t="str">
        <f>_xlfn.CONCAT(MyAssignment8[[#This Row],[FirstName]]," ",MyAssignment8[[#This Row],[LastName]])</f>
        <v>Zoe Young</v>
      </c>
      <c r="E35" s="80" t="str">
        <f>LEFT(MyAssignment8[[#This Row],[LastName]],3)</f>
        <v>You</v>
      </c>
      <c r="F35" s="80" t="s">
        <v>20</v>
      </c>
      <c r="G35" s="80" t="s">
        <v>5</v>
      </c>
      <c r="H35" s="80" t="str">
        <f>UPPER(MyAssignment8[[#This Row],[Department]])</f>
        <v>HR</v>
      </c>
      <c r="I35" s="82">
        <v>44319</v>
      </c>
      <c r="J35" s="83">
        <f ca="1">_xlfn.DAYS($M$125,MyAssignment8[[#This Row],[HireDate]])</f>
        <v>1322</v>
      </c>
      <c r="K35" s="83">
        <f>YEAR(MyAssignment8[[#This Row],[HireDate]])</f>
        <v>2021</v>
      </c>
      <c r="L35" s="80">
        <v>86</v>
      </c>
      <c r="M35" s="80">
        <v>12</v>
      </c>
      <c r="N35" s="80" t="str">
        <f>IF(MyAssignment8[[#This Row],[ProjectsCompleted]]&gt;10,"Yes","No")</f>
        <v>Yes</v>
      </c>
      <c r="O35" s="80" t="b">
        <f>AND(MyAssignment8[[#This Row],[PerformanceScore]]&gt;85,MyAssignment8[[#This Row],[ProjectsCompleted]]&gt;10)</f>
        <v>1</v>
      </c>
      <c r="P35" s="81">
        <v>1500</v>
      </c>
      <c r="Q35" s="80">
        <v>94</v>
      </c>
      <c r="R35" s="80" t="b">
        <f>OR(MyAssignment8[[#This Row],[PerformanceScore]]&lt;85,MyAssignment8[[#This Row],[AttendanceRate (%)]]&lt;90)</f>
        <v>0</v>
      </c>
    </row>
    <row r="36" spans="1:18" ht="21.6">
      <c r="A36" s="80" t="s">
        <v>122</v>
      </c>
      <c r="B36" s="80" t="s">
        <v>123</v>
      </c>
      <c r="C36" s="80" t="s">
        <v>48</v>
      </c>
      <c r="D36" s="80" t="str">
        <f>_xlfn.CONCAT(MyAssignment8[[#This Row],[FirstName]]," ",MyAssignment8[[#This Row],[LastName]])</f>
        <v>Liam Garcia</v>
      </c>
      <c r="E36" s="80" t="str">
        <f>LEFT(MyAssignment8[[#This Row],[LastName]],3)</f>
        <v>Gar</v>
      </c>
      <c r="F36" s="80" t="s">
        <v>18</v>
      </c>
      <c r="G36" s="80" t="s">
        <v>7</v>
      </c>
      <c r="H36" s="80" t="str">
        <f>UPPER(MyAssignment8[[#This Row],[Department]])</f>
        <v>MARKETING</v>
      </c>
      <c r="I36" s="82">
        <v>43881</v>
      </c>
      <c r="J36" s="83">
        <f ca="1">_xlfn.DAYS($M$125,MyAssignment8[[#This Row],[HireDate]])</f>
        <v>1760</v>
      </c>
      <c r="K36" s="83">
        <f>YEAR(MyAssignment8[[#This Row],[HireDate]])</f>
        <v>2020</v>
      </c>
      <c r="L36" s="80">
        <v>88</v>
      </c>
      <c r="M36" s="80">
        <v>11</v>
      </c>
      <c r="N36" s="80" t="str">
        <f>IF(MyAssignment8[[#This Row],[ProjectsCompleted]]&gt;10,"Yes","No")</f>
        <v>Yes</v>
      </c>
      <c r="O36" s="80" t="b">
        <f>AND(MyAssignment8[[#This Row],[PerformanceScore]]&gt;85,MyAssignment8[[#This Row],[ProjectsCompleted]]&gt;10)</f>
        <v>1</v>
      </c>
      <c r="P36" s="81">
        <v>1650</v>
      </c>
      <c r="Q36" s="80">
        <v>96</v>
      </c>
      <c r="R36" s="80" t="b">
        <f>OR(MyAssignment8[[#This Row],[PerformanceScore]]&lt;85,MyAssignment8[[#This Row],[AttendanceRate (%)]]&lt;90)</f>
        <v>0</v>
      </c>
    </row>
    <row r="37" spans="1:18" ht="21.6">
      <c r="A37" s="80" t="s">
        <v>124</v>
      </c>
      <c r="B37" s="80" t="s">
        <v>125</v>
      </c>
      <c r="C37" s="80" t="s">
        <v>71</v>
      </c>
      <c r="D37" s="80" t="str">
        <f>_xlfn.CONCAT(MyAssignment8[[#This Row],[FirstName]]," ",MyAssignment8[[#This Row],[LastName]])</f>
        <v>Ava Nelson</v>
      </c>
      <c r="E37" s="80" t="str">
        <f>LEFT(MyAssignment8[[#This Row],[LastName]],3)</f>
        <v>Nel</v>
      </c>
      <c r="F37" s="80" t="s">
        <v>20</v>
      </c>
      <c r="G37" s="80" t="s">
        <v>4</v>
      </c>
      <c r="H37" s="80" t="str">
        <f>UPPER(MyAssignment8[[#This Row],[Department]])</f>
        <v>IT</v>
      </c>
      <c r="I37" s="82">
        <v>44576</v>
      </c>
      <c r="J37" s="83">
        <f ca="1">_xlfn.DAYS($M$125,MyAssignment8[[#This Row],[HireDate]])</f>
        <v>1065</v>
      </c>
      <c r="K37" s="83">
        <f>YEAR(MyAssignment8[[#This Row],[HireDate]])</f>
        <v>2022</v>
      </c>
      <c r="L37" s="80">
        <v>82</v>
      </c>
      <c r="M37" s="80">
        <v>8</v>
      </c>
      <c r="N37" s="80" t="str">
        <f>IF(MyAssignment8[[#This Row],[ProjectsCompleted]]&gt;10,"Yes","No")</f>
        <v>No</v>
      </c>
      <c r="O37" s="80" t="b">
        <f>AND(MyAssignment8[[#This Row],[PerformanceScore]]&gt;85,MyAssignment8[[#This Row],[ProjectsCompleted]]&gt;10)</f>
        <v>0</v>
      </c>
      <c r="P37" s="81">
        <v>1350</v>
      </c>
      <c r="Q37" s="80">
        <v>95</v>
      </c>
      <c r="R37" s="80" t="b">
        <f>OR(MyAssignment8[[#This Row],[PerformanceScore]]&lt;85,MyAssignment8[[#This Row],[AttendanceRate (%)]]&lt;90)</f>
        <v>1</v>
      </c>
    </row>
    <row r="38" spans="1:18" ht="21.6">
      <c r="A38" s="80" t="s">
        <v>126</v>
      </c>
      <c r="B38" s="80" t="s">
        <v>127</v>
      </c>
      <c r="C38" s="80" t="s">
        <v>40</v>
      </c>
      <c r="D38" s="80" t="str">
        <f>_xlfn.CONCAT(MyAssignment8[[#This Row],[FirstName]]," ",MyAssignment8[[#This Row],[LastName]])</f>
        <v>Noah Lee</v>
      </c>
      <c r="E38" s="80" t="str">
        <f>LEFT(MyAssignment8[[#This Row],[LastName]],3)</f>
        <v>Lee</v>
      </c>
      <c r="F38" s="80" t="s">
        <v>18</v>
      </c>
      <c r="G38" s="80" t="s">
        <v>6</v>
      </c>
      <c r="H38" s="80" t="str">
        <f>UPPER(MyAssignment8[[#This Row],[Department]])</f>
        <v>FINANCE</v>
      </c>
      <c r="I38" s="82">
        <v>43552</v>
      </c>
      <c r="J38" s="83">
        <f ca="1">_xlfn.DAYS($M$125,MyAssignment8[[#This Row],[HireDate]])</f>
        <v>2089</v>
      </c>
      <c r="K38" s="83">
        <f>YEAR(MyAssignment8[[#This Row],[HireDate]])</f>
        <v>2019</v>
      </c>
      <c r="L38" s="80">
        <v>89</v>
      </c>
      <c r="M38" s="80">
        <v>13</v>
      </c>
      <c r="N38" s="80" t="str">
        <f>IF(MyAssignment8[[#This Row],[ProjectsCompleted]]&gt;10,"Yes","No")</f>
        <v>Yes</v>
      </c>
      <c r="O38" s="80" t="b">
        <f>AND(MyAssignment8[[#This Row],[PerformanceScore]]&gt;85,MyAssignment8[[#This Row],[ProjectsCompleted]]&gt;10)</f>
        <v>1</v>
      </c>
      <c r="P38" s="81">
        <v>1750</v>
      </c>
      <c r="Q38" s="80">
        <v>97</v>
      </c>
      <c r="R38" s="80" t="b">
        <f>OR(MyAssignment8[[#This Row],[PerformanceScore]]&lt;85,MyAssignment8[[#This Row],[AttendanceRate (%)]]&lt;90)</f>
        <v>0</v>
      </c>
    </row>
    <row r="39" spans="1:18" ht="21.6">
      <c r="A39" s="80" t="s">
        <v>128</v>
      </c>
      <c r="B39" s="80" t="s">
        <v>67</v>
      </c>
      <c r="C39" s="80" t="s">
        <v>129</v>
      </c>
      <c r="D39" s="80" t="str">
        <f>_xlfn.CONCAT(MyAssignment8[[#This Row],[FirstName]]," ",MyAssignment8[[#This Row],[LastName]])</f>
        <v>Mia Carter</v>
      </c>
      <c r="E39" s="80" t="str">
        <f>LEFT(MyAssignment8[[#This Row],[LastName]],3)</f>
        <v>Car</v>
      </c>
      <c r="F39" s="80" t="s">
        <v>20</v>
      </c>
      <c r="G39" s="80" t="s">
        <v>8</v>
      </c>
      <c r="H39" s="80" t="str">
        <f>UPPER(MyAssignment8[[#This Row],[Department]])</f>
        <v>SALES</v>
      </c>
      <c r="I39" s="82">
        <v>44393</v>
      </c>
      <c r="J39" s="83">
        <f ca="1">_xlfn.DAYS($M$125,MyAssignment8[[#This Row],[HireDate]])</f>
        <v>1248</v>
      </c>
      <c r="K39" s="83">
        <f>YEAR(MyAssignment8[[#This Row],[HireDate]])</f>
        <v>2021</v>
      </c>
      <c r="L39" s="80">
        <v>78</v>
      </c>
      <c r="M39" s="80">
        <v>9</v>
      </c>
      <c r="N39" s="80" t="str">
        <f>IF(MyAssignment8[[#This Row],[ProjectsCompleted]]&gt;10,"Yes","No")</f>
        <v>No</v>
      </c>
      <c r="O39" s="80" t="b">
        <f>AND(MyAssignment8[[#This Row],[PerformanceScore]]&gt;85,MyAssignment8[[#This Row],[ProjectsCompleted]]&gt;10)</f>
        <v>0</v>
      </c>
      <c r="P39" s="81">
        <v>1300</v>
      </c>
      <c r="Q39" s="80">
        <v>91</v>
      </c>
      <c r="R39" s="80" t="b">
        <f>OR(MyAssignment8[[#This Row],[PerformanceScore]]&lt;85,MyAssignment8[[#This Row],[AttendanceRate (%)]]&lt;90)</f>
        <v>1</v>
      </c>
    </row>
    <row r="40" spans="1:18" ht="21.6">
      <c r="A40" s="80" t="s">
        <v>130</v>
      </c>
      <c r="B40" s="80" t="s">
        <v>131</v>
      </c>
      <c r="C40" s="80" t="s">
        <v>68</v>
      </c>
      <c r="D40" s="80" t="str">
        <f>_xlfn.CONCAT(MyAssignment8[[#This Row],[FirstName]]," ",MyAssignment8[[#This Row],[LastName]])</f>
        <v>Lucas Mitchell</v>
      </c>
      <c r="E40" s="80" t="str">
        <f>LEFT(MyAssignment8[[#This Row],[LastName]],3)</f>
        <v>Mit</v>
      </c>
      <c r="F40" s="80" t="s">
        <v>18</v>
      </c>
      <c r="G40" s="80" t="s">
        <v>5</v>
      </c>
      <c r="H40" s="80" t="str">
        <f>UPPER(MyAssignment8[[#This Row],[Department]])</f>
        <v>HR</v>
      </c>
      <c r="I40" s="82">
        <v>44113</v>
      </c>
      <c r="J40" s="83">
        <f ca="1">_xlfn.DAYS($M$125,MyAssignment8[[#This Row],[HireDate]])</f>
        <v>1528</v>
      </c>
      <c r="K40" s="83">
        <f>YEAR(MyAssignment8[[#This Row],[HireDate]])</f>
        <v>2020</v>
      </c>
      <c r="L40" s="80">
        <v>84</v>
      </c>
      <c r="M40" s="80">
        <v>10</v>
      </c>
      <c r="N40" s="80" t="str">
        <f>IF(MyAssignment8[[#This Row],[ProjectsCompleted]]&gt;10,"Yes","No")</f>
        <v>No</v>
      </c>
      <c r="O40" s="80" t="b">
        <f>AND(MyAssignment8[[#This Row],[PerformanceScore]]&gt;85,MyAssignment8[[#This Row],[ProjectsCompleted]]&gt;10)</f>
        <v>0</v>
      </c>
      <c r="P40" s="81">
        <v>1550</v>
      </c>
      <c r="Q40" s="80">
        <v>93</v>
      </c>
      <c r="R40" s="80" t="b">
        <f>OR(MyAssignment8[[#This Row],[PerformanceScore]]&lt;85,MyAssignment8[[#This Row],[AttendanceRate (%)]]&lt;90)</f>
        <v>1</v>
      </c>
    </row>
    <row r="41" spans="1:18" ht="21.6">
      <c r="A41" s="80" t="s">
        <v>132</v>
      </c>
      <c r="B41" s="80" t="s">
        <v>133</v>
      </c>
      <c r="C41" s="80" t="s">
        <v>134</v>
      </c>
      <c r="D41" s="80" t="str">
        <f>_xlfn.CONCAT(MyAssignment8[[#This Row],[FirstName]]," ",MyAssignment8[[#This Row],[LastName]])</f>
        <v>Grace Perez</v>
      </c>
      <c r="E41" s="80" t="str">
        <f>LEFT(MyAssignment8[[#This Row],[LastName]],3)</f>
        <v>Per</v>
      </c>
      <c r="F41" s="80" t="s">
        <v>20</v>
      </c>
      <c r="G41" s="80" t="s">
        <v>4</v>
      </c>
      <c r="H41" s="80" t="str">
        <f>UPPER(MyAssignment8[[#This Row],[Department]])</f>
        <v>IT</v>
      </c>
      <c r="I41" s="82">
        <v>44730</v>
      </c>
      <c r="J41" s="83">
        <f ca="1">_xlfn.DAYS($M$125,MyAssignment8[[#This Row],[HireDate]])</f>
        <v>911</v>
      </c>
      <c r="K41" s="83">
        <f>YEAR(MyAssignment8[[#This Row],[HireDate]])</f>
        <v>2022</v>
      </c>
      <c r="L41" s="80">
        <v>87</v>
      </c>
      <c r="M41" s="80">
        <v>12</v>
      </c>
      <c r="N41" s="80" t="str">
        <f>IF(MyAssignment8[[#This Row],[ProjectsCompleted]]&gt;10,"Yes","No")</f>
        <v>Yes</v>
      </c>
      <c r="O41" s="80" t="b">
        <f>AND(MyAssignment8[[#This Row],[PerformanceScore]]&gt;85,MyAssignment8[[#This Row],[ProjectsCompleted]]&gt;10)</f>
        <v>1</v>
      </c>
      <c r="P41" s="81">
        <v>1600</v>
      </c>
      <c r="Q41" s="80">
        <v>98</v>
      </c>
      <c r="R41" s="80" t="b">
        <f>OR(MyAssignment8[[#This Row],[PerformanceScore]]&lt;85,MyAssignment8[[#This Row],[AttendanceRate (%)]]&lt;90)</f>
        <v>0</v>
      </c>
    </row>
    <row r="42" spans="1:18" ht="21.6">
      <c r="A42" s="80" t="s">
        <v>135</v>
      </c>
      <c r="B42" s="80" t="s">
        <v>136</v>
      </c>
      <c r="C42" s="80" t="s">
        <v>137</v>
      </c>
      <c r="D42" s="80" t="str">
        <f>_xlfn.CONCAT(MyAssignment8[[#This Row],[FirstName]]," ",MyAssignment8[[#This Row],[LastName]])</f>
        <v>Henry Richardson</v>
      </c>
      <c r="E42" s="80" t="str">
        <f>LEFT(MyAssignment8[[#This Row],[LastName]],3)</f>
        <v>Ric</v>
      </c>
      <c r="F42" s="80" t="s">
        <v>18</v>
      </c>
      <c r="G42" s="80" t="s">
        <v>4</v>
      </c>
      <c r="H42" s="80" t="str">
        <f>UPPER(MyAssignment8[[#This Row],[Department]])</f>
        <v>IT</v>
      </c>
      <c r="I42" s="82">
        <v>43934</v>
      </c>
      <c r="J42" s="83">
        <f ca="1">_xlfn.DAYS($M$125,MyAssignment8[[#This Row],[HireDate]])</f>
        <v>1707</v>
      </c>
      <c r="K42" s="83">
        <f>YEAR(MyAssignment8[[#This Row],[HireDate]])</f>
        <v>2020</v>
      </c>
      <c r="L42" s="80">
        <v>83</v>
      </c>
      <c r="M42" s="80">
        <v>9</v>
      </c>
      <c r="N42" s="80" t="str">
        <f>IF(MyAssignment8[[#This Row],[ProjectsCompleted]]&gt;10,"Yes","No")</f>
        <v>No</v>
      </c>
      <c r="O42" s="80" t="b">
        <f>AND(MyAssignment8[[#This Row],[PerformanceScore]]&gt;85,MyAssignment8[[#This Row],[ProjectsCompleted]]&gt;10)</f>
        <v>0</v>
      </c>
      <c r="P42" s="81">
        <v>1450</v>
      </c>
      <c r="Q42" s="80">
        <v>93</v>
      </c>
      <c r="R42" s="80" t="b">
        <f>OR(MyAssignment8[[#This Row],[PerformanceScore]]&lt;85,MyAssignment8[[#This Row],[AttendanceRate (%)]]&lt;90)</f>
        <v>1</v>
      </c>
    </row>
    <row r="43" spans="1:18" ht="21.6">
      <c r="A43" s="80" t="s">
        <v>138</v>
      </c>
      <c r="B43" s="80" t="s">
        <v>139</v>
      </c>
      <c r="C43" s="80" t="s">
        <v>140</v>
      </c>
      <c r="D43" s="80" t="str">
        <f>_xlfn.CONCAT(MyAssignment8[[#This Row],[FirstName]]," ",MyAssignment8[[#This Row],[LastName]])</f>
        <v>Sophia Torres</v>
      </c>
      <c r="E43" s="80" t="str">
        <f>LEFT(MyAssignment8[[#This Row],[LastName]],3)</f>
        <v>Tor</v>
      </c>
      <c r="F43" s="80" t="s">
        <v>20</v>
      </c>
      <c r="G43" s="80" t="s">
        <v>5</v>
      </c>
      <c r="H43" s="80" t="str">
        <f>UPPER(MyAssignment8[[#This Row],[Department]])</f>
        <v>HR</v>
      </c>
      <c r="I43" s="82">
        <v>44203</v>
      </c>
      <c r="J43" s="83">
        <f ca="1">_xlfn.DAYS($M$125,MyAssignment8[[#This Row],[HireDate]])</f>
        <v>1438</v>
      </c>
      <c r="K43" s="83">
        <f>YEAR(MyAssignment8[[#This Row],[HireDate]])</f>
        <v>2021</v>
      </c>
      <c r="L43" s="80">
        <v>88</v>
      </c>
      <c r="M43" s="80">
        <v>10</v>
      </c>
      <c r="N43" s="80" t="str">
        <f>IF(MyAssignment8[[#This Row],[ProjectsCompleted]]&gt;10,"Yes","No")</f>
        <v>No</v>
      </c>
      <c r="O43" s="80" t="b">
        <f>AND(MyAssignment8[[#This Row],[PerformanceScore]]&gt;85,MyAssignment8[[#This Row],[ProjectsCompleted]]&gt;10)</f>
        <v>0</v>
      </c>
      <c r="P43" s="81">
        <v>1500</v>
      </c>
      <c r="Q43" s="80">
        <v>95</v>
      </c>
      <c r="R43" s="80" t="b">
        <f>OR(MyAssignment8[[#This Row],[PerformanceScore]]&lt;85,MyAssignment8[[#This Row],[AttendanceRate (%)]]&lt;90)</f>
        <v>0</v>
      </c>
    </row>
    <row r="44" spans="1:18" ht="21.6">
      <c r="A44" s="80" t="s">
        <v>141</v>
      </c>
      <c r="B44" s="80" t="s">
        <v>86</v>
      </c>
      <c r="C44" s="80" t="s">
        <v>134</v>
      </c>
      <c r="D44" s="80" t="str">
        <f>_xlfn.CONCAT(MyAssignment8[[#This Row],[FirstName]]," ",MyAssignment8[[#This Row],[LastName]])</f>
        <v>William Perez</v>
      </c>
      <c r="E44" s="80" t="str">
        <f>LEFT(MyAssignment8[[#This Row],[LastName]],3)</f>
        <v>Per</v>
      </c>
      <c r="F44" s="80" t="s">
        <v>18</v>
      </c>
      <c r="G44" s="80" t="s">
        <v>7</v>
      </c>
      <c r="H44" s="80" t="str">
        <f>UPPER(MyAssignment8[[#This Row],[Department]])</f>
        <v>MARKETING</v>
      </c>
      <c r="I44" s="82">
        <v>43727</v>
      </c>
      <c r="J44" s="83">
        <f ca="1">_xlfn.DAYS($M$125,MyAssignment8[[#This Row],[HireDate]])</f>
        <v>1914</v>
      </c>
      <c r="K44" s="83">
        <f>YEAR(MyAssignment8[[#This Row],[HireDate]])</f>
        <v>2019</v>
      </c>
      <c r="L44" s="80">
        <v>78</v>
      </c>
      <c r="M44" s="80">
        <v>8</v>
      </c>
      <c r="N44" s="80" t="str">
        <f>IF(MyAssignment8[[#This Row],[ProjectsCompleted]]&gt;10,"Yes","No")</f>
        <v>No</v>
      </c>
      <c r="O44" s="80" t="b">
        <f>AND(MyAssignment8[[#This Row],[PerformanceScore]]&gt;85,MyAssignment8[[#This Row],[ProjectsCompleted]]&gt;10)</f>
        <v>0</v>
      </c>
      <c r="P44" s="81">
        <v>1200</v>
      </c>
      <c r="Q44" s="80">
        <v>89</v>
      </c>
      <c r="R44" s="80" t="b">
        <f>OR(MyAssignment8[[#This Row],[PerformanceScore]]&lt;85,MyAssignment8[[#This Row],[AttendanceRate (%)]]&lt;90)</f>
        <v>1</v>
      </c>
    </row>
    <row r="45" spans="1:18" ht="21.6">
      <c r="A45" s="80" t="s">
        <v>22</v>
      </c>
      <c r="B45" s="80" t="s">
        <v>36</v>
      </c>
      <c r="C45" s="80" t="s">
        <v>78</v>
      </c>
      <c r="D45" s="80" t="str">
        <f>_xlfn.CONCAT(MyAssignment8[[#This Row],[FirstName]]," ",MyAssignment8[[#This Row],[LastName]])</f>
        <v>Emily Rivera</v>
      </c>
      <c r="E45" s="80" t="str">
        <f>LEFT(MyAssignment8[[#This Row],[LastName]],3)</f>
        <v>Riv</v>
      </c>
      <c r="F45" s="80" t="s">
        <v>20</v>
      </c>
      <c r="G45" s="80" t="s">
        <v>8</v>
      </c>
      <c r="H45" s="80" t="str">
        <f>UPPER(MyAssignment8[[#This Row],[Department]])</f>
        <v>SALES</v>
      </c>
      <c r="I45" s="82">
        <v>44757</v>
      </c>
      <c r="J45" s="83">
        <f ca="1">_xlfn.DAYS($M$125,MyAssignment8[[#This Row],[HireDate]])</f>
        <v>884</v>
      </c>
      <c r="K45" s="83">
        <f>YEAR(MyAssignment8[[#This Row],[HireDate]])</f>
        <v>2022</v>
      </c>
      <c r="L45" s="80">
        <v>92</v>
      </c>
      <c r="M45" s="80">
        <v>12</v>
      </c>
      <c r="N45" s="80" t="str">
        <f>IF(MyAssignment8[[#This Row],[ProjectsCompleted]]&gt;10,"Yes","No")</f>
        <v>Yes</v>
      </c>
      <c r="O45" s="80" t="b">
        <f>AND(MyAssignment8[[#This Row],[PerformanceScore]]&gt;85,MyAssignment8[[#This Row],[ProjectsCompleted]]&gt;10)</f>
        <v>1</v>
      </c>
      <c r="P45" s="81">
        <v>1650</v>
      </c>
      <c r="Q45" s="80">
        <v>98</v>
      </c>
      <c r="R45" s="80" t="b">
        <f>OR(MyAssignment8[[#This Row],[PerformanceScore]]&lt;85,MyAssignment8[[#This Row],[AttendanceRate (%)]]&lt;90)</f>
        <v>0</v>
      </c>
    </row>
    <row r="46" spans="1:18" ht="21.6">
      <c r="A46" s="80" t="s">
        <v>142</v>
      </c>
      <c r="B46" s="80" t="s">
        <v>80</v>
      </c>
      <c r="C46" s="80" t="s">
        <v>143</v>
      </c>
      <c r="D46" s="80" t="str">
        <f>_xlfn.CONCAT(MyAssignment8[[#This Row],[FirstName]]," ",MyAssignment8[[#This Row],[LastName]])</f>
        <v>Jackson Clark</v>
      </c>
      <c r="E46" s="80" t="str">
        <f>LEFT(MyAssignment8[[#This Row],[LastName]],3)</f>
        <v>Cla</v>
      </c>
      <c r="F46" s="80" t="s">
        <v>18</v>
      </c>
      <c r="G46" s="80" t="s">
        <v>6</v>
      </c>
      <c r="H46" s="80" t="str">
        <f>UPPER(MyAssignment8[[#This Row],[Department]])</f>
        <v>FINANCE</v>
      </c>
      <c r="I46" s="82">
        <v>43890</v>
      </c>
      <c r="J46" s="83">
        <f ca="1">_xlfn.DAYS($M$125,MyAssignment8[[#This Row],[HireDate]])</f>
        <v>1751</v>
      </c>
      <c r="K46" s="83">
        <f>YEAR(MyAssignment8[[#This Row],[HireDate]])</f>
        <v>2020</v>
      </c>
      <c r="L46" s="80">
        <v>85</v>
      </c>
      <c r="M46" s="80">
        <v>11</v>
      </c>
      <c r="N46" s="80" t="str">
        <f>IF(MyAssignment8[[#This Row],[ProjectsCompleted]]&gt;10,"Yes","No")</f>
        <v>Yes</v>
      </c>
      <c r="O46" s="80" t="b">
        <f>AND(MyAssignment8[[#This Row],[PerformanceScore]]&gt;85,MyAssignment8[[#This Row],[ProjectsCompleted]]&gt;10)</f>
        <v>0</v>
      </c>
      <c r="P46" s="81">
        <v>1550</v>
      </c>
      <c r="Q46" s="80">
        <v>94</v>
      </c>
      <c r="R46" s="80" t="b">
        <f>OR(MyAssignment8[[#This Row],[PerformanceScore]]&lt;85,MyAssignment8[[#This Row],[AttendanceRate (%)]]&lt;90)</f>
        <v>0</v>
      </c>
    </row>
    <row r="47" spans="1:18" ht="21.6">
      <c r="A47" s="80" t="s">
        <v>144</v>
      </c>
      <c r="B47" s="80" t="s">
        <v>145</v>
      </c>
      <c r="C47" s="80" t="s">
        <v>146</v>
      </c>
      <c r="D47" s="80" t="str">
        <f>_xlfn.CONCAT(MyAssignment8[[#This Row],[FirstName]]," ",MyAssignment8[[#This Row],[LastName]])</f>
        <v>Scarlett Bailey</v>
      </c>
      <c r="E47" s="80" t="str">
        <f>LEFT(MyAssignment8[[#This Row],[LastName]],3)</f>
        <v>Bai</v>
      </c>
      <c r="F47" s="80" t="s">
        <v>20</v>
      </c>
      <c r="G47" s="80" t="s">
        <v>4</v>
      </c>
      <c r="H47" s="80" t="str">
        <f>UPPER(MyAssignment8[[#This Row],[Department]])</f>
        <v>IT</v>
      </c>
      <c r="I47" s="82">
        <v>44489</v>
      </c>
      <c r="J47" s="83">
        <f ca="1">_xlfn.DAYS($M$125,MyAssignment8[[#This Row],[HireDate]])</f>
        <v>1152</v>
      </c>
      <c r="K47" s="83">
        <f>YEAR(MyAssignment8[[#This Row],[HireDate]])</f>
        <v>2021</v>
      </c>
      <c r="L47" s="80">
        <v>90</v>
      </c>
      <c r="M47" s="80">
        <v>14</v>
      </c>
      <c r="N47" s="80" t="str">
        <f>IF(MyAssignment8[[#This Row],[ProjectsCompleted]]&gt;10,"Yes","No")</f>
        <v>Yes</v>
      </c>
      <c r="O47" s="80" t="b">
        <f>AND(MyAssignment8[[#This Row],[PerformanceScore]]&gt;85,MyAssignment8[[#This Row],[ProjectsCompleted]]&gt;10)</f>
        <v>1</v>
      </c>
      <c r="P47" s="81">
        <v>1800</v>
      </c>
      <c r="Q47" s="80">
        <v>97</v>
      </c>
      <c r="R47" s="80" t="b">
        <f>OR(MyAssignment8[[#This Row],[PerformanceScore]]&lt;85,MyAssignment8[[#This Row],[AttendanceRate (%)]]&lt;90)</f>
        <v>0</v>
      </c>
    </row>
    <row r="48" spans="1:18" ht="21.6">
      <c r="A48" s="80" t="s">
        <v>147</v>
      </c>
      <c r="B48" s="80" t="s">
        <v>148</v>
      </c>
      <c r="C48" s="80" t="s">
        <v>84</v>
      </c>
      <c r="D48" s="80" t="str">
        <f>_xlfn.CONCAT(MyAssignment8[[#This Row],[FirstName]]," ",MyAssignment8[[#This Row],[LastName]])</f>
        <v>Benjamin Morris</v>
      </c>
      <c r="E48" s="80" t="str">
        <f>LEFT(MyAssignment8[[#This Row],[LastName]],3)</f>
        <v>Mor</v>
      </c>
      <c r="F48" s="80" t="s">
        <v>18</v>
      </c>
      <c r="G48" s="80" t="s">
        <v>5</v>
      </c>
      <c r="H48" s="80" t="str">
        <f>UPPER(MyAssignment8[[#This Row],[Department]])</f>
        <v>HR</v>
      </c>
      <c r="I48" s="82">
        <v>43595</v>
      </c>
      <c r="J48" s="83">
        <f ca="1">_xlfn.DAYS($M$125,MyAssignment8[[#This Row],[HireDate]])</f>
        <v>2046</v>
      </c>
      <c r="K48" s="83">
        <f>YEAR(MyAssignment8[[#This Row],[HireDate]])</f>
        <v>2019</v>
      </c>
      <c r="L48" s="80">
        <v>86</v>
      </c>
      <c r="M48" s="80">
        <v>9</v>
      </c>
      <c r="N48" s="80" t="str">
        <f>IF(MyAssignment8[[#This Row],[ProjectsCompleted]]&gt;10,"Yes","No")</f>
        <v>No</v>
      </c>
      <c r="O48" s="80" t="b">
        <f>AND(MyAssignment8[[#This Row],[PerformanceScore]]&gt;85,MyAssignment8[[#This Row],[ProjectsCompleted]]&gt;10)</f>
        <v>0</v>
      </c>
      <c r="P48" s="81">
        <v>1500</v>
      </c>
      <c r="Q48" s="80">
        <v>92</v>
      </c>
      <c r="R48" s="80" t="b">
        <f>OR(MyAssignment8[[#This Row],[PerformanceScore]]&lt;85,MyAssignment8[[#This Row],[AttendanceRate (%)]]&lt;90)</f>
        <v>0</v>
      </c>
    </row>
    <row r="49" spans="1:18" ht="21.6">
      <c r="A49" s="80" t="s">
        <v>149</v>
      </c>
      <c r="B49" s="80" t="s">
        <v>77</v>
      </c>
      <c r="C49" s="80" t="s">
        <v>51</v>
      </c>
      <c r="D49" s="80" t="str">
        <f>_xlfn.CONCAT(MyAssignment8[[#This Row],[FirstName]]," ",MyAssignment8[[#This Row],[LastName]])</f>
        <v>Victoria Martinez</v>
      </c>
      <c r="E49" s="80" t="str">
        <f>LEFT(MyAssignment8[[#This Row],[LastName]],3)</f>
        <v>Mar</v>
      </c>
      <c r="F49" s="80" t="s">
        <v>20</v>
      </c>
      <c r="G49" s="80" t="s">
        <v>7</v>
      </c>
      <c r="H49" s="80" t="str">
        <f>UPPER(MyAssignment8[[#This Row],[Department]])</f>
        <v>MARKETING</v>
      </c>
      <c r="I49" s="82">
        <v>43983</v>
      </c>
      <c r="J49" s="83">
        <f ca="1">_xlfn.DAYS($M$125,MyAssignment8[[#This Row],[HireDate]])</f>
        <v>1658</v>
      </c>
      <c r="K49" s="83">
        <f>YEAR(MyAssignment8[[#This Row],[HireDate]])</f>
        <v>2020</v>
      </c>
      <c r="L49" s="80">
        <v>79</v>
      </c>
      <c r="M49" s="80">
        <v>7</v>
      </c>
      <c r="N49" s="80" t="str">
        <f>IF(MyAssignment8[[#This Row],[ProjectsCompleted]]&gt;10,"Yes","No")</f>
        <v>No</v>
      </c>
      <c r="O49" s="80" t="b">
        <f>AND(MyAssignment8[[#This Row],[PerformanceScore]]&gt;85,MyAssignment8[[#This Row],[ProjectsCompleted]]&gt;10)</f>
        <v>0</v>
      </c>
      <c r="P49" s="81">
        <v>1300</v>
      </c>
      <c r="Q49" s="80">
        <v>90</v>
      </c>
      <c r="R49" s="80" t="b">
        <f>OR(MyAssignment8[[#This Row],[PerformanceScore]]&lt;85,MyAssignment8[[#This Row],[AttendanceRate (%)]]&lt;90)</f>
        <v>1</v>
      </c>
    </row>
    <row r="50" spans="1:18" ht="21.6">
      <c r="A50" s="80" t="s">
        <v>150</v>
      </c>
      <c r="B50" s="80" t="s">
        <v>151</v>
      </c>
      <c r="C50" s="80" t="s">
        <v>152</v>
      </c>
      <c r="D50" s="80" t="str">
        <f>_xlfn.CONCAT(MyAssignment8[[#This Row],[FirstName]]," ",MyAssignment8[[#This Row],[LastName]])</f>
        <v>Mason Roberts</v>
      </c>
      <c r="E50" s="80" t="str">
        <f>LEFT(MyAssignment8[[#This Row],[LastName]],3)</f>
        <v>Rob</v>
      </c>
      <c r="F50" s="80" t="s">
        <v>18</v>
      </c>
      <c r="G50" s="80" t="s">
        <v>8</v>
      </c>
      <c r="H50" s="80" t="str">
        <f>UPPER(MyAssignment8[[#This Row],[Department]])</f>
        <v>SALES</v>
      </c>
      <c r="I50" s="82">
        <v>44542</v>
      </c>
      <c r="J50" s="83">
        <f ca="1">_xlfn.DAYS($M$125,MyAssignment8[[#This Row],[HireDate]])</f>
        <v>1099</v>
      </c>
      <c r="K50" s="83">
        <f>YEAR(MyAssignment8[[#This Row],[HireDate]])</f>
        <v>2021</v>
      </c>
      <c r="L50" s="80">
        <v>82</v>
      </c>
      <c r="M50" s="80">
        <v>10</v>
      </c>
      <c r="N50" s="80" t="str">
        <f>IF(MyAssignment8[[#This Row],[ProjectsCompleted]]&gt;10,"Yes","No")</f>
        <v>No</v>
      </c>
      <c r="O50" s="80" t="b">
        <f>AND(MyAssignment8[[#This Row],[PerformanceScore]]&gt;85,MyAssignment8[[#This Row],[ProjectsCompleted]]&gt;10)</f>
        <v>0</v>
      </c>
      <c r="P50" s="81">
        <v>1450</v>
      </c>
      <c r="Q50" s="80">
        <v>95</v>
      </c>
      <c r="R50" s="80" t="b">
        <f>OR(MyAssignment8[[#This Row],[PerformanceScore]]&lt;85,MyAssignment8[[#This Row],[AttendanceRate (%)]]&lt;90)</f>
        <v>1</v>
      </c>
    </row>
    <row r="51" spans="1:18" ht="21.6">
      <c r="A51" s="80" t="s">
        <v>153</v>
      </c>
      <c r="B51" s="80" t="s">
        <v>125</v>
      </c>
      <c r="C51" s="80" t="s">
        <v>71</v>
      </c>
      <c r="D51" s="80" t="str">
        <f>_xlfn.CONCAT(MyAssignment8[[#This Row],[FirstName]]," ",MyAssignment8[[#This Row],[LastName]])</f>
        <v>Ava Nelson</v>
      </c>
      <c r="E51" s="80" t="str">
        <f>LEFT(MyAssignment8[[#This Row],[LastName]],3)</f>
        <v>Nel</v>
      </c>
      <c r="F51" s="80" t="s">
        <v>20</v>
      </c>
      <c r="G51" s="80" t="s">
        <v>4</v>
      </c>
      <c r="H51" s="80" t="str">
        <f>UPPER(MyAssignment8[[#This Row],[Department]])</f>
        <v>IT</v>
      </c>
      <c r="I51" s="82">
        <v>44638</v>
      </c>
      <c r="J51" s="83">
        <f ca="1">_xlfn.DAYS($M$125,MyAssignment8[[#This Row],[HireDate]])</f>
        <v>1003</v>
      </c>
      <c r="K51" s="83">
        <f>YEAR(MyAssignment8[[#This Row],[HireDate]])</f>
        <v>2022</v>
      </c>
      <c r="L51" s="80">
        <v>88</v>
      </c>
      <c r="M51" s="80">
        <v>11</v>
      </c>
      <c r="N51" s="80" t="str">
        <f>IF(MyAssignment8[[#This Row],[ProjectsCompleted]]&gt;10,"Yes","No")</f>
        <v>Yes</v>
      </c>
      <c r="O51" s="80" t="b">
        <f>AND(MyAssignment8[[#This Row],[PerformanceScore]]&gt;85,MyAssignment8[[#This Row],[ProjectsCompleted]]&gt;10)</f>
        <v>1</v>
      </c>
      <c r="P51" s="81">
        <v>1650</v>
      </c>
      <c r="Q51" s="80">
        <v>98</v>
      </c>
      <c r="R51" s="80" t="b">
        <f>OR(MyAssignment8[[#This Row],[PerformanceScore]]&lt;85,MyAssignment8[[#This Row],[AttendanceRate (%)]]&lt;90)</f>
        <v>0</v>
      </c>
    </row>
    <row r="52" spans="1:18" ht="21.6">
      <c r="A52" s="80" t="s">
        <v>154</v>
      </c>
      <c r="B52" s="80" t="s">
        <v>155</v>
      </c>
      <c r="C52" s="80" t="s">
        <v>75</v>
      </c>
      <c r="D52" s="80" t="str">
        <f>_xlfn.CONCAT(MyAssignment8[[#This Row],[FirstName]]," ",MyAssignment8[[#This Row],[LastName]])</f>
        <v>Jacob Foster</v>
      </c>
      <c r="E52" s="80" t="str">
        <f>LEFT(MyAssignment8[[#This Row],[LastName]],3)</f>
        <v>Fos</v>
      </c>
      <c r="F52" s="80" t="s">
        <v>18</v>
      </c>
      <c r="G52" s="80" t="s">
        <v>6</v>
      </c>
      <c r="H52" s="80" t="str">
        <f>UPPER(MyAssignment8[[#This Row],[Department]])</f>
        <v>FINANCE</v>
      </c>
      <c r="I52" s="82">
        <v>43699</v>
      </c>
      <c r="J52" s="83">
        <f ca="1">_xlfn.DAYS($M$125,MyAssignment8[[#This Row],[HireDate]])</f>
        <v>1942</v>
      </c>
      <c r="K52" s="83">
        <f>YEAR(MyAssignment8[[#This Row],[HireDate]])</f>
        <v>2019</v>
      </c>
      <c r="L52" s="80">
        <v>89</v>
      </c>
      <c r="M52" s="80">
        <v>13</v>
      </c>
      <c r="N52" s="80" t="str">
        <f>IF(MyAssignment8[[#This Row],[ProjectsCompleted]]&gt;10,"Yes","No")</f>
        <v>Yes</v>
      </c>
      <c r="O52" s="80" t="b">
        <f>AND(MyAssignment8[[#This Row],[PerformanceScore]]&gt;85,MyAssignment8[[#This Row],[ProjectsCompleted]]&gt;10)</f>
        <v>1</v>
      </c>
      <c r="P52" s="81">
        <v>1750</v>
      </c>
      <c r="Q52" s="80">
        <v>96</v>
      </c>
      <c r="R52" s="80" t="b">
        <f>OR(MyAssignment8[[#This Row],[PerformanceScore]]&lt;85,MyAssignment8[[#This Row],[AttendanceRate (%)]]&lt;90)</f>
        <v>0</v>
      </c>
    </row>
    <row r="53" spans="1:18" ht="21.6">
      <c r="A53" s="80" t="s">
        <v>156</v>
      </c>
      <c r="B53" s="80" t="s">
        <v>67</v>
      </c>
      <c r="C53" s="80" t="s">
        <v>157</v>
      </c>
      <c r="D53" s="80" t="str">
        <f>_xlfn.CONCAT(MyAssignment8[[#This Row],[FirstName]]," ",MyAssignment8[[#This Row],[LastName]])</f>
        <v>Mia Jenkins</v>
      </c>
      <c r="E53" s="80" t="str">
        <f>LEFT(MyAssignment8[[#This Row],[LastName]],3)</f>
        <v>Jen</v>
      </c>
      <c r="F53" s="80" t="s">
        <v>20</v>
      </c>
      <c r="G53" s="80" t="s">
        <v>5</v>
      </c>
      <c r="H53" s="80" t="str">
        <f>UPPER(MyAssignment8[[#This Row],[Department]])</f>
        <v>HR</v>
      </c>
      <c r="I53" s="82">
        <v>44448</v>
      </c>
      <c r="J53" s="83">
        <f ca="1">_xlfn.DAYS($M$125,MyAssignment8[[#This Row],[HireDate]])</f>
        <v>1193</v>
      </c>
      <c r="K53" s="83">
        <f>YEAR(MyAssignment8[[#This Row],[HireDate]])</f>
        <v>2021</v>
      </c>
      <c r="L53" s="80">
        <v>91</v>
      </c>
      <c r="M53" s="80">
        <v>10</v>
      </c>
      <c r="N53" s="80" t="str">
        <f>IF(MyAssignment8[[#This Row],[ProjectsCompleted]]&gt;10,"Yes","No")</f>
        <v>No</v>
      </c>
      <c r="O53" s="80" t="b">
        <f>AND(MyAssignment8[[#This Row],[PerformanceScore]]&gt;85,MyAssignment8[[#This Row],[ProjectsCompleted]]&gt;10)</f>
        <v>0</v>
      </c>
      <c r="P53" s="81">
        <v>1600</v>
      </c>
      <c r="Q53" s="80">
        <v>97</v>
      </c>
      <c r="R53" s="80" t="b">
        <f>OR(MyAssignment8[[#This Row],[PerformanceScore]]&lt;85,MyAssignment8[[#This Row],[AttendanceRate (%)]]&lt;90)</f>
        <v>0</v>
      </c>
    </row>
    <row r="54" spans="1:18" ht="21.6">
      <c r="A54" s="80" t="s">
        <v>158</v>
      </c>
      <c r="B54" s="80" t="s">
        <v>64</v>
      </c>
      <c r="C54" s="80" t="s">
        <v>159</v>
      </c>
      <c r="D54" s="80" t="str">
        <f>_xlfn.CONCAT(MyAssignment8[[#This Row],[FirstName]]," ",MyAssignment8[[#This Row],[LastName]])</f>
        <v>Logan Russell</v>
      </c>
      <c r="E54" s="80" t="str">
        <f>LEFT(MyAssignment8[[#This Row],[LastName]],3)</f>
        <v>Rus</v>
      </c>
      <c r="F54" s="80" t="s">
        <v>18</v>
      </c>
      <c r="G54" s="80" t="s">
        <v>7</v>
      </c>
      <c r="H54" s="80" t="str">
        <f>UPPER(MyAssignment8[[#This Row],[Department]])</f>
        <v>MARKETING</v>
      </c>
      <c r="I54" s="82">
        <v>44169</v>
      </c>
      <c r="J54" s="83">
        <f ca="1">_xlfn.DAYS($M$125,MyAssignment8[[#This Row],[HireDate]])</f>
        <v>1472</v>
      </c>
      <c r="K54" s="83">
        <f>YEAR(MyAssignment8[[#This Row],[HireDate]])</f>
        <v>2020</v>
      </c>
      <c r="L54" s="80">
        <v>83</v>
      </c>
      <c r="M54" s="80">
        <v>8</v>
      </c>
      <c r="N54" s="80" t="str">
        <f>IF(MyAssignment8[[#This Row],[ProjectsCompleted]]&gt;10,"Yes","No")</f>
        <v>No</v>
      </c>
      <c r="O54" s="80" t="b">
        <f>AND(MyAssignment8[[#This Row],[PerformanceScore]]&gt;85,MyAssignment8[[#This Row],[ProjectsCompleted]]&gt;10)</f>
        <v>0</v>
      </c>
      <c r="P54" s="81">
        <v>1450</v>
      </c>
      <c r="Q54" s="80">
        <v>92</v>
      </c>
      <c r="R54" s="80" t="b">
        <f>OR(MyAssignment8[[#This Row],[PerformanceScore]]&lt;85,MyAssignment8[[#This Row],[AttendanceRate (%)]]&lt;90)</f>
        <v>1</v>
      </c>
    </row>
    <row r="55" spans="1:18" ht="21.6">
      <c r="A55" s="80" t="s">
        <v>160</v>
      </c>
      <c r="B55" s="80" t="s">
        <v>161</v>
      </c>
      <c r="C55" s="80" t="s">
        <v>162</v>
      </c>
      <c r="D55" s="80" t="str">
        <f>_xlfn.CONCAT(MyAssignment8[[#This Row],[FirstName]]," ",MyAssignment8[[#This Row],[LastName]])</f>
        <v>Ella Ward</v>
      </c>
      <c r="E55" s="80" t="str">
        <f>LEFT(MyAssignment8[[#This Row],[LastName]],3)</f>
        <v>War</v>
      </c>
      <c r="F55" s="80" t="s">
        <v>20</v>
      </c>
      <c r="G55" s="80" t="s">
        <v>8</v>
      </c>
      <c r="H55" s="80" t="str">
        <f>UPPER(MyAssignment8[[#This Row],[Department]])</f>
        <v>SALES</v>
      </c>
      <c r="I55" s="82">
        <v>44241</v>
      </c>
      <c r="J55" s="83">
        <f ca="1">_xlfn.DAYS($M$125,MyAssignment8[[#This Row],[HireDate]])</f>
        <v>1400</v>
      </c>
      <c r="K55" s="83">
        <f>YEAR(MyAssignment8[[#This Row],[HireDate]])</f>
        <v>2021</v>
      </c>
      <c r="L55" s="80">
        <v>80</v>
      </c>
      <c r="M55" s="80">
        <v>9</v>
      </c>
      <c r="N55" s="80" t="str">
        <f>IF(MyAssignment8[[#This Row],[ProjectsCompleted]]&gt;10,"Yes","No")</f>
        <v>No</v>
      </c>
      <c r="O55" s="80" t="b">
        <f>AND(MyAssignment8[[#This Row],[PerformanceScore]]&gt;85,MyAssignment8[[#This Row],[ProjectsCompleted]]&gt;10)</f>
        <v>0</v>
      </c>
      <c r="P55" s="81">
        <v>1400</v>
      </c>
      <c r="Q55" s="80">
        <v>93</v>
      </c>
      <c r="R55" s="80" t="b">
        <f>OR(MyAssignment8[[#This Row],[PerformanceScore]]&lt;85,MyAssignment8[[#This Row],[AttendanceRate (%)]]&lt;90)</f>
        <v>1</v>
      </c>
    </row>
    <row r="56" spans="1:18" ht="21.6">
      <c r="A56" s="80" t="s">
        <v>163</v>
      </c>
      <c r="B56" s="80" t="s">
        <v>164</v>
      </c>
      <c r="C56" s="80" t="s">
        <v>165</v>
      </c>
      <c r="D56" s="80" t="str">
        <f>_xlfn.CONCAT(MyAssignment8[[#This Row],[FirstName]]," ",MyAssignment8[[#This Row],[LastName]])</f>
        <v>Samuel Gray</v>
      </c>
      <c r="E56" s="80" t="str">
        <f>LEFT(MyAssignment8[[#This Row],[LastName]],3)</f>
        <v>Gra</v>
      </c>
      <c r="F56" s="80" t="s">
        <v>18</v>
      </c>
      <c r="G56" s="80" t="s">
        <v>4</v>
      </c>
      <c r="H56" s="80" t="str">
        <f>UPPER(MyAssignment8[[#This Row],[Department]])</f>
        <v>IT</v>
      </c>
      <c r="I56" s="82">
        <v>44656</v>
      </c>
      <c r="J56" s="83">
        <f ca="1">_xlfn.DAYS($M$125,MyAssignment8[[#This Row],[HireDate]])</f>
        <v>985</v>
      </c>
      <c r="K56" s="83">
        <f>YEAR(MyAssignment8[[#This Row],[HireDate]])</f>
        <v>2022</v>
      </c>
      <c r="L56" s="80">
        <v>86</v>
      </c>
      <c r="M56" s="80">
        <v>12</v>
      </c>
      <c r="N56" s="80" t="str">
        <f>IF(MyAssignment8[[#This Row],[ProjectsCompleted]]&gt;10,"Yes","No")</f>
        <v>Yes</v>
      </c>
      <c r="O56" s="80" t="b">
        <f>AND(MyAssignment8[[#This Row],[PerformanceScore]]&gt;85,MyAssignment8[[#This Row],[ProjectsCompleted]]&gt;10)</f>
        <v>1</v>
      </c>
      <c r="P56" s="81">
        <v>1550</v>
      </c>
      <c r="Q56" s="80">
        <v>95</v>
      </c>
      <c r="R56" s="80" t="b">
        <f>OR(MyAssignment8[[#This Row],[PerformanceScore]]&lt;85,MyAssignment8[[#This Row],[AttendanceRate (%)]]&lt;90)</f>
        <v>0</v>
      </c>
    </row>
    <row r="57" spans="1:18" ht="21.6">
      <c r="A57" s="80" t="s">
        <v>166</v>
      </c>
      <c r="B57" s="80" t="s">
        <v>133</v>
      </c>
      <c r="C57" s="80" t="s">
        <v>167</v>
      </c>
      <c r="D57" s="80" t="str">
        <f>_xlfn.CONCAT(MyAssignment8[[#This Row],[FirstName]]," ",MyAssignment8[[#This Row],[LastName]])</f>
        <v>Grace Long</v>
      </c>
      <c r="E57" s="80" t="str">
        <f>LEFT(MyAssignment8[[#This Row],[LastName]],3)</f>
        <v>Lon</v>
      </c>
      <c r="F57" s="80" t="s">
        <v>20</v>
      </c>
      <c r="G57" s="80" t="s">
        <v>6</v>
      </c>
      <c r="H57" s="80" t="str">
        <f>UPPER(MyAssignment8[[#This Row],[Department]])</f>
        <v>FINANCE</v>
      </c>
      <c r="I57" s="82">
        <v>44157</v>
      </c>
      <c r="J57" s="83">
        <f ca="1">_xlfn.DAYS($M$125,MyAssignment8[[#This Row],[HireDate]])</f>
        <v>1484</v>
      </c>
      <c r="K57" s="83">
        <f>YEAR(MyAssignment8[[#This Row],[HireDate]])</f>
        <v>2020</v>
      </c>
      <c r="L57" s="80">
        <v>84</v>
      </c>
      <c r="M57" s="80">
        <v>10</v>
      </c>
      <c r="N57" s="80" t="str">
        <f>IF(MyAssignment8[[#This Row],[ProjectsCompleted]]&gt;10,"Yes","No")</f>
        <v>No</v>
      </c>
      <c r="O57" s="80" t="b">
        <f>AND(MyAssignment8[[#This Row],[PerformanceScore]]&gt;85,MyAssignment8[[#This Row],[ProjectsCompleted]]&gt;10)</f>
        <v>0</v>
      </c>
      <c r="P57" s="81">
        <v>1500</v>
      </c>
      <c r="Q57" s="80">
        <v>94</v>
      </c>
      <c r="R57" s="80" t="b">
        <f>OR(MyAssignment8[[#This Row],[PerformanceScore]]&lt;85,MyAssignment8[[#This Row],[AttendanceRate (%)]]&lt;90)</f>
        <v>1</v>
      </c>
    </row>
    <row r="58" spans="1:18" ht="21.6">
      <c r="A58" s="80" t="s">
        <v>168</v>
      </c>
      <c r="B58" s="80" t="s">
        <v>70</v>
      </c>
      <c r="C58" s="80" t="s">
        <v>169</v>
      </c>
      <c r="D58" s="80" t="str">
        <f>_xlfn.CONCAT(MyAssignment8[[#This Row],[FirstName]]," ",MyAssignment8[[#This Row],[LastName]])</f>
        <v>Ethan Patterson</v>
      </c>
      <c r="E58" s="80" t="str">
        <f>LEFT(MyAssignment8[[#This Row],[LastName]],3)</f>
        <v>Pat</v>
      </c>
      <c r="F58" s="80" t="s">
        <v>18</v>
      </c>
      <c r="G58" s="80" t="s">
        <v>5</v>
      </c>
      <c r="H58" s="80" t="str">
        <f>UPPER(MyAssignment8[[#This Row],[Department]])</f>
        <v>HR</v>
      </c>
      <c r="I58" s="82">
        <v>44416</v>
      </c>
      <c r="J58" s="83">
        <f ca="1">_xlfn.DAYS($M$125,MyAssignment8[[#This Row],[HireDate]])</f>
        <v>1225</v>
      </c>
      <c r="K58" s="83">
        <f>YEAR(MyAssignment8[[#This Row],[HireDate]])</f>
        <v>2021</v>
      </c>
      <c r="L58" s="80">
        <v>87</v>
      </c>
      <c r="M58" s="80">
        <v>11</v>
      </c>
      <c r="N58" s="80" t="str">
        <f>IF(MyAssignment8[[#This Row],[ProjectsCompleted]]&gt;10,"Yes","No")</f>
        <v>Yes</v>
      </c>
      <c r="O58" s="80" t="b">
        <f>AND(MyAssignment8[[#This Row],[PerformanceScore]]&gt;85,MyAssignment8[[#This Row],[ProjectsCompleted]]&gt;10)</f>
        <v>1</v>
      </c>
      <c r="P58" s="81">
        <v>1600</v>
      </c>
      <c r="Q58" s="80">
        <v>96</v>
      </c>
      <c r="R58" s="80" t="b">
        <f>OR(MyAssignment8[[#This Row],[PerformanceScore]]&lt;85,MyAssignment8[[#This Row],[AttendanceRate (%)]]&lt;90)</f>
        <v>0</v>
      </c>
    </row>
    <row r="59" spans="1:18" ht="21.6">
      <c r="A59" s="80" t="s">
        <v>170</v>
      </c>
      <c r="B59" s="80" t="s">
        <v>61</v>
      </c>
      <c r="C59" s="80" t="s">
        <v>171</v>
      </c>
      <c r="D59" s="80" t="str">
        <f>_xlfn.CONCAT(MyAssignment8[[#This Row],[FirstName]]," ",MyAssignment8[[#This Row],[LastName]])</f>
        <v>Charlotte Hughes</v>
      </c>
      <c r="E59" s="80" t="str">
        <f>LEFT(MyAssignment8[[#This Row],[LastName]],3)</f>
        <v>Hug</v>
      </c>
      <c r="F59" s="80" t="s">
        <v>20</v>
      </c>
      <c r="G59" s="80" t="s">
        <v>7</v>
      </c>
      <c r="H59" s="80" t="str">
        <f>UPPER(MyAssignment8[[#This Row],[Department]])</f>
        <v>MARKETING</v>
      </c>
      <c r="I59" s="82">
        <v>44711</v>
      </c>
      <c r="J59" s="83">
        <f ca="1">_xlfn.DAYS($M$125,MyAssignment8[[#This Row],[HireDate]])</f>
        <v>930</v>
      </c>
      <c r="K59" s="83">
        <f>YEAR(MyAssignment8[[#This Row],[HireDate]])</f>
        <v>2022</v>
      </c>
      <c r="L59" s="80">
        <v>90</v>
      </c>
      <c r="M59" s="80">
        <v>13</v>
      </c>
      <c r="N59" s="80" t="str">
        <f>IF(MyAssignment8[[#This Row],[ProjectsCompleted]]&gt;10,"Yes","No")</f>
        <v>Yes</v>
      </c>
      <c r="O59" s="80" t="b">
        <f>AND(MyAssignment8[[#This Row],[PerformanceScore]]&gt;85,MyAssignment8[[#This Row],[ProjectsCompleted]]&gt;10)</f>
        <v>1</v>
      </c>
      <c r="P59" s="81">
        <v>1750</v>
      </c>
      <c r="Q59" s="80">
        <v>97</v>
      </c>
      <c r="R59" s="80" t="b">
        <f>OR(MyAssignment8[[#This Row],[PerformanceScore]]&lt;85,MyAssignment8[[#This Row],[AttendanceRate (%)]]&lt;90)</f>
        <v>0</v>
      </c>
    </row>
    <row r="60" spans="1:18" ht="21.6">
      <c r="A60" s="80" t="s">
        <v>172</v>
      </c>
      <c r="B60" s="80" t="s">
        <v>74</v>
      </c>
      <c r="C60" s="80" t="s">
        <v>173</v>
      </c>
      <c r="D60" s="80" t="str">
        <f>_xlfn.CONCAT(MyAssignment8[[#This Row],[FirstName]]," ",MyAssignment8[[#This Row],[LastName]])</f>
        <v>James Bryant</v>
      </c>
      <c r="E60" s="80" t="str">
        <f>LEFT(MyAssignment8[[#This Row],[LastName]],3)</f>
        <v>Bry</v>
      </c>
      <c r="F60" s="80" t="s">
        <v>18</v>
      </c>
      <c r="G60" s="80" t="s">
        <v>8</v>
      </c>
      <c r="H60" s="80" t="str">
        <f>UPPER(MyAssignment8[[#This Row],[Department]])</f>
        <v>SALES</v>
      </c>
      <c r="I60" s="82">
        <v>43658</v>
      </c>
      <c r="J60" s="83">
        <f ca="1">_xlfn.DAYS($M$125,MyAssignment8[[#This Row],[HireDate]])</f>
        <v>1983</v>
      </c>
      <c r="K60" s="83">
        <f>YEAR(MyAssignment8[[#This Row],[HireDate]])</f>
        <v>2019</v>
      </c>
      <c r="L60" s="80">
        <v>75</v>
      </c>
      <c r="M60" s="80">
        <v>8</v>
      </c>
      <c r="N60" s="80" t="str">
        <f>IF(MyAssignment8[[#This Row],[ProjectsCompleted]]&gt;10,"Yes","No")</f>
        <v>No</v>
      </c>
      <c r="O60" s="80" t="b">
        <f>AND(MyAssignment8[[#This Row],[PerformanceScore]]&gt;85,MyAssignment8[[#This Row],[ProjectsCompleted]]&gt;10)</f>
        <v>0</v>
      </c>
      <c r="P60" s="81">
        <v>1200</v>
      </c>
      <c r="Q60" s="80">
        <v>88</v>
      </c>
      <c r="R60" s="80" t="b">
        <f>OR(MyAssignment8[[#This Row],[PerformanceScore]]&lt;85,MyAssignment8[[#This Row],[AttendanceRate (%)]]&lt;90)</f>
        <v>1</v>
      </c>
    </row>
    <row r="61" spans="1:18" ht="21.6">
      <c r="A61" s="80" t="s">
        <v>25</v>
      </c>
      <c r="B61" s="80" t="s">
        <v>101</v>
      </c>
      <c r="C61" s="80" t="s">
        <v>62</v>
      </c>
      <c r="D61" s="80" t="str">
        <f>_xlfn.CONCAT(MyAssignment8[[#This Row],[FirstName]]," ",MyAssignment8[[#This Row],[LastName]])</f>
        <v>Isabella Scott</v>
      </c>
      <c r="E61" s="80" t="str">
        <f>LEFT(MyAssignment8[[#This Row],[LastName]],3)</f>
        <v>Sco</v>
      </c>
      <c r="F61" s="80" t="s">
        <v>20</v>
      </c>
      <c r="G61" s="80" t="s">
        <v>4</v>
      </c>
      <c r="H61" s="80" t="str">
        <f>UPPER(MyAssignment8[[#This Row],[Department]])</f>
        <v>IT</v>
      </c>
      <c r="I61" s="82">
        <v>44364</v>
      </c>
      <c r="J61" s="83">
        <f ca="1">_xlfn.DAYS($M$125,MyAssignment8[[#This Row],[HireDate]])</f>
        <v>1277</v>
      </c>
      <c r="K61" s="83">
        <f>YEAR(MyAssignment8[[#This Row],[HireDate]])</f>
        <v>2021</v>
      </c>
      <c r="L61" s="80">
        <v>92</v>
      </c>
      <c r="M61" s="80">
        <v>14</v>
      </c>
      <c r="N61" s="80" t="str">
        <f>IF(MyAssignment8[[#This Row],[ProjectsCompleted]]&gt;10,"Yes","No")</f>
        <v>Yes</v>
      </c>
      <c r="O61" s="80" t="b">
        <f>AND(MyAssignment8[[#This Row],[PerformanceScore]]&gt;85,MyAssignment8[[#This Row],[ProjectsCompleted]]&gt;10)</f>
        <v>1</v>
      </c>
      <c r="P61" s="81">
        <v>1800</v>
      </c>
      <c r="Q61" s="80">
        <v>99</v>
      </c>
      <c r="R61" s="80" t="b">
        <f>OR(MyAssignment8[[#This Row],[PerformanceScore]]&lt;85,MyAssignment8[[#This Row],[AttendanceRate (%)]]&lt;90)</f>
        <v>0</v>
      </c>
    </row>
    <row r="62" spans="1:18" ht="21.6">
      <c r="A62" s="80" t="s">
        <v>174</v>
      </c>
      <c r="B62" s="80" t="s">
        <v>175</v>
      </c>
      <c r="C62" s="80" t="s">
        <v>140</v>
      </c>
      <c r="D62" s="80" t="str">
        <f>_xlfn.CONCAT(MyAssignment8[[#This Row],[FirstName]]," ",MyAssignment8[[#This Row],[LastName]])</f>
        <v>Alexander Torres</v>
      </c>
      <c r="E62" s="80" t="str">
        <f>LEFT(MyAssignment8[[#This Row],[LastName]],3)</f>
        <v>Tor</v>
      </c>
      <c r="F62" s="80" t="s">
        <v>18</v>
      </c>
      <c r="G62" s="80" t="s">
        <v>5</v>
      </c>
      <c r="H62" s="80" t="str">
        <f>UPPER(MyAssignment8[[#This Row],[Department]])</f>
        <v>HR</v>
      </c>
      <c r="I62" s="82">
        <v>44103</v>
      </c>
      <c r="J62" s="83">
        <f ca="1">_xlfn.DAYS($M$125,MyAssignment8[[#This Row],[HireDate]])</f>
        <v>1538</v>
      </c>
      <c r="K62" s="83">
        <f>YEAR(MyAssignment8[[#This Row],[HireDate]])</f>
        <v>2020</v>
      </c>
      <c r="L62" s="80">
        <v>80</v>
      </c>
      <c r="M62" s="80">
        <v>10</v>
      </c>
      <c r="N62" s="80" t="str">
        <f>IF(MyAssignment8[[#This Row],[ProjectsCompleted]]&gt;10,"Yes","No")</f>
        <v>No</v>
      </c>
      <c r="O62" s="80" t="b">
        <f>AND(MyAssignment8[[#This Row],[PerformanceScore]]&gt;85,MyAssignment8[[#This Row],[ProjectsCompleted]]&gt;10)</f>
        <v>0</v>
      </c>
      <c r="P62" s="81">
        <v>1450</v>
      </c>
      <c r="Q62" s="80">
        <v>91</v>
      </c>
      <c r="R62" s="80" t="b">
        <f>OR(MyAssignment8[[#This Row],[PerformanceScore]]&lt;85,MyAssignment8[[#This Row],[AttendanceRate (%)]]&lt;90)</f>
        <v>1</v>
      </c>
    </row>
    <row r="63" spans="1:18" ht="21.6">
      <c r="A63" s="80" t="s">
        <v>176</v>
      </c>
      <c r="B63" s="80" t="s">
        <v>177</v>
      </c>
      <c r="C63" s="80" t="s">
        <v>178</v>
      </c>
      <c r="D63" s="80" t="str">
        <f>_xlfn.CONCAT(MyAssignment8[[#This Row],[FirstName]]," ",MyAssignment8[[#This Row],[LastName]])</f>
        <v>Harper Ramirez</v>
      </c>
      <c r="E63" s="80" t="str">
        <f>LEFT(MyAssignment8[[#This Row],[LastName]],3)</f>
        <v>Ram</v>
      </c>
      <c r="F63" s="80" t="s">
        <v>20</v>
      </c>
      <c r="G63" s="80" t="s">
        <v>7</v>
      </c>
      <c r="H63" s="80" t="str">
        <f>UPPER(MyAssignment8[[#This Row],[Department]])</f>
        <v>MARKETING</v>
      </c>
      <c r="I63" s="82">
        <v>44280</v>
      </c>
      <c r="J63" s="83">
        <f ca="1">_xlfn.DAYS($M$125,MyAssignment8[[#This Row],[HireDate]])</f>
        <v>1361</v>
      </c>
      <c r="K63" s="83">
        <f>YEAR(MyAssignment8[[#This Row],[HireDate]])</f>
        <v>2021</v>
      </c>
      <c r="L63" s="80">
        <v>88</v>
      </c>
      <c r="M63" s="80">
        <v>12</v>
      </c>
      <c r="N63" s="80" t="str">
        <f>IF(MyAssignment8[[#This Row],[ProjectsCompleted]]&gt;10,"Yes","No")</f>
        <v>Yes</v>
      </c>
      <c r="O63" s="80" t="b">
        <f>AND(MyAssignment8[[#This Row],[PerformanceScore]]&gt;85,MyAssignment8[[#This Row],[ProjectsCompleted]]&gt;10)</f>
        <v>1</v>
      </c>
      <c r="P63" s="81">
        <v>1650</v>
      </c>
      <c r="Q63" s="80">
        <v>96</v>
      </c>
      <c r="R63" s="80" t="b">
        <f>OR(MyAssignment8[[#This Row],[PerformanceScore]]&lt;85,MyAssignment8[[#This Row],[AttendanceRate (%)]]&lt;90)</f>
        <v>0</v>
      </c>
    </row>
    <row r="64" spans="1:18" ht="21.6">
      <c r="A64" s="80" t="s">
        <v>179</v>
      </c>
      <c r="B64" s="80" t="s">
        <v>110</v>
      </c>
      <c r="C64" s="80" t="s">
        <v>180</v>
      </c>
      <c r="D64" s="80" t="str">
        <f>_xlfn.CONCAT(MyAssignment8[[#This Row],[FirstName]]," ",MyAssignment8[[#This Row],[LastName]])</f>
        <v>Jack Flores</v>
      </c>
      <c r="E64" s="80" t="str">
        <f>LEFT(MyAssignment8[[#This Row],[LastName]],3)</f>
        <v>Flo</v>
      </c>
      <c r="F64" s="80" t="s">
        <v>18</v>
      </c>
      <c r="G64" s="80" t="s">
        <v>8</v>
      </c>
      <c r="H64" s="80" t="str">
        <f>UPPER(MyAssignment8[[#This Row],[Department]])</f>
        <v>SALES</v>
      </c>
      <c r="I64" s="82">
        <v>44610</v>
      </c>
      <c r="J64" s="83">
        <f ca="1">_xlfn.DAYS($M$125,MyAssignment8[[#This Row],[HireDate]])</f>
        <v>1031</v>
      </c>
      <c r="K64" s="83">
        <f>YEAR(MyAssignment8[[#This Row],[HireDate]])</f>
        <v>2022</v>
      </c>
      <c r="L64" s="80">
        <v>83</v>
      </c>
      <c r="M64" s="80">
        <v>9</v>
      </c>
      <c r="N64" s="80" t="str">
        <f>IF(MyAssignment8[[#This Row],[ProjectsCompleted]]&gt;10,"Yes","No")</f>
        <v>No</v>
      </c>
      <c r="O64" s="80" t="b">
        <f>AND(MyAssignment8[[#This Row],[PerformanceScore]]&gt;85,MyAssignment8[[#This Row],[ProjectsCompleted]]&gt;10)</f>
        <v>0</v>
      </c>
      <c r="P64" s="81">
        <v>1500</v>
      </c>
      <c r="Q64" s="80">
        <v>94</v>
      </c>
      <c r="R64" s="80" t="b">
        <f>OR(MyAssignment8[[#This Row],[PerformanceScore]]&lt;85,MyAssignment8[[#This Row],[AttendanceRate (%)]]&lt;90)</f>
        <v>1</v>
      </c>
    </row>
    <row r="65" spans="1:18" ht="21.6">
      <c r="A65" s="80" t="s">
        <v>181</v>
      </c>
      <c r="B65" s="80" t="s">
        <v>112</v>
      </c>
      <c r="C65" s="80" t="s">
        <v>182</v>
      </c>
      <c r="D65" s="80" t="str">
        <f>_xlfn.CONCAT(MyAssignment8[[#This Row],[FirstName]]," ",MyAssignment8[[#This Row],[LastName]])</f>
        <v>Amelia Powell</v>
      </c>
      <c r="E65" s="80" t="str">
        <f>LEFT(MyAssignment8[[#This Row],[LastName]],3)</f>
        <v>Pow</v>
      </c>
      <c r="F65" s="80" t="s">
        <v>20</v>
      </c>
      <c r="G65" s="80" t="s">
        <v>6</v>
      </c>
      <c r="H65" s="80" t="str">
        <f>UPPER(MyAssignment8[[#This Row],[Department]])</f>
        <v>FINANCE</v>
      </c>
      <c r="I65" s="82">
        <v>43959</v>
      </c>
      <c r="J65" s="83">
        <f ca="1">_xlfn.DAYS($M$125,MyAssignment8[[#This Row],[HireDate]])</f>
        <v>1682</v>
      </c>
      <c r="K65" s="83">
        <f>YEAR(MyAssignment8[[#This Row],[HireDate]])</f>
        <v>2020</v>
      </c>
      <c r="L65" s="80">
        <v>89</v>
      </c>
      <c r="M65" s="80">
        <v>15</v>
      </c>
      <c r="N65" s="80" t="str">
        <f>IF(MyAssignment8[[#This Row],[ProjectsCompleted]]&gt;10,"Yes","No")</f>
        <v>Yes</v>
      </c>
      <c r="O65" s="80" t="b">
        <f>AND(MyAssignment8[[#This Row],[PerformanceScore]]&gt;85,MyAssignment8[[#This Row],[ProjectsCompleted]]&gt;10)</f>
        <v>1</v>
      </c>
      <c r="P65" s="81">
        <v>1800</v>
      </c>
      <c r="Q65" s="80">
        <v>98</v>
      </c>
      <c r="R65" s="80" t="b">
        <f>OR(MyAssignment8[[#This Row],[PerformanceScore]]&lt;85,MyAssignment8[[#This Row],[AttendanceRate (%)]]&lt;90)</f>
        <v>0</v>
      </c>
    </row>
    <row r="66" spans="1:18" ht="21.6">
      <c r="A66" s="80" t="s">
        <v>183</v>
      </c>
      <c r="B66" s="80" t="s">
        <v>131</v>
      </c>
      <c r="C66" s="80" t="s">
        <v>184</v>
      </c>
      <c r="D66" s="80" t="str">
        <f>_xlfn.CONCAT(MyAssignment8[[#This Row],[FirstName]]," ",MyAssignment8[[#This Row],[LastName]])</f>
        <v>Lucas Stewart</v>
      </c>
      <c r="E66" s="80" t="str">
        <f>LEFT(MyAssignment8[[#This Row],[LastName]],3)</f>
        <v>Ste</v>
      </c>
      <c r="F66" s="80" t="s">
        <v>18</v>
      </c>
      <c r="G66" s="80" t="s">
        <v>4</v>
      </c>
      <c r="H66" s="80" t="str">
        <f>UPPER(MyAssignment8[[#This Row],[Department]])</f>
        <v>IT</v>
      </c>
      <c r="I66" s="82">
        <v>44555</v>
      </c>
      <c r="J66" s="83">
        <f ca="1">_xlfn.DAYS($M$125,MyAssignment8[[#This Row],[HireDate]])</f>
        <v>1086</v>
      </c>
      <c r="K66" s="83">
        <f>YEAR(MyAssignment8[[#This Row],[HireDate]])</f>
        <v>2021</v>
      </c>
      <c r="L66" s="80">
        <v>77</v>
      </c>
      <c r="M66" s="80">
        <v>7</v>
      </c>
      <c r="N66" s="80" t="str">
        <f>IF(MyAssignment8[[#This Row],[ProjectsCompleted]]&gt;10,"Yes","No")</f>
        <v>No</v>
      </c>
      <c r="O66" s="80" t="b">
        <f>AND(MyAssignment8[[#This Row],[PerformanceScore]]&gt;85,MyAssignment8[[#This Row],[ProjectsCompleted]]&gt;10)</f>
        <v>0</v>
      </c>
      <c r="P66" s="81">
        <v>1200</v>
      </c>
      <c r="Q66" s="80">
        <v>90</v>
      </c>
      <c r="R66" s="80" t="b">
        <f>OR(MyAssignment8[[#This Row],[PerformanceScore]]&lt;85,MyAssignment8[[#This Row],[AttendanceRate (%)]]&lt;90)</f>
        <v>1</v>
      </c>
    </row>
    <row r="67" spans="1:18" ht="21.6">
      <c r="A67" s="80" t="s">
        <v>185</v>
      </c>
      <c r="B67" s="80" t="s">
        <v>186</v>
      </c>
      <c r="C67" s="80" t="s">
        <v>187</v>
      </c>
      <c r="D67" s="80" t="str">
        <f>_xlfn.CONCAT(MyAssignment8[[#This Row],[FirstName]]," ",MyAssignment8[[#This Row],[LastName]])</f>
        <v>Evelyn Sanders</v>
      </c>
      <c r="E67" s="80" t="str">
        <f>LEFT(MyAssignment8[[#This Row],[LastName]],3)</f>
        <v>San</v>
      </c>
      <c r="F67" s="80" t="s">
        <v>20</v>
      </c>
      <c r="G67" s="80" t="s">
        <v>5</v>
      </c>
      <c r="H67" s="80" t="str">
        <f>UPPER(MyAssignment8[[#This Row],[Department]])</f>
        <v>HR</v>
      </c>
      <c r="I67" s="82">
        <v>44848</v>
      </c>
      <c r="J67" s="83">
        <f ca="1">_xlfn.DAYS($M$125,MyAssignment8[[#This Row],[HireDate]])</f>
        <v>793</v>
      </c>
      <c r="K67" s="83">
        <f>YEAR(MyAssignment8[[#This Row],[HireDate]])</f>
        <v>2022</v>
      </c>
      <c r="L67" s="80">
        <v>84</v>
      </c>
      <c r="M67" s="80">
        <v>10</v>
      </c>
      <c r="N67" s="80" t="str">
        <f>IF(MyAssignment8[[#This Row],[ProjectsCompleted]]&gt;10,"Yes","No")</f>
        <v>No</v>
      </c>
      <c r="O67" s="80" t="b">
        <f>AND(MyAssignment8[[#This Row],[PerformanceScore]]&gt;85,MyAssignment8[[#This Row],[ProjectsCompleted]]&gt;10)</f>
        <v>0</v>
      </c>
      <c r="P67" s="81">
        <v>1500</v>
      </c>
      <c r="Q67" s="80">
        <v>93</v>
      </c>
      <c r="R67" s="80" t="b">
        <f>OR(MyAssignment8[[#This Row],[PerformanceScore]]&lt;85,MyAssignment8[[#This Row],[AttendanceRate (%)]]&lt;90)</f>
        <v>1</v>
      </c>
    </row>
    <row r="68" spans="1:18" ht="21.6">
      <c r="A68" s="80" t="s">
        <v>188</v>
      </c>
      <c r="B68" s="80" t="s">
        <v>44</v>
      </c>
      <c r="C68" s="80" t="s">
        <v>78</v>
      </c>
      <c r="D68" s="80" t="str">
        <f>_xlfn.CONCAT(MyAssignment8[[#This Row],[FirstName]]," ",MyAssignment8[[#This Row],[LastName]])</f>
        <v>Daniel Rivera</v>
      </c>
      <c r="E68" s="80" t="str">
        <f>LEFT(MyAssignment8[[#This Row],[LastName]],3)</f>
        <v>Riv</v>
      </c>
      <c r="F68" s="80" t="s">
        <v>18</v>
      </c>
      <c r="G68" s="80" t="s">
        <v>7</v>
      </c>
      <c r="H68" s="80" t="str">
        <f>UPPER(MyAssignment8[[#This Row],[Department]])</f>
        <v>MARKETING</v>
      </c>
      <c r="I68" s="82">
        <v>44138</v>
      </c>
      <c r="J68" s="83">
        <f ca="1">_xlfn.DAYS($M$125,MyAssignment8[[#This Row],[HireDate]])</f>
        <v>1503</v>
      </c>
      <c r="K68" s="83">
        <f>YEAR(MyAssignment8[[#This Row],[HireDate]])</f>
        <v>2020</v>
      </c>
      <c r="L68" s="80">
        <v>81</v>
      </c>
      <c r="M68" s="80">
        <v>8</v>
      </c>
      <c r="N68" s="80" t="str">
        <f>IF(MyAssignment8[[#This Row],[ProjectsCompleted]]&gt;10,"Yes","No")</f>
        <v>No</v>
      </c>
      <c r="O68" s="80" t="b">
        <f>AND(MyAssignment8[[#This Row],[PerformanceScore]]&gt;85,MyAssignment8[[#This Row],[ProjectsCompleted]]&gt;10)</f>
        <v>0</v>
      </c>
      <c r="P68" s="81">
        <v>1300</v>
      </c>
      <c r="Q68" s="80">
        <v>89</v>
      </c>
      <c r="R68" s="80" t="b">
        <f>OR(MyAssignment8[[#This Row],[PerformanceScore]]&lt;85,MyAssignment8[[#This Row],[AttendanceRate (%)]]&lt;90)</f>
        <v>1</v>
      </c>
    </row>
    <row r="69" spans="1:18" ht="21.6">
      <c r="A69" s="80" t="s">
        <v>189</v>
      </c>
      <c r="B69" s="80" t="s">
        <v>77</v>
      </c>
      <c r="C69" s="80" t="s">
        <v>157</v>
      </c>
      <c r="D69" s="80" t="str">
        <f>_xlfn.CONCAT(MyAssignment8[[#This Row],[FirstName]]," ",MyAssignment8[[#This Row],[LastName]])</f>
        <v>Victoria Jenkins</v>
      </c>
      <c r="E69" s="80" t="str">
        <f>LEFT(MyAssignment8[[#This Row],[LastName]],3)</f>
        <v>Jen</v>
      </c>
      <c r="F69" s="80" t="s">
        <v>20</v>
      </c>
      <c r="G69" s="80" t="s">
        <v>8</v>
      </c>
      <c r="H69" s="80" t="str">
        <f>UPPER(MyAssignment8[[#This Row],[Department]])</f>
        <v>SALES</v>
      </c>
      <c r="I69" s="82">
        <v>44445</v>
      </c>
      <c r="J69" s="83">
        <f ca="1">_xlfn.DAYS($M$125,MyAssignment8[[#This Row],[HireDate]])</f>
        <v>1196</v>
      </c>
      <c r="K69" s="83">
        <f>YEAR(MyAssignment8[[#This Row],[HireDate]])</f>
        <v>2021</v>
      </c>
      <c r="L69" s="80">
        <v>90</v>
      </c>
      <c r="M69" s="80">
        <v>11</v>
      </c>
      <c r="N69" s="80" t="str">
        <f>IF(MyAssignment8[[#This Row],[ProjectsCompleted]]&gt;10,"Yes","No")</f>
        <v>Yes</v>
      </c>
      <c r="O69" s="80" t="b">
        <f>AND(MyAssignment8[[#This Row],[PerformanceScore]]&gt;85,MyAssignment8[[#This Row],[ProjectsCompleted]]&gt;10)</f>
        <v>1</v>
      </c>
      <c r="P69" s="81">
        <v>1700</v>
      </c>
      <c r="Q69" s="80">
        <v>97</v>
      </c>
      <c r="R69" s="80" t="b">
        <f>OR(MyAssignment8[[#This Row],[PerformanceScore]]&lt;85,MyAssignment8[[#This Row],[AttendanceRate (%)]]&lt;90)</f>
        <v>0</v>
      </c>
    </row>
    <row r="70" spans="1:18" ht="21.6">
      <c r="A70" s="80" t="s">
        <v>190</v>
      </c>
      <c r="B70" s="80" t="s">
        <v>191</v>
      </c>
      <c r="C70" s="80" t="s">
        <v>75</v>
      </c>
      <c r="D70" s="80" t="str">
        <f>_xlfn.CONCAT(MyAssignment8[[#This Row],[FirstName]]," ",MyAssignment8[[#This Row],[LastName]])</f>
        <v>Joshua Foster</v>
      </c>
      <c r="E70" s="80" t="str">
        <f>LEFT(MyAssignment8[[#This Row],[LastName]],3)</f>
        <v>Fos</v>
      </c>
      <c r="F70" s="80" t="s">
        <v>18</v>
      </c>
      <c r="G70" s="80" t="s">
        <v>4</v>
      </c>
      <c r="H70" s="80" t="str">
        <f>UPPER(MyAssignment8[[#This Row],[Department]])</f>
        <v>IT</v>
      </c>
      <c r="I70" s="82">
        <v>43939</v>
      </c>
      <c r="J70" s="83">
        <f ca="1">_xlfn.DAYS($M$125,MyAssignment8[[#This Row],[HireDate]])</f>
        <v>1702</v>
      </c>
      <c r="K70" s="83">
        <f>YEAR(MyAssignment8[[#This Row],[HireDate]])</f>
        <v>2020</v>
      </c>
      <c r="L70" s="80">
        <v>85</v>
      </c>
      <c r="M70" s="80">
        <v>12</v>
      </c>
      <c r="N70" s="80" t="str">
        <f>IF(MyAssignment8[[#This Row],[ProjectsCompleted]]&gt;10,"Yes","No")</f>
        <v>Yes</v>
      </c>
      <c r="O70" s="80" t="b">
        <f>AND(MyAssignment8[[#This Row],[PerformanceScore]]&gt;85,MyAssignment8[[#This Row],[ProjectsCompleted]]&gt;10)</f>
        <v>0</v>
      </c>
      <c r="P70" s="81">
        <v>1600</v>
      </c>
      <c r="Q70" s="80">
        <v>95</v>
      </c>
      <c r="R70" s="80" t="b">
        <f>OR(MyAssignment8[[#This Row],[PerformanceScore]]&lt;85,MyAssignment8[[#This Row],[AttendanceRate (%)]]&lt;90)</f>
        <v>0</v>
      </c>
    </row>
    <row r="71" spans="1:18" ht="21.6">
      <c r="A71" s="80" t="s">
        <v>192</v>
      </c>
      <c r="B71" s="80" t="s">
        <v>193</v>
      </c>
      <c r="C71" s="80" t="s">
        <v>68</v>
      </c>
      <c r="D71" s="80" t="str">
        <f>_xlfn.CONCAT(MyAssignment8[[#This Row],[FirstName]]," ",MyAssignment8[[#This Row],[LastName]])</f>
        <v>Zoey Mitchell</v>
      </c>
      <c r="E71" s="80" t="str">
        <f>LEFT(MyAssignment8[[#This Row],[LastName]],3)</f>
        <v>Mit</v>
      </c>
      <c r="F71" s="80" t="s">
        <v>20</v>
      </c>
      <c r="G71" s="80" t="s">
        <v>6</v>
      </c>
      <c r="H71" s="80" t="str">
        <f>UPPER(MyAssignment8[[#This Row],[Department]])</f>
        <v>FINANCE</v>
      </c>
      <c r="I71" s="82">
        <v>44572</v>
      </c>
      <c r="J71" s="83">
        <f ca="1">_xlfn.DAYS($M$125,MyAssignment8[[#This Row],[HireDate]])</f>
        <v>1069</v>
      </c>
      <c r="K71" s="83">
        <f>YEAR(MyAssignment8[[#This Row],[HireDate]])</f>
        <v>2022</v>
      </c>
      <c r="L71" s="80">
        <v>88</v>
      </c>
      <c r="M71" s="80">
        <v>14</v>
      </c>
      <c r="N71" s="80" t="str">
        <f>IF(MyAssignment8[[#This Row],[ProjectsCompleted]]&gt;10,"Yes","No")</f>
        <v>Yes</v>
      </c>
      <c r="O71" s="80" t="b">
        <f>AND(MyAssignment8[[#This Row],[PerformanceScore]]&gt;85,MyAssignment8[[#This Row],[ProjectsCompleted]]&gt;10)</f>
        <v>1</v>
      </c>
      <c r="P71" s="81">
        <v>1750</v>
      </c>
      <c r="Q71" s="80">
        <v>99</v>
      </c>
      <c r="R71" s="80" t="b">
        <f>OR(MyAssignment8[[#This Row],[PerformanceScore]]&lt;85,MyAssignment8[[#This Row],[AttendanceRate (%)]]&lt;90)</f>
        <v>0</v>
      </c>
    </row>
    <row r="72" spans="1:18" ht="21.6">
      <c r="A72" s="80" t="s">
        <v>194</v>
      </c>
      <c r="B72" s="80" t="s">
        <v>83</v>
      </c>
      <c r="C72" s="80" t="s">
        <v>87</v>
      </c>
      <c r="D72" s="80" t="str">
        <f>_xlfn.CONCAT(MyAssignment8[[#This Row],[FirstName]]," ",MyAssignment8[[#This Row],[LastName]])</f>
        <v>Olivia Parker</v>
      </c>
      <c r="E72" s="80" t="str">
        <f>LEFT(MyAssignment8[[#This Row],[LastName]],3)</f>
        <v>Par</v>
      </c>
      <c r="F72" s="80" t="s">
        <v>20</v>
      </c>
      <c r="G72" s="80" t="s">
        <v>4</v>
      </c>
      <c r="H72" s="80" t="str">
        <f>UPPER(MyAssignment8[[#This Row],[Department]])</f>
        <v>IT</v>
      </c>
      <c r="I72" s="82">
        <v>44278</v>
      </c>
      <c r="J72" s="83">
        <f ca="1">_xlfn.DAYS($M$125,MyAssignment8[[#This Row],[HireDate]])</f>
        <v>1363</v>
      </c>
      <c r="K72" s="83">
        <f>YEAR(MyAssignment8[[#This Row],[HireDate]])</f>
        <v>2021</v>
      </c>
      <c r="L72" s="80">
        <v>86</v>
      </c>
      <c r="M72" s="80">
        <v>12</v>
      </c>
      <c r="N72" s="80" t="str">
        <f>IF(MyAssignment8[[#This Row],[ProjectsCompleted]]&gt;10,"Yes","No")</f>
        <v>Yes</v>
      </c>
      <c r="O72" s="80" t="b">
        <f>AND(MyAssignment8[[#This Row],[PerformanceScore]]&gt;85,MyAssignment8[[#This Row],[ProjectsCompleted]]&gt;10)</f>
        <v>1</v>
      </c>
      <c r="P72" s="81">
        <v>1550</v>
      </c>
      <c r="Q72" s="80">
        <v>94</v>
      </c>
      <c r="R72" s="80" t="b">
        <f>OR(MyAssignment8[[#This Row],[PerformanceScore]]&lt;85,MyAssignment8[[#This Row],[AttendanceRate (%)]]&lt;90)</f>
        <v>0</v>
      </c>
    </row>
    <row r="73" spans="1:18" ht="21.6">
      <c r="A73" s="80" t="s">
        <v>195</v>
      </c>
      <c r="B73" s="80" t="s">
        <v>196</v>
      </c>
      <c r="C73" s="80" t="s">
        <v>146</v>
      </c>
      <c r="D73" s="80" t="str">
        <f>_xlfn.CONCAT(MyAssignment8[[#This Row],[FirstName]]," ",MyAssignment8[[#This Row],[LastName]])</f>
        <v>Andrew Bailey</v>
      </c>
      <c r="E73" s="80" t="str">
        <f>LEFT(MyAssignment8[[#This Row],[LastName]],3)</f>
        <v>Bai</v>
      </c>
      <c r="F73" s="80" t="s">
        <v>18</v>
      </c>
      <c r="G73" s="80" t="s">
        <v>6</v>
      </c>
      <c r="H73" s="80" t="str">
        <f>UPPER(MyAssignment8[[#This Row],[Department]])</f>
        <v>FINANCE</v>
      </c>
      <c r="I73" s="82">
        <v>44057</v>
      </c>
      <c r="J73" s="83">
        <f ca="1">_xlfn.DAYS($M$125,MyAssignment8[[#This Row],[HireDate]])</f>
        <v>1584</v>
      </c>
      <c r="K73" s="83">
        <f>YEAR(MyAssignment8[[#This Row],[HireDate]])</f>
        <v>2020</v>
      </c>
      <c r="L73" s="80">
        <v>90</v>
      </c>
      <c r="M73" s="80">
        <v>14</v>
      </c>
      <c r="N73" s="80" t="str">
        <f>IF(MyAssignment8[[#This Row],[ProjectsCompleted]]&gt;10,"Yes","No")</f>
        <v>Yes</v>
      </c>
      <c r="O73" s="80" t="b">
        <f>AND(MyAssignment8[[#This Row],[PerformanceScore]]&gt;85,MyAssignment8[[#This Row],[ProjectsCompleted]]&gt;10)</f>
        <v>1</v>
      </c>
      <c r="P73" s="81">
        <v>1800</v>
      </c>
      <c r="Q73" s="80">
        <v>97</v>
      </c>
      <c r="R73" s="80" t="b">
        <f>OR(MyAssignment8[[#This Row],[PerformanceScore]]&lt;85,MyAssignment8[[#This Row],[AttendanceRate (%)]]&lt;90)</f>
        <v>0</v>
      </c>
    </row>
    <row r="74" spans="1:18" ht="21.6">
      <c r="A74" s="80" t="s">
        <v>60</v>
      </c>
      <c r="B74" s="80" t="s">
        <v>61</v>
      </c>
      <c r="C74" s="80" t="s">
        <v>62</v>
      </c>
      <c r="D74" s="80" t="str">
        <f>_xlfn.CONCAT(MyAssignment8[[#This Row],[FirstName]]," ",MyAssignment8[[#This Row],[LastName]])</f>
        <v>Charlotte Scott</v>
      </c>
      <c r="E74" s="80" t="str">
        <f>LEFT(MyAssignment8[[#This Row],[LastName]],3)</f>
        <v>Sco</v>
      </c>
      <c r="F74" s="80" t="s">
        <v>20</v>
      </c>
      <c r="G74" s="80" t="s">
        <v>4</v>
      </c>
      <c r="H74" s="80" t="str">
        <f>UPPER(MyAssignment8[[#This Row],[Department]])</f>
        <v>IT</v>
      </c>
      <c r="I74" s="82">
        <v>43845</v>
      </c>
      <c r="J74" s="83">
        <f ca="1">_xlfn.DAYS($M$125,MyAssignment8[[#This Row],[HireDate]])</f>
        <v>1796</v>
      </c>
      <c r="K74" s="83">
        <f>YEAR(MyAssignment8[[#This Row],[HireDate]])</f>
        <v>2020</v>
      </c>
      <c r="L74" s="80">
        <v>84</v>
      </c>
      <c r="M74" s="80">
        <v>11</v>
      </c>
      <c r="N74" s="80" t="str">
        <f>IF(MyAssignment8[[#This Row],[ProjectsCompleted]]&gt;10,"Yes","No")</f>
        <v>Yes</v>
      </c>
      <c r="O74" s="80" t="b">
        <f>AND(MyAssignment8[[#This Row],[PerformanceScore]]&gt;85,MyAssignment8[[#This Row],[ProjectsCompleted]]&gt;10)</f>
        <v>0</v>
      </c>
      <c r="P74" s="81">
        <v>1500</v>
      </c>
      <c r="Q74" s="80">
        <v>94</v>
      </c>
      <c r="R74" s="80" t="b">
        <f>OR(MyAssignment8[[#This Row],[PerformanceScore]]&lt;85,MyAssignment8[[#This Row],[AttendanceRate (%)]]&lt;90)</f>
        <v>1</v>
      </c>
    </row>
    <row r="75" spans="1:18" ht="21.6">
      <c r="A75" s="80" t="s">
        <v>63</v>
      </c>
      <c r="B75" s="80" t="s">
        <v>64</v>
      </c>
      <c r="C75" s="80" t="s">
        <v>65</v>
      </c>
      <c r="D75" s="80" t="str">
        <f>_xlfn.CONCAT(MyAssignment8[[#This Row],[FirstName]]," ",MyAssignment8[[#This Row],[LastName]])</f>
        <v>Logan Cooper</v>
      </c>
      <c r="E75" s="80" t="str">
        <f>LEFT(MyAssignment8[[#This Row],[LastName]],3)</f>
        <v>Coo</v>
      </c>
      <c r="F75" s="80" t="s">
        <v>18</v>
      </c>
      <c r="G75" s="80" t="s">
        <v>6</v>
      </c>
      <c r="H75" s="80" t="str">
        <f>UPPER(MyAssignment8[[#This Row],[Department]])</f>
        <v>FINANCE</v>
      </c>
      <c r="I75" s="82">
        <v>44249</v>
      </c>
      <c r="J75" s="83">
        <f ca="1">_xlfn.DAYS($M$125,MyAssignment8[[#This Row],[HireDate]])</f>
        <v>1392</v>
      </c>
      <c r="K75" s="83">
        <f>YEAR(MyAssignment8[[#This Row],[HireDate]])</f>
        <v>2021</v>
      </c>
      <c r="L75" s="80">
        <v>89</v>
      </c>
      <c r="M75" s="80">
        <v>14</v>
      </c>
      <c r="N75" s="80" t="str">
        <f>IF(MyAssignment8[[#This Row],[ProjectsCompleted]]&gt;10,"Yes","No")</f>
        <v>Yes</v>
      </c>
      <c r="O75" s="80" t="b">
        <f>AND(MyAssignment8[[#This Row],[PerformanceScore]]&gt;85,MyAssignment8[[#This Row],[ProjectsCompleted]]&gt;10)</f>
        <v>1</v>
      </c>
      <c r="P75" s="81">
        <v>1750</v>
      </c>
      <c r="Q75" s="80">
        <v>97</v>
      </c>
      <c r="R75" s="80" t="b">
        <f>OR(MyAssignment8[[#This Row],[PerformanceScore]]&lt;85,MyAssignment8[[#This Row],[AttendanceRate (%)]]&lt;90)</f>
        <v>0</v>
      </c>
    </row>
    <row r="76" spans="1:18" ht="21.6">
      <c r="A76" s="80" t="s">
        <v>197</v>
      </c>
      <c r="B76" s="80" t="s">
        <v>125</v>
      </c>
      <c r="C76" s="80" t="s">
        <v>198</v>
      </c>
      <c r="D76" s="80" t="str">
        <f>_xlfn.CONCAT(MyAssignment8[[#This Row],[FirstName]]," ",MyAssignment8[[#This Row],[LastName]])</f>
        <v>Ava Evans</v>
      </c>
      <c r="E76" s="80" t="str">
        <f>LEFT(MyAssignment8[[#This Row],[LastName]],3)</f>
        <v>Eva</v>
      </c>
      <c r="F76" s="80" t="s">
        <v>20</v>
      </c>
      <c r="G76" s="80" t="s">
        <v>7</v>
      </c>
      <c r="H76" s="80" t="str">
        <f>UPPER(MyAssignment8[[#This Row],[Department]])</f>
        <v>MARKETING</v>
      </c>
      <c r="I76" s="82">
        <v>44742</v>
      </c>
      <c r="J76" s="83">
        <f ca="1">_xlfn.DAYS($M$125,MyAssignment8[[#This Row],[HireDate]])</f>
        <v>899</v>
      </c>
      <c r="K76" s="83">
        <f>YEAR(MyAssignment8[[#This Row],[HireDate]])</f>
        <v>2022</v>
      </c>
      <c r="L76" s="80">
        <v>82</v>
      </c>
      <c r="M76" s="80">
        <v>9</v>
      </c>
      <c r="N76" s="80" t="str">
        <f>IF(MyAssignment8[[#This Row],[ProjectsCompleted]]&gt;10,"Yes","No")</f>
        <v>No</v>
      </c>
      <c r="O76" s="80" t="b">
        <f>AND(MyAssignment8[[#This Row],[PerformanceScore]]&gt;85,MyAssignment8[[#This Row],[ProjectsCompleted]]&gt;10)</f>
        <v>0</v>
      </c>
      <c r="P76" s="81">
        <v>1350</v>
      </c>
      <c r="Q76" s="80">
        <v>91</v>
      </c>
      <c r="R76" s="80" t="b">
        <f>OR(MyAssignment8[[#This Row],[PerformanceScore]]&lt;85,MyAssignment8[[#This Row],[AttendanceRate (%)]]&lt;90)</f>
        <v>1</v>
      </c>
    </row>
    <row r="77" spans="1:18" ht="21.6">
      <c r="A77" s="80" t="s">
        <v>199</v>
      </c>
      <c r="B77" s="80" t="s">
        <v>115</v>
      </c>
      <c r="C77" s="80" t="s">
        <v>152</v>
      </c>
      <c r="D77" s="80" t="str">
        <f>_xlfn.CONCAT(MyAssignment8[[#This Row],[FirstName]]," ",MyAssignment8[[#This Row],[LastName]])</f>
        <v>Ryan Roberts</v>
      </c>
      <c r="E77" s="80" t="str">
        <f>LEFT(MyAssignment8[[#This Row],[LastName]],3)</f>
        <v>Rob</v>
      </c>
      <c r="F77" s="80" t="s">
        <v>18</v>
      </c>
      <c r="G77" s="80" t="s">
        <v>5</v>
      </c>
      <c r="H77" s="80" t="str">
        <f>UPPER(MyAssignment8[[#This Row],[Department]])</f>
        <v>HR</v>
      </c>
      <c r="I77" s="82">
        <v>43763</v>
      </c>
      <c r="J77" s="83">
        <f ca="1">_xlfn.DAYS($M$125,MyAssignment8[[#This Row],[HireDate]])</f>
        <v>1878</v>
      </c>
      <c r="K77" s="83">
        <f>YEAR(MyAssignment8[[#This Row],[HireDate]])</f>
        <v>2019</v>
      </c>
      <c r="L77" s="80">
        <v>85</v>
      </c>
      <c r="M77" s="80">
        <v>10</v>
      </c>
      <c r="N77" s="80" t="str">
        <f>IF(MyAssignment8[[#This Row],[ProjectsCompleted]]&gt;10,"Yes","No")</f>
        <v>No</v>
      </c>
      <c r="O77" s="80" t="b">
        <f>AND(MyAssignment8[[#This Row],[PerformanceScore]]&gt;85,MyAssignment8[[#This Row],[ProjectsCompleted]]&gt;10)</f>
        <v>0</v>
      </c>
      <c r="P77" s="81">
        <v>1500</v>
      </c>
      <c r="Q77" s="80">
        <v>95</v>
      </c>
      <c r="R77" s="80" t="b">
        <f>OR(MyAssignment8[[#This Row],[PerformanceScore]]&lt;85,MyAssignment8[[#This Row],[AttendanceRate (%)]]&lt;90)</f>
        <v>0</v>
      </c>
    </row>
    <row r="78" spans="1:18" ht="21.6">
      <c r="A78" s="80" t="s">
        <v>200</v>
      </c>
      <c r="B78" s="80" t="s">
        <v>96</v>
      </c>
      <c r="C78" s="80" t="s">
        <v>201</v>
      </c>
      <c r="D78" s="80" t="str">
        <f>_xlfn.CONCAT(MyAssignment8[[#This Row],[FirstName]]," ",MyAssignment8[[#This Row],[LastName]])</f>
        <v>Lily Morgan</v>
      </c>
      <c r="E78" s="80" t="str">
        <f>LEFT(MyAssignment8[[#This Row],[LastName]],3)</f>
        <v>Mor</v>
      </c>
      <c r="F78" s="80" t="s">
        <v>20</v>
      </c>
      <c r="G78" s="80" t="s">
        <v>8</v>
      </c>
      <c r="H78" s="80" t="str">
        <f>UPPER(MyAssignment8[[#This Row],[Department]])</f>
        <v>SALES</v>
      </c>
      <c r="I78" s="82">
        <v>44512</v>
      </c>
      <c r="J78" s="83">
        <f ca="1">_xlfn.DAYS($M$125,MyAssignment8[[#This Row],[HireDate]])</f>
        <v>1129</v>
      </c>
      <c r="K78" s="83">
        <f>YEAR(MyAssignment8[[#This Row],[HireDate]])</f>
        <v>2021</v>
      </c>
      <c r="L78" s="80">
        <v>87</v>
      </c>
      <c r="M78" s="80">
        <v>11</v>
      </c>
      <c r="N78" s="80" t="str">
        <f>IF(MyAssignment8[[#This Row],[ProjectsCompleted]]&gt;10,"Yes","No")</f>
        <v>Yes</v>
      </c>
      <c r="O78" s="80" t="b">
        <f>AND(MyAssignment8[[#This Row],[PerformanceScore]]&gt;85,MyAssignment8[[#This Row],[ProjectsCompleted]]&gt;10)</f>
        <v>1</v>
      </c>
      <c r="P78" s="81">
        <v>1600</v>
      </c>
      <c r="Q78" s="80">
        <v>96</v>
      </c>
      <c r="R78" s="80" t="b">
        <f>OR(MyAssignment8[[#This Row],[PerformanceScore]]&lt;85,MyAssignment8[[#This Row],[AttendanceRate (%)]]&lt;90)</f>
        <v>0</v>
      </c>
    </row>
    <row r="79" spans="1:18" ht="21.6">
      <c r="A79" s="80" t="s">
        <v>202</v>
      </c>
      <c r="B79" s="80" t="s">
        <v>70</v>
      </c>
      <c r="C79" s="80" t="s">
        <v>203</v>
      </c>
      <c r="D79" s="80" t="str">
        <f>_xlfn.CONCAT(MyAssignment8[[#This Row],[FirstName]]," ",MyAssignment8[[#This Row],[LastName]])</f>
        <v>Ethan Rogers</v>
      </c>
      <c r="E79" s="80" t="str">
        <f>LEFT(MyAssignment8[[#This Row],[LastName]],3)</f>
        <v>Rog</v>
      </c>
      <c r="F79" s="80" t="s">
        <v>18</v>
      </c>
      <c r="G79" s="80" t="s">
        <v>4</v>
      </c>
      <c r="H79" s="80" t="str">
        <f>UPPER(MyAssignment8[[#This Row],[Department]])</f>
        <v>IT</v>
      </c>
      <c r="I79" s="82">
        <v>43951</v>
      </c>
      <c r="J79" s="83">
        <f ca="1">_xlfn.DAYS($M$125,MyAssignment8[[#This Row],[HireDate]])</f>
        <v>1690</v>
      </c>
      <c r="K79" s="83">
        <f>YEAR(MyAssignment8[[#This Row],[HireDate]])</f>
        <v>2020</v>
      </c>
      <c r="L79" s="80">
        <v>89</v>
      </c>
      <c r="M79" s="80">
        <v>13</v>
      </c>
      <c r="N79" s="80" t="str">
        <f>IF(MyAssignment8[[#This Row],[ProjectsCompleted]]&gt;10,"Yes","No")</f>
        <v>Yes</v>
      </c>
      <c r="O79" s="80" t="b">
        <f>AND(MyAssignment8[[#This Row],[PerformanceScore]]&gt;85,MyAssignment8[[#This Row],[ProjectsCompleted]]&gt;10)</f>
        <v>1</v>
      </c>
      <c r="P79" s="81">
        <v>1750</v>
      </c>
      <c r="Q79" s="80">
        <v>98</v>
      </c>
      <c r="R79" s="80" t="b">
        <f>OR(MyAssignment8[[#This Row],[PerformanceScore]]&lt;85,MyAssignment8[[#This Row],[AttendanceRate (%)]]&lt;90)</f>
        <v>0</v>
      </c>
    </row>
    <row r="80" spans="1:18" ht="21.6">
      <c r="A80" s="80" t="s">
        <v>27</v>
      </c>
      <c r="B80" s="80" t="s">
        <v>101</v>
      </c>
      <c r="C80" s="80" t="s">
        <v>204</v>
      </c>
      <c r="D80" s="80" t="str">
        <f>_xlfn.CONCAT(MyAssignment8[[#This Row],[FirstName]]," ",MyAssignment8[[#This Row],[LastName]])</f>
        <v>Isabella Bell</v>
      </c>
      <c r="E80" s="80" t="str">
        <f>LEFT(MyAssignment8[[#This Row],[LastName]],3)</f>
        <v>Bel</v>
      </c>
      <c r="F80" s="80" t="s">
        <v>20</v>
      </c>
      <c r="G80" s="80" t="s">
        <v>5</v>
      </c>
      <c r="H80" s="80" t="str">
        <f>UPPER(MyAssignment8[[#This Row],[Department]])</f>
        <v>HR</v>
      </c>
      <c r="I80" s="82">
        <v>44440</v>
      </c>
      <c r="J80" s="83">
        <f ca="1">_xlfn.DAYS($M$125,MyAssignment8[[#This Row],[HireDate]])</f>
        <v>1201</v>
      </c>
      <c r="K80" s="83">
        <f>YEAR(MyAssignment8[[#This Row],[HireDate]])</f>
        <v>2021</v>
      </c>
      <c r="L80" s="80">
        <v>91</v>
      </c>
      <c r="M80" s="80">
        <v>12</v>
      </c>
      <c r="N80" s="80" t="str">
        <f>IF(MyAssignment8[[#This Row],[ProjectsCompleted]]&gt;10,"Yes","No")</f>
        <v>Yes</v>
      </c>
      <c r="O80" s="80" t="b">
        <f>AND(MyAssignment8[[#This Row],[PerformanceScore]]&gt;85,MyAssignment8[[#This Row],[ProjectsCompleted]]&gt;10)</f>
        <v>1</v>
      </c>
      <c r="P80" s="81">
        <v>1700</v>
      </c>
      <c r="Q80" s="80">
        <v>97</v>
      </c>
      <c r="R80" s="80" t="b">
        <f>OR(MyAssignment8[[#This Row],[PerformanceScore]]&lt;85,MyAssignment8[[#This Row],[AttendanceRate (%)]]&lt;90)</f>
        <v>0</v>
      </c>
    </row>
    <row r="81" spans="1:18" ht="21.6">
      <c r="A81" s="80" t="s">
        <v>205</v>
      </c>
      <c r="B81" s="80" t="s">
        <v>80</v>
      </c>
      <c r="C81" s="80" t="s">
        <v>78</v>
      </c>
      <c r="D81" s="80" t="str">
        <f>_xlfn.CONCAT(MyAssignment8[[#This Row],[FirstName]]," ",MyAssignment8[[#This Row],[LastName]])</f>
        <v>Jackson Rivera</v>
      </c>
      <c r="E81" s="80" t="str">
        <f>LEFT(MyAssignment8[[#This Row],[LastName]],3)</f>
        <v>Riv</v>
      </c>
      <c r="F81" s="80" t="s">
        <v>18</v>
      </c>
      <c r="G81" s="80" t="s">
        <v>7</v>
      </c>
      <c r="H81" s="80" t="str">
        <f>UPPER(MyAssignment8[[#This Row],[Department]])</f>
        <v>MARKETING</v>
      </c>
      <c r="I81" s="82">
        <v>43973</v>
      </c>
      <c r="J81" s="83">
        <f ca="1">_xlfn.DAYS($M$125,MyAssignment8[[#This Row],[HireDate]])</f>
        <v>1668</v>
      </c>
      <c r="K81" s="83">
        <f>YEAR(MyAssignment8[[#This Row],[HireDate]])</f>
        <v>2020</v>
      </c>
      <c r="L81" s="80">
        <v>78</v>
      </c>
      <c r="M81" s="80">
        <v>8</v>
      </c>
      <c r="N81" s="80" t="str">
        <f>IF(MyAssignment8[[#This Row],[ProjectsCompleted]]&gt;10,"Yes","No")</f>
        <v>No</v>
      </c>
      <c r="O81" s="80" t="b">
        <f>AND(MyAssignment8[[#This Row],[PerformanceScore]]&gt;85,MyAssignment8[[#This Row],[ProjectsCompleted]]&gt;10)</f>
        <v>0</v>
      </c>
      <c r="P81" s="81">
        <v>1300</v>
      </c>
      <c r="Q81" s="80">
        <v>89</v>
      </c>
      <c r="R81" s="80" t="b">
        <f>OR(MyAssignment8[[#This Row],[PerformanceScore]]&lt;85,MyAssignment8[[#This Row],[AttendanceRate (%)]]&lt;90)</f>
        <v>1</v>
      </c>
    </row>
    <row r="82" spans="1:18" ht="21.6">
      <c r="A82" s="80" t="s">
        <v>206</v>
      </c>
      <c r="B82" s="80" t="s">
        <v>67</v>
      </c>
      <c r="C82" s="80" t="s">
        <v>129</v>
      </c>
      <c r="D82" s="80" t="str">
        <f>_xlfn.CONCAT(MyAssignment8[[#This Row],[FirstName]]," ",MyAssignment8[[#This Row],[LastName]])</f>
        <v>Mia Carter</v>
      </c>
      <c r="E82" s="80" t="str">
        <f>LEFT(MyAssignment8[[#This Row],[LastName]],3)</f>
        <v>Car</v>
      </c>
      <c r="F82" s="80" t="s">
        <v>20</v>
      </c>
      <c r="G82" s="80" t="s">
        <v>8</v>
      </c>
      <c r="H82" s="80" t="str">
        <f>UPPER(MyAssignment8[[#This Row],[Department]])</f>
        <v>SALES</v>
      </c>
      <c r="I82" s="82">
        <v>44603</v>
      </c>
      <c r="J82" s="83">
        <f ca="1">_xlfn.DAYS($M$125,MyAssignment8[[#This Row],[HireDate]])</f>
        <v>1038</v>
      </c>
      <c r="K82" s="83">
        <f>YEAR(MyAssignment8[[#This Row],[HireDate]])</f>
        <v>2022</v>
      </c>
      <c r="L82" s="80">
        <v>84</v>
      </c>
      <c r="M82" s="80">
        <v>9</v>
      </c>
      <c r="N82" s="80" t="str">
        <f>IF(MyAssignment8[[#This Row],[ProjectsCompleted]]&gt;10,"Yes","No")</f>
        <v>No</v>
      </c>
      <c r="O82" s="80" t="b">
        <f>AND(MyAssignment8[[#This Row],[PerformanceScore]]&gt;85,MyAssignment8[[#This Row],[ProjectsCompleted]]&gt;10)</f>
        <v>0</v>
      </c>
      <c r="P82" s="81">
        <v>1450</v>
      </c>
      <c r="Q82" s="80">
        <v>93</v>
      </c>
      <c r="R82" s="80" t="b">
        <f>OR(MyAssignment8[[#This Row],[PerformanceScore]]&lt;85,MyAssignment8[[#This Row],[AttendanceRate (%)]]&lt;90)</f>
        <v>1</v>
      </c>
    </row>
    <row r="83" spans="1:18" ht="21.6">
      <c r="A83" s="80" t="s">
        <v>207</v>
      </c>
      <c r="B83" s="80" t="s">
        <v>74</v>
      </c>
      <c r="C83" s="80" t="s">
        <v>75</v>
      </c>
      <c r="D83" s="80" t="str">
        <f>_xlfn.CONCAT(MyAssignment8[[#This Row],[FirstName]]," ",MyAssignment8[[#This Row],[LastName]])</f>
        <v>James Foster</v>
      </c>
      <c r="E83" s="80" t="str">
        <f>LEFT(MyAssignment8[[#This Row],[LastName]],3)</f>
        <v>Fos</v>
      </c>
      <c r="F83" s="80" t="s">
        <v>18</v>
      </c>
      <c r="G83" s="80" t="s">
        <v>4</v>
      </c>
      <c r="H83" s="80" t="str">
        <f>UPPER(MyAssignment8[[#This Row],[Department]])</f>
        <v>IT</v>
      </c>
      <c r="I83" s="82">
        <v>43666</v>
      </c>
      <c r="J83" s="83">
        <f ca="1">_xlfn.DAYS($M$125,MyAssignment8[[#This Row],[HireDate]])</f>
        <v>1975</v>
      </c>
      <c r="K83" s="83">
        <f>YEAR(MyAssignment8[[#This Row],[HireDate]])</f>
        <v>2019</v>
      </c>
      <c r="L83" s="80">
        <v>88</v>
      </c>
      <c r="M83" s="80">
        <v>11</v>
      </c>
      <c r="N83" s="80" t="str">
        <f>IF(MyAssignment8[[#This Row],[ProjectsCompleted]]&gt;10,"Yes","No")</f>
        <v>Yes</v>
      </c>
      <c r="O83" s="80" t="b">
        <f>AND(MyAssignment8[[#This Row],[PerformanceScore]]&gt;85,MyAssignment8[[#This Row],[ProjectsCompleted]]&gt;10)</f>
        <v>1</v>
      </c>
      <c r="P83" s="81">
        <v>1650</v>
      </c>
      <c r="Q83" s="80">
        <v>96</v>
      </c>
      <c r="R83" s="80" t="b">
        <f>OR(MyAssignment8[[#This Row],[PerformanceScore]]&lt;85,MyAssignment8[[#This Row],[AttendanceRate (%)]]&lt;90)</f>
        <v>0</v>
      </c>
    </row>
    <row r="84" spans="1:18" ht="21.6">
      <c r="A84" s="80" t="s">
        <v>208</v>
      </c>
      <c r="B84" s="80" t="s">
        <v>107</v>
      </c>
      <c r="C84" s="80" t="s">
        <v>84</v>
      </c>
      <c r="D84" s="80" t="str">
        <f>_xlfn.CONCAT(MyAssignment8[[#This Row],[FirstName]]," ",MyAssignment8[[#This Row],[LastName]])</f>
        <v>Emma Morris</v>
      </c>
      <c r="E84" s="80" t="str">
        <f>LEFT(MyAssignment8[[#This Row],[LastName]],3)</f>
        <v>Mor</v>
      </c>
      <c r="F84" s="80" t="s">
        <v>20</v>
      </c>
      <c r="G84" s="80" t="s">
        <v>6</v>
      </c>
      <c r="H84" s="80" t="str">
        <f>UPPER(MyAssignment8[[#This Row],[Department]])</f>
        <v>FINANCE</v>
      </c>
      <c r="I84" s="82">
        <v>44294</v>
      </c>
      <c r="J84" s="83">
        <f ca="1">_xlfn.DAYS($M$125,MyAssignment8[[#This Row],[HireDate]])</f>
        <v>1347</v>
      </c>
      <c r="K84" s="83">
        <f>YEAR(MyAssignment8[[#This Row],[HireDate]])</f>
        <v>2021</v>
      </c>
      <c r="L84" s="80">
        <v>83</v>
      </c>
      <c r="M84" s="80">
        <v>10</v>
      </c>
      <c r="N84" s="80" t="str">
        <f>IF(MyAssignment8[[#This Row],[ProjectsCompleted]]&gt;10,"Yes","No")</f>
        <v>No</v>
      </c>
      <c r="O84" s="80" t="b">
        <f>AND(MyAssignment8[[#This Row],[PerformanceScore]]&gt;85,MyAssignment8[[#This Row],[ProjectsCompleted]]&gt;10)</f>
        <v>0</v>
      </c>
      <c r="P84" s="81">
        <v>1450</v>
      </c>
      <c r="Q84" s="80">
        <v>92</v>
      </c>
      <c r="R84" s="80" t="b">
        <f>OR(MyAssignment8[[#This Row],[PerformanceScore]]&lt;85,MyAssignment8[[#This Row],[AttendanceRate (%)]]&lt;90)</f>
        <v>1</v>
      </c>
    </row>
    <row r="85" spans="1:18" ht="21.6">
      <c r="A85" s="80" t="s">
        <v>209</v>
      </c>
      <c r="B85" s="80" t="s">
        <v>123</v>
      </c>
      <c r="C85" s="80" t="s">
        <v>210</v>
      </c>
      <c r="D85" s="80" t="str">
        <f>_xlfn.CONCAT(MyAssignment8[[#This Row],[FirstName]]," ",MyAssignment8[[#This Row],[LastName]])</f>
        <v>Liam Cook</v>
      </c>
      <c r="E85" s="80" t="str">
        <f>LEFT(MyAssignment8[[#This Row],[LastName]],3)</f>
        <v>Coo</v>
      </c>
      <c r="F85" s="80" t="s">
        <v>18</v>
      </c>
      <c r="G85" s="80" t="s">
        <v>5</v>
      </c>
      <c r="H85" s="80" t="str">
        <f>UPPER(MyAssignment8[[#This Row],[Department]])</f>
        <v>HR</v>
      </c>
      <c r="I85" s="82">
        <v>44184</v>
      </c>
      <c r="J85" s="83">
        <f ca="1">_xlfn.DAYS($M$125,MyAssignment8[[#This Row],[HireDate]])</f>
        <v>1457</v>
      </c>
      <c r="K85" s="83">
        <f>YEAR(MyAssignment8[[#This Row],[HireDate]])</f>
        <v>2020</v>
      </c>
      <c r="L85" s="80">
        <v>89</v>
      </c>
      <c r="M85" s="80">
        <v>13</v>
      </c>
      <c r="N85" s="80" t="str">
        <f>IF(MyAssignment8[[#This Row],[ProjectsCompleted]]&gt;10,"Yes","No")</f>
        <v>Yes</v>
      </c>
      <c r="O85" s="80" t="b">
        <f>AND(MyAssignment8[[#This Row],[PerformanceScore]]&gt;85,MyAssignment8[[#This Row],[ProjectsCompleted]]&gt;10)</f>
        <v>1</v>
      </c>
      <c r="P85" s="81">
        <v>1750</v>
      </c>
      <c r="Q85" s="80">
        <v>98</v>
      </c>
      <c r="R85" s="80" t="b">
        <f>OR(MyAssignment8[[#This Row],[PerformanceScore]]&lt;85,MyAssignment8[[#This Row],[AttendanceRate (%)]]&lt;90)</f>
        <v>0</v>
      </c>
    </row>
    <row r="86" spans="1:18" ht="21.6">
      <c r="A86" s="80" t="s">
        <v>211</v>
      </c>
      <c r="B86" s="80" t="s">
        <v>61</v>
      </c>
      <c r="C86" s="80" t="s">
        <v>73</v>
      </c>
      <c r="D86" s="80" t="str">
        <f>_xlfn.CONCAT(MyAssignment8[[#This Row],[FirstName]]," ",MyAssignment8[[#This Row],[LastName]])</f>
        <v>Charlotte Brooks</v>
      </c>
      <c r="E86" s="80" t="str">
        <f>LEFT(MyAssignment8[[#This Row],[LastName]],3)</f>
        <v>Bro</v>
      </c>
      <c r="F86" s="80" t="s">
        <v>20</v>
      </c>
      <c r="G86" s="80" t="s">
        <v>7</v>
      </c>
      <c r="H86" s="80" t="str">
        <f>UPPER(MyAssignment8[[#This Row],[Department]])</f>
        <v>MARKETING</v>
      </c>
      <c r="I86" s="82">
        <v>44492</v>
      </c>
      <c r="J86" s="83">
        <f ca="1">_xlfn.DAYS($M$125,MyAssignment8[[#This Row],[HireDate]])</f>
        <v>1149</v>
      </c>
      <c r="K86" s="83">
        <f>YEAR(MyAssignment8[[#This Row],[HireDate]])</f>
        <v>2021</v>
      </c>
      <c r="L86" s="80">
        <v>90</v>
      </c>
      <c r="M86" s="80">
        <v>12</v>
      </c>
      <c r="N86" s="80" t="str">
        <f>IF(MyAssignment8[[#This Row],[ProjectsCompleted]]&gt;10,"Yes","No")</f>
        <v>Yes</v>
      </c>
      <c r="O86" s="80" t="b">
        <f>AND(MyAssignment8[[#This Row],[PerformanceScore]]&gt;85,MyAssignment8[[#This Row],[ProjectsCompleted]]&gt;10)</f>
        <v>1</v>
      </c>
      <c r="P86" s="81">
        <v>1700</v>
      </c>
      <c r="Q86" s="80">
        <v>97</v>
      </c>
      <c r="R86" s="80" t="b">
        <f>OR(MyAssignment8[[#This Row],[PerformanceScore]]&lt;85,MyAssignment8[[#This Row],[AttendanceRate (%)]]&lt;90)</f>
        <v>0</v>
      </c>
    </row>
    <row r="87" spans="1:18" ht="21.6">
      <c r="A87" s="80" t="s">
        <v>212</v>
      </c>
      <c r="B87" s="80" t="s">
        <v>127</v>
      </c>
      <c r="C87" s="80" t="s">
        <v>159</v>
      </c>
      <c r="D87" s="80" t="str">
        <f>_xlfn.CONCAT(MyAssignment8[[#This Row],[FirstName]]," ",MyAssignment8[[#This Row],[LastName]])</f>
        <v>Noah Russell</v>
      </c>
      <c r="E87" s="80" t="str">
        <f>LEFT(MyAssignment8[[#This Row],[LastName]],3)</f>
        <v>Rus</v>
      </c>
      <c r="F87" s="80" t="s">
        <v>18</v>
      </c>
      <c r="G87" s="80" t="s">
        <v>8</v>
      </c>
      <c r="H87" s="80" t="str">
        <f>UPPER(MyAssignment8[[#This Row],[Department]])</f>
        <v>SALES</v>
      </c>
      <c r="I87" s="82">
        <v>44029</v>
      </c>
      <c r="J87" s="83">
        <f ca="1">_xlfn.DAYS($M$125,MyAssignment8[[#This Row],[HireDate]])</f>
        <v>1612</v>
      </c>
      <c r="K87" s="83">
        <f>YEAR(MyAssignment8[[#This Row],[HireDate]])</f>
        <v>2020</v>
      </c>
      <c r="L87" s="80">
        <v>79</v>
      </c>
      <c r="M87" s="80">
        <v>8</v>
      </c>
      <c r="N87" s="80" t="str">
        <f>IF(MyAssignment8[[#This Row],[ProjectsCompleted]]&gt;10,"Yes","No")</f>
        <v>No</v>
      </c>
      <c r="O87" s="80" t="b">
        <f>AND(MyAssignment8[[#This Row],[PerformanceScore]]&gt;85,MyAssignment8[[#This Row],[ProjectsCompleted]]&gt;10)</f>
        <v>0</v>
      </c>
      <c r="P87" s="81">
        <v>1350</v>
      </c>
      <c r="Q87" s="80">
        <v>90</v>
      </c>
      <c r="R87" s="80" t="b">
        <f>OR(MyAssignment8[[#This Row],[PerformanceScore]]&lt;85,MyAssignment8[[#This Row],[AttendanceRate (%)]]&lt;90)</f>
        <v>1</v>
      </c>
    </row>
    <row r="88" spans="1:18" ht="21.6">
      <c r="A88" s="80" t="s">
        <v>213</v>
      </c>
      <c r="B88" s="80" t="s">
        <v>133</v>
      </c>
      <c r="C88" s="80" t="s">
        <v>171</v>
      </c>
      <c r="D88" s="80" t="str">
        <f>_xlfn.CONCAT(MyAssignment8[[#This Row],[FirstName]]," ",MyAssignment8[[#This Row],[LastName]])</f>
        <v>Grace Hughes</v>
      </c>
      <c r="E88" s="80" t="str">
        <f>LEFT(MyAssignment8[[#This Row],[LastName]],3)</f>
        <v>Hug</v>
      </c>
      <c r="F88" s="80" t="s">
        <v>20</v>
      </c>
      <c r="G88" s="80" t="s">
        <v>4</v>
      </c>
      <c r="H88" s="80" t="str">
        <f>UPPER(MyAssignment8[[#This Row],[Department]])</f>
        <v>IT</v>
      </c>
      <c r="I88" s="82">
        <v>44648</v>
      </c>
      <c r="J88" s="83">
        <f ca="1">_xlfn.DAYS($M$125,MyAssignment8[[#This Row],[HireDate]])</f>
        <v>993</v>
      </c>
      <c r="K88" s="83">
        <f>YEAR(MyAssignment8[[#This Row],[HireDate]])</f>
        <v>2022</v>
      </c>
      <c r="L88" s="80">
        <v>85</v>
      </c>
      <c r="M88" s="80">
        <v>9</v>
      </c>
      <c r="N88" s="80" t="str">
        <f>IF(MyAssignment8[[#This Row],[ProjectsCompleted]]&gt;10,"Yes","No")</f>
        <v>No</v>
      </c>
      <c r="O88" s="80" t="b">
        <f>AND(MyAssignment8[[#This Row],[PerformanceScore]]&gt;85,MyAssignment8[[#This Row],[ProjectsCompleted]]&gt;10)</f>
        <v>0</v>
      </c>
      <c r="P88" s="81">
        <v>1500</v>
      </c>
      <c r="Q88" s="80">
        <v>93</v>
      </c>
      <c r="R88" s="80" t="b">
        <f>OR(MyAssignment8[[#This Row],[PerformanceScore]]&lt;85,MyAssignment8[[#This Row],[AttendanceRate (%)]]&lt;90)</f>
        <v>0</v>
      </c>
    </row>
    <row r="89" spans="1:18" ht="21.6">
      <c r="A89" s="80" t="s">
        <v>24</v>
      </c>
      <c r="B89" s="80" t="s">
        <v>64</v>
      </c>
      <c r="C89" s="80" t="s">
        <v>157</v>
      </c>
      <c r="D89" s="80" t="str">
        <f>_xlfn.CONCAT(MyAssignment8[[#This Row],[FirstName]]," ",MyAssignment8[[#This Row],[LastName]])</f>
        <v>Logan Jenkins</v>
      </c>
      <c r="E89" s="80" t="str">
        <f>LEFT(MyAssignment8[[#This Row],[LastName]],3)</f>
        <v>Jen</v>
      </c>
      <c r="F89" s="80" t="s">
        <v>18</v>
      </c>
      <c r="G89" s="80" t="s">
        <v>6</v>
      </c>
      <c r="H89" s="80" t="str">
        <f>UPPER(MyAssignment8[[#This Row],[Department]])</f>
        <v>FINANCE</v>
      </c>
      <c r="I89" s="82">
        <v>43711</v>
      </c>
      <c r="J89" s="83">
        <f ca="1">_xlfn.DAYS($M$125,MyAssignment8[[#This Row],[HireDate]])</f>
        <v>1930</v>
      </c>
      <c r="K89" s="83">
        <f>YEAR(MyAssignment8[[#This Row],[HireDate]])</f>
        <v>2019</v>
      </c>
      <c r="L89" s="80">
        <v>92</v>
      </c>
      <c r="M89" s="80">
        <v>15</v>
      </c>
      <c r="N89" s="80" t="str">
        <f>IF(MyAssignment8[[#This Row],[ProjectsCompleted]]&gt;10,"Yes","No")</f>
        <v>Yes</v>
      </c>
      <c r="O89" s="80" t="b">
        <f>AND(MyAssignment8[[#This Row],[PerformanceScore]]&gt;85,MyAssignment8[[#This Row],[ProjectsCompleted]]&gt;10)</f>
        <v>1</v>
      </c>
      <c r="P89" s="81">
        <v>1800</v>
      </c>
      <c r="Q89" s="80">
        <v>99</v>
      </c>
      <c r="R89" s="80" t="b">
        <f>OR(MyAssignment8[[#This Row],[PerformanceScore]]&lt;85,MyAssignment8[[#This Row],[AttendanceRate (%)]]&lt;90)</f>
        <v>0</v>
      </c>
    </row>
    <row r="90" spans="1:18" ht="21.6">
      <c r="A90" s="80" t="s">
        <v>214</v>
      </c>
      <c r="B90" s="80" t="s">
        <v>77</v>
      </c>
      <c r="C90" s="80" t="s">
        <v>215</v>
      </c>
      <c r="D90" s="80" t="str">
        <f>_xlfn.CONCAT(MyAssignment8[[#This Row],[FirstName]]," ",MyAssignment8[[#This Row],[LastName]])</f>
        <v>Victoria Peterson</v>
      </c>
      <c r="E90" s="80" t="str">
        <f>LEFT(MyAssignment8[[#This Row],[LastName]],3)</f>
        <v>Pet</v>
      </c>
      <c r="F90" s="80" t="s">
        <v>20</v>
      </c>
      <c r="G90" s="80" t="s">
        <v>5</v>
      </c>
      <c r="H90" s="80" t="str">
        <f>UPPER(MyAssignment8[[#This Row],[Department]])</f>
        <v>HR</v>
      </c>
      <c r="I90" s="82">
        <v>44243</v>
      </c>
      <c r="J90" s="83">
        <f ca="1">_xlfn.DAYS($M$125,MyAssignment8[[#This Row],[HireDate]])</f>
        <v>1398</v>
      </c>
      <c r="K90" s="83">
        <f>YEAR(MyAssignment8[[#This Row],[HireDate]])</f>
        <v>2021</v>
      </c>
      <c r="L90" s="80">
        <v>83</v>
      </c>
      <c r="M90" s="80">
        <v>10</v>
      </c>
      <c r="N90" s="80" t="str">
        <f>IF(MyAssignment8[[#This Row],[ProjectsCompleted]]&gt;10,"Yes","No")</f>
        <v>No</v>
      </c>
      <c r="O90" s="80" t="b">
        <f>AND(MyAssignment8[[#This Row],[PerformanceScore]]&gt;85,MyAssignment8[[#This Row],[ProjectsCompleted]]&gt;10)</f>
        <v>0</v>
      </c>
      <c r="P90" s="81">
        <v>1450</v>
      </c>
      <c r="Q90" s="80">
        <v>94</v>
      </c>
      <c r="R90" s="80" t="b">
        <f>OR(MyAssignment8[[#This Row],[PerformanceScore]]&lt;85,MyAssignment8[[#This Row],[AttendanceRate (%)]]&lt;90)</f>
        <v>1</v>
      </c>
    </row>
    <row r="91" spans="1:18" ht="21.6">
      <c r="A91" s="80" t="s">
        <v>216</v>
      </c>
      <c r="B91" s="80" t="s">
        <v>148</v>
      </c>
      <c r="C91" s="80" t="s">
        <v>65</v>
      </c>
      <c r="D91" s="80" t="str">
        <f>_xlfn.CONCAT(MyAssignment8[[#This Row],[FirstName]]," ",MyAssignment8[[#This Row],[LastName]])</f>
        <v>Benjamin Cooper</v>
      </c>
      <c r="E91" s="80" t="str">
        <f>LEFT(MyAssignment8[[#This Row],[LastName]],3)</f>
        <v>Coo</v>
      </c>
      <c r="F91" s="80" t="s">
        <v>18</v>
      </c>
      <c r="G91" s="80" t="s">
        <v>7</v>
      </c>
      <c r="H91" s="80" t="str">
        <f>UPPER(MyAssignment8[[#This Row],[Department]])</f>
        <v>MARKETING</v>
      </c>
      <c r="I91" s="82">
        <v>43991</v>
      </c>
      <c r="J91" s="83">
        <f ca="1">_xlfn.DAYS($M$125,MyAssignment8[[#This Row],[HireDate]])</f>
        <v>1650</v>
      </c>
      <c r="K91" s="83">
        <f>YEAR(MyAssignment8[[#This Row],[HireDate]])</f>
        <v>2020</v>
      </c>
      <c r="L91" s="80">
        <v>81</v>
      </c>
      <c r="M91" s="80">
        <v>8</v>
      </c>
      <c r="N91" s="80" t="str">
        <f>IF(MyAssignment8[[#This Row],[ProjectsCompleted]]&gt;10,"Yes","No")</f>
        <v>No</v>
      </c>
      <c r="O91" s="80" t="b">
        <f>AND(MyAssignment8[[#This Row],[PerformanceScore]]&gt;85,MyAssignment8[[#This Row],[ProjectsCompleted]]&gt;10)</f>
        <v>0</v>
      </c>
      <c r="P91" s="81">
        <v>1350</v>
      </c>
      <c r="Q91" s="80">
        <v>91</v>
      </c>
      <c r="R91" s="80" t="b">
        <f>OR(MyAssignment8[[#This Row],[PerformanceScore]]&lt;85,MyAssignment8[[#This Row],[AttendanceRate (%)]]&lt;90)</f>
        <v>1</v>
      </c>
    </row>
    <row r="92" spans="1:18" ht="21.6">
      <c r="A92" s="80" t="s">
        <v>217</v>
      </c>
      <c r="B92" s="80" t="s">
        <v>125</v>
      </c>
      <c r="C92" s="80" t="s">
        <v>134</v>
      </c>
      <c r="D92" s="80" t="str">
        <f>_xlfn.CONCAT(MyAssignment8[[#This Row],[FirstName]]," ",MyAssignment8[[#This Row],[LastName]])</f>
        <v>Ava Perez</v>
      </c>
      <c r="E92" s="80" t="str">
        <f>LEFT(MyAssignment8[[#This Row],[LastName]],3)</f>
        <v>Per</v>
      </c>
      <c r="F92" s="80" t="s">
        <v>20</v>
      </c>
      <c r="G92" s="80" t="s">
        <v>8</v>
      </c>
      <c r="H92" s="80" t="str">
        <f>UPPER(MyAssignment8[[#This Row],[Department]])</f>
        <v>SALES</v>
      </c>
      <c r="I92" s="82">
        <v>44890</v>
      </c>
      <c r="J92" s="83">
        <f ca="1">_xlfn.DAYS($M$125,MyAssignment8[[#This Row],[HireDate]])</f>
        <v>751</v>
      </c>
      <c r="K92" s="83">
        <f>YEAR(MyAssignment8[[#This Row],[HireDate]])</f>
        <v>2022</v>
      </c>
      <c r="L92" s="80">
        <v>90</v>
      </c>
      <c r="M92" s="80">
        <v>11</v>
      </c>
      <c r="N92" s="80" t="str">
        <f>IF(MyAssignment8[[#This Row],[ProjectsCompleted]]&gt;10,"Yes","No")</f>
        <v>Yes</v>
      </c>
      <c r="O92" s="80" t="b">
        <f>AND(MyAssignment8[[#This Row],[PerformanceScore]]&gt;85,MyAssignment8[[#This Row],[ProjectsCompleted]]&gt;10)</f>
        <v>1</v>
      </c>
      <c r="P92" s="81">
        <v>1700</v>
      </c>
      <c r="Q92" s="80">
        <v>96</v>
      </c>
      <c r="R92" s="80" t="b">
        <f>OR(MyAssignment8[[#This Row],[PerformanceScore]]&lt;85,MyAssignment8[[#This Row],[AttendanceRate (%)]]&lt;90)</f>
        <v>0</v>
      </c>
    </row>
    <row r="93" spans="1:18" ht="21.6">
      <c r="A93" s="80" t="s">
        <v>218</v>
      </c>
      <c r="B93" s="80" t="s">
        <v>86</v>
      </c>
      <c r="C93" s="80" t="s">
        <v>219</v>
      </c>
      <c r="D93" s="80" t="str">
        <f>_xlfn.CONCAT(MyAssignment8[[#This Row],[FirstName]]," ",MyAssignment8[[#This Row],[LastName]])</f>
        <v>William Murphy</v>
      </c>
      <c r="E93" s="80" t="str">
        <f>LEFT(MyAssignment8[[#This Row],[LastName]],3)</f>
        <v>Mur</v>
      </c>
      <c r="F93" s="80" t="s">
        <v>18</v>
      </c>
      <c r="G93" s="80" t="s">
        <v>4</v>
      </c>
      <c r="H93" s="80" t="str">
        <f>UPPER(MyAssignment8[[#This Row],[Department]])</f>
        <v>IT</v>
      </c>
      <c r="I93" s="82">
        <v>44057</v>
      </c>
      <c r="J93" s="83">
        <f ca="1">_xlfn.DAYS($M$125,MyAssignment8[[#This Row],[HireDate]])</f>
        <v>1584</v>
      </c>
      <c r="K93" s="83">
        <f>YEAR(MyAssignment8[[#This Row],[HireDate]])</f>
        <v>2020</v>
      </c>
      <c r="L93" s="80">
        <v>89</v>
      </c>
      <c r="M93" s="80">
        <v>14</v>
      </c>
      <c r="N93" s="80" t="str">
        <f>IF(MyAssignment8[[#This Row],[ProjectsCompleted]]&gt;10,"Yes","No")</f>
        <v>Yes</v>
      </c>
      <c r="O93" s="80" t="b">
        <f>AND(MyAssignment8[[#This Row],[PerformanceScore]]&gt;85,MyAssignment8[[#This Row],[ProjectsCompleted]]&gt;10)</f>
        <v>1</v>
      </c>
      <c r="P93" s="81">
        <v>1750</v>
      </c>
      <c r="Q93" s="80">
        <v>98</v>
      </c>
      <c r="R93" s="80" t="b">
        <f>OR(MyAssignment8[[#This Row],[PerformanceScore]]&lt;85,MyAssignment8[[#This Row],[AttendanceRate (%)]]&lt;90)</f>
        <v>0</v>
      </c>
    </row>
    <row r="94" spans="1:18" ht="21.6">
      <c r="A94" s="80" t="s">
        <v>220</v>
      </c>
      <c r="B94" s="80" t="s">
        <v>36</v>
      </c>
      <c r="C94" s="80" t="s">
        <v>65</v>
      </c>
      <c r="D94" s="80" t="str">
        <f>_xlfn.CONCAT(MyAssignment8[[#This Row],[FirstName]]," ",MyAssignment8[[#This Row],[LastName]])</f>
        <v>Emily Cooper</v>
      </c>
      <c r="E94" s="80" t="str">
        <f>LEFT(MyAssignment8[[#This Row],[LastName]],3)</f>
        <v>Coo</v>
      </c>
      <c r="F94" s="80" t="s">
        <v>20</v>
      </c>
      <c r="G94" s="80" t="s">
        <v>6</v>
      </c>
      <c r="H94" s="80" t="str">
        <f>UPPER(MyAssignment8[[#This Row],[Department]])</f>
        <v>FINANCE</v>
      </c>
      <c r="I94" s="82">
        <v>44385</v>
      </c>
      <c r="J94" s="83">
        <f ca="1">_xlfn.DAYS($M$125,MyAssignment8[[#This Row],[HireDate]])</f>
        <v>1256</v>
      </c>
      <c r="K94" s="83">
        <f>YEAR(MyAssignment8[[#This Row],[HireDate]])</f>
        <v>2021</v>
      </c>
      <c r="L94" s="80">
        <v>87</v>
      </c>
      <c r="M94" s="80">
        <v>12</v>
      </c>
      <c r="N94" s="80" t="str">
        <f>IF(MyAssignment8[[#This Row],[ProjectsCompleted]]&gt;10,"Yes","No")</f>
        <v>Yes</v>
      </c>
      <c r="O94" s="80" t="b">
        <f>AND(MyAssignment8[[#This Row],[PerformanceScore]]&gt;85,MyAssignment8[[#This Row],[ProjectsCompleted]]&gt;10)</f>
        <v>1</v>
      </c>
      <c r="P94" s="81">
        <v>1600</v>
      </c>
      <c r="Q94" s="80">
        <v>97</v>
      </c>
      <c r="R94" s="80" t="b">
        <f>OR(MyAssignment8[[#This Row],[PerformanceScore]]&lt;85,MyAssignment8[[#This Row],[AttendanceRate (%)]]&lt;90)</f>
        <v>0</v>
      </c>
    </row>
    <row r="95" spans="1:18" ht="21.6">
      <c r="A95" s="80" t="s">
        <v>221</v>
      </c>
      <c r="B95" s="80" t="s">
        <v>131</v>
      </c>
      <c r="C95" s="80" t="s">
        <v>222</v>
      </c>
      <c r="D95" s="80" t="str">
        <f>_xlfn.CONCAT(MyAssignment8[[#This Row],[FirstName]]," ",MyAssignment8[[#This Row],[LastName]])</f>
        <v>Lucas Turner</v>
      </c>
      <c r="E95" s="80" t="str">
        <f>LEFT(MyAssignment8[[#This Row],[LastName]],3)</f>
        <v>Tur</v>
      </c>
      <c r="F95" s="80" t="s">
        <v>18</v>
      </c>
      <c r="G95" s="80" t="s">
        <v>5</v>
      </c>
      <c r="H95" s="80" t="str">
        <f>UPPER(MyAssignment8[[#This Row],[Department]])</f>
        <v>HR</v>
      </c>
      <c r="I95" s="82">
        <v>43773</v>
      </c>
      <c r="J95" s="83">
        <f ca="1">_xlfn.DAYS($M$125,MyAssignment8[[#This Row],[HireDate]])</f>
        <v>1868</v>
      </c>
      <c r="K95" s="83">
        <f>YEAR(MyAssignment8[[#This Row],[HireDate]])</f>
        <v>2019</v>
      </c>
      <c r="L95" s="80">
        <v>82</v>
      </c>
      <c r="M95" s="80">
        <v>9</v>
      </c>
      <c r="N95" s="80" t="str">
        <f>IF(MyAssignment8[[#This Row],[ProjectsCompleted]]&gt;10,"Yes","No")</f>
        <v>No</v>
      </c>
      <c r="O95" s="80" t="b">
        <f>AND(MyAssignment8[[#This Row],[PerformanceScore]]&gt;85,MyAssignment8[[#This Row],[ProjectsCompleted]]&gt;10)</f>
        <v>0</v>
      </c>
      <c r="P95" s="81">
        <v>1450</v>
      </c>
      <c r="Q95" s="80">
        <v>92</v>
      </c>
      <c r="R95" s="80" t="b">
        <f>OR(MyAssignment8[[#This Row],[PerformanceScore]]&lt;85,MyAssignment8[[#This Row],[AttendanceRate (%)]]&lt;90)</f>
        <v>1</v>
      </c>
    </row>
    <row r="96" spans="1:18" ht="21.6">
      <c r="A96" s="80" t="s">
        <v>223</v>
      </c>
      <c r="B96" s="80" t="s">
        <v>101</v>
      </c>
      <c r="C96" s="80" t="s">
        <v>62</v>
      </c>
      <c r="D96" s="80" t="str">
        <f>_xlfn.CONCAT(MyAssignment8[[#This Row],[FirstName]]," ",MyAssignment8[[#This Row],[LastName]])</f>
        <v>Isabella Scott</v>
      </c>
      <c r="E96" s="80" t="str">
        <f>LEFT(MyAssignment8[[#This Row],[LastName]],3)</f>
        <v>Sco</v>
      </c>
      <c r="F96" s="80" t="s">
        <v>20</v>
      </c>
      <c r="G96" s="80" t="s">
        <v>7</v>
      </c>
      <c r="H96" s="80" t="str">
        <f>UPPER(MyAssignment8[[#This Row],[Department]])</f>
        <v>MARKETING</v>
      </c>
      <c r="I96" s="82">
        <v>44256</v>
      </c>
      <c r="J96" s="83">
        <f ca="1">_xlfn.DAYS($M$125,MyAssignment8[[#This Row],[HireDate]])</f>
        <v>1385</v>
      </c>
      <c r="K96" s="83">
        <f>YEAR(MyAssignment8[[#This Row],[HireDate]])</f>
        <v>2021</v>
      </c>
      <c r="L96" s="80">
        <v>88</v>
      </c>
      <c r="M96" s="80">
        <v>10</v>
      </c>
      <c r="N96" s="80" t="str">
        <f>IF(MyAssignment8[[#This Row],[ProjectsCompleted]]&gt;10,"Yes","No")</f>
        <v>No</v>
      </c>
      <c r="O96" s="80" t="b">
        <f>AND(MyAssignment8[[#This Row],[PerformanceScore]]&gt;85,MyAssignment8[[#This Row],[ProjectsCompleted]]&gt;10)</f>
        <v>0</v>
      </c>
      <c r="P96" s="81">
        <v>1650</v>
      </c>
      <c r="Q96" s="80">
        <v>95</v>
      </c>
      <c r="R96" s="80" t="b">
        <f>OR(MyAssignment8[[#This Row],[PerformanceScore]]&lt;85,MyAssignment8[[#This Row],[AttendanceRate (%)]]&lt;90)</f>
        <v>0</v>
      </c>
    </row>
    <row r="97" spans="1:18" ht="21.6">
      <c r="A97" s="80" t="s">
        <v>224</v>
      </c>
      <c r="B97" s="80" t="s">
        <v>70</v>
      </c>
      <c r="C97" s="80" t="s">
        <v>81</v>
      </c>
      <c r="D97" s="80" t="str">
        <f>_xlfn.CONCAT(MyAssignment8[[#This Row],[FirstName]]," ",MyAssignment8[[#This Row],[LastName]])</f>
        <v>Ethan Diaz</v>
      </c>
      <c r="E97" s="80" t="str">
        <f>LEFT(MyAssignment8[[#This Row],[LastName]],3)</f>
        <v>Dia</v>
      </c>
      <c r="F97" s="80" t="s">
        <v>18</v>
      </c>
      <c r="G97" s="80" t="s">
        <v>8</v>
      </c>
      <c r="H97" s="80" t="str">
        <f>UPPER(MyAssignment8[[#This Row],[Department]])</f>
        <v>SALES</v>
      </c>
      <c r="I97" s="82">
        <v>43980</v>
      </c>
      <c r="J97" s="83">
        <f ca="1">_xlfn.DAYS($M$125,MyAssignment8[[#This Row],[HireDate]])</f>
        <v>1661</v>
      </c>
      <c r="K97" s="83">
        <f>YEAR(MyAssignment8[[#This Row],[HireDate]])</f>
        <v>2020</v>
      </c>
      <c r="L97" s="80">
        <v>91</v>
      </c>
      <c r="M97" s="80">
        <v>13</v>
      </c>
      <c r="N97" s="80" t="str">
        <f>IF(MyAssignment8[[#This Row],[ProjectsCompleted]]&gt;10,"Yes","No")</f>
        <v>Yes</v>
      </c>
      <c r="O97" s="80" t="b">
        <f>AND(MyAssignment8[[#This Row],[PerformanceScore]]&gt;85,MyAssignment8[[#This Row],[ProjectsCompleted]]&gt;10)</f>
        <v>1</v>
      </c>
      <c r="P97" s="81">
        <v>1750</v>
      </c>
      <c r="Q97" s="80">
        <v>98</v>
      </c>
      <c r="R97" s="80" t="b">
        <f>OR(MyAssignment8[[#This Row],[PerformanceScore]]&lt;85,MyAssignment8[[#This Row],[AttendanceRate (%)]]&lt;90)</f>
        <v>0</v>
      </c>
    </row>
    <row r="98" spans="1:18" ht="21.6">
      <c r="A98" s="80" t="s">
        <v>225</v>
      </c>
      <c r="B98" s="80" t="s">
        <v>177</v>
      </c>
      <c r="C98" s="80" t="s">
        <v>226</v>
      </c>
      <c r="D98" s="80" t="str">
        <f>_xlfn.CONCAT(MyAssignment8[[#This Row],[FirstName]]," ",MyAssignment8[[#This Row],[LastName]])</f>
        <v>Harper Phillips</v>
      </c>
      <c r="E98" s="80" t="str">
        <f>LEFT(MyAssignment8[[#This Row],[LastName]],3)</f>
        <v>Phi</v>
      </c>
      <c r="F98" s="80" t="s">
        <v>20</v>
      </c>
      <c r="G98" s="80" t="s">
        <v>4</v>
      </c>
      <c r="H98" s="80" t="str">
        <f>UPPER(MyAssignment8[[#This Row],[Department]])</f>
        <v>IT</v>
      </c>
      <c r="I98" s="82">
        <v>44665</v>
      </c>
      <c r="J98" s="83">
        <f ca="1">_xlfn.DAYS($M$125,MyAssignment8[[#This Row],[HireDate]])</f>
        <v>976</v>
      </c>
      <c r="K98" s="83">
        <f>YEAR(MyAssignment8[[#This Row],[HireDate]])</f>
        <v>2022</v>
      </c>
      <c r="L98" s="80">
        <v>83</v>
      </c>
      <c r="M98" s="80">
        <v>9</v>
      </c>
      <c r="N98" s="80" t="str">
        <f>IF(MyAssignment8[[#This Row],[ProjectsCompleted]]&gt;10,"Yes","No")</f>
        <v>No</v>
      </c>
      <c r="O98" s="80" t="b">
        <f>AND(MyAssignment8[[#This Row],[PerformanceScore]]&gt;85,MyAssignment8[[#This Row],[ProjectsCompleted]]&gt;10)</f>
        <v>0</v>
      </c>
      <c r="P98" s="81">
        <v>1500</v>
      </c>
      <c r="Q98" s="80">
        <v>94</v>
      </c>
      <c r="R98" s="80" t="b">
        <f>OR(MyAssignment8[[#This Row],[PerformanceScore]]&lt;85,MyAssignment8[[#This Row],[AttendanceRate (%)]]&lt;90)</f>
        <v>1</v>
      </c>
    </row>
    <row r="99" spans="1:18" ht="21.6">
      <c r="A99" s="80" t="s">
        <v>227</v>
      </c>
      <c r="B99" s="80" t="s">
        <v>110</v>
      </c>
      <c r="C99" s="80" t="s">
        <v>162</v>
      </c>
      <c r="D99" s="80" t="str">
        <f>_xlfn.CONCAT(MyAssignment8[[#This Row],[FirstName]]," ",MyAssignment8[[#This Row],[LastName]])</f>
        <v>Jack Ward</v>
      </c>
      <c r="E99" s="80" t="str">
        <f>LEFT(MyAssignment8[[#This Row],[LastName]],3)</f>
        <v>War</v>
      </c>
      <c r="F99" s="80" t="s">
        <v>18</v>
      </c>
      <c r="G99" s="80" t="s">
        <v>6</v>
      </c>
      <c r="H99" s="80" t="str">
        <f>UPPER(MyAssignment8[[#This Row],[Department]])</f>
        <v>FINANCE</v>
      </c>
      <c r="I99" s="82">
        <v>43521</v>
      </c>
      <c r="J99" s="83">
        <f ca="1">_xlfn.DAYS($M$125,MyAssignment8[[#This Row],[HireDate]])</f>
        <v>2120</v>
      </c>
      <c r="K99" s="83">
        <f>YEAR(MyAssignment8[[#This Row],[HireDate]])</f>
        <v>2019</v>
      </c>
      <c r="L99" s="80">
        <v>85</v>
      </c>
      <c r="M99" s="80">
        <v>11</v>
      </c>
      <c r="N99" s="80" t="str">
        <f>IF(MyAssignment8[[#This Row],[ProjectsCompleted]]&gt;10,"Yes","No")</f>
        <v>Yes</v>
      </c>
      <c r="O99" s="80" t="b">
        <f>AND(MyAssignment8[[#This Row],[PerformanceScore]]&gt;85,MyAssignment8[[#This Row],[ProjectsCompleted]]&gt;10)</f>
        <v>0</v>
      </c>
      <c r="P99" s="81">
        <v>1600</v>
      </c>
      <c r="Q99" s="80">
        <v>96</v>
      </c>
      <c r="R99" s="80" t="b">
        <f>OR(MyAssignment8[[#This Row],[PerformanceScore]]&lt;85,MyAssignment8[[#This Row],[AttendanceRate (%)]]&lt;90)</f>
        <v>0</v>
      </c>
    </row>
    <row r="100" spans="1:18" ht="21.6">
      <c r="A100" s="80" t="s">
        <v>228</v>
      </c>
      <c r="B100" s="80" t="s">
        <v>112</v>
      </c>
      <c r="C100" s="80" t="s">
        <v>184</v>
      </c>
      <c r="D100" s="80" t="str">
        <f>_xlfn.CONCAT(MyAssignment8[[#This Row],[FirstName]]," ",MyAssignment8[[#This Row],[LastName]])</f>
        <v>Amelia Stewart</v>
      </c>
      <c r="E100" s="80" t="str">
        <f>LEFT(MyAssignment8[[#This Row],[LastName]],3)</f>
        <v>Ste</v>
      </c>
      <c r="F100" s="80" t="s">
        <v>20</v>
      </c>
      <c r="G100" s="80" t="s">
        <v>5</v>
      </c>
      <c r="H100" s="80" t="str">
        <f>UPPER(MyAssignment8[[#This Row],[Department]])</f>
        <v>HR</v>
      </c>
      <c r="I100" s="82">
        <v>44518</v>
      </c>
      <c r="J100" s="83">
        <f ca="1">_xlfn.DAYS($M$125,MyAssignment8[[#This Row],[HireDate]])</f>
        <v>1123</v>
      </c>
      <c r="K100" s="83">
        <f>YEAR(MyAssignment8[[#This Row],[HireDate]])</f>
        <v>2021</v>
      </c>
      <c r="L100" s="80">
        <v>80</v>
      </c>
      <c r="M100" s="80">
        <v>7</v>
      </c>
      <c r="N100" s="80" t="str">
        <f>IF(MyAssignment8[[#This Row],[ProjectsCompleted]]&gt;10,"Yes","No")</f>
        <v>No</v>
      </c>
      <c r="O100" s="80" t="b">
        <f>AND(MyAssignment8[[#This Row],[PerformanceScore]]&gt;85,MyAssignment8[[#This Row],[ProjectsCompleted]]&gt;10)</f>
        <v>0</v>
      </c>
      <c r="P100" s="81">
        <v>1300</v>
      </c>
      <c r="Q100" s="80">
        <v>90</v>
      </c>
      <c r="R100" s="80" t="b">
        <f>OR(MyAssignment8[[#This Row],[PerformanceScore]]&lt;85,MyAssignment8[[#This Row],[AttendanceRate (%)]]&lt;90)</f>
        <v>1</v>
      </c>
    </row>
    <row r="101" spans="1:18" ht="21.6">
      <c r="A101" s="80" t="s">
        <v>229</v>
      </c>
      <c r="B101" s="80" t="s">
        <v>44</v>
      </c>
      <c r="C101" s="80" t="s">
        <v>230</v>
      </c>
      <c r="D101" s="80" t="str">
        <f>_xlfn.CONCAT(MyAssignment8[[#This Row],[FirstName]]," ",MyAssignment8[[#This Row],[LastName]])</f>
        <v>Daniel Nguyen</v>
      </c>
      <c r="E101" s="80" t="str">
        <f>LEFT(MyAssignment8[[#This Row],[LastName]],3)</f>
        <v>Ngu</v>
      </c>
      <c r="F101" s="80" t="s">
        <v>18</v>
      </c>
      <c r="G101" s="80" t="s">
        <v>7</v>
      </c>
      <c r="H101" s="80" t="str">
        <f>UPPER(MyAssignment8[[#This Row],[Department]])</f>
        <v>MARKETING</v>
      </c>
      <c r="I101" s="82">
        <v>44171</v>
      </c>
      <c r="J101" s="83">
        <f ca="1">_xlfn.DAYS($M$125,MyAssignment8[[#This Row],[HireDate]])</f>
        <v>1470</v>
      </c>
      <c r="K101" s="83">
        <f>YEAR(MyAssignment8[[#This Row],[HireDate]])</f>
        <v>2020</v>
      </c>
      <c r="L101" s="80">
        <v>79</v>
      </c>
      <c r="M101" s="80">
        <v>8</v>
      </c>
      <c r="N101" s="80" t="str">
        <f>IF(MyAssignment8[[#This Row],[ProjectsCompleted]]&gt;10,"Yes","No")</f>
        <v>No</v>
      </c>
      <c r="O101" s="80" t="b">
        <f>AND(MyAssignment8[[#This Row],[PerformanceScore]]&gt;85,MyAssignment8[[#This Row],[ProjectsCompleted]]&gt;10)</f>
        <v>0</v>
      </c>
      <c r="P101" s="81">
        <v>1400</v>
      </c>
      <c r="Q101" s="80">
        <v>89</v>
      </c>
      <c r="R101" s="80" t="b">
        <f>OR(MyAssignment8[[#This Row],[PerformanceScore]]&lt;85,MyAssignment8[[#This Row],[AttendanceRate (%)]]&lt;90)</f>
        <v>1</v>
      </c>
    </row>
    <row r="102" spans="1:18" ht="21.6">
      <c r="A102" s="80" t="s">
        <v>231</v>
      </c>
      <c r="B102" s="80" t="s">
        <v>232</v>
      </c>
      <c r="C102" s="80" t="s">
        <v>233</v>
      </c>
      <c r="D102" s="80" t="str">
        <f>_xlfn.CONCAT(MyAssignment8[[#This Row],[FirstName]]," ",MyAssignment8[[#This Row],[LastName]])</f>
        <v>Abigail Lopez</v>
      </c>
      <c r="E102" s="80" t="str">
        <f>LEFT(MyAssignment8[[#This Row],[LastName]],3)</f>
        <v>Lop</v>
      </c>
      <c r="F102" s="80" t="s">
        <v>20</v>
      </c>
      <c r="G102" s="80" t="s">
        <v>8</v>
      </c>
      <c r="H102" s="80" t="str">
        <f>UPPER(MyAssignment8[[#This Row],[Department]])</f>
        <v>SALES</v>
      </c>
      <c r="I102" s="82">
        <v>44772</v>
      </c>
      <c r="J102" s="83">
        <f ca="1">_xlfn.DAYS($M$125,MyAssignment8[[#This Row],[HireDate]])</f>
        <v>869</v>
      </c>
      <c r="K102" s="83">
        <f>YEAR(MyAssignment8[[#This Row],[HireDate]])</f>
        <v>2022</v>
      </c>
      <c r="L102" s="80">
        <v>88</v>
      </c>
      <c r="M102" s="80">
        <v>10</v>
      </c>
      <c r="N102" s="80" t="str">
        <f>IF(MyAssignment8[[#This Row],[ProjectsCompleted]]&gt;10,"Yes","No")</f>
        <v>No</v>
      </c>
      <c r="O102" s="80" t="b">
        <f>AND(MyAssignment8[[#This Row],[PerformanceScore]]&gt;85,MyAssignment8[[#This Row],[ProjectsCompleted]]&gt;10)</f>
        <v>0</v>
      </c>
      <c r="P102" s="81">
        <v>1650</v>
      </c>
      <c r="Q102" s="80">
        <v>95</v>
      </c>
      <c r="R102" s="80" t="b">
        <f>OR(MyAssignment8[[#This Row],[PerformanceScore]]&lt;85,MyAssignment8[[#This Row],[AttendanceRate (%)]]&lt;90)</f>
        <v>0</v>
      </c>
    </row>
    <row r="103" spans="1:18" ht="21.6">
      <c r="A103" s="80" t="s">
        <v>23</v>
      </c>
      <c r="B103" s="80" t="s">
        <v>164</v>
      </c>
      <c r="C103" s="80" t="s">
        <v>129</v>
      </c>
      <c r="D103" s="80" t="str">
        <f>_xlfn.CONCAT(MyAssignment8[[#This Row],[FirstName]]," ",MyAssignment8[[#This Row],[LastName]])</f>
        <v>Samuel Carter</v>
      </c>
      <c r="E103" s="80" t="str">
        <f>LEFT(MyAssignment8[[#This Row],[LastName]],3)</f>
        <v>Car</v>
      </c>
      <c r="F103" s="80" t="s">
        <v>18</v>
      </c>
      <c r="G103" s="80" t="s">
        <v>4</v>
      </c>
      <c r="H103" s="80" t="str">
        <f>UPPER(MyAssignment8[[#This Row],[Department]])</f>
        <v>IT</v>
      </c>
      <c r="I103" s="82">
        <v>44360</v>
      </c>
      <c r="J103" s="83">
        <f ca="1">_xlfn.DAYS($M$125,MyAssignment8[[#This Row],[HireDate]])</f>
        <v>1281</v>
      </c>
      <c r="K103" s="83">
        <f>YEAR(MyAssignment8[[#This Row],[HireDate]])</f>
        <v>2021</v>
      </c>
      <c r="L103" s="80">
        <v>92</v>
      </c>
      <c r="M103" s="80">
        <v>14</v>
      </c>
      <c r="N103" s="80" t="str">
        <f>IF(MyAssignment8[[#This Row],[ProjectsCompleted]]&gt;10,"Yes","No")</f>
        <v>Yes</v>
      </c>
      <c r="O103" s="80" t="b">
        <f>AND(MyAssignment8[[#This Row],[PerformanceScore]]&gt;85,MyAssignment8[[#This Row],[ProjectsCompleted]]&gt;10)</f>
        <v>1</v>
      </c>
      <c r="P103" s="81">
        <v>1800</v>
      </c>
      <c r="Q103" s="80">
        <v>99</v>
      </c>
      <c r="R103" s="80" t="b">
        <f>OR(MyAssignment8[[#This Row],[PerformanceScore]]&lt;85,MyAssignment8[[#This Row],[AttendanceRate (%)]]&lt;90)</f>
        <v>0</v>
      </c>
    </row>
    <row r="104" spans="1:18" ht="21.6">
      <c r="A104" s="80"/>
      <c r="B104" s="80"/>
      <c r="C104" s="80"/>
      <c r="D104" s="80"/>
      <c r="E104" s="80"/>
      <c r="F104" s="80"/>
      <c r="G104" s="80"/>
      <c r="H104" s="80"/>
      <c r="I104" s="82"/>
      <c r="J104" s="80"/>
      <c r="K104" s="80"/>
      <c r="L104" s="80"/>
      <c r="M104" s="80">
        <f>SUBTOTAL(109,MyAssignment8[ProjectsCompleted])</f>
        <v>1093</v>
      </c>
      <c r="N104" s="80"/>
      <c r="O104" s="80"/>
      <c r="P104" s="81">
        <f>SUM(BonusAmount)</f>
        <v>157300</v>
      </c>
      <c r="Q104" s="80"/>
      <c r="R104" s="80"/>
    </row>
    <row r="105" spans="1:18">
      <c r="A105" s="96"/>
      <c r="B105" s="96"/>
      <c r="C105" s="96"/>
      <c r="D105" s="96"/>
      <c r="E105" s="96"/>
      <c r="F105" s="96"/>
      <c r="G105" s="96"/>
      <c r="H105" s="96"/>
      <c r="I105" s="96"/>
      <c r="J105" s="96"/>
      <c r="K105" s="37"/>
      <c r="L105" s="96"/>
      <c r="M105" s="96"/>
      <c r="N105" s="96"/>
      <c r="O105" s="96"/>
      <c r="P105" s="96"/>
      <c r="Q105" s="96"/>
      <c r="R105" s="96"/>
    </row>
    <row r="106" spans="1:18">
      <c r="A106" s="96"/>
      <c r="B106" s="96"/>
      <c r="C106" s="96"/>
      <c r="D106" s="96"/>
      <c r="E106" s="96"/>
      <c r="F106" s="96"/>
      <c r="G106" s="96"/>
      <c r="H106" s="96"/>
      <c r="I106" s="96"/>
      <c r="J106" s="96"/>
      <c r="K106" s="37"/>
      <c r="L106" s="96"/>
      <c r="M106" s="96"/>
      <c r="N106" s="96"/>
      <c r="O106" s="96"/>
      <c r="P106" s="96"/>
      <c r="Q106" s="96"/>
      <c r="R106" s="96"/>
    </row>
    <row r="107" spans="1:18">
      <c r="A107" s="96"/>
      <c r="B107" s="96"/>
      <c r="C107" s="96"/>
      <c r="D107" s="96"/>
      <c r="E107" s="96"/>
      <c r="F107" s="96"/>
      <c r="G107" s="96"/>
      <c r="H107" s="96"/>
      <c r="I107" s="96"/>
      <c r="J107" s="96"/>
      <c r="K107" s="37"/>
      <c r="L107" s="96"/>
      <c r="M107" s="96"/>
      <c r="N107" s="96"/>
      <c r="O107" s="96"/>
      <c r="P107" s="96"/>
      <c r="Q107" s="96"/>
      <c r="R107" s="96"/>
    </row>
    <row r="108" spans="1:18">
      <c r="A108" s="96"/>
      <c r="B108" s="96"/>
      <c r="C108" s="96"/>
      <c r="D108" s="96"/>
      <c r="E108" s="96"/>
      <c r="F108" s="96"/>
      <c r="G108" s="96"/>
      <c r="H108" s="96"/>
      <c r="I108" s="96"/>
      <c r="J108" s="96"/>
      <c r="K108" s="37"/>
      <c r="L108" s="96"/>
      <c r="M108" s="96"/>
      <c r="N108" s="96"/>
      <c r="O108" s="96"/>
      <c r="P108" s="96"/>
      <c r="Q108" s="96"/>
      <c r="R108" s="96"/>
    </row>
    <row r="109" spans="1:18">
      <c r="A109" s="96"/>
      <c r="B109" s="96"/>
      <c r="C109" s="96"/>
      <c r="D109" s="96"/>
      <c r="E109" s="96"/>
      <c r="F109" s="96"/>
      <c r="G109" s="96"/>
      <c r="H109" s="96"/>
      <c r="I109" s="96"/>
      <c r="J109" s="96"/>
      <c r="K109" s="37"/>
      <c r="L109" s="96"/>
      <c r="M109" s="96"/>
      <c r="N109" s="96"/>
      <c r="O109" s="96"/>
      <c r="P109" s="96"/>
      <c r="Q109" s="96"/>
      <c r="R109" s="96"/>
    </row>
    <row r="110" spans="1:18">
      <c r="A110" s="96"/>
      <c r="B110" s="96"/>
      <c r="C110" s="96"/>
      <c r="D110" s="96"/>
      <c r="E110" s="96"/>
      <c r="F110" s="96"/>
      <c r="G110" s="96"/>
      <c r="H110" s="96"/>
      <c r="I110" s="96"/>
      <c r="J110" s="96"/>
      <c r="K110" s="37"/>
      <c r="L110" s="96"/>
      <c r="M110" s="96"/>
      <c r="N110" s="96"/>
      <c r="O110" s="96"/>
      <c r="P110" s="96"/>
      <c r="Q110" s="96"/>
      <c r="R110" s="96"/>
    </row>
    <row r="111" spans="1:18" ht="19.899999999999999">
      <c r="A111" s="96"/>
      <c r="B111" s="96"/>
      <c r="C111" s="96"/>
      <c r="D111" s="96"/>
      <c r="E111" s="96"/>
      <c r="F111" s="133" t="s">
        <v>303</v>
      </c>
      <c r="G111" s="133"/>
      <c r="H111" s="133"/>
      <c r="I111" s="133"/>
      <c r="J111" s="134"/>
      <c r="K111" s="79" t="s">
        <v>304</v>
      </c>
      <c r="L111" s="96"/>
      <c r="M111" s="96"/>
      <c r="N111" s="96"/>
      <c r="O111" s="96"/>
      <c r="P111" s="96"/>
      <c r="Q111" s="96"/>
      <c r="R111" s="96"/>
    </row>
    <row r="112" spans="1:18" ht="19.899999999999999">
      <c r="A112" s="96"/>
      <c r="B112" s="96"/>
      <c r="C112" s="96"/>
      <c r="D112" s="96"/>
      <c r="E112" s="96"/>
      <c r="F112" s="135" t="s">
        <v>305</v>
      </c>
      <c r="G112" s="135"/>
      <c r="H112" s="135"/>
      <c r="I112" s="135"/>
      <c r="J112" s="136"/>
      <c r="K112" s="78">
        <f>SUM(BonusAmount)</f>
        <v>157300</v>
      </c>
      <c r="L112" s="96"/>
      <c r="M112" s="96"/>
      <c r="N112" s="96"/>
      <c r="O112" s="96"/>
      <c r="P112" s="96"/>
      <c r="Q112" s="96"/>
      <c r="R112" s="96"/>
    </row>
    <row r="113" spans="6:13" ht="19.899999999999999">
      <c r="F113" s="137" t="s">
        <v>306</v>
      </c>
      <c r="G113" s="137"/>
      <c r="H113" s="137"/>
      <c r="I113" s="137"/>
      <c r="J113" s="138"/>
      <c r="K113" s="77">
        <f>AVERAGE(PerformanceScore)</f>
        <v>85.225490196078425</v>
      </c>
      <c r="L113" s="96"/>
      <c r="M113" s="96"/>
    </row>
    <row r="114" spans="6:13" ht="19.899999999999999">
      <c r="F114" s="137" t="s">
        <v>307</v>
      </c>
      <c r="G114" s="137"/>
      <c r="H114" s="137"/>
      <c r="I114" s="137"/>
      <c r="J114" s="138"/>
      <c r="K114" s="76">
        <f>MAX(ProjectsCompleted)</f>
        <v>15</v>
      </c>
      <c r="L114" s="96"/>
      <c r="M114" s="96"/>
    </row>
    <row r="115" spans="6:13" ht="19.899999999999999">
      <c r="F115" s="135" t="s">
        <v>308</v>
      </c>
      <c r="G115" s="135"/>
      <c r="H115" s="135"/>
      <c r="I115" s="135"/>
      <c r="J115" s="136"/>
      <c r="K115" s="74">
        <f>SUMIF(Department,"IT",ProjectsCompleted)</f>
        <v>300</v>
      </c>
      <c r="L115" s="96"/>
      <c r="M115" s="96"/>
    </row>
    <row r="116" spans="6:13">
      <c r="F116" s="96"/>
      <c r="G116" s="96"/>
      <c r="H116" s="96"/>
      <c r="I116" s="75" t="s">
        <v>5</v>
      </c>
      <c r="J116" s="96"/>
      <c r="K116" s="74">
        <f>SUMIF(Department,"HR",ProjectsCompleted)</f>
        <v>203</v>
      </c>
      <c r="L116" s="96"/>
      <c r="M116" s="96"/>
    </row>
    <row r="117" spans="6:13">
      <c r="F117" s="96"/>
      <c r="G117" s="96"/>
      <c r="H117" s="96"/>
      <c r="I117" s="75" t="s">
        <v>8</v>
      </c>
      <c r="J117" s="96"/>
      <c r="K117" s="74">
        <f>SUMIF(Department,"Sales",ProjectsCompleted)</f>
        <v>190</v>
      </c>
      <c r="L117" s="96"/>
      <c r="M117" s="96"/>
    </row>
    <row r="118" spans="6:13">
      <c r="F118" s="96"/>
      <c r="G118" s="96"/>
      <c r="H118" s="96"/>
      <c r="I118" s="75" t="s">
        <v>7</v>
      </c>
      <c r="J118" s="96"/>
      <c r="K118" s="74">
        <f>SUMIF(Department,"marketing",ProjectsCompleted)</f>
        <v>181</v>
      </c>
      <c r="L118" s="96"/>
      <c r="M118" s="96"/>
    </row>
    <row r="119" spans="6:13">
      <c r="F119" s="96"/>
      <c r="G119" s="96"/>
      <c r="H119" s="96"/>
      <c r="I119" s="75" t="s">
        <v>6</v>
      </c>
      <c r="J119" s="96"/>
      <c r="K119" s="74">
        <f>SUMIF(Department,"finance",ProjectsCompleted)</f>
        <v>219</v>
      </c>
      <c r="L119" s="96"/>
      <c r="M119" s="96"/>
    </row>
    <row r="120" spans="6:13">
      <c r="F120" s="96"/>
      <c r="G120" s="96"/>
      <c r="H120" s="96"/>
      <c r="I120" s="96"/>
      <c r="J120" s="96"/>
      <c r="K120" s="73">
        <f>SUM(K115:K119)</f>
        <v>1093</v>
      </c>
      <c r="L120" s="96"/>
      <c r="M120" s="96"/>
    </row>
    <row r="125" spans="6:13">
      <c r="F125" s="125" t="s">
        <v>309</v>
      </c>
      <c r="G125" s="125"/>
      <c r="H125" s="125"/>
      <c r="I125" s="125"/>
      <c r="J125" s="126"/>
      <c r="K125" s="60"/>
      <c r="L125" s="96"/>
      <c r="M125" s="72">
        <f ca="1">TODAY()</f>
        <v>45641</v>
      </c>
    </row>
    <row r="126" spans="6:13">
      <c r="F126" s="127" t="s">
        <v>310</v>
      </c>
      <c r="G126" s="127"/>
      <c r="H126" s="127"/>
      <c r="I126" s="127"/>
      <c r="J126" s="128"/>
      <c r="K126" s="71" t="s">
        <v>298</v>
      </c>
      <c r="L126" s="96"/>
      <c r="M126" s="96"/>
    </row>
    <row r="127" spans="6:13">
      <c r="F127" s="129" t="s">
        <v>311</v>
      </c>
      <c r="G127" s="129"/>
      <c r="H127" s="129"/>
      <c r="I127" s="129"/>
      <c r="J127" s="130"/>
      <c r="K127" s="71" t="s">
        <v>299</v>
      </c>
      <c r="L127" s="96"/>
      <c r="M127" s="96"/>
    </row>
    <row r="128" spans="6:13">
      <c r="F128" s="127" t="s">
        <v>312</v>
      </c>
      <c r="G128" s="127"/>
      <c r="H128" s="127"/>
      <c r="I128" s="127"/>
      <c r="J128" s="128"/>
      <c r="K128" s="60" cm="1">
        <f t="array" ref="K128">COUNT(IF(YEAR(HireDate) =2021,1))</f>
        <v>32</v>
      </c>
      <c r="L128" s="96"/>
      <c r="M128" s="96"/>
    </row>
    <row r="129" spans="6:11">
      <c r="F129" s="96"/>
      <c r="G129" s="96"/>
      <c r="H129" s="96"/>
      <c r="I129" s="63">
        <v>2020</v>
      </c>
      <c r="J129" s="96"/>
      <c r="K129" s="60" cm="1">
        <f t="array" ref="K129">COUNT(IF(YEAR(HireDate) =2020,1))</f>
        <v>32</v>
      </c>
    </row>
    <row r="130" spans="6:11">
      <c r="F130" s="96"/>
      <c r="G130" s="96"/>
      <c r="H130" s="96"/>
      <c r="I130" s="63">
        <v>2022</v>
      </c>
      <c r="J130" s="96"/>
      <c r="K130" s="60" cm="1">
        <f t="array" ref="K130">COUNT(IF(YEAR(HireDate) =2022,1))</f>
        <v>21</v>
      </c>
    </row>
    <row r="131" spans="6:11">
      <c r="F131" s="96"/>
      <c r="G131" s="96"/>
      <c r="H131" s="96"/>
      <c r="I131" s="63">
        <v>2019</v>
      </c>
      <c r="J131" s="96"/>
      <c r="K131" s="60" cm="1">
        <f t="array" ref="K131">COUNT(IF(YEAR(HireDate) =2019,1))</f>
        <v>17</v>
      </c>
    </row>
    <row r="132" spans="6:11">
      <c r="F132" s="96"/>
      <c r="G132" s="96"/>
      <c r="H132" s="96"/>
      <c r="I132" s="96"/>
      <c r="J132" s="96"/>
      <c r="K132" s="60">
        <f>SUM(K128:K131)</f>
        <v>102</v>
      </c>
    </row>
    <row r="137" spans="6:11">
      <c r="F137" s="131" t="s">
        <v>313</v>
      </c>
      <c r="G137" s="131"/>
      <c r="H137" s="131"/>
      <c r="I137" s="131"/>
      <c r="J137" s="132"/>
      <c r="K137" s="60"/>
    </row>
    <row r="138" spans="6:11">
      <c r="F138" s="121" t="s">
        <v>314</v>
      </c>
      <c r="G138" s="121"/>
      <c r="H138" s="121"/>
      <c r="I138" s="121"/>
      <c r="J138" s="122"/>
      <c r="K138" s="71" t="s">
        <v>234</v>
      </c>
    </row>
    <row r="139" spans="6:11">
      <c r="F139" s="123" t="s">
        <v>315</v>
      </c>
      <c r="G139" s="123"/>
      <c r="H139" s="123"/>
      <c r="I139" s="123"/>
      <c r="J139" s="124"/>
      <c r="K139" s="71" t="s">
        <v>296</v>
      </c>
    </row>
    <row r="140" spans="6:11">
      <c r="F140" s="121" t="s">
        <v>316</v>
      </c>
      <c r="G140" s="121"/>
      <c r="H140" s="121"/>
      <c r="I140" s="121"/>
      <c r="J140" s="122"/>
      <c r="K140" s="71" t="s">
        <v>297</v>
      </c>
    </row>
    <row r="141" spans="6:11">
      <c r="F141" s="99"/>
      <c r="G141" s="99"/>
      <c r="H141" s="99"/>
      <c r="I141" s="99"/>
      <c r="J141" s="96"/>
      <c r="K141" s="96"/>
    </row>
    <row r="145" spans="6:11">
      <c r="F145" s="114" t="s">
        <v>292</v>
      </c>
      <c r="G145" s="114"/>
      <c r="H145" s="114"/>
      <c r="I145" s="114"/>
      <c r="J145" s="115"/>
      <c r="K145" s="60"/>
    </row>
    <row r="146" spans="6:11" ht="37.9" customHeight="1">
      <c r="F146" s="116" t="s">
        <v>293</v>
      </c>
      <c r="G146" s="116"/>
      <c r="H146" s="116"/>
      <c r="I146" s="116"/>
      <c r="J146" s="117"/>
      <c r="K146" s="61" t="s">
        <v>317</v>
      </c>
    </row>
    <row r="147" spans="6:11">
      <c r="F147" s="118" t="s">
        <v>318</v>
      </c>
      <c r="G147" s="118"/>
      <c r="H147" s="118"/>
      <c r="I147" s="118"/>
      <c r="J147" s="119"/>
      <c r="K147" s="70">
        <f>COUNTIF(PerformanceScore, "&gt;90")</f>
        <v>12</v>
      </c>
    </row>
    <row r="148" spans="6:11" s="69" customFormat="1" ht="14.45" customHeight="1">
      <c r="F148" s="120" t="s">
        <v>295</v>
      </c>
      <c r="G148" s="120"/>
      <c r="H148" s="120"/>
      <c r="I148" s="120"/>
      <c r="J148" s="120"/>
      <c r="K148" s="64">
        <f>SUMIF(Department,"Sales",BonusAmount)</f>
        <v>28200</v>
      </c>
    </row>
    <row r="149" spans="6:11" s="66" customFormat="1" ht="14.45" customHeight="1">
      <c r="F149" s="68"/>
      <c r="G149" s="68"/>
      <c r="H149" s="68"/>
      <c r="I149" s="68"/>
      <c r="J149" s="67" t="s">
        <v>5</v>
      </c>
      <c r="K149" s="64">
        <f>SUMIF(Department,"hr",BonusAmount)</f>
        <v>30550</v>
      </c>
    </row>
    <row r="150" spans="6:11">
      <c r="F150" s="63"/>
      <c r="G150" s="63"/>
      <c r="H150" s="63"/>
      <c r="I150" s="63"/>
      <c r="J150" s="63" t="s">
        <v>7</v>
      </c>
      <c r="K150" s="65">
        <f>SUMIF(Department,"Marketing",BonusAmount)</f>
        <v>27400</v>
      </c>
    </row>
    <row r="151" spans="6:11">
      <c r="F151" s="96"/>
      <c r="G151" s="63"/>
      <c r="H151" s="63"/>
      <c r="I151" s="63"/>
      <c r="J151" s="63" t="s">
        <v>6</v>
      </c>
      <c r="K151" s="64">
        <f>SUMIF(Department,"Finance",BonusAmount)</f>
        <v>28350</v>
      </c>
    </row>
    <row r="152" spans="6:11">
      <c r="F152" s="96"/>
      <c r="G152" s="63"/>
      <c r="H152" s="63"/>
      <c r="I152" s="63"/>
      <c r="J152" s="63" t="s">
        <v>4</v>
      </c>
      <c r="K152" s="64">
        <f>SUMIF(Department,"IT",BonusAmount)</f>
        <v>42800</v>
      </c>
    </row>
    <row r="153" spans="6:11">
      <c r="F153" s="63"/>
      <c r="G153" s="63"/>
      <c r="H153" s="63"/>
      <c r="I153" s="63"/>
      <c r="J153" s="63" t="s">
        <v>246</v>
      </c>
      <c r="K153" s="62">
        <f>SUM(K148:K152)</f>
        <v>157300</v>
      </c>
    </row>
    <row r="156" spans="6:11">
      <c r="F156" s="108" t="s">
        <v>319</v>
      </c>
      <c r="G156" s="108"/>
      <c r="H156" s="108"/>
      <c r="I156" s="108"/>
      <c r="J156" s="108"/>
      <c r="K156" s="60"/>
    </row>
    <row r="157" spans="6:11" ht="36">
      <c r="F157" s="109" t="s">
        <v>320</v>
      </c>
      <c r="G157" s="109"/>
      <c r="H157" s="109"/>
      <c r="I157" s="109"/>
      <c r="J157" s="109"/>
      <c r="K157" s="61" t="s">
        <v>321</v>
      </c>
    </row>
    <row r="158" spans="6:11" ht="54">
      <c r="F158" s="110" t="s">
        <v>322</v>
      </c>
      <c r="G158" s="110"/>
      <c r="H158" s="110"/>
      <c r="I158" s="110"/>
      <c r="J158" s="110"/>
      <c r="K158" s="61" t="s">
        <v>323</v>
      </c>
    </row>
    <row r="159" spans="6:11">
      <c r="F159" s="111" t="s">
        <v>324</v>
      </c>
      <c r="G159" s="111"/>
      <c r="H159" s="111"/>
      <c r="I159" s="111"/>
      <c r="J159" s="111"/>
      <c r="K159" s="60">
        <f>MEDIAN(PerformanceScore)</f>
        <v>85.5</v>
      </c>
    </row>
    <row r="164" spans="6:11">
      <c r="F164" s="112" t="s">
        <v>325</v>
      </c>
      <c r="G164" s="113"/>
      <c r="H164" s="113"/>
      <c r="I164" s="113"/>
      <c r="J164" s="113"/>
      <c r="K164" s="60"/>
    </row>
    <row r="165" spans="6:11">
      <c r="F165" s="104" t="s">
        <v>326</v>
      </c>
      <c r="G165" s="105"/>
      <c r="H165" s="105"/>
      <c r="I165" s="105"/>
      <c r="J165" s="105"/>
      <c r="K165" s="60"/>
    </row>
    <row r="166" spans="6:11">
      <c r="F166" s="106" t="s">
        <v>327</v>
      </c>
      <c r="G166" s="107"/>
      <c r="H166" s="107"/>
      <c r="I166" s="107"/>
      <c r="J166" s="107"/>
      <c r="K166" s="60"/>
    </row>
    <row r="167" spans="6:11">
      <c r="F167" s="104" t="s">
        <v>328</v>
      </c>
      <c r="G167" s="105"/>
      <c r="H167" s="105"/>
      <c r="I167" s="105"/>
      <c r="J167" s="105"/>
      <c r="K167" s="60"/>
    </row>
    <row r="171" spans="6:11">
      <c r="F171" s="96"/>
      <c r="G171" s="59" t="s">
        <v>11</v>
      </c>
      <c r="H171" s="58" t="s">
        <v>329</v>
      </c>
      <c r="I171" s="58" t="s">
        <v>1</v>
      </c>
      <c r="J171" s="58" t="s">
        <v>330</v>
      </c>
      <c r="K171" s="96"/>
    </row>
    <row r="172" spans="6:11">
      <c r="F172" s="96"/>
      <c r="G172" s="58" t="s">
        <v>224</v>
      </c>
      <c r="H172" s="96">
        <f>VLOOKUP(A97,MyAssignment8[],12)</f>
        <v>91</v>
      </c>
      <c r="I172" s="96" t="str">
        <f>VLOOKUP(A97,MyAssignment8[],7)</f>
        <v>Sales</v>
      </c>
      <c r="J172" s="37">
        <f>VLOOKUP(A97,MyAssignment8[],16)</f>
        <v>1750</v>
      </c>
      <c r="K172" s="96"/>
    </row>
    <row r="173" spans="6:11">
      <c r="F173" s="96"/>
      <c r="G173" s="58" t="s">
        <v>188</v>
      </c>
      <c r="H173" s="96">
        <f>VLOOKUP(A68,MyAssignment8[],12)</f>
        <v>81</v>
      </c>
      <c r="I173" s="96" t="str">
        <f>VLOOKUP(A68,MyAssignment8[],7)</f>
        <v>Marketing</v>
      </c>
      <c r="J173" s="37">
        <f>VLOOKUP(A68,MyAssignment8[],16)</f>
        <v>1300</v>
      </c>
      <c r="K173" s="96"/>
    </row>
    <row r="174" spans="6:11">
      <c r="F174" s="96"/>
      <c r="G174" s="58" t="s">
        <v>88</v>
      </c>
      <c r="H174" s="96">
        <f>VLOOKUP(A22,MyAssignment8[],12)</f>
        <v>83</v>
      </c>
      <c r="I174" s="96" t="str">
        <f>VLOOKUP(A22,MyAssignment8[],7)</f>
        <v>IT</v>
      </c>
      <c r="J174" s="37">
        <f>VLOOKUP(A22,MyAssignment8[],16)</f>
        <v>1450</v>
      </c>
      <c r="K174" s="96"/>
    </row>
    <row r="176" spans="6:11">
      <c r="F176" s="96"/>
      <c r="G176" s="96"/>
      <c r="H176" s="96">
        <f>VLOOKUP(G172,MyAssignment8[[#Headers],[#Data]],12)</f>
        <v>91</v>
      </c>
      <c r="I176" s="96"/>
      <c r="J176" s="96"/>
      <c r="K176" s="96"/>
    </row>
  </sheetData>
  <mergeCells count="26">
    <mergeCell ref="F111:J111"/>
    <mergeCell ref="F112:J112"/>
    <mergeCell ref="F113:J113"/>
    <mergeCell ref="F114:J114"/>
    <mergeCell ref="F115:J115"/>
    <mergeCell ref="F138:J138"/>
    <mergeCell ref="F139:J139"/>
    <mergeCell ref="F140:J140"/>
    <mergeCell ref="F125:J125"/>
    <mergeCell ref="F126:J126"/>
    <mergeCell ref="F127:J127"/>
    <mergeCell ref="F128:J128"/>
    <mergeCell ref="F137:J137"/>
    <mergeCell ref="F145:J145"/>
    <mergeCell ref="F146:J146"/>
    <mergeCell ref="F147:J147"/>
    <mergeCell ref="F148:J148"/>
    <mergeCell ref="F141:I141"/>
    <mergeCell ref="F165:J165"/>
    <mergeCell ref="F166:J166"/>
    <mergeCell ref="F167:J167"/>
    <mergeCell ref="F156:J156"/>
    <mergeCell ref="F157:J157"/>
    <mergeCell ref="F158:J158"/>
    <mergeCell ref="F159:J159"/>
    <mergeCell ref="F164:J164"/>
  </mergeCells>
  <hyperlinks>
    <hyperlink ref="K126" location="WorkedDay" display="WorkedDay" xr:uid="{6BDA2D02-8F4D-4AE1-A65D-A62BCF46C0E9}"/>
    <hyperlink ref="K127" location="YearEmployed" display="YearEmployed" xr:uid="{C999E72D-DBB0-41F1-8737-5F4CD9031E6E}"/>
    <hyperlink ref="K138" location="FullName" display="FullName" xr:uid="{5C417EB9-6BD2-4DDE-A027-5850B7F31FC9}"/>
    <hyperlink ref="K139" location="ExtractedLastName" display="ExtractedLastName" xr:uid="{DEBFF251-B649-43A9-8B2E-B4CDDF2C5056}"/>
    <hyperlink ref="K140" location="DeptInCaps" display="DeptInCaps" xr:uid="{FD07DD32-A2B0-49DE-89CA-2DBEE06225B5}"/>
    <hyperlink ref="K146" location="ProjectsCompleted_10_Yes_No" display="ProjectsCompleted_10_Yes_No" xr:uid="{D6910E8E-F02D-4CC2-B6FA-327358D6792A}"/>
    <hyperlink ref="K157" location="Over_85_and__more_than_10_projects" display="Over_85_and__more_than_10_projects" xr:uid="{36C246A2-D920-464C-9EB6-60519FA0D5E2}"/>
    <hyperlink ref="K158" location="performance___80_or_attendance_rate_below_90_." display="performance___80_or_attendance_rate_below_90_." xr:uid="{1DB544E4-E5C4-44F9-8E76-7CA187B63473}"/>
  </hyperlink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2CF7096-C7B8-4145-8EA1-3F8825C8688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AMA</dc:creator>
  <cp:keywords/>
  <dc:description/>
  <cp:lastModifiedBy>Adeniyi Stephen</cp:lastModifiedBy>
  <cp:revision/>
  <dcterms:created xsi:type="dcterms:W3CDTF">2024-09-30T03:55:26Z</dcterms:created>
  <dcterms:modified xsi:type="dcterms:W3CDTF">2024-12-15T15:59:16Z</dcterms:modified>
  <cp:category/>
  <cp:contentStatus/>
</cp:coreProperties>
</file>