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640" firstSheet="18" activeTab="30"/>
  </bookViews>
  <sheets>
    <sheet name="요금적용DB" sheetId="5" r:id="rId1"/>
    <sheet name="LNG요금적용DB" sheetId="21" r:id="rId2"/>
    <sheet name="메인전력량계" sheetId="1" r:id="rId3"/>
    <sheet name="ESS전력량계" sheetId="4" r:id="rId4"/>
    <sheet name="전력감시DATA" sheetId="2" r:id="rId5"/>
    <sheet name="전력분배" sheetId="6" r:id="rId6"/>
    <sheet name="본전력량" sheetId="3" r:id="rId7"/>
    <sheet name="본전력량 라인별" sheetId="7" r:id="rId8"/>
    <sheet name="ESS전력량" sheetId="8" r:id="rId9"/>
    <sheet name="ESS-기본할인" sheetId="9" r:id="rId10"/>
    <sheet name="ESS-충전할인" sheetId="11" r:id="rId11"/>
    <sheet name="총전력량" sheetId="10" r:id="rId12"/>
    <sheet name="라인별전력(본+ESS)" sheetId="12" r:id="rId13"/>
    <sheet name="라인별전력금액(본+ESS)" sheetId="14" r:id="rId14"/>
    <sheet name="생산량" sheetId="15" r:id="rId15"/>
    <sheet name="리스추정치" sheetId="16" r:id="rId16"/>
    <sheet name="LNG사용량" sheetId="19" r:id="rId17"/>
    <sheet name="LNG금액" sheetId="20" r:id="rId18"/>
    <sheet name="용수사용량" sheetId="23" r:id="rId19"/>
    <sheet name="용수계산" sheetId="24" r:id="rId20"/>
    <sheet name="20.1월" sheetId="13" state="hidden" r:id="rId21"/>
    <sheet name="20.1월-" sheetId="29" r:id="rId22"/>
    <sheet name="20.2월" sheetId="25" state="hidden" r:id="rId23"/>
    <sheet name="20.2월-" sheetId="30" r:id="rId24"/>
    <sheet name="20.3월" sheetId="26" state="hidden" r:id="rId25"/>
    <sheet name="20.3월-" sheetId="31" r:id="rId26"/>
    <sheet name="20.4월" sheetId="27" r:id="rId27"/>
    <sheet name="20.5월" sheetId="36" r:id="rId28"/>
    <sheet name="20.6월" sheetId="37" r:id="rId29"/>
    <sheet name="20.7월" sheetId="39" r:id="rId30"/>
    <sheet name="20.8월" sheetId="40" r:id="rId31"/>
    <sheet name="20.1Q" sheetId="34" r:id="rId32"/>
    <sheet name="20.2Q" sheetId="38" r:id="rId33"/>
    <sheet name="20.3Q" sheetId="41" r:id="rId34"/>
    <sheet name="20년 누적" sheetId="35" r:id="rId35"/>
    <sheet name="Sheet4" sheetId="22" r:id="rId36"/>
  </sheets>
  <definedNames>
    <definedName name="_xlnm._FilterDatabase" localSheetId="1" hidden="1">LNG요금적용DB!$D$2:$H$85</definedName>
    <definedName name="_xlnm._FilterDatabase" localSheetId="0" hidden="1">요금적용DB!$D$2:$H$110</definedName>
    <definedName name="_xlnm._FilterDatabase" localSheetId="18" hidden="1">용수사용량!$C$3:$M$93</definedName>
    <definedName name="_xlnm.Print_Area" localSheetId="26">'20.4월'!$D$4:$O$34</definedName>
    <definedName name="_xlnm.Print_Area" localSheetId="27">'20.5월'!$D$4:$O$34</definedName>
    <definedName name="_xlnm.Print_Area" localSheetId="28">'20.6월'!$D$4:$O$34</definedName>
    <definedName name="_xlnm.Print_Area" localSheetId="29">'20.7월'!$D$4:$O$34</definedName>
    <definedName name="_xlnm.Print_Area" localSheetId="30">'20.8월'!$D$4:$O$34</definedName>
  </definedNames>
  <calcPr calcId="145621"/>
</workbook>
</file>

<file path=xl/calcChain.xml><?xml version="1.0" encoding="utf-8"?>
<calcChain xmlns="http://schemas.openxmlformats.org/spreadsheetml/2006/main">
  <c r="K44" i="40" l="1"/>
  <c r="J44" i="40"/>
  <c r="I44" i="40"/>
  <c r="G44" i="40"/>
  <c r="L42" i="40"/>
  <c r="K42" i="40"/>
  <c r="J42" i="40"/>
  <c r="I42" i="40"/>
  <c r="H42" i="40"/>
  <c r="G42" i="40"/>
  <c r="K40" i="40" l="1"/>
  <c r="J40" i="40"/>
  <c r="I40" i="40"/>
  <c r="G40" i="40"/>
  <c r="K39" i="40"/>
  <c r="J39" i="40"/>
  <c r="I39" i="40"/>
  <c r="G39" i="40"/>
  <c r="L37" i="40"/>
  <c r="K37" i="40"/>
  <c r="J37" i="40"/>
  <c r="I37" i="40"/>
  <c r="H37" i="40"/>
  <c r="G37" i="40"/>
  <c r="L36" i="40"/>
  <c r="K36" i="40"/>
  <c r="J36" i="40"/>
  <c r="I36" i="40"/>
  <c r="H36" i="40"/>
  <c r="G36" i="40"/>
  <c r="P31" i="20" l="1"/>
  <c r="K33" i="41" l="1"/>
  <c r="J33" i="41"/>
  <c r="I33" i="41"/>
  <c r="H33" i="41"/>
  <c r="G33" i="41"/>
  <c r="F33" i="41"/>
  <c r="K32" i="41"/>
  <c r="J32" i="41"/>
  <c r="I32" i="41"/>
  <c r="H32" i="41"/>
  <c r="G32" i="41"/>
  <c r="F32" i="41"/>
  <c r="K29" i="41"/>
  <c r="J29" i="41"/>
  <c r="I29" i="41"/>
  <c r="H29" i="41"/>
  <c r="G29" i="41"/>
  <c r="F29" i="41"/>
  <c r="K28" i="41"/>
  <c r="J28" i="41"/>
  <c r="I28" i="41"/>
  <c r="H28" i="41"/>
  <c r="G28" i="41"/>
  <c r="F28" i="41"/>
  <c r="N28" i="41" s="1"/>
  <c r="K25" i="41"/>
  <c r="J25" i="41"/>
  <c r="I25" i="41"/>
  <c r="H25" i="41"/>
  <c r="G25" i="41"/>
  <c r="F25" i="41"/>
  <c r="K24" i="41"/>
  <c r="J24" i="41"/>
  <c r="I24" i="41"/>
  <c r="H24" i="41"/>
  <c r="G24" i="41"/>
  <c r="F24" i="41"/>
  <c r="K22" i="41"/>
  <c r="F22" i="41"/>
  <c r="Q15" i="41"/>
  <c r="L13" i="41"/>
  <c r="K13" i="41"/>
  <c r="J13" i="41"/>
  <c r="I13" i="41"/>
  <c r="H13" i="41"/>
  <c r="G13" i="41"/>
  <c r="F13" i="41"/>
  <c r="L12" i="41"/>
  <c r="L14" i="41" s="1"/>
  <c r="K12" i="41"/>
  <c r="J12" i="41"/>
  <c r="J14" i="41" s="1"/>
  <c r="I12" i="41"/>
  <c r="H12" i="41"/>
  <c r="H14" i="41" s="1"/>
  <c r="G12" i="41"/>
  <c r="G14" i="41" s="1"/>
  <c r="F12" i="41"/>
  <c r="F14" i="41" s="1"/>
  <c r="L11" i="41"/>
  <c r="K11" i="41"/>
  <c r="K9" i="41" s="1"/>
  <c r="J11" i="41"/>
  <c r="I11" i="41"/>
  <c r="H11" i="41"/>
  <c r="G11" i="41"/>
  <c r="F11" i="41"/>
  <c r="L10" i="41"/>
  <c r="K10" i="41"/>
  <c r="J10" i="41"/>
  <c r="J9" i="41" s="1"/>
  <c r="I10" i="41"/>
  <c r="I9" i="41" s="1"/>
  <c r="H10" i="41"/>
  <c r="H9" i="41" s="1"/>
  <c r="G10" i="41"/>
  <c r="F10" i="41"/>
  <c r="M9" i="41"/>
  <c r="L9" i="41"/>
  <c r="L8" i="41"/>
  <c r="L20" i="41" s="1"/>
  <c r="K8" i="41"/>
  <c r="J8" i="41"/>
  <c r="I8" i="41"/>
  <c r="I26" i="41" s="1"/>
  <c r="H8" i="41"/>
  <c r="F8" i="41"/>
  <c r="I13" i="6"/>
  <c r="I14" i="6"/>
  <c r="I15" i="6"/>
  <c r="I16" i="6"/>
  <c r="E13" i="6"/>
  <c r="E14" i="6"/>
  <c r="E15" i="6"/>
  <c r="E16" i="6"/>
  <c r="I12" i="6"/>
  <c r="E12" i="6"/>
  <c r="R10" i="24"/>
  <c r="Q10" i="24"/>
  <c r="P10" i="24"/>
  <c r="O10" i="24"/>
  <c r="N10" i="24"/>
  <c r="M10" i="24"/>
  <c r="V35" i="10"/>
  <c r="W35" i="10"/>
  <c r="Y35" i="10"/>
  <c r="AA35" i="10" s="1"/>
  <c r="Z35" i="10"/>
  <c r="M35" i="10"/>
  <c r="N35" i="10"/>
  <c r="Q35" i="10" s="1"/>
  <c r="O35" i="10"/>
  <c r="P35" i="10"/>
  <c r="D35" i="10"/>
  <c r="G35" i="10" s="1"/>
  <c r="E35" i="10"/>
  <c r="F35" i="10"/>
  <c r="I35" i="10"/>
  <c r="H39" i="9"/>
  <c r="I39" i="9" s="1"/>
  <c r="C39" i="9"/>
  <c r="D39" i="9"/>
  <c r="S43" i="3"/>
  <c r="N43" i="3"/>
  <c r="M43" i="3"/>
  <c r="O43" i="3" s="1"/>
  <c r="I43" i="3"/>
  <c r="D43" i="3"/>
  <c r="G43" i="3" s="1"/>
  <c r="E43" i="3"/>
  <c r="F43" i="3"/>
  <c r="Q35" i="4"/>
  <c r="N35" i="4"/>
  <c r="L35" i="4"/>
  <c r="J35" i="4"/>
  <c r="H35" i="4"/>
  <c r="F35" i="4"/>
  <c r="D35" i="4"/>
  <c r="T35" i="1"/>
  <c r="U35" i="1" s="1"/>
  <c r="S35" i="1"/>
  <c r="P35" i="1"/>
  <c r="N35" i="1"/>
  <c r="L35" i="1"/>
  <c r="J35" i="1"/>
  <c r="H35" i="1"/>
  <c r="F35" i="1"/>
  <c r="D35" i="1"/>
  <c r="V10" i="2"/>
  <c r="S10" i="2"/>
  <c r="T10" i="2"/>
  <c r="J27" i="41" l="1"/>
  <c r="H30" i="41"/>
  <c r="N10" i="41"/>
  <c r="G9" i="41"/>
  <c r="G17" i="41" s="1"/>
  <c r="K14" i="41"/>
  <c r="J17" i="41"/>
  <c r="K17" i="41"/>
  <c r="L17" i="41"/>
  <c r="J35" i="41"/>
  <c r="I14" i="41"/>
  <c r="K27" i="41"/>
  <c r="G31" i="41"/>
  <c r="K35" i="41"/>
  <c r="F26" i="41"/>
  <c r="H31" i="41"/>
  <c r="J30" i="41"/>
  <c r="F34" i="41"/>
  <c r="H17" i="41"/>
  <c r="I17" i="41"/>
  <c r="G26" i="41"/>
  <c r="I31" i="41"/>
  <c r="K30" i="41"/>
  <c r="G34" i="41"/>
  <c r="N24" i="41"/>
  <c r="N27" i="41" s="1"/>
  <c r="H26" i="41"/>
  <c r="J31" i="41"/>
  <c r="N32" i="41"/>
  <c r="N35" i="41" s="1"/>
  <c r="H34" i="41"/>
  <c r="N8" i="41"/>
  <c r="N31" i="41" s="1"/>
  <c r="N13" i="41"/>
  <c r="G27" i="41"/>
  <c r="K31" i="41"/>
  <c r="G35" i="41"/>
  <c r="I34" i="41"/>
  <c r="H27" i="41"/>
  <c r="J26" i="41"/>
  <c r="F30" i="41"/>
  <c r="H35" i="41"/>
  <c r="J34" i="41"/>
  <c r="N11" i="41"/>
  <c r="N9" i="41" s="1"/>
  <c r="N17" i="41" s="1"/>
  <c r="I27" i="41"/>
  <c r="K26" i="41"/>
  <c r="G30" i="41"/>
  <c r="I35" i="41"/>
  <c r="K34" i="41"/>
  <c r="N25" i="41"/>
  <c r="F27" i="41"/>
  <c r="I30" i="41"/>
  <c r="N33" i="41"/>
  <c r="N34" i="41" s="1"/>
  <c r="F35" i="41"/>
  <c r="N22" i="41"/>
  <c r="F23" i="41" s="1"/>
  <c r="F9" i="41"/>
  <c r="F17" i="41" s="1"/>
  <c r="N12" i="41"/>
  <c r="N29" i="41"/>
  <c r="F31" i="41"/>
  <c r="AB35" i="10"/>
  <c r="AD35" i="10" s="1"/>
  <c r="AC35" i="10"/>
  <c r="R35" i="10"/>
  <c r="T35" i="10" s="1"/>
  <c r="S35" i="10"/>
  <c r="P43" i="3"/>
  <c r="Q43" i="3" s="1"/>
  <c r="K23" i="41" l="1"/>
  <c r="N26" i="41"/>
  <c r="N14" i="41"/>
  <c r="N30" i="41"/>
  <c r="AE35" i="10"/>
  <c r="AG35" i="10" s="1"/>
  <c r="AF35" i="10"/>
  <c r="S15" i="41" l="1"/>
  <c r="G15" i="41" s="1"/>
  <c r="G16" i="41" s="1"/>
  <c r="V15" i="41"/>
  <c r="J15" i="41" s="1"/>
  <c r="J16" i="41" s="1"/>
  <c r="U15" i="41"/>
  <c r="I15" i="41" s="1"/>
  <c r="I16" i="41" s="1"/>
  <c r="R15" i="41"/>
  <c r="F15" i="41" s="1"/>
  <c r="X15" i="41"/>
  <c r="L15" i="41" s="1"/>
  <c r="L16" i="41" s="1"/>
  <c r="T15" i="41"/>
  <c r="H15" i="41" s="1"/>
  <c r="H16" i="41" s="1"/>
  <c r="W15" i="41"/>
  <c r="K15" i="41" s="1"/>
  <c r="K16" i="41" s="1"/>
  <c r="K22" i="40"/>
  <c r="F22" i="40"/>
  <c r="Q15" i="40"/>
  <c r="M9" i="40"/>
  <c r="L8" i="40"/>
  <c r="L20" i="40" s="1"/>
  <c r="K8" i="40"/>
  <c r="J8" i="40"/>
  <c r="I8" i="40"/>
  <c r="H8" i="40"/>
  <c r="F8" i="40"/>
  <c r="V5" i="19"/>
  <c r="V6" i="19" s="1"/>
  <c r="V4" i="19"/>
  <c r="I27" i="15"/>
  <c r="H32" i="15"/>
  <c r="G32" i="15"/>
  <c r="F32" i="15"/>
  <c r="E32" i="15"/>
  <c r="D32" i="15"/>
  <c r="N15" i="41" l="1"/>
  <c r="N16" i="41" s="1"/>
  <c r="F16" i="41"/>
  <c r="N22" i="40"/>
  <c r="N8" i="40"/>
  <c r="K22" i="39"/>
  <c r="F22" i="39"/>
  <c r="M18" i="39"/>
  <c r="K18" i="39"/>
  <c r="J18" i="39"/>
  <c r="I18" i="39"/>
  <c r="G18" i="39"/>
  <c r="F18" i="39"/>
  <c r="Q15" i="39"/>
  <c r="M9" i="39"/>
  <c r="L8" i="39"/>
  <c r="L20" i="39" s="1"/>
  <c r="K8" i="39"/>
  <c r="J8" i="39"/>
  <c r="I8" i="39"/>
  <c r="H8" i="39"/>
  <c r="F8" i="39"/>
  <c r="R9" i="24"/>
  <c r="Q9" i="24"/>
  <c r="P9" i="24"/>
  <c r="O9" i="24"/>
  <c r="N9" i="24"/>
  <c r="M9" i="24"/>
  <c r="P30" i="20"/>
  <c r="U4" i="19"/>
  <c r="U5" i="19"/>
  <c r="U6" i="19"/>
  <c r="I26" i="15"/>
  <c r="M34" i="10"/>
  <c r="Q34" i="10" s="1"/>
  <c r="N34" i="10"/>
  <c r="O34" i="10"/>
  <c r="P34" i="10"/>
  <c r="Y34" i="10"/>
  <c r="AA34" i="10" s="1"/>
  <c r="Z34" i="10"/>
  <c r="D34" i="10"/>
  <c r="G34" i="10" s="1"/>
  <c r="E34" i="10"/>
  <c r="F34" i="10"/>
  <c r="I34" i="10"/>
  <c r="H38" i="9"/>
  <c r="I38" i="9" s="1"/>
  <c r="C38" i="9"/>
  <c r="D38" i="9"/>
  <c r="M42" i="3"/>
  <c r="O42" i="3" s="1"/>
  <c r="N42" i="3"/>
  <c r="I42" i="3"/>
  <c r="D42" i="3"/>
  <c r="G42" i="3" s="1"/>
  <c r="E42" i="3"/>
  <c r="F42" i="3"/>
  <c r="V9" i="2"/>
  <c r="T9" i="2"/>
  <c r="S9" i="2"/>
  <c r="N18" i="39" l="1"/>
  <c r="N22" i="39"/>
  <c r="I21" i="39"/>
  <c r="J21" i="39"/>
  <c r="K21" i="39"/>
  <c r="G21" i="39"/>
  <c r="N8" i="39"/>
  <c r="F21" i="39"/>
  <c r="R34" i="10"/>
  <c r="S34" i="10"/>
  <c r="T34" i="10"/>
  <c r="V34" i="10" s="1"/>
  <c r="W34" i="10"/>
  <c r="AB34" i="10"/>
  <c r="AD34" i="10" s="1"/>
  <c r="AE34" i="10" s="1"/>
  <c r="AC34" i="10"/>
  <c r="P42" i="3"/>
  <c r="N21" i="39" l="1"/>
  <c r="AG34" i="10"/>
  <c r="AF34" i="10"/>
  <c r="S42" i="3"/>
  <c r="Q42" i="3"/>
  <c r="Q34" i="4" l="1"/>
  <c r="N34" i="4"/>
  <c r="L34" i="4"/>
  <c r="J34" i="4"/>
  <c r="H34" i="4"/>
  <c r="F34" i="4"/>
  <c r="D34" i="4"/>
  <c r="E34" i="1"/>
  <c r="T34" i="1"/>
  <c r="S34" i="1"/>
  <c r="U34" i="1" s="1"/>
  <c r="P34" i="1"/>
  <c r="N34" i="1"/>
  <c r="L34" i="1"/>
  <c r="J34" i="1"/>
  <c r="H34" i="1"/>
  <c r="F34" i="1"/>
  <c r="D34" i="1"/>
  <c r="P29" i="20" l="1"/>
  <c r="T4" i="19"/>
  <c r="T5" i="19"/>
  <c r="M9" i="38"/>
  <c r="Q15" i="37"/>
  <c r="M9" i="37"/>
  <c r="K8" i="37"/>
  <c r="J8" i="37"/>
  <c r="I8" i="37"/>
  <c r="H8" i="37"/>
  <c r="F8" i="37"/>
  <c r="I25" i="15"/>
  <c r="I33" i="10"/>
  <c r="M33" i="10" s="1"/>
  <c r="O33" i="10" s="1"/>
  <c r="I41" i="3"/>
  <c r="M41" i="3" s="1"/>
  <c r="N33" i="4"/>
  <c r="C37" i="9" s="1"/>
  <c r="L33" i="4"/>
  <c r="J33" i="4"/>
  <c r="H33" i="4"/>
  <c r="D37" i="9" s="1"/>
  <c r="F33" i="4"/>
  <c r="D33" i="4"/>
  <c r="P33" i="1"/>
  <c r="T33" i="1" s="1"/>
  <c r="N33" i="1"/>
  <c r="S33" i="1" s="1"/>
  <c r="L33" i="1"/>
  <c r="J33" i="1"/>
  <c r="H33" i="1"/>
  <c r="F41" i="3" s="1"/>
  <c r="F33" i="1"/>
  <c r="E41" i="3" s="1"/>
  <c r="V8" i="2"/>
  <c r="S8" i="2"/>
  <c r="T8" i="2" s="1"/>
  <c r="T6" i="19" l="1"/>
  <c r="H37" i="9"/>
  <c r="I37" i="9" s="1"/>
  <c r="P33" i="10" s="1"/>
  <c r="O41" i="3"/>
  <c r="Q33" i="4"/>
  <c r="U33" i="1"/>
  <c r="K62" i="24" l="1"/>
  <c r="V7" i="2" l="1"/>
  <c r="V6" i="2"/>
  <c r="V5" i="2"/>
  <c r="V4" i="2"/>
  <c r="V3" i="2"/>
  <c r="S5" i="19"/>
  <c r="S4" i="19"/>
  <c r="I24" i="15"/>
  <c r="L8" i="37" s="1"/>
  <c r="I32" i="10"/>
  <c r="M32" i="10" s="1"/>
  <c r="O32" i="10" s="1"/>
  <c r="I40" i="3"/>
  <c r="M40" i="3" s="1"/>
  <c r="O40" i="3" s="1"/>
  <c r="E32" i="1"/>
  <c r="D33" i="1" s="1"/>
  <c r="D41" i="3" s="1"/>
  <c r="S7" i="2"/>
  <c r="T7" i="2" s="1"/>
  <c r="L20" i="37" l="1"/>
  <c r="N8" i="37"/>
  <c r="G41" i="3"/>
  <c r="N41" i="3"/>
  <c r="P41" i="3" s="1"/>
  <c r="S6" i="19"/>
  <c r="N32" i="4"/>
  <c r="C36" i="9" s="1"/>
  <c r="L32" i="4"/>
  <c r="J32" i="4"/>
  <c r="H32" i="4"/>
  <c r="D36" i="9" s="1"/>
  <c r="F32" i="4"/>
  <c r="D32" i="4"/>
  <c r="P32" i="1"/>
  <c r="T32" i="1" s="1"/>
  <c r="N32" i="1"/>
  <c r="S32" i="1" s="1"/>
  <c r="L32" i="1"/>
  <c r="J32" i="1"/>
  <c r="H32" i="1"/>
  <c r="F40" i="3" s="1"/>
  <c r="F32" i="1"/>
  <c r="E40" i="3" s="1"/>
  <c r="D32" i="1"/>
  <c r="D40" i="3" s="1"/>
  <c r="Q15" i="36"/>
  <c r="M9" i="36"/>
  <c r="L8" i="36"/>
  <c r="L20" i="36" s="1"/>
  <c r="K8" i="36"/>
  <c r="J8" i="36"/>
  <c r="I8" i="36"/>
  <c r="H8" i="36"/>
  <c r="F8" i="36"/>
  <c r="Q41" i="3" l="1"/>
  <c r="S41" i="3" s="1"/>
  <c r="Q32" i="4"/>
  <c r="U32" i="1"/>
  <c r="H36" i="9"/>
  <c r="I36" i="9" s="1"/>
  <c r="P32" i="10" s="1"/>
  <c r="G40" i="3"/>
  <c r="N40" i="3"/>
  <c r="P40" i="3" s="1"/>
  <c r="N8" i="36"/>
  <c r="Q40" i="3" l="1"/>
  <c r="S40" i="3" s="1"/>
  <c r="R26" i="19"/>
  <c r="R29" i="19" s="1"/>
  <c r="Q26" i="19"/>
  <c r="P26" i="19"/>
  <c r="P29" i="19" s="1"/>
  <c r="O26" i="19"/>
  <c r="O29" i="19" s="1"/>
  <c r="Q29" i="19" l="1"/>
  <c r="Q30" i="19" s="1"/>
  <c r="O30" i="19"/>
  <c r="P30" i="19"/>
  <c r="R30" i="19"/>
  <c r="N2" i="6"/>
  <c r="Q8" i="6"/>
  <c r="O2" i="6" l="1"/>
  <c r="P2" i="6" s="1"/>
  <c r="J8" i="27"/>
  <c r="R22" i="19" l="1"/>
  <c r="S22" i="19"/>
  <c r="T22" i="19"/>
  <c r="U22" i="19"/>
  <c r="V22" i="19"/>
  <c r="W22" i="19"/>
  <c r="X22" i="19"/>
  <c r="Y22" i="19"/>
  <c r="Z22" i="19"/>
  <c r="R5" i="19" l="1"/>
  <c r="R4" i="19"/>
  <c r="I23" i="15"/>
  <c r="I31" i="10"/>
  <c r="M31" i="10" s="1"/>
  <c r="O31" i="10" s="1"/>
  <c r="I39" i="3"/>
  <c r="M39" i="3" s="1"/>
  <c r="O39" i="3" s="1"/>
  <c r="S6" i="2"/>
  <c r="T6" i="2" s="1"/>
  <c r="R6" i="19" l="1"/>
  <c r="N31" i="4"/>
  <c r="C35" i="9" s="1"/>
  <c r="L31" i="4"/>
  <c r="J31" i="4"/>
  <c r="H31" i="4"/>
  <c r="D35" i="9" s="1"/>
  <c r="F31" i="4"/>
  <c r="D31" i="4"/>
  <c r="Q31" i="4" l="1"/>
  <c r="H35" i="9"/>
  <c r="I35" i="9" s="1"/>
  <c r="P31" i="10" s="1"/>
  <c r="P31" i="1"/>
  <c r="T31" i="1" s="1"/>
  <c r="N31" i="1"/>
  <c r="S31" i="1" s="1"/>
  <c r="L31" i="1"/>
  <c r="J31" i="1"/>
  <c r="H31" i="1"/>
  <c r="F39" i="3" s="1"/>
  <c r="F31" i="1"/>
  <c r="E39" i="3" s="1"/>
  <c r="D31" i="1"/>
  <c r="D39" i="3" s="1"/>
  <c r="U31" i="1" l="1"/>
  <c r="G39" i="3"/>
  <c r="N39" i="3"/>
  <c r="P39" i="3" s="1"/>
  <c r="Q39" i="3" s="1"/>
  <c r="S39" i="3" s="1"/>
  <c r="H35" i="19"/>
  <c r="H34" i="19"/>
  <c r="H33" i="19"/>
  <c r="H32" i="19"/>
  <c r="H31" i="19"/>
  <c r="K18" i="40" s="1"/>
  <c r="K21" i="40" s="1"/>
  <c r="H30" i="19"/>
  <c r="H29" i="19"/>
  <c r="H28" i="19"/>
  <c r="H27" i="19"/>
  <c r="D35" i="19"/>
  <c r="D34" i="19"/>
  <c r="D33" i="19"/>
  <c r="D32" i="19"/>
  <c r="D31" i="19"/>
  <c r="F18" i="40" s="1"/>
  <c r="F21" i="40" s="1"/>
  <c r="D30" i="19"/>
  <c r="D29" i="19"/>
  <c r="D28" i="19"/>
  <c r="D27" i="19"/>
  <c r="L8" i="35"/>
  <c r="L20" i="35" s="1"/>
  <c r="K8" i="35"/>
  <c r="J8" i="35"/>
  <c r="I8" i="35"/>
  <c r="H8" i="35"/>
  <c r="F8" i="35"/>
  <c r="M9" i="35"/>
  <c r="Q15" i="34"/>
  <c r="E41" i="16"/>
  <c r="E37" i="16"/>
  <c r="E33" i="16"/>
  <c r="Q15" i="38" s="1"/>
  <c r="S61" i="23"/>
  <c r="T61" i="23"/>
  <c r="U61" i="23"/>
  <c r="V61" i="23"/>
  <c r="W61" i="23"/>
  <c r="S62" i="23"/>
  <c r="T62" i="23"/>
  <c r="U62" i="23"/>
  <c r="V62" i="23"/>
  <c r="W62" i="23"/>
  <c r="S63" i="23"/>
  <c r="T63" i="23"/>
  <c r="U63" i="23"/>
  <c r="V63" i="23"/>
  <c r="W63" i="23"/>
  <c r="R63" i="23"/>
  <c r="R62" i="23"/>
  <c r="R61" i="23"/>
  <c r="G61" i="23"/>
  <c r="H61" i="23"/>
  <c r="I61" i="23"/>
  <c r="J61" i="23"/>
  <c r="K61" i="23"/>
  <c r="G62" i="23"/>
  <c r="H62" i="23"/>
  <c r="I62" i="23"/>
  <c r="J62" i="23"/>
  <c r="K62" i="23"/>
  <c r="G63" i="23"/>
  <c r="H63" i="23"/>
  <c r="I63" i="23"/>
  <c r="J63" i="23"/>
  <c r="K63" i="23"/>
  <c r="F62" i="23"/>
  <c r="F63" i="23"/>
  <c r="F61" i="23"/>
  <c r="T48" i="23"/>
  <c r="U48" i="23"/>
  <c r="V48" i="23"/>
  <c r="W48" i="23"/>
  <c r="T49" i="23"/>
  <c r="U49" i="23"/>
  <c r="V49" i="23"/>
  <c r="W49" i="23"/>
  <c r="T50" i="23"/>
  <c r="U50" i="23"/>
  <c r="V50" i="23"/>
  <c r="W50" i="23"/>
  <c r="T51" i="23"/>
  <c r="U51" i="23"/>
  <c r="V51" i="23"/>
  <c r="W51" i="23"/>
  <c r="R51" i="23"/>
  <c r="R50" i="23"/>
  <c r="R49" i="23"/>
  <c r="R48" i="23"/>
  <c r="H48" i="23"/>
  <c r="I48" i="23"/>
  <c r="J48" i="23"/>
  <c r="K48" i="23"/>
  <c r="H49" i="23"/>
  <c r="I49" i="23"/>
  <c r="J49" i="23"/>
  <c r="K49" i="23"/>
  <c r="H50" i="23"/>
  <c r="I50" i="23"/>
  <c r="J50" i="23"/>
  <c r="K50" i="23"/>
  <c r="H51" i="23"/>
  <c r="I51" i="23"/>
  <c r="J51" i="23"/>
  <c r="K51" i="23"/>
  <c r="F51" i="23"/>
  <c r="F50" i="23"/>
  <c r="F49" i="23"/>
  <c r="F48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R35" i="23"/>
  <c r="R34" i="23"/>
  <c r="R33" i="23"/>
  <c r="R32" i="23"/>
  <c r="S16" i="23"/>
  <c r="T16" i="23"/>
  <c r="U16" i="23"/>
  <c r="V16" i="23"/>
  <c r="W16" i="23"/>
  <c r="S17" i="23"/>
  <c r="T17" i="23"/>
  <c r="U17" i="23"/>
  <c r="V17" i="23"/>
  <c r="W17" i="23"/>
  <c r="S18" i="23"/>
  <c r="T18" i="23"/>
  <c r="U18" i="23"/>
  <c r="V18" i="23"/>
  <c r="W18" i="23"/>
  <c r="S19" i="23"/>
  <c r="T19" i="23"/>
  <c r="U19" i="23"/>
  <c r="V19" i="23"/>
  <c r="W19" i="23"/>
  <c r="R19" i="23"/>
  <c r="R18" i="23"/>
  <c r="R17" i="23"/>
  <c r="R16" i="23"/>
  <c r="H32" i="23"/>
  <c r="I32" i="23"/>
  <c r="J32" i="23"/>
  <c r="K32" i="23"/>
  <c r="H33" i="23"/>
  <c r="I33" i="23"/>
  <c r="J33" i="23"/>
  <c r="K33" i="23"/>
  <c r="H34" i="23"/>
  <c r="I34" i="23"/>
  <c r="J34" i="23"/>
  <c r="K34" i="23"/>
  <c r="H35" i="23"/>
  <c r="I35" i="23"/>
  <c r="J35" i="23"/>
  <c r="K35" i="23"/>
  <c r="F35" i="23"/>
  <c r="F34" i="23"/>
  <c r="F33" i="23"/>
  <c r="F32" i="23"/>
  <c r="H16" i="23"/>
  <c r="I16" i="23"/>
  <c r="J16" i="23"/>
  <c r="K16" i="23"/>
  <c r="H17" i="23"/>
  <c r="I17" i="23"/>
  <c r="J17" i="23"/>
  <c r="K17" i="23"/>
  <c r="H18" i="23"/>
  <c r="I18" i="23"/>
  <c r="J18" i="23"/>
  <c r="K18" i="23"/>
  <c r="H19" i="23"/>
  <c r="I19" i="23"/>
  <c r="J19" i="23"/>
  <c r="K19" i="23"/>
  <c r="F19" i="23"/>
  <c r="F18" i="23"/>
  <c r="F17" i="23"/>
  <c r="F16" i="23"/>
  <c r="K18" i="36" l="1"/>
  <c r="K21" i="36" s="1"/>
  <c r="K18" i="37"/>
  <c r="K21" i="37" s="1"/>
  <c r="F18" i="36"/>
  <c r="F21" i="36" s="1"/>
  <c r="F18" i="37"/>
  <c r="K21" i="35"/>
  <c r="N8" i="35"/>
  <c r="F21" i="37" l="1"/>
  <c r="H39" i="19"/>
  <c r="D39" i="19"/>
  <c r="H38" i="19"/>
  <c r="K18" i="41" s="1"/>
  <c r="K21" i="41" s="1"/>
  <c r="D38" i="19"/>
  <c r="F18" i="41" s="1"/>
  <c r="F21" i="41" s="1"/>
  <c r="H37" i="19"/>
  <c r="D37" i="19"/>
  <c r="E20" i="19"/>
  <c r="F20" i="19"/>
  <c r="G20" i="19"/>
  <c r="H20" i="19"/>
  <c r="I20" i="19"/>
  <c r="E21" i="19"/>
  <c r="F21" i="19"/>
  <c r="G21" i="19"/>
  <c r="H21" i="19"/>
  <c r="I21" i="19"/>
  <c r="E22" i="19"/>
  <c r="F22" i="19"/>
  <c r="G22" i="19"/>
  <c r="H22" i="19"/>
  <c r="I22" i="19"/>
  <c r="E23" i="19"/>
  <c r="F23" i="19"/>
  <c r="G23" i="19"/>
  <c r="H23" i="19"/>
  <c r="I23" i="19"/>
  <c r="D23" i="19"/>
  <c r="D22" i="19"/>
  <c r="D21" i="19"/>
  <c r="D20" i="19"/>
  <c r="J24" i="19"/>
  <c r="K24" i="20" s="1"/>
  <c r="D24" i="20" s="1"/>
  <c r="J25" i="19"/>
  <c r="K25" i="20" s="1"/>
  <c r="E26" i="19"/>
  <c r="E36" i="19" s="1"/>
  <c r="F26" i="19"/>
  <c r="F36" i="19" s="1"/>
  <c r="G26" i="19"/>
  <c r="G36" i="19" s="1"/>
  <c r="I26" i="19"/>
  <c r="I36" i="19" s="1"/>
  <c r="E27" i="19"/>
  <c r="G18" i="27" s="1"/>
  <c r="F27" i="19"/>
  <c r="I18" i="27" s="1"/>
  <c r="G27" i="19"/>
  <c r="J18" i="27" s="1"/>
  <c r="I27" i="19"/>
  <c r="M18" i="27" s="1"/>
  <c r="K27" i="19"/>
  <c r="L27" i="19"/>
  <c r="K22" i="27" s="1"/>
  <c r="E28" i="19"/>
  <c r="F28" i="19"/>
  <c r="G28" i="19"/>
  <c r="I28" i="19"/>
  <c r="K28" i="19"/>
  <c r="L28" i="19"/>
  <c r="E29" i="19"/>
  <c r="F29" i="19"/>
  <c r="G29" i="19"/>
  <c r="I29" i="19"/>
  <c r="K29" i="19"/>
  <c r="L29" i="19"/>
  <c r="E30" i="19"/>
  <c r="F30" i="19"/>
  <c r="G30" i="19"/>
  <c r="I30" i="19"/>
  <c r="K30" i="19"/>
  <c r="L30" i="19"/>
  <c r="E31" i="19"/>
  <c r="G18" i="40" s="1"/>
  <c r="G21" i="40" s="1"/>
  <c r="F31" i="19"/>
  <c r="I18" i="40" s="1"/>
  <c r="I21" i="40" s="1"/>
  <c r="G31" i="19"/>
  <c r="J18" i="40" s="1"/>
  <c r="I31" i="19"/>
  <c r="M18" i="40" s="1"/>
  <c r="K31" i="19"/>
  <c r="L31" i="19"/>
  <c r="E32" i="19"/>
  <c r="F32" i="19"/>
  <c r="G32" i="19"/>
  <c r="I32" i="19"/>
  <c r="K32" i="19"/>
  <c r="L32" i="19"/>
  <c r="E33" i="19"/>
  <c r="F33" i="19"/>
  <c r="G33" i="19"/>
  <c r="I33" i="19"/>
  <c r="K33" i="19"/>
  <c r="L33" i="19"/>
  <c r="E34" i="19"/>
  <c r="F34" i="19"/>
  <c r="G34" i="19"/>
  <c r="I34" i="19"/>
  <c r="K34" i="19"/>
  <c r="L34" i="19"/>
  <c r="E35" i="19"/>
  <c r="F35" i="19"/>
  <c r="G35" i="19"/>
  <c r="I35" i="19"/>
  <c r="K35" i="19"/>
  <c r="L35" i="19"/>
  <c r="M9" i="34"/>
  <c r="K8" i="34"/>
  <c r="J8" i="34"/>
  <c r="I8" i="34"/>
  <c r="H8" i="34"/>
  <c r="F8" i="34"/>
  <c r="F188" i="16"/>
  <c r="F189" i="16"/>
  <c r="F190" i="16"/>
  <c r="F191" i="16"/>
  <c r="F192" i="16"/>
  <c r="F193" i="16"/>
  <c r="F194" i="16"/>
  <c r="F195" i="16"/>
  <c r="F196" i="16"/>
  <c r="F197" i="16"/>
  <c r="F187" i="16"/>
  <c r="F186" i="16"/>
  <c r="F176" i="16"/>
  <c r="F177" i="16"/>
  <c r="F178" i="16"/>
  <c r="F179" i="16"/>
  <c r="F180" i="16"/>
  <c r="F181" i="16"/>
  <c r="F182" i="16"/>
  <c r="F183" i="16"/>
  <c r="F184" i="16"/>
  <c r="F185" i="16"/>
  <c r="F175" i="16"/>
  <c r="F174" i="16"/>
  <c r="F164" i="16"/>
  <c r="F165" i="16"/>
  <c r="F166" i="16"/>
  <c r="F167" i="16"/>
  <c r="F168" i="16"/>
  <c r="F169" i="16"/>
  <c r="F170" i="16"/>
  <c r="F171" i="16"/>
  <c r="F172" i="16"/>
  <c r="F173" i="16"/>
  <c r="F163" i="16"/>
  <c r="F162" i="16"/>
  <c r="F152" i="16"/>
  <c r="F153" i="16"/>
  <c r="F154" i="16"/>
  <c r="F155" i="16"/>
  <c r="F156" i="16"/>
  <c r="F157" i="16"/>
  <c r="F158" i="16"/>
  <c r="F159" i="16"/>
  <c r="F160" i="16"/>
  <c r="F161" i="16"/>
  <c r="F151" i="16"/>
  <c r="F150" i="16"/>
  <c r="F140" i="16"/>
  <c r="F141" i="16"/>
  <c r="F142" i="16"/>
  <c r="F143" i="16"/>
  <c r="F144" i="16"/>
  <c r="F145" i="16"/>
  <c r="F146" i="16"/>
  <c r="F147" i="16"/>
  <c r="F148" i="16"/>
  <c r="F149" i="16"/>
  <c r="F139" i="16"/>
  <c r="F138" i="16"/>
  <c r="F128" i="16"/>
  <c r="F129" i="16"/>
  <c r="F130" i="16"/>
  <c r="F131" i="16"/>
  <c r="F132" i="16"/>
  <c r="F133" i="16"/>
  <c r="F134" i="16"/>
  <c r="F135" i="16"/>
  <c r="F136" i="16"/>
  <c r="F137" i="16"/>
  <c r="F127" i="16"/>
  <c r="F126" i="16"/>
  <c r="F116" i="16"/>
  <c r="F117" i="16"/>
  <c r="F118" i="16"/>
  <c r="F119" i="16"/>
  <c r="F120" i="16"/>
  <c r="F121" i="16"/>
  <c r="F122" i="16"/>
  <c r="F123" i="16"/>
  <c r="F124" i="16"/>
  <c r="F125" i="16"/>
  <c r="F115" i="16"/>
  <c r="F114" i="16"/>
  <c r="F104" i="16"/>
  <c r="F105" i="16"/>
  <c r="F106" i="16"/>
  <c r="F107" i="16"/>
  <c r="F108" i="16"/>
  <c r="F109" i="16"/>
  <c r="F110" i="16"/>
  <c r="F111" i="16"/>
  <c r="F112" i="16"/>
  <c r="F113" i="16"/>
  <c r="F103" i="16"/>
  <c r="F102" i="16"/>
  <c r="F92" i="16"/>
  <c r="F93" i="16"/>
  <c r="F94" i="16"/>
  <c r="F95" i="16"/>
  <c r="F96" i="16"/>
  <c r="F97" i="16"/>
  <c r="F98" i="16"/>
  <c r="F99" i="16"/>
  <c r="F100" i="16"/>
  <c r="F101" i="16"/>
  <c r="F91" i="16"/>
  <c r="F90" i="16"/>
  <c r="F80" i="16"/>
  <c r="F81" i="16"/>
  <c r="F82" i="16"/>
  <c r="F83" i="16"/>
  <c r="F84" i="16"/>
  <c r="F85" i="16"/>
  <c r="F86" i="16"/>
  <c r="F87" i="16"/>
  <c r="F88" i="16"/>
  <c r="F89" i="16"/>
  <c r="F79" i="16"/>
  <c r="F78" i="16"/>
  <c r="F68" i="16"/>
  <c r="F69" i="16"/>
  <c r="F70" i="16"/>
  <c r="F71" i="16"/>
  <c r="F72" i="16"/>
  <c r="F73" i="16"/>
  <c r="F74" i="16"/>
  <c r="F75" i="16"/>
  <c r="F76" i="16"/>
  <c r="F77" i="16"/>
  <c r="F67" i="16"/>
  <c r="F66" i="16"/>
  <c r="F65" i="16"/>
  <c r="F56" i="16"/>
  <c r="F57" i="16"/>
  <c r="F58" i="16"/>
  <c r="F59" i="16"/>
  <c r="F60" i="16"/>
  <c r="F61" i="16"/>
  <c r="F62" i="16"/>
  <c r="F63" i="16"/>
  <c r="F64" i="16"/>
  <c r="F55" i="16"/>
  <c r="F54" i="16"/>
  <c r="F44" i="16"/>
  <c r="F45" i="16"/>
  <c r="F46" i="16"/>
  <c r="F47" i="16"/>
  <c r="F48" i="16"/>
  <c r="F49" i="16"/>
  <c r="F50" i="16"/>
  <c r="F51" i="16"/>
  <c r="F52" i="16"/>
  <c r="F53" i="16"/>
  <c r="F43" i="16"/>
  <c r="F42" i="16"/>
  <c r="F28" i="16"/>
  <c r="F30" i="16"/>
  <c r="Q15" i="35" s="1"/>
  <c r="F31" i="16"/>
  <c r="F32" i="16"/>
  <c r="F34" i="16"/>
  <c r="F35" i="16"/>
  <c r="F36" i="16"/>
  <c r="F38" i="16"/>
  <c r="F39" i="16"/>
  <c r="F40" i="16"/>
  <c r="F27" i="16"/>
  <c r="F26" i="16"/>
  <c r="F12" i="16"/>
  <c r="F14" i="16"/>
  <c r="F15" i="16"/>
  <c r="F16" i="16"/>
  <c r="F18" i="16"/>
  <c r="F19" i="16"/>
  <c r="F20" i="16"/>
  <c r="F22" i="16"/>
  <c r="F23" i="16"/>
  <c r="F24" i="16"/>
  <c r="F11" i="16"/>
  <c r="F10" i="16"/>
  <c r="F4" i="16"/>
  <c r="F6" i="16"/>
  <c r="F7" i="16"/>
  <c r="F8" i="16"/>
  <c r="F3" i="16"/>
  <c r="I35" i="15"/>
  <c r="H35" i="15"/>
  <c r="G35" i="15"/>
  <c r="F35" i="15"/>
  <c r="E35" i="15"/>
  <c r="D35" i="15"/>
  <c r="I34" i="15"/>
  <c r="H34" i="15"/>
  <c r="G34" i="15"/>
  <c r="F34" i="15"/>
  <c r="E34" i="15"/>
  <c r="D34" i="15"/>
  <c r="I33" i="15"/>
  <c r="H33" i="15"/>
  <c r="K8" i="38" s="1"/>
  <c r="G33" i="15"/>
  <c r="J8" i="38" s="1"/>
  <c r="F33" i="15"/>
  <c r="I8" i="38" s="1"/>
  <c r="E33" i="15"/>
  <c r="H8" i="38" s="1"/>
  <c r="D33" i="15"/>
  <c r="F8" i="38" s="1"/>
  <c r="I32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19" i="15"/>
  <c r="F19" i="15"/>
  <c r="G19" i="15"/>
  <c r="H19" i="15"/>
  <c r="I19" i="15"/>
  <c r="D19" i="15"/>
  <c r="D18" i="15"/>
  <c r="D17" i="15"/>
  <c r="D16" i="15"/>
  <c r="R51" i="3"/>
  <c r="Q51" i="3"/>
  <c r="P51" i="3"/>
  <c r="O51" i="3"/>
  <c r="N51" i="3"/>
  <c r="M51" i="3"/>
  <c r="F51" i="3"/>
  <c r="E51" i="3"/>
  <c r="D51" i="3"/>
  <c r="R50" i="3"/>
  <c r="Q50" i="3"/>
  <c r="P50" i="3"/>
  <c r="O50" i="3"/>
  <c r="N50" i="3"/>
  <c r="M50" i="3"/>
  <c r="F50" i="3"/>
  <c r="E50" i="3"/>
  <c r="D50" i="3"/>
  <c r="R49" i="3"/>
  <c r="Q49" i="3"/>
  <c r="P49" i="3"/>
  <c r="O49" i="3"/>
  <c r="N49" i="3"/>
  <c r="M49" i="3"/>
  <c r="F49" i="3"/>
  <c r="E49" i="3"/>
  <c r="D49" i="3"/>
  <c r="R48" i="3"/>
  <c r="R35" i="3"/>
  <c r="R34" i="3"/>
  <c r="R33" i="3"/>
  <c r="R32" i="3"/>
  <c r="R19" i="3"/>
  <c r="R18" i="3"/>
  <c r="R17" i="3"/>
  <c r="R16" i="3"/>
  <c r="F8" i="6"/>
  <c r="K8" i="6"/>
  <c r="J7" i="7" s="1"/>
  <c r="F9" i="6"/>
  <c r="E8" i="7" s="1"/>
  <c r="K9" i="6"/>
  <c r="J8" i="7" s="1"/>
  <c r="F10" i="6"/>
  <c r="E9" i="7" s="1"/>
  <c r="K10" i="6"/>
  <c r="J9" i="7" s="1"/>
  <c r="F11" i="6"/>
  <c r="E10" i="7" s="1"/>
  <c r="K11" i="6"/>
  <c r="F12" i="6"/>
  <c r="E11" i="7" s="1"/>
  <c r="K12" i="6"/>
  <c r="J11" i="7" s="1"/>
  <c r="F13" i="6"/>
  <c r="E12" i="7" s="1"/>
  <c r="K13" i="6"/>
  <c r="J12" i="7" s="1"/>
  <c r="F14" i="6"/>
  <c r="K14" i="6"/>
  <c r="J13" i="7" s="1"/>
  <c r="F15" i="6"/>
  <c r="E14" i="7" s="1"/>
  <c r="K15" i="6"/>
  <c r="J14" i="7" s="1"/>
  <c r="F16" i="6"/>
  <c r="E15" i="7" s="1"/>
  <c r="K16" i="6"/>
  <c r="J15" i="7" s="1"/>
  <c r="F5" i="6"/>
  <c r="K5" i="6"/>
  <c r="F6" i="6"/>
  <c r="K6" i="6"/>
  <c r="K7" i="6"/>
  <c r="J6" i="7" s="1"/>
  <c r="F7" i="6"/>
  <c r="E6" i="7" s="1"/>
  <c r="M17" i="6"/>
  <c r="S17" i="6"/>
  <c r="M18" i="6"/>
  <c r="S18" i="6"/>
  <c r="M19" i="6"/>
  <c r="S19" i="6"/>
  <c r="M20" i="6"/>
  <c r="S20" i="6"/>
  <c r="N16" i="6"/>
  <c r="O16" i="6"/>
  <c r="P16" i="6"/>
  <c r="D15" i="7" s="1"/>
  <c r="Q16" i="6"/>
  <c r="T16" i="6"/>
  <c r="P8" i="6"/>
  <c r="E8" i="6" s="1"/>
  <c r="T8" i="6"/>
  <c r="N9" i="6"/>
  <c r="O9" i="6"/>
  <c r="P9" i="6"/>
  <c r="E9" i="6" s="1"/>
  <c r="D8" i="7" s="1"/>
  <c r="Q9" i="6"/>
  <c r="T9" i="6"/>
  <c r="N10" i="6"/>
  <c r="O10" i="6"/>
  <c r="P10" i="6"/>
  <c r="E10" i="6" s="1"/>
  <c r="D9" i="7" s="1"/>
  <c r="Q10" i="6"/>
  <c r="T10" i="6"/>
  <c r="N11" i="6"/>
  <c r="O11" i="6"/>
  <c r="P11" i="6"/>
  <c r="Q11" i="6"/>
  <c r="T11" i="6"/>
  <c r="N12" i="6"/>
  <c r="O12" i="6"/>
  <c r="P12" i="6"/>
  <c r="D11" i="7" s="1"/>
  <c r="Q12" i="6"/>
  <c r="T12" i="6"/>
  <c r="N13" i="6"/>
  <c r="O13" i="6"/>
  <c r="P13" i="6"/>
  <c r="Q13" i="6"/>
  <c r="T13" i="6"/>
  <c r="N14" i="6"/>
  <c r="O14" i="6"/>
  <c r="P14" i="6"/>
  <c r="Q14" i="6"/>
  <c r="T14" i="6"/>
  <c r="N15" i="6"/>
  <c r="O15" i="6"/>
  <c r="P15" i="6"/>
  <c r="Q15" i="6"/>
  <c r="T15" i="6"/>
  <c r="K32" i="31"/>
  <c r="J32" i="31"/>
  <c r="I32" i="31"/>
  <c r="H32" i="31"/>
  <c r="G32" i="31"/>
  <c r="F32" i="31"/>
  <c r="K31" i="31"/>
  <c r="J31" i="31"/>
  <c r="I31" i="31"/>
  <c r="H31" i="31"/>
  <c r="G31" i="31"/>
  <c r="F31" i="31"/>
  <c r="K28" i="31"/>
  <c r="J28" i="31"/>
  <c r="I28" i="31"/>
  <c r="H28" i="31"/>
  <c r="G28" i="31"/>
  <c r="F28" i="31"/>
  <c r="K27" i="31"/>
  <c r="J27" i="31"/>
  <c r="I27" i="31"/>
  <c r="H27" i="31"/>
  <c r="G27" i="31"/>
  <c r="F27" i="31"/>
  <c r="K24" i="31"/>
  <c r="J24" i="31"/>
  <c r="I24" i="31"/>
  <c r="H24" i="31"/>
  <c r="G24" i="31"/>
  <c r="F24" i="31"/>
  <c r="K23" i="31"/>
  <c r="J23" i="31"/>
  <c r="I23" i="31"/>
  <c r="H23" i="31"/>
  <c r="G23" i="31"/>
  <c r="F23" i="31"/>
  <c r="M18" i="31"/>
  <c r="J18" i="31"/>
  <c r="G18" i="31"/>
  <c r="Q15" i="31"/>
  <c r="N13" i="31"/>
  <c r="L14" i="31"/>
  <c r="K14" i="31"/>
  <c r="J14" i="31"/>
  <c r="I14" i="31"/>
  <c r="H14" i="31"/>
  <c r="G14" i="31"/>
  <c r="F14" i="31"/>
  <c r="N11" i="31"/>
  <c r="L9" i="31"/>
  <c r="K9" i="31"/>
  <c r="H9" i="31"/>
  <c r="N10" i="31"/>
  <c r="M9" i="31"/>
  <c r="J9" i="31"/>
  <c r="I9" i="31"/>
  <c r="G9" i="31"/>
  <c r="L8" i="31"/>
  <c r="L20" i="31" s="1"/>
  <c r="K8" i="31"/>
  <c r="J8" i="31"/>
  <c r="I8" i="31"/>
  <c r="H8" i="31"/>
  <c r="F8" i="31"/>
  <c r="K32" i="30"/>
  <c r="J32" i="30"/>
  <c r="I32" i="30"/>
  <c r="H32" i="30"/>
  <c r="G32" i="30"/>
  <c r="F32" i="30"/>
  <c r="K31" i="30"/>
  <c r="J31" i="30"/>
  <c r="I31" i="30"/>
  <c r="H31" i="30"/>
  <c r="G31" i="30"/>
  <c r="F31" i="30"/>
  <c r="K28" i="30"/>
  <c r="J28" i="30"/>
  <c r="I28" i="30"/>
  <c r="H28" i="30"/>
  <c r="G28" i="30"/>
  <c r="F28" i="30"/>
  <c r="K27" i="30"/>
  <c r="J27" i="30"/>
  <c r="I27" i="30"/>
  <c r="H27" i="30"/>
  <c r="G27" i="30"/>
  <c r="F27" i="30"/>
  <c r="K24" i="30"/>
  <c r="J24" i="30"/>
  <c r="I24" i="30"/>
  <c r="H24" i="30"/>
  <c r="G24" i="30"/>
  <c r="F24" i="30"/>
  <c r="K23" i="30"/>
  <c r="J23" i="30"/>
  <c r="I23" i="30"/>
  <c r="H23" i="30"/>
  <c r="G23" i="30"/>
  <c r="F23" i="30"/>
  <c r="M18" i="30"/>
  <c r="K18" i="30"/>
  <c r="J18" i="30"/>
  <c r="I18" i="30"/>
  <c r="G18" i="30"/>
  <c r="F18" i="30"/>
  <c r="Q15" i="30"/>
  <c r="N13" i="30"/>
  <c r="L14" i="30"/>
  <c r="K14" i="30"/>
  <c r="J14" i="30"/>
  <c r="I14" i="30"/>
  <c r="H14" i="30"/>
  <c r="G14" i="30"/>
  <c r="F14" i="30"/>
  <c r="N11" i="30"/>
  <c r="L9" i="30"/>
  <c r="K9" i="30"/>
  <c r="H9" i="30"/>
  <c r="N10" i="30"/>
  <c r="M9" i="30"/>
  <c r="J9" i="30"/>
  <c r="I9" i="30"/>
  <c r="G9" i="30"/>
  <c r="L8" i="30"/>
  <c r="L20" i="30" s="1"/>
  <c r="K8" i="30"/>
  <c r="J8" i="30"/>
  <c r="I8" i="30"/>
  <c r="H8" i="30"/>
  <c r="F8" i="30"/>
  <c r="K32" i="29"/>
  <c r="J32" i="29"/>
  <c r="I32" i="29"/>
  <c r="H32" i="29"/>
  <c r="G32" i="29"/>
  <c r="F32" i="29"/>
  <c r="K31" i="29"/>
  <c r="J31" i="29"/>
  <c r="I31" i="29"/>
  <c r="H31" i="29"/>
  <c r="G31" i="29"/>
  <c r="F31" i="29"/>
  <c r="K28" i="29"/>
  <c r="J28" i="29"/>
  <c r="I28" i="29"/>
  <c r="H28" i="29"/>
  <c r="G28" i="29"/>
  <c r="F28" i="29"/>
  <c r="K27" i="29"/>
  <c r="J27" i="29"/>
  <c r="I27" i="29"/>
  <c r="H27" i="29"/>
  <c r="G27" i="29"/>
  <c r="F27" i="29"/>
  <c r="K24" i="29"/>
  <c r="J24" i="29"/>
  <c r="I24" i="29"/>
  <c r="H24" i="29"/>
  <c r="G24" i="29"/>
  <c r="F24" i="29"/>
  <c r="K23" i="29"/>
  <c r="J23" i="29"/>
  <c r="I23" i="29"/>
  <c r="H23" i="29"/>
  <c r="G23" i="29"/>
  <c r="F23" i="29"/>
  <c r="K22" i="29"/>
  <c r="F22" i="29"/>
  <c r="M18" i="29"/>
  <c r="K18" i="29"/>
  <c r="J18" i="29"/>
  <c r="I18" i="29"/>
  <c r="G18" i="29"/>
  <c r="F18" i="29"/>
  <c r="Q15" i="29"/>
  <c r="N13" i="29"/>
  <c r="L14" i="29"/>
  <c r="K14" i="29"/>
  <c r="J14" i="29"/>
  <c r="I14" i="29"/>
  <c r="H14" i="29"/>
  <c r="G14" i="29"/>
  <c r="F14" i="29"/>
  <c r="N11" i="29"/>
  <c r="L9" i="29"/>
  <c r="K9" i="29"/>
  <c r="H9" i="29"/>
  <c r="G9" i="29"/>
  <c r="N10" i="29"/>
  <c r="M9" i="29"/>
  <c r="J9" i="29"/>
  <c r="I9" i="29"/>
  <c r="L8" i="29"/>
  <c r="L20" i="29" s="1"/>
  <c r="K8" i="29"/>
  <c r="J8" i="29"/>
  <c r="I8" i="29"/>
  <c r="H8" i="29"/>
  <c r="F8" i="29"/>
  <c r="F22" i="27"/>
  <c r="K18" i="27"/>
  <c r="F18" i="27"/>
  <c r="Q15" i="27"/>
  <c r="M9" i="27"/>
  <c r="L8" i="27"/>
  <c r="L20" i="27" s="1"/>
  <c r="K8" i="27"/>
  <c r="I8" i="27"/>
  <c r="H8" i="27"/>
  <c r="F8" i="27"/>
  <c r="K32" i="26"/>
  <c r="J32" i="26"/>
  <c r="I32" i="26"/>
  <c r="H32" i="26"/>
  <c r="G32" i="26"/>
  <c r="F32" i="26"/>
  <c r="K31" i="26"/>
  <c r="J31" i="26"/>
  <c r="I31" i="26"/>
  <c r="H31" i="26"/>
  <c r="G31" i="26"/>
  <c r="F31" i="26"/>
  <c r="K28" i="26"/>
  <c r="J28" i="26"/>
  <c r="I28" i="26"/>
  <c r="H28" i="26"/>
  <c r="G28" i="26"/>
  <c r="F28" i="26"/>
  <c r="K27" i="26"/>
  <c r="J27" i="26"/>
  <c r="I27" i="26"/>
  <c r="H27" i="26"/>
  <c r="G27" i="26"/>
  <c r="F27" i="26"/>
  <c r="K24" i="26"/>
  <c r="J24" i="26"/>
  <c r="I24" i="26"/>
  <c r="H24" i="26"/>
  <c r="G24" i="26"/>
  <c r="F24" i="26"/>
  <c r="K23" i="26"/>
  <c r="J23" i="26"/>
  <c r="I23" i="26"/>
  <c r="H23" i="26"/>
  <c r="G23" i="26"/>
  <c r="F23" i="26"/>
  <c r="M18" i="26"/>
  <c r="J18" i="26"/>
  <c r="G18" i="26"/>
  <c r="Q15" i="26"/>
  <c r="M9" i="26"/>
  <c r="L8" i="26"/>
  <c r="L20" i="26" s="1"/>
  <c r="K8" i="26"/>
  <c r="J8" i="26"/>
  <c r="I8" i="26"/>
  <c r="H8" i="26"/>
  <c r="F8" i="26"/>
  <c r="K32" i="25"/>
  <c r="J32" i="25"/>
  <c r="I32" i="25"/>
  <c r="H32" i="25"/>
  <c r="G32" i="25"/>
  <c r="F32" i="25"/>
  <c r="K31" i="25"/>
  <c r="J31" i="25"/>
  <c r="I31" i="25"/>
  <c r="H31" i="25"/>
  <c r="G31" i="25"/>
  <c r="F31" i="25"/>
  <c r="K28" i="25"/>
  <c r="J28" i="25"/>
  <c r="I28" i="25"/>
  <c r="H28" i="25"/>
  <c r="G28" i="25"/>
  <c r="F28" i="25"/>
  <c r="K27" i="25"/>
  <c r="J27" i="25"/>
  <c r="I27" i="25"/>
  <c r="H27" i="25"/>
  <c r="G27" i="25"/>
  <c r="F27" i="25"/>
  <c r="K24" i="25"/>
  <c r="J24" i="25"/>
  <c r="I24" i="25"/>
  <c r="H24" i="25"/>
  <c r="G24" i="25"/>
  <c r="F24" i="25"/>
  <c r="K23" i="25"/>
  <c r="J23" i="25"/>
  <c r="I23" i="25"/>
  <c r="H23" i="25"/>
  <c r="G23" i="25"/>
  <c r="F23" i="25"/>
  <c r="M18" i="25"/>
  <c r="K18" i="25"/>
  <c r="J18" i="25"/>
  <c r="I18" i="25"/>
  <c r="G18" i="25"/>
  <c r="F18" i="25"/>
  <c r="Q15" i="25"/>
  <c r="M9" i="25"/>
  <c r="L8" i="25"/>
  <c r="L20" i="25" s="1"/>
  <c r="K8" i="25"/>
  <c r="J8" i="25"/>
  <c r="I8" i="25"/>
  <c r="H8" i="25"/>
  <c r="F8" i="25"/>
  <c r="K32" i="13"/>
  <c r="J32" i="13"/>
  <c r="I32" i="13"/>
  <c r="H32" i="13"/>
  <c r="G32" i="13"/>
  <c r="F32" i="13"/>
  <c r="K31" i="13"/>
  <c r="J31" i="13"/>
  <c r="I31" i="13"/>
  <c r="H31" i="13"/>
  <c r="G31" i="13"/>
  <c r="K28" i="13"/>
  <c r="J28" i="13"/>
  <c r="I28" i="13"/>
  <c r="H28" i="13"/>
  <c r="G28" i="13"/>
  <c r="F28" i="13"/>
  <c r="K27" i="13"/>
  <c r="J27" i="13"/>
  <c r="I27" i="13"/>
  <c r="H27" i="13"/>
  <c r="K24" i="13"/>
  <c r="J24" i="13"/>
  <c r="I24" i="13"/>
  <c r="H24" i="13"/>
  <c r="G24" i="13"/>
  <c r="F24" i="13"/>
  <c r="S12" i="24"/>
  <c r="AA12" i="24" s="1"/>
  <c r="S13" i="24"/>
  <c r="X13" i="24" s="1"/>
  <c r="S14" i="24"/>
  <c r="Y14" i="24" s="1"/>
  <c r="G27" i="13"/>
  <c r="K23" i="13"/>
  <c r="J23" i="13"/>
  <c r="I23" i="13"/>
  <c r="H23" i="13"/>
  <c r="G23" i="13"/>
  <c r="F31" i="13"/>
  <c r="F27" i="13"/>
  <c r="F23" i="13"/>
  <c r="X60" i="23"/>
  <c r="X57" i="23"/>
  <c r="X37" i="23"/>
  <c r="X38" i="23"/>
  <c r="X39" i="23"/>
  <c r="X40" i="23"/>
  <c r="X42" i="23"/>
  <c r="X43" i="23"/>
  <c r="X45" i="23"/>
  <c r="X46" i="23"/>
  <c r="X47" i="23"/>
  <c r="X22" i="23"/>
  <c r="X23" i="23"/>
  <c r="X24" i="23"/>
  <c r="X25" i="23"/>
  <c r="X27" i="23"/>
  <c r="X28" i="23"/>
  <c r="X30" i="23"/>
  <c r="X31" i="23"/>
  <c r="X20" i="23"/>
  <c r="X59" i="23"/>
  <c r="X58" i="23"/>
  <c r="X56" i="23"/>
  <c r="X55" i="23"/>
  <c r="X53" i="23"/>
  <c r="X52" i="23"/>
  <c r="X44" i="23"/>
  <c r="X41" i="23"/>
  <c r="X36" i="23"/>
  <c r="X29" i="23"/>
  <c r="X26" i="23"/>
  <c r="X21" i="23"/>
  <c r="S11" i="24"/>
  <c r="Z11" i="24" s="1"/>
  <c r="S10" i="24"/>
  <c r="AC10" i="24" s="1"/>
  <c r="S9" i="24"/>
  <c r="AA9" i="24" s="1"/>
  <c r="S8" i="24"/>
  <c r="Y8" i="24" s="1"/>
  <c r="S71" i="23" s="1"/>
  <c r="S7" i="24"/>
  <c r="AC7" i="24" s="1"/>
  <c r="W69" i="23" s="1"/>
  <c r="S6" i="24"/>
  <c r="Z6" i="24" s="1"/>
  <c r="T66" i="23" s="1"/>
  <c r="S5" i="24"/>
  <c r="Z5" i="24" s="1"/>
  <c r="S4" i="24"/>
  <c r="Y4" i="24" s="1"/>
  <c r="S3" i="24"/>
  <c r="AB3" i="24" s="1"/>
  <c r="E62" i="24"/>
  <c r="E66" i="24" s="1"/>
  <c r="E49" i="24"/>
  <c r="E48" i="24"/>
  <c r="C42" i="24"/>
  <c r="E42" i="24" s="1"/>
  <c r="E41" i="24"/>
  <c r="E28" i="24"/>
  <c r="E24" i="24"/>
  <c r="G21" i="24"/>
  <c r="G20" i="24"/>
  <c r="E20" i="24"/>
  <c r="G19" i="24"/>
  <c r="E19" i="24"/>
  <c r="G18" i="24"/>
  <c r="E18" i="24"/>
  <c r="G17" i="24"/>
  <c r="E17" i="24"/>
  <c r="E15" i="24"/>
  <c r="C21" i="24" s="1"/>
  <c r="E21" i="24" s="1"/>
  <c r="F10" i="24"/>
  <c r="G10" i="24" s="1"/>
  <c r="C10" i="24"/>
  <c r="E10" i="24" s="1"/>
  <c r="G9" i="24"/>
  <c r="E9" i="24"/>
  <c r="G8" i="24"/>
  <c r="E8" i="24"/>
  <c r="G7" i="24"/>
  <c r="E7" i="24"/>
  <c r="G6" i="24"/>
  <c r="E6" i="24"/>
  <c r="L59" i="23"/>
  <c r="L58" i="23"/>
  <c r="L57" i="23"/>
  <c r="L56" i="23"/>
  <c r="L55" i="23"/>
  <c r="L54" i="23"/>
  <c r="L53" i="23"/>
  <c r="L52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5" i="23"/>
  <c r="L14" i="23"/>
  <c r="L13" i="23"/>
  <c r="L12" i="23"/>
  <c r="L11" i="23"/>
  <c r="L10" i="23"/>
  <c r="L9" i="23"/>
  <c r="L8" i="23"/>
  <c r="L7" i="23"/>
  <c r="L6" i="23"/>
  <c r="L5" i="23"/>
  <c r="L4" i="23"/>
  <c r="L60" i="23"/>
  <c r="K22" i="13"/>
  <c r="F22" i="13"/>
  <c r="N18" i="40" l="1"/>
  <c r="N21" i="40" s="1"/>
  <c r="J21" i="40"/>
  <c r="F22" i="37"/>
  <c r="K22" i="37"/>
  <c r="G18" i="34"/>
  <c r="G21" i="34" s="1"/>
  <c r="L8" i="34"/>
  <c r="L20" i="34" s="1"/>
  <c r="L8" i="38"/>
  <c r="M18" i="34"/>
  <c r="J18" i="34"/>
  <c r="J21" i="34" s="1"/>
  <c r="I18" i="34"/>
  <c r="I21" i="34" s="1"/>
  <c r="M18" i="36"/>
  <c r="M18" i="37"/>
  <c r="J18" i="36"/>
  <c r="J21" i="36" s="1"/>
  <c r="J18" i="37"/>
  <c r="J21" i="37" s="1"/>
  <c r="I18" i="36"/>
  <c r="I21" i="36" s="1"/>
  <c r="I18" i="37"/>
  <c r="I21" i="37" s="1"/>
  <c r="G18" i="36"/>
  <c r="G21" i="36" s="1"/>
  <c r="G18" i="37"/>
  <c r="K32" i="36"/>
  <c r="K33" i="36" s="1"/>
  <c r="F38" i="19"/>
  <c r="I18" i="41" s="1"/>
  <c r="I21" i="41" s="1"/>
  <c r="E38" i="19"/>
  <c r="G18" i="41" s="1"/>
  <c r="G21" i="41" s="1"/>
  <c r="K39" i="19"/>
  <c r="I18" i="26"/>
  <c r="I21" i="26" s="1"/>
  <c r="I18" i="31"/>
  <c r="I21" i="31" s="1"/>
  <c r="J34" i="19"/>
  <c r="Q18" i="6"/>
  <c r="J32" i="15"/>
  <c r="O19" i="6"/>
  <c r="O20" i="6"/>
  <c r="Y11" i="24"/>
  <c r="S83" i="23" s="1"/>
  <c r="O18" i="6"/>
  <c r="J16" i="15"/>
  <c r="L39" i="19"/>
  <c r="J17" i="15"/>
  <c r="L38" i="19"/>
  <c r="J22" i="19"/>
  <c r="J32" i="19"/>
  <c r="Q19" i="6"/>
  <c r="R8" i="6"/>
  <c r="H8" i="6" s="1"/>
  <c r="Q20" i="6"/>
  <c r="E43" i="24"/>
  <c r="E51" i="24" s="1"/>
  <c r="D66" i="24" s="1"/>
  <c r="D68" i="24" s="1"/>
  <c r="AB10" i="24"/>
  <c r="J79" i="23" s="1"/>
  <c r="J23" i="40" s="1"/>
  <c r="J26" i="40" s="1"/>
  <c r="P19" i="6"/>
  <c r="J18" i="15"/>
  <c r="J35" i="19"/>
  <c r="J20" i="19"/>
  <c r="L61" i="23"/>
  <c r="AA10" i="24"/>
  <c r="U81" i="23" s="1"/>
  <c r="I32" i="40" s="1"/>
  <c r="I33" i="40" s="1"/>
  <c r="P20" i="6"/>
  <c r="J19" i="15"/>
  <c r="I39" i="19"/>
  <c r="J31" i="19"/>
  <c r="J21" i="19"/>
  <c r="S84" i="23"/>
  <c r="G39" i="19"/>
  <c r="N20" i="6"/>
  <c r="F19" i="6"/>
  <c r="J20" i="7"/>
  <c r="E19" i="7"/>
  <c r="J33" i="19"/>
  <c r="K38" i="19"/>
  <c r="J23" i="19"/>
  <c r="X11" i="24"/>
  <c r="AD11" i="24" s="1"/>
  <c r="F17" i="6"/>
  <c r="G50" i="3"/>
  <c r="S50" i="3"/>
  <c r="E39" i="19"/>
  <c r="I38" i="19"/>
  <c r="M18" i="41" s="1"/>
  <c r="L16" i="23"/>
  <c r="L48" i="23"/>
  <c r="AC13" i="24"/>
  <c r="W90" i="23" s="1"/>
  <c r="N9" i="29"/>
  <c r="J17" i="31"/>
  <c r="N19" i="6"/>
  <c r="G38" i="19"/>
  <c r="J18" i="41" s="1"/>
  <c r="J29" i="19"/>
  <c r="K29" i="20" s="1"/>
  <c r="AB13" i="24"/>
  <c r="V90" i="23" s="1"/>
  <c r="U85" i="23"/>
  <c r="I85" i="23"/>
  <c r="U87" i="23"/>
  <c r="U86" i="23"/>
  <c r="I87" i="23"/>
  <c r="I86" i="23"/>
  <c r="W81" i="23"/>
  <c r="K32" i="40" s="1"/>
  <c r="K33" i="40" s="1"/>
  <c r="W80" i="23"/>
  <c r="K28" i="40" s="1"/>
  <c r="K29" i="40" s="1"/>
  <c r="K81" i="23"/>
  <c r="K31" i="40" s="1"/>
  <c r="K34" i="40" s="1"/>
  <c r="W79" i="23"/>
  <c r="K24" i="40" s="1"/>
  <c r="K25" i="40" s="1"/>
  <c r="K80" i="23"/>
  <c r="K27" i="40" s="1"/>
  <c r="K30" i="40" s="1"/>
  <c r="K79" i="23"/>
  <c r="K23" i="40" s="1"/>
  <c r="K26" i="40" s="1"/>
  <c r="H82" i="23"/>
  <c r="T84" i="23"/>
  <c r="T83" i="23"/>
  <c r="H84" i="23"/>
  <c r="T82" i="23"/>
  <c r="H83" i="23"/>
  <c r="D14" i="7"/>
  <c r="AD13" i="24"/>
  <c r="R88" i="23"/>
  <c r="F89" i="23"/>
  <c r="F88" i="23"/>
  <c r="R90" i="23"/>
  <c r="R89" i="23"/>
  <c r="F90" i="23"/>
  <c r="S92" i="23"/>
  <c r="G93" i="23"/>
  <c r="S91" i="23"/>
  <c r="G92" i="23"/>
  <c r="G91" i="23"/>
  <c r="S93" i="23"/>
  <c r="Z12" i="24"/>
  <c r="E11" i="24"/>
  <c r="X10" i="24"/>
  <c r="AA13" i="24"/>
  <c r="AC11" i="24"/>
  <c r="Z10" i="24"/>
  <c r="K88" i="23"/>
  <c r="F20" i="6"/>
  <c r="E13" i="7"/>
  <c r="E20" i="7" s="1"/>
  <c r="J34" i="15"/>
  <c r="G18" i="35"/>
  <c r="G21" i="35" s="1"/>
  <c r="L62" i="23"/>
  <c r="L63" i="23"/>
  <c r="X61" i="23"/>
  <c r="AC14" i="24"/>
  <c r="Z13" i="24"/>
  <c r="AB11" i="24"/>
  <c r="Y10" i="24"/>
  <c r="R11" i="6"/>
  <c r="I11" i="6" s="1"/>
  <c r="K17" i="6"/>
  <c r="D13" i="7"/>
  <c r="J30" i="19"/>
  <c r="Y12" i="24"/>
  <c r="X62" i="23"/>
  <c r="AB14" i="24"/>
  <c r="Y13" i="24"/>
  <c r="AA11" i="24"/>
  <c r="R15" i="6"/>
  <c r="H14" i="7" s="1"/>
  <c r="R14" i="6"/>
  <c r="K20" i="6"/>
  <c r="F39" i="19"/>
  <c r="AA14" i="24"/>
  <c r="AC12" i="24"/>
  <c r="R82" i="23"/>
  <c r="N9" i="30"/>
  <c r="N18" i="6"/>
  <c r="R16" i="6"/>
  <c r="H15" i="7" s="1"/>
  <c r="E11" i="6"/>
  <c r="D10" i="7" s="1"/>
  <c r="G49" i="3"/>
  <c r="L37" i="19"/>
  <c r="X12" i="24"/>
  <c r="L19" i="23"/>
  <c r="L51" i="23"/>
  <c r="X14" i="24"/>
  <c r="Z14" i="24"/>
  <c r="AB12" i="24"/>
  <c r="U80" i="23"/>
  <c r="I28" i="40" s="1"/>
  <c r="I29" i="40" s="1"/>
  <c r="R12" i="6"/>
  <c r="H11" i="7" s="1"/>
  <c r="J18" i="7"/>
  <c r="K37" i="19"/>
  <c r="I25" i="20"/>
  <c r="S51" i="3"/>
  <c r="M18" i="35"/>
  <c r="R10" i="6"/>
  <c r="I10" i="6" s="1"/>
  <c r="H9" i="7" s="1"/>
  <c r="J8" i="6"/>
  <c r="I7" i="7" s="1"/>
  <c r="K19" i="6"/>
  <c r="J10" i="7"/>
  <c r="J19" i="7" s="1"/>
  <c r="G51" i="3"/>
  <c r="J35" i="15"/>
  <c r="R13" i="6"/>
  <c r="H12" i="7" s="1"/>
  <c r="D12" i="7"/>
  <c r="I18" i="35"/>
  <c r="I21" i="35" s="1"/>
  <c r="D25" i="20"/>
  <c r="J28" i="19"/>
  <c r="K28" i="20" s="1"/>
  <c r="J18" i="35"/>
  <c r="K22" i="36"/>
  <c r="F22" i="36"/>
  <c r="S49" i="3"/>
  <c r="R9" i="6"/>
  <c r="I9" i="6" s="1"/>
  <c r="H8" i="7" s="1"/>
  <c r="P18" i="6"/>
  <c r="E37" i="19"/>
  <c r="G18" i="38" s="1"/>
  <c r="G21" i="38" s="1"/>
  <c r="F37" i="19"/>
  <c r="I18" i="38" s="1"/>
  <c r="I21" i="38" s="1"/>
  <c r="I37" i="19"/>
  <c r="M18" i="38" s="1"/>
  <c r="J27" i="19"/>
  <c r="G37" i="19"/>
  <c r="J18" i="38" s="1"/>
  <c r="J21" i="38" s="1"/>
  <c r="H32" i="27"/>
  <c r="H33" i="27" s="1"/>
  <c r="H25" i="20"/>
  <c r="G25" i="20"/>
  <c r="F25" i="20"/>
  <c r="E25" i="20"/>
  <c r="J33" i="15"/>
  <c r="F18" i="6"/>
  <c r="E7" i="7"/>
  <c r="E18" i="7" s="1"/>
  <c r="E18" i="6"/>
  <c r="D7" i="7"/>
  <c r="D18" i="7" s="1"/>
  <c r="K18" i="6"/>
  <c r="K21" i="25"/>
  <c r="K21" i="30"/>
  <c r="X51" i="23"/>
  <c r="L49" i="23"/>
  <c r="X50" i="23"/>
  <c r="L50" i="23"/>
  <c r="X48" i="23"/>
  <c r="X49" i="23"/>
  <c r="L33" i="23"/>
  <c r="X32" i="23"/>
  <c r="L35" i="23"/>
  <c r="X33" i="23"/>
  <c r="L34" i="23"/>
  <c r="L32" i="23"/>
  <c r="X34" i="23"/>
  <c r="X35" i="23"/>
  <c r="I25" i="30"/>
  <c r="L18" i="23"/>
  <c r="L17" i="23"/>
  <c r="N27" i="29"/>
  <c r="N23" i="30"/>
  <c r="N31" i="30"/>
  <c r="N27" i="31"/>
  <c r="I29" i="25"/>
  <c r="H33" i="34"/>
  <c r="H34" i="34" s="1"/>
  <c r="N27" i="25"/>
  <c r="N23" i="29"/>
  <c r="N31" i="29"/>
  <c r="N27" i="30"/>
  <c r="N23" i="31"/>
  <c r="N31" i="31"/>
  <c r="I25" i="26"/>
  <c r="I25" i="29"/>
  <c r="I25" i="31"/>
  <c r="N23" i="25"/>
  <c r="N31" i="25"/>
  <c r="H25" i="25"/>
  <c r="E24" i="20"/>
  <c r="F24" i="20"/>
  <c r="G24" i="20"/>
  <c r="H24" i="20"/>
  <c r="I24" i="20"/>
  <c r="N22" i="29"/>
  <c r="K21" i="29"/>
  <c r="T19" i="6"/>
  <c r="T18" i="6"/>
  <c r="T20" i="6"/>
  <c r="K21" i="27"/>
  <c r="I30" i="31"/>
  <c r="H25" i="31"/>
  <c r="H33" i="31"/>
  <c r="I17" i="31"/>
  <c r="I33" i="31"/>
  <c r="F21" i="29"/>
  <c r="G26" i="29"/>
  <c r="K30" i="29"/>
  <c r="G34" i="29"/>
  <c r="I33" i="29"/>
  <c r="L17" i="30"/>
  <c r="G25" i="30"/>
  <c r="I30" i="30"/>
  <c r="K29" i="30"/>
  <c r="G33" i="30"/>
  <c r="H17" i="31"/>
  <c r="J21" i="31"/>
  <c r="J26" i="31"/>
  <c r="H29" i="31"/>
  <c r="J34" i="31"/>
  <c r="G21" i="29"/>
  <c r="H26" i="29"/>
  <c r="J25" i="29"/>
  <c r="F29" i="29"/>
  <c r="H34" i="29"/>
  <c r="J33" i="29"/>
  <c r="G17" i="30"/>
  <c r="H25" i="30"/>
  <c r="J30" i="30"/>
  <c r="H33" i="30"/>
  <c r="K17" i="31"/>
  <c r="K26" i="31"/>
  <c r="G30" i="31"/>
  <c r="K34" i="31"/>
  <c r="G17" i="29"/>
  <c r="I21" i="29"/>
  <c r="I26" i="29"/>
  <c r="K25" i="29"/>
  <c r="G29" i="29"/>
  <c r="I34" i="29"/>
  <c r="K33" i="29"/>
  <c r="I17" i="30"/>
  <c r="G26" i="30"/>
  <c r="K30" i="30"/>
  <c r="G34" i="30"/>
  <c r="I33" i="30"/>
  <c r="L17" i="31"/>
  <c r="F25" i="31"/>
  <c r="H30" i="31"/>
  <c r="J29" i="31"/>
  <c r="F33" i="31"/>
  <c r="H17" i="29"/>
  <c r="J21" i="29"/>
  <c r="J26" i="29"/>
  <c r="H29" i="29"/>
  <c r="J34" i="29"/>
  <c r="J17" i="30"/>
  <c r="F21" i="30"/>
  <c r="H26" i="30"/>
  <c r="J25" i="30"/>
  <c r="F29" i="30"/>
  <c r="H34" i="30"/>
  <c r="J33" i="30"/>
  <c r="G17" i="31"/>
  <c r="G25" i="31"/>
  <c r="K29" i="31"/>
  <c r="G33" i="31"/>
  <c r="K17" i="29"/>
  <c r="K26" i="29"/>
  <c r="G30" i="29"/>
  <c r="K34" i="29"/>
  <c r="G21" i="30"/>
  <c r="I26" i="30"/>
  <c r="K25" i="30"/>
  <c r="G29" i="30"/>
  <c r="I34" i="30"/>
  <c r="K33" i="30"/>
  <c r="J30" i="31"/>
  <c r="L17" i="29"/>
  <c r="F25" i="29"/>
  <c r="H30" i="29"/>
  <c r="J29" i="29"/>
  <c r="F33" i="29"/>
  <c r="I21" i="30"/>
  <c r="J26" i="30"/>
  <c r="H29" i="30"/>
  <c r="J34" i="30"/>
  <c r="G26" i="31"/>
  <c r="K30" i="31"/>
  <c r="G34" i="31"/>
  <c r="I17" i="29"/>
  <c r="G25" i="29"/>
  <c r="I30" i="29"/>
  <c r="K29" i="29"/>
  <c r="G33" i="29"/>
  <c r="H17" i="30"/>
  <c r="J21" i="30"/>
  <c r="K26" i="30"/>
  <c r="G30" i="30"/>
  <c r="K34" i="30"/>
  <c r="H26" i="31"/>
  <c r="J25" i="31"/>
  <c r="F29" i="31"/>
  <c r="H34" i="31"/>
  <c r="J33" i="31"/>
  <c r="J17" i="29"/>
  <c r="H25" i="29"/>
  <c r="J30" i="29"/>
  <c r="H33" i="29"/>
  <c r="K17" i="30"/>
  <c r="F25" i="30"/>
  <c r="H30" i="30"/>
  <c r="J29" i="30"/>
  <c r="F33" i="30"/>
  <c r="I26" i="31"/>
  <c r="K25" i="31"/>
  <c r="G29" i="31"/>
  <c r="I34" i="31"/>
  <c r="K33" i="31"/>
  <c r="N22" i="27"/>
  <c r="N18" i="27"/>
  <c r="N9" i="31"/>
  <c r="L16" i="31"/>
  <c r="N24" i="31"/>
  <c r="F26" i="31"/>
  <c r="I29" i="31"/>
  <c r="N32" i="31"/>
  <c r="F34" i="31"/>
  <c r="N8" i="31"/>
  <c r="G21" i="31"/>
  <c r="F9" i="31"/>
  <c r="F17" i="31" s="1"/>
  <c r="N12" i="31"/>
  <c r="N14" i="31" s="1"/>
  <c r="R15" i="31" s="1"/>
  <c r="N28" i="31"/>
  <c r="F30" i="31"/>
  <c r="N24" i="30"/>
  <c r="F26" i="30"/>
  <c r="I29" i="30"/>
  <c r="N32" i="30"/>
  <c r="F34" i="30"/>
  <c r="N8" i="30"/>
  <c r="N18" i="30"/>
  <c r="F9" i="30"/>
  <c r="F17" i="30" s="1"/>
  <c r="N12" i="30"/>
  <c r="N14" i="30" s="1"/>
  <c r="S15" i="30" s="1"/>
  <c r="G16" i="30" s="1"/>
  <c r="N28" i="30"/>
  <c r="F30" i="30"/>
  <c r="N24" i="29"/>
  <c r="F26" i="29"/>
  <c r="I29" i="29"/>
  <c r="N32" i="29"/>
  <c r="F34" i="29"/>
  <c r="N8" i="29"/>
  <c r="N18" i="29"/>
  <c r="F9" i="29"/>
  <c r="F17" i="29" s="1"/>
  <c r="N12" i="29"/>
  <c r="N14" i="29" s="1"/>
  <c r="R15" i="29" s="1"/>
  <c r="N28" i="29"/>
  <c r="F30" i="29"/>
  <c r="F21" i="27"/>
  <c r="J21" i="27"/>
  <c r="I21" i="27"/>
  <c r="N8" i="27"/>
  <c r="G21" i="27"/>
  <c r="J21" i="26"/>
  <c r="J26" i="26"/>
  <c r="N27" i="26"/>
  <c r="H29" i="26"/>
  <c r="J34" i="26"/>
  <c r="K26" i="26"/>
  <c r="G30" i="26"/>
  <c r="K34" i="26"/>
  <c r="F25" i="26"/>
  <c r="H30" i="26"/>
  <c r="J29" i="26"/>
  <c r="F33" i="26"/>
  <c r="G25" i="26"/>
  <c r="I30" i="26"/>
  <c r="K29" i="26"/>
  <c r="G33" i="26"/>
  <c r="N23" i="26"/>
  <c r="H25" i="26"/>
  <c r="J30" i="26"/>
  <c r="N31" i="26"/>
  <c r="H33" i="26"/>
  <c r="G26" i="26"/>
  <c r="K30" i="26"/>
  <c r="G34" i="26"/>
  <c r="I33" i="26"/>
  <c r="G21" i="26"/>
  <c r="H26" i="26"/>
  <c r="J25" i="26"/>
  <c r="F29" i="26"/>
  <c r="H34" i="26"/>
  <c r="J33" i="26"/>
  <c r="I26" i="26"/>
  <c r="K25" i="26"/>
  <c r="G29" i="26"/>
  <c r="I34" i="26"/>
  <c r="K33" i="26"/>
  <c r="K26" i="25"/>
  <c r="G30" i="25"/>
  <c r="K34" i="25"/>
  <c r="F25" i="25"/>
  <c r="H30" i="25"/>
  <c r="J29" i="25"/>
  <c r="F33" i="25"/>
  <c r="G25" i="25"/>
  <c r="I30" i="25"/>
  <c r="K29" i="25"/>
  <c r="G33" i="25"/>
  <c r="J30" i="25"/>
  <c r="H33" i="25"/>
  <c r="F21" i="25"/>
  <c r="G26" i="25"/>
  <c r="I25" i="25"/>
  <c r="K30" i="25"/>
  <c r="G34" i="25"/>
  <c r="I33" i="25"/>
  <c r="G21" i="25"/>
  <c r="H26" i="25"/>
  <c r="J25" i="25"/>
  <c r="F29" i="25"/>
  <c r="H34" i="25"/>
  <c r="J33" i="25"/>
  <c r="I21" i="25"/>
  <c r="I26" i="25"/>
  <c r="K25" i="25"/>
  <c r="G29" i="25"/>
  <c r="I34" i="25"/>
  <c r="K33" i="25"/>
  <c r="J21" i="25"/>
  <c r="J26" i="25"/>
  <c r="H29" i="25"/>
  <c r="J34" i="25"/>
  <c r="N24" i="26"/>
  <c r="F26" i="26"/>
  <c r="I29" i="26"/>
  <c r="N32" i="26"/>
  <c r="F34" i="26"/>
  <c r="N8" i="26"/>
  <c r="N28" i="26"/>
  <c r="F30" i="26"/>
  <c r="N24" i="25"/>
  <c r="F26" i="25"/>
  <c r="N32" i="25"/>
  <c r="F34" i="25"/>
  <c r="N8" i="25"/>
  <c r="N18" i="25"/>
  <c r="N28" i="25"/>
  <c r="F30" i="25"/>
  <c r="I78" i="23"/>
  <c r="I31" i="39" s="1"/>
  <c r="I34" i="39" s="1"/>
  <c r="U78" i="23"/>
  <c r="I32" i="39" s="1"/>
  <c r="I33" i="39" s="1"/>
  <c r="I77" i="23"/>
  <c r="I27" i="39" s="1"/>
  <c r="I30" i="39" s="1"/>
  <c r="U77" i="23"/>
  <c r="I28" i="39" s="1"/>
  <c r="I29" i="39" s="1"/>
  <c r="I76" i="23"/>
  <c r="I23" i="39" s="1"/>
  <c r="I26" i="39" s="1"/>
  <c r="U76" i="23"/>
  <c r="I24" i="39" s="1"/>
  <c r="I25" i="39" s="1"/>
  <c r="Z9" i="24"/>
  <c r="S72" i="23"/>
  <c r="Y9" i="24"/>
  <c r="K67" i="23"/>
  <c r="W67" i="23"/>
  <c r="X9" i="24"/>
  <c r="K68" i="23"/>
  <c r="S70" i="23"/>
  <c r="W68" i="23"/>
  <c r="AC9" i="24"/>
  <c r="AB9" i="24"/>
  <c r="K69" i="23"/>
  <c r="T65" i="23"/>
  <c r="T64" i="23"/>
  <c r="G70" i="23"/>
  <c r="G72" i="23"/>
  <c r="G71" i="23"/>
  <c r="AC8" i="24"/>
  <c r="X8" i="24"/>
  <c r="AB8" i="24"/>
  <c r="AA8" i="24"/>
  <c r="Z8" i="24"/>
  <c r="AB7" i="24"/>
  <c r="Y5" i="24"/>
  <c r="H64" i="23"/>
  <c r="X7" i="24"/>
  <c r="AA7" i="24"/>
  <c r="AC4" i="24"/>
  <c r="X5" i="24"/>
  <c r="AD5" i="24" s="1"/>
  <c r="Z7" i="24"/>
  <c r="AB4" i="24"/>
  <c r="X4" i="24"/>
  <c r="AD4" i="24" s="1"/>
  <c r="Y7" i="24"/>
  <c r="AA4" i="24"/>
  <c r="AC5" i="24"/>
  <c r="Z4" i="24"/>
  <c r="AB5" i="24"/>
  <c r="H65" i="23"/>
  <c r="AA5" i="24"/>
  <c r="H66" i="23"/>
  <c r="Y6" i="24"/>
  <c r="X6" i="24"/>
  <c r="AC6" i="24"/>
  <c r="AB6" i="24"/>
  <c r="AA6" i="24"/>
  <c r="N31" i="13"/>
  <c r="AA3" i="24"/>
  <c r="Z3" i="24"/>
  <c r="Y3" i="24"/>
  <c r="X3" i="24"/>
  <c r="AC3" i="24"/>
  <c r="N24" i="13"/>
  <c r="N28" i="13"/>
  <c r="N27" i="13"/>
  <c r="N23" i="13"/>
  <c r="N32" i="13"/>
  <c r="X54" i="23"/>
  <c r="X63" i="23" s="1"/>
  <c r="X9" i="23"/>
  <c r="X15" i="23"/>
  <c r="X12" i="23"/>
  <c r="X6" i="23"/>
  <c r="X7" i="23"/>
  <c r="X13" i="23"/>
  <c r="X4" i="23"/>
  <c r="X10" i="23"/>
  <c r="X8" i="23"/>
  <c r="X5" i="23"/>
  <c r="X11" i="23"/>
  <c r="X14" i="23"/>
  <c r="E22" i="24"/>
  <c r="N22" i="13"/>
  <c r="N18" i="41" l="1"/>
  <c r="N21" i="41" s="1"/>
  <c r="J21" i="41"/>
  <c r="K34" i="20"/>
  <c r="E34" i="20" s="1"/>
  <c r="K35" i="20"/>
  <c r="D35" i="20" s="1"/>
  <c r="K32" i="20"/>
  <c r="D32" i="20" s="1"/>
  <c r="K33" i="20"/>
  <c r="D33" i="20" s="1"/>
  <c r="N22" i="37"/>
  <c r="N8" i="34"/>
  <c r="N18" i="36"/>
  <c r="N21" i="36" s="1"/>
  <c r="L20" i="38"/>
  <c r="N8" i="38"/>
  <c r="G21" i="37"/>
  <c r="N18" i="37"/>
  <c r="N21" i="37" s="1"/>
  <c r="K23" i="36"/>
  <c r="K26" i="36" s="1"/>
  <c r="K27" i="36"/>
  <c r="K30" i="36" s="1"/>
  <c r="K28" i="36"/>
  <c r="K29" i="36" s="1"/>
  <c r="K24" i="36"/>
  <c r="K25" i="36" s="1"/>
  <c r="K31" i="36"/>
  <c r="K34" i="36" s="1"/>
  <c r="N17" i="29"/>
  <c r="C67" i="24"/>
  <c r="J81" i="23"/>
  <c r="J31" i="40" s="1"/>
  <c r="J34" i="40" s="1"/>
  <c r="W88" i="23"/>
  <c r="W89" i="23"/>
  <c r="F83" i="23"/>
  <c r="K89" i="23"/>
  <c r="I8" i="6"/>
  <c r="H7" i="7" s="1"/>
  <c r="H18" i="7" s="1"/>
  <c r="R83" i="23"/>
  <c r="K90" i="23"/>
  <c r="F84" i="23"/>
  <c r="F82" i="23"/>
  <c r="R84" i="23"/>
  <c r="G8" i="6"/>
  <c r="F7" i="7" s="1"/>
  <c r="V81" i="23"/>
  <c r="J32" i="40" s="1"/>
  <c r="J33" i="40" s="1"/>
  <c r="V79" i="23"/>
  <c r="J24" i="40" s="1"/>
  <c r="J25" i="40" s="1"/>
  <c r="J80" i="23"/>
  <c r="J27" i="40" s="1"/>
  <c r="J30" i="40" s="1"/>
  <c r="V80" i="23"/>
  <c r="J28" i="40" s="1"/>
  <c r="J29" i="40" s="1"/>
  <c r="J38" i="19"/>
  <c r="I79" i="23"/>
  <c r="I23" i="40" s="1"/>
  <c r="I26" i="40" s="1"/>
  <c r="J39" i="19"/>
  <c r="G82" i="23"/>
  <c r="G84" i="23"/>
  <c r="S82" i="23"/>
  <c r="G83" i="23"/>
  <c r="X15" i="31"/>
  <c r="X17" i="23"/>
  <c r="R19" i="6"/>
  <c r="V89" i="23"/>
  <c r="R18" i="6"/>
  <c r="R20" i="6"/>
  <c r="E19" i="6"/>
  <c r="J89" i="23"/>
  <c r="U79" i="23"/>
  <c r="I24" i="40" s="1"/>
  <c r="I25" i="40" s="1"/>
  <c r="X18" i="23"/>
  <c r="S15" i="29"/>
  <c r="G16" i="29" s="1"/>
  <c r="V15" i="29"/>
  <c r="J16" i="29" s="1"/>
  <c r="W15" i="31"/>
  <c r="K16" i="31" s="1"/>
  <c r="I80" i="23"/>
  <c r="I27" i="40" s="1"/>
  <c r="I30" i="40" s="1"/>
  <c r="J88" i="23"/>
  <c r="I81" i="23"/>
  <c r="I31" i="40" s="1"/>
  <c r="I34" i="40" s="1"/>
  <c r="E35" i="24"/>
  <c r="C66" i="24" s="1"/>
  <c r="F66" i="24" s="1"/>
  <c r="X19" i="23"/>
  <c r="J90" i="23"/>
  <c r="D20" i="7"/>
  <c r="V15" i="31"/>
  <c r="J16" i="31" s="1"/>
  <c r="V88" i="23"/>
  <c r="T93" i="23"/>
  <c r="T92" i="23"/>
  <c r="H93" i="23"/>
  <c r="T91" i="23"/>
  <c r="H92" i="23"/>
  <c r="H91" i="23"/>
  <c r="D19" i="7"/>
  <c r="G14" i="6"/>
  <c r="H14" i="6"/>
  <c r="G13" i="7" s="1"/>
  <c r="J14" i="6"/>
  <c r="I13" i="7" s="1"/>
  <c r="I82" i="23"/>
  <c r="U84" i="23"/>
  <c r="U83" i="23"/>
  <c r="I84" i="23"/>
  <c r="U82" i="23"/>
  <c r="I83" i="23"/>
  <c r="H10" i="7"/>
  <c r="H19" i="7" s="1"/>
  <c r="I19" i="6"/>
  <c r="T89" i="23"/>
  <c r="H90" i="23"/>
  <c r="T88" i="23"/>
  <c r="H89" i="23"/>
  <c r="H88" i="23"/>
  <c r="T90" i="23"/>
  <c r="AD10" i="24"/>
  <c r="R80" i="23"/>
  <c r="F28" i="40" s="1"/>
  <c r="F81" i="23"/>
  <c r="F31" i="40" s="1"/>
  <c r="R79" i="23"/>
  <c r="F24" i="40" s="1"/>
  <c r="F80" i="23"/>
  <c r="F27" i="40" s="1"/>
  <c r="F79" i="23"/>
  <c r="F23" i="40" s="1"/>
  <c r="R81" i="23"/>
  <c r="F32" i="40" s="1"/>
  <c r="G12" i="6"/>
  <c r="F11" i="7" s="1"/>
  <c r="H12" i="6"/>
  <c r="G11" i="7" s="1"/>
  <c r="J12" i="6"/>
  <c r="R92" i="23"/>
  <c r="F93" i="23"/>
  <c r="R91" i="23"/>
  <c r="F92" i="23"/>
  <c r="F91" i="23"/>
  <c r="AD14" i="24"/>
  <c r="R93" i="23"/>
  <c r="J15" i="6"/>
  <c r="I14" i="7" s="1"/>
  <c r="G15" i="6"/>
  <c r="H15" i="6"/>
  <c r="G14" i="7" s="1"/>
  <c r="G89" i="23"/>
  <c r="S88" i="23"/>
  <c r="G88" i="23"/>
  <c r="S90" i="23"/>
  <c r="S89" i="23"/>
  <c r="G90" i="23"/>
  <c r="J11" i="6"/>
  <c r="I10" i="7" s="1"/>
  <c r="G11" i="6"/>
  <c r="H11" i="6"/>
  <c r="W93" i="23"/>
  <c r="W92" i="23"/>
  <c r="K93" i="23"/>
  <c r="K91" i="23"/>
  <c r="W91" i="23"/>
  <c r="K92" i="23"/>
  <c r="G16" i="6"/>
  <c r="H16" i="6"/>
  <c r="J16" i="6"/>
  <c r="V93" i="23"/>
  <c r="V92" i="23"/>
  <c r="J93" i="23"/>
  <c r="J91" i="23"/>
  <c r="V91" i="23"/>
  <c r="J92" i="23"/>
  <c r="T85" i="23"/>
  <c r="H86" i="23"/>
  <c r="H85" i="23"/>
  <c r="T87" i="23"/>
  <c r="T86" i="23"/>
  <c r="H87" i="23"/>
  <c r="E20" i="6"/>
  <c r="W15" i="29"/>
  <c r="K16" i="29" s="1"/>
  <c r="T15" i="29"/>
  <c r="H16" i="29" s="1"/>
  <c r="W86" i="23"/>
  <c r="W85" i="23"/>
  <c r="K86" i="23"/>
  <c r="K87" i="23"/>
  <c r="K85" i="23"/>
  <c r="W87" i="23"/>
  <c r="G10" i="6"/>
  <c r="H10" i="6"/>
  <c r="G9" i="7" s="1"/>
  <c r="J10" i="6"/>
  <c r="I9" i="7" s="1"/>
  <c r="F85" i="23"/>
  <c r="R87" i="23"/>
  <c r="R86" i="23"/>
  <c r="F87" i="23"/>
  <c r="AD12" i="24"/>
  <c r="R85" i="23"/>
  <c r="F86" i="23"/>
  <c r="U92" i="23"/>
  <c r="I93" i="23"/>
  <c r="U93" i="23"/>
  <c r="U91" i="23"/>
  <c r="I92" i="23"/>
  <c r="I91" i="23"/>
  <c r="G85" i="23"/>
  <c r="S87" i="23"/>
  <c r="S86" i="23"/>
  <c r="G87" i="23"/>
  <c r="S85" i="23"/>
  <c r="G86" i="23"/>
  <c r="T81" i="23"/>
  <c r="H32" i="40" s="1"/>
  <c r="H33" i="40" s="1"/>
  <c r="T80" i="23"/>
  <c r="H28" i="40" s="1"/>
  <c r="H29" i="40" s="1"/>
  <c r="H81" i="23"/>
  <c r="H31" i="40" s="1"/>
  <c r="H34" i="40" s="1"/>
  <c r="T79" i="23"/>
  <c r="H24" i="40" s="1"/>
  <c r="H25" i="40" s="1"/>
  <c r="H80" i="23"/>
  <c r="H27" i="40" s="1"/>
  <c r="H30" i="40" s="1"/>
  <c r="H79" i="23"/>
  <c r="H23" i="40" s="1"/>
  <c r="H26" i="40" s="1"/>
  <c r="S80" i="23"/>
  <c r="G28" i="40" s="1"/>
  <c r="G29" i="40" s="1"/>
  <c r="G81" i="23"/>
  <c r="G31" i="40" s="1"/>
  <c r="G34" i="40" s="1"/>
  <c r="S79" i="23"/>
  <c r="G24" i="40" s="1"/>
  <c r="G25" i="40" s="1"/>
  <c r="G80" i="23"/>
  <c r="G27" i="40" s="1"/>
  <c r="G30" i="40" s="1"/>
  <c r="G79" i="23"/>
  <c r="G23" i="40" s="1"/>
  <c r="G26" i="40" s="1"/>
  <c r="S81" i="23"/>
  <c r="G32" i="40" s="1"/>
  <c r="G33" i="40" s="1"/>
  <c r="W82" i="23"/>
  <c r="K82" i="23"/>
  <c r="W84" i="23"/>
  <c r="K83" i="23"/>
  <c r="W83" i="23"/>
  <c r="K84" i="23"/>
  <c r="G13" i="6"/>
  <c r="H13" i="6"/>
  <c r="G12" i="7" s="1"/>
  <c r="J13" i="6"/>
  <c r="I12" i="7" s="1"/>
  <c r="V86" i="23"/>
  <c r="J87" i="23"/>
  <c r="V85" i="23"/>
  <c r="J86" i="23"/>
  <c r="J85" i="23"/>
  <c r="V87" i="23"/>
  <c r="H13" i="7"/>
  <c r="H20" i="7" s="1"/>
  <c r="I20" i="6"/>
  <c r="V82" i="23"/>
  <c r="J83" i="23"/>
  <c r="J82" i="23"/>
  <c r="V84" i="23"/>
  <c r="V83" i="23"/>
  <c r="J84" i="23"/>
  <c r="U89" i="23"/>
  <c r="I90" i="23"/>
  <c r="U88" i="23"/>
  <c r="I89" i="23"/>
  <c r="I88" i="23"/>
  <c r="U90" i="23"/>
  <c r="D28" i="20"/>
  <c r="O28" i="20"/>
  <c r="J37" i="19"/>
  <c r="J21" i="35"/>
  <c r="N22" i="36"/>
  <c r="H9" i="6"/>
  <c r="G8" i="7" s="1"/>
  <c r="J9" i="6"/>
  <c r="G9" i="6"/>
  <c r="G28" i="20"/>
  <c r="F28" i="20"/>
  <c r="I28" i="20"/>
  <c r="E28" i="20"/>
  <c r="H28" i="20"/>
  <c r="G7" i="7"/>
  <c r="X16" i="23"/>
  <c r="N26" i="31"/>
  <c r="N30" i="25"/>
  <c r="N34" i="26"/>
  <c r="H29" i="34"/>
  <c r="H30" i="34" s="1"/>
  <c r="H28" i="27"/>
  <c r="H29" i="27" s="1"/>
  <c r="H24" i="34"/>
  <c r="H27" i="34" s="1"/>
  <c r="H23" i="27"/>
  <c r="H26" i="27" s="1"/>
  <c r="H28" i="34"/>
  <c r="H31" i="34" s="1"/>
  <c r="H27" i="27"/>
  <c r="H30" i="27" s="1"/>
  <c r="H32" i="34"/>
  <c r="H35" i="34" s="1"/>
  <c r="H31" i="27"/>
  <c r="H34" i="27" s="1"/>
  <c r="H24" i="27"/>
  <c r="H25" i="27" s="1"/>
  <c r="H25" i="34"/>
  <c r="H26" i="34" s="1"/>
  <c r="N29" i="31"/>
  <c r="N33" i="31"/>
  <c r="N21" i="30"/>
  <c r="N34" i="30"/>
  <c r="N33" i="26"/>
  <c r="N30" i="26"/>
  <c r="N26" i="30"/>
  <c r="N33" i="25"/>
  <c r="N17" i="30"/>
  <c r="N29" i="25"/>
  <c r="N30" i="30"/>
  <c r="N25" i="31"/>
  <c r="N25" i="25"/>
  <c r="N29" i="30"/>
  <c r="N34" i="31"/>
  <c r="N29" i="26"/>
  <c r="N25" i="30"/>
  <c r="N21" i="25"/>
  <c r="N30" i="31"/>
  <c r="R15" i="30"/>
  <c r="F16" i="30" s="1"/>
  <c r="V15" i="30"/>
  <c r="J16" i="30" s="1"/>
  <c r="U15" i="30"/>
  <c r="I16" i="30" s="1"/>
  <c r="X15" i="30"/>
  <c r="L16" i="30" s="1"/>
  <c r="S15" i="31"/>
  <c r="G16" i="31" s="1"/>
  <c r="F16" i="31"/>
  <c r="T15" i="31"/>
  <c r="H16" i="31" s="1"/>
  <c r="U15" i="31"/>
  <c r="I16" i="31" s="1"/>
  <c r="N17" i="31"/>
  <c r="W15" i="30"/>
  <c r="K16" i="30" s="1"/>
  <c r="T15" i="30"/>
  <c r="H16" i="30" s="1"/>
  <c r="N33" i="30"/>
  <c r="F16" i="29"/>
  <c r="N33" i="29"/>
  <c r="N25" i="29"/>
  <c r="N29" i="29"/>
  <c r="X15" i="29"/>
  <c r="L16" i="29" s="1"/>
  <c r="U15" i="29"/>
  <c r="I16" i="29" s="1"/>
  <c r="N34" i="29"/>
  <c r="N30" i="29"/>
  <c r="N26" i="29"/>
  <c r="N21" i="29"/>
  <c r="N21" i="27"/>
  <c r="N26" i="26"/>
  <c r="N25" i="26"/>
  <c r="N34" i="25"/>
  <c r="N26" i="25"/>
  <c r="T72" i="23"/>
  <c r="T71" i="23"/>
  <c r="T70" i="23"/>
  <c r="V69" i="23"/>
  <c r="J69" i="23"/>
  <c r="V68" i="23"/>
  <c r="J68" i="23"/>
  <c r="V67" i="23"/>
  <c r="J67" i="23"/>
  <c r="V72" i="23"/>
  <c r="V71" i="23"/>
  <c r="V70" i="23"/>
  <c r="H78" i="23"/>
  <c r="H31" i="39" s="1"/>
  <c r="H34" i="39" s="1"/>
  <c r="T78" i="23"/>
  <c r="H32" i="39" s="1"/>
  <c r="H33" i="39" s="1"/>
  <c r="H77" i="23"/>
  <c r="H27" i="39" s="1"/>
  <c r="H30" i="39" s="1"/>
  <c r="T77" i="23"/>
  <c r="H28" i="39" s="1"/>
  <c r="H29" i="39" s="1"/>
  <c r="H76" i="23"/>
  <c r="H23" i="39" s="1"/>
  <c r="H26" i="39" s="1"/>
  <c r="T76" i="23"/>
  <c r="H24" i="39" s="1"/>
  <c r="H25" i="39" s="1"/>
  <c r="V76" i="23"/>
  <c r="J24" i="39" s="1"/>
  <c r="J25" i="39" s="1"/>
  <c r="J78" i="23"/>
  <c r="J31" i="39" s="1"/>
  <c r="J34" i="39" s="1"/>
  <c r="V78" i="23"/>
  <c r="J32" i="39" s="1"/>
  <c r="J33" i="39" s="1"/>
  <c r="J77" i="23"/>
  <c r="J27" i="39" s="1"/>
  <c r="J30" i="39" s="1"/>
  <c r="V77" i="23"/>
  <c r="J28" i="39" s="1"/>
  <c r="J29" i="39" s="1"/>
  <c r="J76" i="23"/>
  <c r="J23" i="39" s="1"/>
  <c r="J26" i="39" s="1"/>
  <c r="AD7" i="24"/>
  <c r="R67" i="23"/>
  <c r="F67" i="23"/>
  <c r="R69" i="23"/>
  <c r="F69" i="23"/>
  <c r="R68" i="23"/>
  <c r="F68" i="23"/>
  <c r="S67" i="23"/>
  <c r="G67" i="23"/>
  <c r="S69" i="23"/>
  <c r="G69" i="23"/>
  <c r="S68" i="23"/>
  <c r="G68" i="23"/>
  <c r="T68" i="23"/>
  <c r="H68" i="23"/>
  <c r="T67" i="23"/>
  <c r="H67" i="23"/>
  <c r="T69" i="23"/>
  <c r="H69" i="23"/>
  <c r="R71" i="23"/>
  <c r="R70" i="23"/>
  <c r="R72" i="23"/>
  <c r="U72" i="23"/>
  <c r="U71" i="23"/>
  <c r="U70" i="23"/>
  <c r="W72" i="23"/>
  <c r="K32" i="37" s="1"/>
  <c r="K33" i="37" s="1"/>
  <c r="W71" i="23"/>
  <c r="K28" i="37" s="1"/>
  <c r="K29" i="37" s="1"/>
  <c r="W70" i="23"/>
  <c r="K24" i="37" s="1"/>
  <c r="K25" i="37" s="1"/>
  <c r="R78" i="23"/>
  <c r="F32" i="39" s="1"/>
  <c r="F77" i="23"/>
  <c r="F27" i="39" s="1"/>
  <c r="R77" i="23"/>
  <c r="F28" i="39" s="1"/>
  <c r="F76" i="23"/>
  <c r="F23" i="39" s="1"/>
  <c r="R76" i="23"/>
  <c r="F24" i="39" s="1"/>
  <c r="AD9" i="24"/>
  <c r="F78" i="23"/>
  <c r="F31" i="39" s="1"/>
  <c r="U68" i="23"/>
  <c r="I68" i="23"/>
  <c r="U67" i="23"/>
  <c r="I67" i="23"/>
  <c r="U69" i="23"/>
  <c r="I69" i="23"/>
  <c r="W76" i="23"/>
  <c r="K24" i="39" s="1"/>
  <c r="K25" i="39" s="1"/>
  <c r="K78" i="23"/>
  <c r="K31" i="39" s="1"/>
  <c r="K34" i="39" s="1"/>
  <c r="W78" i="23"/>
  <c r="K32" i="39" s="1"/>
  <c r="K33" i="39" s="1"/>
  <c r="K77" i="23"/>
  <c r="K27" i="39" s="1"/>
  <c r="K30" i="39" s="1"/>
  <c r="W77" i="23"/>
  <c r="K28" i="39" s="1"/>
  <c r="K29" i="39" s="1"/>
  <c r="K76" i="23"/>
  <c r="K23" i="39" s="1"/>
  <c r="K26" i="39" s="1"/>
  <c r="S78" i="23"/>
  <c r="G32" i="39" s="1"/>
  <c r="G33" i="39" s="1"/>
  <c r="G77" i="23"/>
  <c r="G27" i="39" s="1"/>
  <c r="G30" i="39" s="1"/>
  <c r="S77" i="23"/>
  <c r="G28" i="39" s="1"/>
  <c r="G29" i="39" s="1"/>
  <c r="G76" i="23"/>
  <c r="G23" i="39" s="1"/>
  <c r="G26" i="39" s="1"/>
  <c r="S76" i="23"/>
  <c r="G24" i="39" s="1"/>
  <c r="G25" i="39" s="1"/>
  <c r="G78" i="23"/>
  <c r="G31" i="39" s="1"/>
  <c r="G34" i="39" s="1"/>
  <c r="V66" i="23"/>
  <c r="V65" i="23"/>
  <c r="V64" i="23"/>
  <c r="W66" i="23"/>
  <c r="W65" i="23"/>
  <c r="W64" i="23"/>
  <c r="R65" i="23"/>
  <c r="R64" i="23"/>
  <c r="R66" i="23"/>
  <c r="S65" i="23"/>
  <c r="S64" i="23"/>
  <c r="S66" i="23"/>
  <c r="U64" i="23"/>
  <c r="U66" i="23"/>
  <c r="U65" i="23"/>
  <c r="J71" i="23"/>
  <c r="J70" i="23"/>
  <c r="J72" i="23"/>
  <c r="I71" i="23"/>
  <c r="I70" i="23"/>
  <c r="I72" i="23"/>
  <c r="F72" i="23"/>
  <c r="F71" i="23"/>
  <c r="F70" i="23"/>
  <c r="AD8" i="24"/>
  <c r="H70" i="23"/>
  <c r="H72" i="23"/>
  <c r="H71" i="23"/>
  <c r="K72" i="23"/>
  <c r="K31" i="37" s="1"/>
  <c r="K34" i="37" s="1"/>
  <c r="K71" i="23"/>
  <c r="K27" i="37" s="1"/>
  <c r="K30" i="37" s="1"/>
  <c r="K70" i="23"/>
  <c r="K23" i="37" s="1"/>
  <c r="K26" i="37" s="1"/>
  <c r="K66" i="23"/>
  <c r="K64" i="23"/>
  <c r="K65" i="23"/>
  <c r="G64" i="23"/>
  <c r="G65" i="23"/>
  <c r="G66" i="23"/>
  <c r="I66" i="23"/>
  <c r="I65" i="23"/>
  <c r="I64" i="23"/>
  <c r="J66" i="23"/>
  <c r="J65" i="23"/>
  <c r="J64" i="23"/>
  <c r="F65" i="23"/>
  <c r="F64" i="23"/>
  <c r="F66" i="23"/>
  <c r="AD6" i="24"/>
  <c r="AD3" i="24"/>
  <c r="N32" i="40" l="1"/>
  <c r="F33" i="40"/>
  <c r="N23" i="40"/>
  <c r="N26" i="40" s="1"/>
  <c r="F26" i="40"/>
  <c r="N24" i="39"/>
  <c r="N25" i="39" s="1"/>
  <c r="F25" i="39"/>
  <c r="N27" i="40"/>
  <c r="N30" i="40" s="1"/>
  <c r="F30" i="40"/>
  <c r="N23" i="39"/>
  <c r="N26" i="39" s="1"/>
  <c r="F26" i="39"/>
  <c r="F25" i="40"/>
  <c r="N24" i="40"/>
  <c r="N25" i="40" s="1"/>
  <c r="N31" i="39"/>
  <c r="N34" i="39" s="1"/>
  <c r="F34" i="39"/>
  <c r="F29" i="39"/>
  <c r="N28" i="39"/>
  <c r="N31" i="40"/>
  <c r="N34" i="40" s="1"/>
  <c r="F34" i="40"/>
  <c r="N27" i="39"/>
  <c r="N30" i="39" s="1"/>
  <c r="F30" i="39"/>
  <c r="F29" i="40"/>
  <c r="N28" i="40"/>
  <c r="F33" i="39"/>
  <c r="N32" i="39"/>
  <c r="R73" i="23"/>
  <c r="F25" i="38" s="1"/>
  <c r="E33" i="20"/>
  <c r="H32" i="20"/>
  <c r="G34" i="20"/>
  <c r="I33" i="20"/>
  <c r="F32" i="20"/>
  <c r="F35" i="20"/>
  <c r="D34" i="20"/>
  <c r="D39" i="20" s="1"/>
  <c r="F33" i="20"/>
  <c r="H35" i="20"/>
  <c r="E32" i="20"/>
  <c r="I34" i="20"/>
  <c r="H33" i="20"/>
  <c r="I32" i="20"/>
  <c r="E35" i="20"/>
  <c r="F34" i="20"/>
  <c r="G33" i="20"/>
  <c r="G32" i="20"/>
  <c r="H34" i="20"/>
  <c r="G75" i="23"/>
  <c r="G32" i="38" s="1"/>
  <c r="G35" i="38" s="1"/>
  <c r="W74" i="23"/>
  <c r="K29" i="38" s="1"/>
  <c r="K30" i="38" s="1"/>
  <c r="J75" i="23"/>
  <c r="J32" i="38" s="1"/>
  <c r="J35" i="38" s="1"/>
  <c r="W73" i="23"/>
  <c r="K25" i="38" s="1"/>
  <c r="K26" i="38" s="1"/>
  <c r="G35" i="20"/>
  <c r="I35" i="20"/>
  <c r="R75" i="23"/>
  <c r="F33" i="38" s="1"/>
  <c r="F34" i="38" s="1"/>
  <c r="V75" i="23"/>
  <c r="J33" i="38" s="1"/>
  <c r="J34" i="38" s="1"/>
  <c r="V73" i="23"/>
  <c r="J25" i="38" s="1"/>
  <c r="J26" i="38" s="1"/>
  <c r="S75" i="23"/>
  <c r="G33" i="38" s="1"/>
  <c r="G34" i="38" s="1"/>
  <c r="W75" i="23"/>
  <c r="K33" i="38" s="1"/>
  <c r="K34" i="38" s="1"/>
  <c r="F74" i="23"/>
  <c r="F28" i="38" s="1"/>
  <c r="F31" i="38" s="1"/>
  <c r="T73" i="23"/>
  <c r="H25" i="38" s="1"/>
  <c r="H26" i="38" s="1"/>
  <c r="K74" i="23"/>
  <c r="K28" i="38" s="1"/>
  <c r="K31" i="38" s="1"/>
  <c r="S74" i="23"/>
  <c r="G29" i="38" s="1"/>
  <c r="G30" i="38" s="1"/>
  <c r="K73" i="23"/>
  <c r="K24" i="38" s="1"/>
  <c r="K27" i="38" s="1"/>
  <c r="T74" i="23"/>
  <c r="H29" i="38" s="1"/>
  <c r="H30" i="38" s="1"/>
  <c r="U74" i="23"/>
  <c r="I29" i="38" s="1"/>
  <c r="I30" i="38" s="1"/>
  <c r="F75" i="23"/>
  <c r="F32" i="38" s="1"/>
  <c r="F35" i="38" s="1"/>
  <c r="G74" i="23"/>
  <c r="G28" i="38" s="1"/>
  <c r="G31" i="38" s="1"/>
  <c r="G23" i="35"/>
  <c r="G26" i="35" s="1"/>
  <c r="S73" i="23"/>
  <c r="G25" i="38" s="1"/>
  <c r="G26" i="38" s="1"/>
  <c r="G24" i="35"/>
  <c r="G25" i="35" s="1"/>
  <c r="I74" i="23"/>
  <c r="I28" i="38" s="1"/>
  <c r="I31" i="38" s="1"/>
  <c r="I73" i="23"/>
  <c r="I24" i="38" s="1"/>
  <c r="I27" i="38" s="1"/>
  <c r="U75" i="23"/>
  <c r="I33" i="38" s="1"/>
  <c r="I34" i="38" s="1"/>
  <c r="T75" i="23"/>
  <c r="H33" i="38" s="1"/>
  <c r="H34" i="38" s="1"/>
  <c r="G73" i="23"/>
  <c r="G24" i="38" s="1"/>
  <c r="G27" i="38" s="1"/>
  <c r="R74" i="23"/>
  <c r="F29" i="38" s="1"/>
  <c r="F30" i="38" s="1"/>
  <c r="U73" i="23"/>
  <c r="I25" i="38" s="1"/>
  <c r="I26" i="38" s="1"/>
  <c r="F73" i="23"/>
  <c r="F24" i="38" s="1"/>
  <c r="F27" i="38" s="1"/>
  <c r="J73" i="23"/>
  <c r="J24" i="38" s="1"/>
  <c r="J27" i="38" s="1"/>
  <c r="J74" i="23"/>
  <c r="J28" i="38" s="1"/>
  <c r="J31" i="38" s="1"/>
  <c r="V74" i="23"/>
  <c r="J29" i="38" s="1"/>
  <c r="J30" i="38" s="1"/>
  <c r="F26" i="38"/>
  <c r="H75" i="23"/>
  <c r="H32" i="38" s="1"/>
  <c r="H35" i="38" s="1"/>
  <c r="H73" i="23"/>
  <c r="H24" i="38" s="1"/>
  <c r="H27" i="38" s="1"/>
  <c r="H74" i="23"/>
  <c r="H28" i="38" s="1"/>
  <c r="H31" i="38" s="1"/>
  <c r="I75" i="23"/>
  <c r="I32" i="38" s="1"/>
  <c r="I35" i="38" s="1"/>
  <c r="K75" i="23"/>
  <c r="K32" i="38" s="1"/>
  <c r="K35" i="38" s="1"/>
  <c r="I27" i="36"/>
  <c r="I30" i="36" s="1"/>
  <c r="I27" i="37"/>
  <c r="I30" i="37" s="1"/>
  <c r="G27" i="36"/>
  <c r="G30" i="36" s="1"/>
  <c r="G27" i="37"/>
  <c r="G30" i="37" s="1"/>
  <c r="F31" i="36"/>
  <c r="F34" i="36" s="1"/>
  <c r="F31" i="37"/>
  <c r="J31" i="36"/>
  <c r="J34" i="36" s="1"/>
  <c r="J31" i="37"/>
  <c r="J34" i="37" s="1"/>
  <c r="K19" i="36"/>
  <c r="K20" i="36" s="1"/>
  <c r="I28" i="36"/>
  <c r="I29" i="36" s="1"/>
  <c r="I28" i="37"/>
  <c r="I29" i="37" s="1"/>
  <c r="G28" i="36"/>
  <c r="G29" i="36" s="1"/>
  <c r="G28" i="37"/>
  <c r="G29" i="37" s="1"/>
  <c r="F32" i="36"/>
  <c r="F33" i="36" s="1"/>
  <c r="F32" i="37"/>
  <c r="J32" i="36"/>
  <c r="J33" i="36" s="1"/>
  <c r="J32" i="37"/>
  <c r="J33" i="37" s="1"/>
  <c r="G19" i="36"/>
  <c r="G20" i="36" s="1"/>
  <c r="H31" i="36"/>
  <c r="H34" i="36" s="1"/>
  <c r="H31" i="37"/>
  <c r="H34" i="37" s="1"/>
  <c r="G31" i="36"/>
  <c r="G34" i="36" s="1"/>
  <c r="G31" i="37"/>
  <c r="G34" i="37" s="1"/>
  <c r="F23" i="36"/>
  <c r="F26" i="36" s="1"/>
  <c r="F23" i="37"/>
  <c r="M19" i="36"/>
  <c r="H32" i="36"/>
  <c r="H33" i="36" s="1"/>
  <c r="H32" i="37"/>
  <c r="H33" i="37" s="1"/>
  <c r="G32" i="36"/>
  <c r="G33" i="36" s="1"/>
  <c r="G32" i="37"/>
  <c r="G33" i="37" s="1"/>
  <c r="F24" i="36"/>
  <c r="F25" i="36" s="1"/>
  <c r="F24" i="37"/>
  <c r="I19" i="36"/>
  <c r="I20" i="36" s="1"/>
  <c r="I31" i="36"/>
  <c r="I34" i="36" s="1"/>
  <c r="I31" i="37"/>
  <c r="I34" i="37" s="1"/>
  <c r="H23" i="36"/>
  <c r="H26" i="36" s="1"/>
  <c r="H23" i="37"/>
  <c r="H26" i="37" s="1"/>
  <c r="G23" i="36"/>
  <c r="G26" i="36" s="1"/>
  <c r="G23" i="37"/>
  <c r="G26" i="37" s="1"/>
  <c r="J23" i="36"/>
  <c r="J26" i="36" s="1"/>
  <c r="J23" i="37"/>
  <c r="J26" i="37" s="1"/>
  <c r="J19" i="36"/>
  <c r="J20" i="36" s="1"/>
  <c r="F19" i="36"/>
  <c r="F20" i="36" s="1"/>
  <c r="I32" i="36"/>
  <c r="I33" i="36" s="1"/>
  <c r="I32" i="37"/>
  <c r="I33" i="37" s="1"/>
  <c r="H24" i="36"/>
  <c r="H25" i="36" s="1"/>
  <c r="H24" i="37"/>
  <c r="H25" i="37" s="1"/>
  <c r="G24" i="36"/>
  <c r="G25" i="36" s="1"/>
  <c r="G24" i="37"/>
  <c r="G25" i="37" s="1"/>
  <c r="J24" i="36"/>
  <c r="J25" i="36" s="1"/>
  <c r="J24" i="37"/>
  <c r="J25" i="37" s="1"/>
  <c r="I23" i="36"/>
  <c r="I26" i="36" s="1"/>
  <c r="I23" i="37"/>
  <c r="I26" i="37" s="1"/>
  <c r="H27" i="36"/>
  <c r="H30" i="36" s="1"/>
  <c r="H27" i="37"/>
  <c r="H30" i="37" s="1"/>
  <c r="F27" i="36"/>
  <c r="F30" i="36" s="1"/>
  <c r="F27" i="37"/>
  <c r="J27" i="36"/>
  <c r="J30" i="36" s="1"/>
  <c r="J27" i="37"/>
  <c r="J30" i="37" s="1"/>
  <c r="I24" i="36"/>
  <c r="I25" i="36" s="1"/>
  <c r="I24" i="37"/>
  <c r="I25" i="37" s="1"/>
  <c r="H28" i="36"/>
  <c r="H29" i="36" s="1"/>
  <c r="H28" i="37"/>
  <c r="H29" i="37" s="1"/>
  <c r="F28" i="36"/>
  <c r="F29" i="36" s="1"/>
  <c r="F28" i="37"/>
  <c r="J28" i="36"/>
  <c r="J29" i="36" s="1"/>
  <c r="J28" i="37"/>
  <c r="J29" i="37" s="1"/>
  <c r="I18" i="6"/>
  <c r="L8" i="6"/>
  <c r="Z8" i="6" s="1"/>
  <c r="L15" i="6"/>
  <c r="X15" i="6" s="1"/>
  <c r="X87" i="23"/>
  <c r="X90" i="23"/>
  <c r="L83" i="23"/>
  <c r="L11" i="6"/>
  <c r="F13" i="7"/>
  <c r="L14" i="6"/>
  <c r="L85" i="23"/>
  <c r="L88" i="23"/>
  <c r="L91" i="23"/>
  <c r="X81" i="23"/>
  <c r="X82" i="23"/>
  <c r="J20" i="6"/>
  <c r="I15" i="7"/>
  <c r="I20" i="7" s="1"/>
  <c r="X88" i="23"/>
  <c r="L92" i="23"/>
  <c r="L79" i="23"/>
  <c r="L84" i="23"/>
  <c r="L12" i="6"/>
  <c r="F12" i="7"/>
  <c r="L13" i="6"/>
  <c r="L86" i="23"/>
  <c r="H20" i="6"/>
  <c r="G15" i="7"/>
  <c r="G20" i="7" s="1"/>
  <c r="H19" i="6"/>
  <c r="G10" i="7"/>
  <c r="G19" i="7" s="1"/>
  <c r="L89" i="23"/>
  <c r="X91" i="23"/>
  <c r="L80" i="23"/>
  <c r="X83" i="23"/>
  <c r="X85" i="23"/>
  <c r="F9" i="7"/>
  <c r="L10" i="6"/>
  <c r="D10" i="6" s="1"/>
  <c r="F15" i="7"/>
  <c r="L16" i="6"/>
  <c r="F10" i="7"/>
  <c r="F19" i="7" s="1"/>
  <c r="G19" i="6"/>
  <c r="L93" i="23"/>
  <c r="X79" i="23"/>
  <c r="X84" i="23"/>
  <c r="G20" i="6"/>
  <c r="F14" i="7"/>
  <c r="X92" i="23"/>
  <c r="L81" i="23"/>
  <c r="L82" i="23"/>
  <c r="L87" i="23"/>
  <c r="L90" i="23"/>
  <c r="J19" i="6"/>
  <c r="I11" i="7"/>
  <c r="I19" i="7" s="1"/>
  <c r="X80" i="23"/>
  <c r="X86" i="23"/>
  <c r="X89" i="23"/>
  <c r="X93" i="23"/>
  <c r="J28" i="35"/>
  <c r="J29" i="35" s="1"/>
  <c r="F32" i="35"/>
  <c r="F33" i="35" s="1"/>
  <c r="J32" i="35"/>
  <c r="J33" i="35" s="1"/>
  <c r="J27" i="35"/>
  <c r="J30" i="35" s="1"/>
  <c r="F31" i="35"/>
  <c r="F34" i="35" s="1"/>
  <c r="F23" i="35"/>
  <c r="F26" i="35" s="1"/>
  <c r="K28" i="35"/>
  <c r="K29" i="35" s="1"/>
  <c r="G27" i="35"/>
  <c r="G30" i="35" s="1"/>
  <c r="J24" i="35"/>
  <c r="J25" i="35" s="1"/>
  <c r="G31" i="35"/>
  <c r="G34" i="35" s="1"/>
  <c r="G18" i="7"/>
  <c r="H18" i="6"/>
  <c r="F8" i="7"/>
  <c r="L9" i="6"/>
  <c r="D9" i="6" s="1"/>
  <c r="I8" i="7"/>
  <c r="I18" i="7" s="1"/>
  <c r="J18" i="6"/>
  <c r="G18" i="6"/>
  <c r="K27" i="35"/>
  <c r="K30" i="35" s="1"/>
  <c r="I24" i="35"/>
  <c r="I25" i="35" s="1"/>
  <c r="H32" i="35"/>
  <c r="H33" i="35" s="1"/>
  <c r="I28" i="35"/>
  <c r="I29" i="35" s="1"/>
  <c r="J31" i="35"/>
  <c r="J34" i="35" s="1"/>
  <c r="I32" i="35"/>
  <c r="I33" i="35" s="1"/>
  <c r="G32" i="35"/>
  <c r="G33" i="35" s="1"/>
  <c r="J23" i="35"/>
  <c r="J26" i="35" s="1"/>
  <c r="H24" i="35"/>
  <c r="H25" i="35" s="1"/>
  <c r="G28" i="35"/>
  <c r="G29" i="35" s="1"/>
  <c r="H28" i="35"/>
  <c r="H29" i="35" s="1"/>
  <c r="I23" i="35"/>
  <c r="I26" i="35" s="1"/>
  <c r="F24" i="35"/>
  <c r="F25" i="35" s="1"/>
  <c r="I31" i="35"/>
  <c r="I34" i="35" s="1"/>
  <c r="H23" i="35"/>
  <c r="H26" i="35" s="1"/>
  <c r="H27" i="35"/>
  <c r="H30" i="35" s="1"/>
  <c r="I27" i="35"/>
  <c r="I30" i="35" s="1"/>
  <c r="F28" i="35"/>
  <c r="H31" i="35"/>
  <c r="H34" i="35" s="1"/>
  <c r="K31" i="35"/>
  <c r="K34" i="35" s="1"/>
  <c r="K24" i="35"/>
  <c r="K25" i="35" s="1"/>
  <c r="K32" i="35"/>
  <c r="K33" i="35" s="1"/>
  <c r="F27" i="35"/>
  <c r="K23" i="35"/>
  <c r="K26" i="35" s="1"/>
  <c r="X71" i="23"/>
  <c r="I24" i="34"/>
  <c r="I27" i="34" s="1"/>
  <c r="I23" i="27"/>
  <c r="I26" i="27" s="1"/>
  <c r="K32" i="34"/>
  <c r="K35" i="34" s="1"/>
  <c r="K31" i="27"/>
  <c r="K34" i="27" s="1"/>
  <c r="F25" i="34"/>
  <c r="F24" i="27"/>
  <c r="I28" i="34"/>
  <c r="I31" i="34" s="1"/>
  <c r="I27" i="27"/>
  <c r="I30" i="27" s="1"/>
  <c r="I29" i="34"/>
  <c r="I30" i="34" s="1"/>
  <c r="I28" i="27"/>
  <c r="I29" i="27" s="1"/>
  <c r="F29" i="34"/>
  <c r="F28" i="27"/>
  <c r="J32" i="34"/>
  <c r="J35" i="34" s="1"/>
  <c r="J31" i="27"/>
  <c r="J34" i="27" s="1"/>
  <c r="F31" i="27"/>
  <c r="F32" i="34"/>
  <c r="I32" i="34"/>
  <c r="I35" i="34" s="1"/>
  <c r="I31" i="27"/>
  <c r="I34" i="27" s="1"/>
  <c r="I32" i="27"/>
  <c r="I33" i="27" s="1"/>
  <c r="I33" i="34"/>
  <c r="I34" i="34" s="1"/>
  <c r="K25" i="34"/>
  <c r="K26" i="34" s="1"/>
  <c r="K24" i="27"/>
  <c r="K25" i="27" s="1"/>
  <c r="F23" i="27"/>
  <c r="F24" i="34"/>
  <c r="G31" i="27"/>
  <c r="G34" i="27" s="1"/>
  <c r="G32" i="34"/>
  <c r="G35" i="34" s="1"/>
  <c r="I24" i="27"/>
  <c r="I25" i="27" s="1"/>
  <c r="I25" i="34"/>
  <c r="I26" i="34" s="1"/>
  <c r="K29" i="34"/>
  <c r="K30" i="34" s="1"/>
  <c r="K28" i="27"/>
  <c r="K29" i="27" s="1"/>
  <c r="F28" i="34"/>
  <c r="F27" i="27"/>
  <c r="G28" i="34"/>
  <c r="G31" i="34" s="1"/>
  <c r="G27" i="27"/>
  <c r="G30" i="27" s="1"/>
  <c r="G33" i="34"/>
  <c r="G34" i="34" s="1"/>
  <c r="G32" i="27"/>
  <c r="G33" i="27" s="1"/>
  <c r="K33" i="34"/>
  <c r="K34" i="34" s="1"/>
  <c r="K32" i="27"/>
  <c r="K33" i="27" s="1"/>
  <c r="J27" i="27"/>
  <c r="J30" i="27" s="1"/>
  <c r="J28" i="34"/>
  <c r="J31" i="34" s="1"/>
  <c r="J24" i="34"/>
  <c r="J27" i="34" s="1"/>
  <c r="J23" i="27"/>
  <c r="J26" i="27" s="1"/>
  <c r="G23" i="27"/>
  <c r="G26" i="27" s="1"/>
  <c r="G24" i="34"/>
  <c r="G27" i="34" s="1"/>
  <c r="G25" i="34"/>
  <c r="G26" i="34" s="1"/>
  <c r="G24" i="27"/>
  <c r="G25" i="27" s="1"/>
  <c r="J25" i="34"/>
  <c r="J26" i="34" s="1"/>
  <c r="J24" i="27"/>
  <c r="J25" i="27" s="1"/>
  <c r="K27" i="27"/>
  <c r="K30" i="27" s="1"/>
  <c r="K28" i="34"/>
  <c r="K31" i="34" s="1"/>
  <c r="G29" i="34"/>
  <c r="G30" i="34" s="1"/>
  <c r="G28" i="27"/>
  <c r="G29" i="27" s="1"/>
  <c r="J29" i="34"/>
  <c r="J30" i="34" s="1"/>
  <c r="J28" i="27"/>
  <c r="J29" i="27" s="1"/>
  <c r="K24" i="34"/>
  <c r="K27" i="34" s="1"/>
  <c r="K23" i="27"/>
  <c r="K26" i="27" s="1"/>
  <c r="F33" i="34"/>
  <c r="F32" i="27"/>
  <c r="J33" i="34"/>
  <c r="J34" i="34" s="1"/>
  <c r="J32" i="27"/>
  <c r="J33" i="27" s="1"/>
  <c r="N15" i="31"/>
  <c r="N16" i="31" s="1"/>
  <c r="N15" i="30"/>
  <c r="N16" i="30" s="1"/>
  <c r="N15" i="29"/>
  <c r="N16" i="29" s="1"/>
  <c r="L76" i="23"/>
  <c r="X67" i="23"/>
  <c r="X77" i="23"/>
  <c r="L68" i="23"/>
  <c r="L77" i="23"/>
  <c r="X72" i="23"/>
  <c r="X68" i="23"/>
  <c r="X78" i="23"/>
  <c r="X70" i="23"/>
  <c r="L69" i="23"/>
  <c r="X69" i="23"/>
  <c r="L78" i="23"/>
  <c r="L67" i="23"/>
  <c r="X76" i="23"/>
  <c r="X64" i="23"/>
  <c r="X65" i="23"/>
  <c r="X66" i="23"/>
  <c r="L71" i="23"/>
  <c r="L72" i="23"/>
  <c r="L70" i="23"/>
  <c r="L65" i="23"/>
  <c r="L66" i="23"/>
  <c r="L64" i="23"/>
  <c r="N33" i="39" l="1"/>
  <c r="P32" i="39"/>
  <c r="P28" i="39"/>
  <c r="N29" i="39"/>
  <c r="P28" i="40"/>
  <c r="N29" i="40"/>
  <c r="N33" i="40"/>
  <c r="P32" i="40"/>
  <c r="U12" i="6"/>
  <c r="W12" i="6" s="1"/>
  <c r="D12" i="6"/>
  <c r="E39" i="20"/>
  <c r="F39" i="20"/>
  <c r="I39" i="20"/>
  <c r="G39" i="20"/>
  <c r="H39" i="20"/>
  <c r="X11" i="6"/>
  <c r="D11" i="6"/>
  <c r="N33" i="38"/>
  <c r="N34" i="38" s="1"/>
  <c r="U15" i="6"/>
  <c r="W15" i="6" s="1"/>
  <c r="N29" i="38"/>
  <c r="N30" i="38" s="1"/>
  <c r="X73" i="23"/>
  <c r="N25" i="38"/>
  <c r="N26" i="38" s="1"/>
  <c r="X75" i="23"/>
  <c r="X74" i="23"/>
  <c r="N24" i="38"/>
  <c r="N27" i="38" s="1"/>
  <c r="N28" i="38"/>
  <c r="N31" i="38" s="1"/>
  <c r="L73" i="23"/>
  <c r="L75" i="23"/>
  <c r="L74" i="23"/>
  <c r="N32" i="38"/>
  <c r="N35" i="38" s="1"/>
  <c r="U11" i="6"/>
  <c r="W11" i="6" s="1"/>
  <c r="X8" i="6"/>
  <c r="N32" i="36"/>
  <c r="N33" i="36" s="1"/>
  <c r="U8" i="6"/>
  <c r="W8" i="6" s="1"/>
  <c r="D8" i="6"/>
  <c r="N19" i="36"/>
  <c r="N20" i="36" s="1"/>
  <c r="N31" i="36"/>
  <c r="N34" i="36" s="1"/>
  <c r="N27" i="36"/>
  <c r="N30" i="36" s="1"/>
  <c r="N24" i="36"/>
  <c r="N25" i="36" s="1"/>
  <c r="N23" i="36"/>
  <c r="N26" i="36" s="1"/>
  <c r="N28" i="36"/>
  <c r="N29" i="36" s="1"/>
  <c r="F33" i="37"/>
  <c r="N32" i="37"/>
  <c r="F29" i="37"/>
  <c r="N28" i="37"/>
  <c r="F30" i="37"/>
  <c r="N27" i="37"/>
  <c r="N30" i="37" s="1"/>
  <c r="F34" i="37"/>
  <c r="N31" i="37"/>
  <c r="N34" i="37" s="1"/>
  <c r="N24" i="37"/>
  <c r="N25" i="37" s="1"/>
  <c r="F25" i="37"/>
  <c r="F26" i="37"/>
  <c r="N23" i="37"/>
  <c r="N26" i="37" s="1"/>
  <c r="F18" i="7"/>
  <c r="K18" i="7" s="1"/>
  <c r="L19" i="6"/>
  <c r="X19" i="6" s="1"/>
  <c r="X12" i="6"/>
  <c r="L20" i="6"/>
  <c r="U20" i="6" s="1"/>
  <c r="W20" i="6" s="1"/>
  <c r="K19" i="7"/>
  <c r="U16" i="6"/>
  <c r="W16" i="6" s="1"/>
  <c r="X16" i="6"/>
  <c r="U10" i="6"/>
  <c r="W10" i="6" s="1"/>
  <c r="X10" i="6"/>
  <c r="X14" i="6"/>
  <c r="U14" i="6"/>
  <c r="W14" i="6" s="1"/>
  <c r="U13" i="6"/>
  <c r="W13" i="6" s="1"/>
  <c r="X13" i="6"/>
  <c r="F20" i="7"/>
  <c r="K20" i="7" s="1"/>
  <c r="L18" i="6"/>
  <c r="U18" i="6" s="1"/>
  <c r="W18" i="6" s="1"/>
  <c r="U9" i="6"/>
  <c r="W9" i="6" s="1"/>
  <c r="X9" i="6"/>
  <c r="N28" i="35"/>
  <c r="N29" i="35" s="1"/>
  <c r="F29" i="35"/>
  <c r="N23" i="35"/>
  <c r="N26" i="35" s="1"/>
  <c r="N32" i="35"/>
  <c r="N33" i="35" s="1"/>
  <c r="N31" i="35"/>
  <c r="N34" i="35" s="1"/>
  <c r="F30" i="35"/>
  <c r="N27" i="35"/>
  <c r="N30" i="35" s="1"/>
  <c r="N24" i="35"/>
  <c r="N25" i="35" s="1"/>
  <c r="N27" i="27"/>
  <c r="F30" i="27"/>
  <c r="N24" i="34"/>
  <c r="N27" i="34" s="1"/>
  <c r="F27" i="34"/>
  <c r="N32" i="34"/>
  <c r="N35" i="34" s="1"/>
  <c r="F35" i="34"/>
  <c r="N28" i="34"/>
  <c r="N31" i="34" s="1"/>
  <c r="F31" i="34"/>
  <c r="N23" i="27"/>
  <c r="N26" i="27" s="1"/>
  <c r="F26" i="27"/>
  <c r="F34" i="27"/>
  <c r="N31" i="27"/>
  <c r="F34" i="34"/>
  <c r="N33" i="34"/>
  <c r="N34" i="34" s="1"/>
  <c r="F25" i="27"/>
  <c r="N24" i="27"/>
  <c r="N25" i="27" s="1"/>
  <c r="F26" i="34"/>
  <c r="N25" i="34"/>
  <c r="N26" i="34" s="1"/>
  <c r="F29" i="27"/>
  <c r="N28" i="27"/>
  <c r="N29" i="27" s="1"/>
  <c r="F30" i="34"/>
  <c r="N29" i="34"/>
  <c r="N30" i="34" s="1"/>
  <c r="N32" i="27"/>
  <c r="N33" i="27" s="1"/>
  <c r="F33" i="27"/>
  <c r="J39" i="20" l="1"/>
  <c r="P32" i="36"/>
  <c r="P28" i="36"/>
  <c r="P28" i="37"/>
  <c r="N29" i="37"/>
  <c r="P32" i="37"/>
  <c r="N33" i="37"/>
  <c r="U19" i="6"/>
  <c r="W19" i="6" s="1"/>
  <c r="X20" i="6"/>
  <c r="N34" i="27"/>
  <c r="P32" i="27"/>
  <c r="N30" i="27"/>
  <c r="P28" i="27"/>
  <c r="X18" i="6"/>
  <c r="M13" i="20"/>
  <c r="F19" i="29"/>
  <c r="M18" i="13"/>
  <c r="K18" i="13"/>
  <c r="J18" i="13"/>
  <c r="I18" i="13"/>
  <c r="G18" i="13"/>
  <c r="F18" i="13"/>
  <c r="P22" i="19"/>
  <c r="Q22" i="19"/>
  <c r="O22" i="19"/>
  <c r="Q5" i="19"/>
  <c r="P5" i="19"/>
  <c r="L25" i="19" s="1"/>
  <c r="Q4" i="19"/>
  <c r="P4" i="19"/>
  <c r="K25" i="19" s="1"/>
  <c r="J9" i="19"/>
  <c r="K9" i="20" s="1"/>
  <c r="G9" i="20" s="1"/>
  <c r="J10" i="19"/>
  <c r="K10" i="20" s="1"/>
  <c r="I10" i="20" s="1"/>
  <c r="J11" i="19"/>
  <c r="K11" i="20" s="1"/>
  <c r="D11" i="20" s="1"/>
  <c r="J12" i="19"/>
  <c r="K12" i="20" s="1"/>
  <c r="E12" i="20" s="1"/>
  <c r="J13" i="19"/>
  <c r="J14" i="19"/>
  <c r="K14" i="20" s="1"/>
  <c r="G14" i="20" s="1"/>
  <c r="J15" i="19"/>
  <c r="K15" i="20" s="1"/>
  <c r="I15" i="20" s="1"/>
  <c r="J16" i="19"/>
  <c r="K16" i="20" s="1"/>
  <c r="D16" i="20" s="1"/>
  <c r="J17" i="19"/>
  <c r="K17" i="20" s="1"/>
  <c r="E17" i="20" s="1"/>
  <c r="J18" i="19"/>
  <c r="K18" i="20" s="1"/>
  <c r="G18" i="20" s="1"/>
  <c r="J19" i="19"/>
  <c r="K19" i="20" s="1"/>
  <c r="I19" i="20" s="1"/>
  <c r="J8" i="19"/>
  <c r="K8" i="20" s="1"/>
  <c r="E8" i="20" s="1"/>
  <c r="K13" i="20" l="1"/>
  <c r="G13" i="20" s="1"/>
  <c r="Q6" i="19"/>
  <c r="H26" i="19" s="1"/>
  <c r="K22" i="25"/>
  <c r="K22" i="30"/>
  <c r="L26" i="19"/>
  <c r="K22" i="35" s="1"/>
  <c r="P6" i="19"/>
  <c r="F22" i="30"/>
  <c r="F22" i="25"/>
  <c r="K26" i="19"/>
  <c r="F22" i="35" s="1"/>
  <c r="I19" i="30"/>
  <c r="I20" i="30" s="1"/>
  <c r="I19" i="25"/>
  <c r="I20" i="25" s="1"/>
  <c r="F20" i="29"/>
  <c r="I16" i="20"/>
  <c r="G15" i="20"/>
  <c r="I11" i="20"/>
  <c r="E9" i="20"/>
  <c r="F19" i="13"/>
  <c r="H19" i="20"/>
  <c r="F18" i="20"/>
  <c r="D17" i="20"/>
  <c r="H15" i="20"/>
  <c r="F14" i="20"/>
  <c r="D12" i="20"/>
  <c r="H10" i="20"/>
  <c r="F9" i="20"/>
  <c r="D8" i="20"/>
  <c r="J32" i="20"/>
  <c r="G19" i="20"/>
  <c r="E18" i="20"/>
  <c r="E14" i="20"/>
  <c r="G10" i="20"/>
  <c r="F19" i="20"/>
  <c r="D18" i="20"/>
  <c r="H16" i="20"/>
  <c r="F15" i="20"/>
  <c r="D14" i="20"/>
  <c r="H11" i="20"/>
  <c r="F10" i="20"/>
  <c r="D9" i="20"/>
  <c r="J33" i="20"/>
  <c r="E19" i="20"/>
  <c r="I17" i="20"/>
  <c r="G16" i="20"/>
  <c r="E15" i="20"/>
  <c r="I12" i="20"/>
  <c r="G11" i="20"/>
  <c r="E10" i="20"/>
  <c r="I8" i="20"/>
  <c r="D19" i="20"/>
  <c r="H17" i="20"/>
  <c r="F16" i="20"/>
  <c r="D15" i="20"/>
  <c r="H12" i="20"/>
  <c r="F11" i="20"/>
  <c r="D10" i="20"/>
  <c r="H8" i="20"/>
  <c r="J34" i="20"/>
  <c r="I18" i="20"/>
  <c r="G17" i="20"/>
  <c r="E16" i="20"/>
  <c r="I14" i="20"/>
  <c r="I22" i="20" s="1"/>
  <c r="G12" i="20"/>
  <c r="E11" i="20"/>
  <c r="I9" i="20"/>
  <c r="G8" i="20"/>
  <c r="H18" i="20"/>
  <c r="F17" i="20"/>
  <c r="H14" i="20"/>
  <c r="F12" i="20"/>
  <c r="H9" i="20"/>
  <c r="F8" i="20"/>
  <c r="J35" i="20"/>
  <c r="N18" i="13"/>
  <c r="D26" i="19" l="1"/>
  <c r="J26" i="19" s="1"/>
  <c r="F23" i="20"/>
  <c r="G23" i="20"/>
  <c r="H13" i="20"/>
  <c r="H21" i="20" s="1"/>
  <c r="I13" i="20"/>
  <c r="I21" i="20" s="1"/>
  <c r="F13" i="20"/>
  <c r="F21" i="20" s="1"/>
  <c r="D13" i="20"/>
  <c r="D21" i="20" s="1"/>
  <c r="E13" i="20"/>
  <c r="E21" i="20" s="1"/>
  <c r="N22" i="30"/>
  <c r="H20" i="20"/>
  <c r="N22" i="35"/>
  <c r="N22" i="25"/>
  <c r="D20" i="20"/>
  <c r="K22" i="31"/>
  <c r="K22" i="26"/>
  <c r="G20" i="20"/>
  <c r="F18" i="35"/>
  <c r="H36" i="19"/>
  <c r="K18" i="26"/>
  <c r="K21" i="26" s="1"/>
  <c r="K18" i="31"/>
  <c r="K21" i="31" s="1"/>
  <c r="F22" i="31"/>
  <c r="F22" i="26"/>
  <c r="K36" i="19"/>
  <c r="L36" i="19"/>
  <c r="E20" i="20"/>
  <c r="J10" i="20"/>
  <c r="N10" i="20" s="1"/>
  <c r="G22" i="20"/>
  <c r="E23" i="20"/>
  <c r="H22" i="20"/>
  <c r="D22" i="20"/>
  <c r="D23" i="20"/>
  <c r="I23" i="20"/>
  <c r="I20" i="20"/>
  <c r="H23" i="20"/>
  <c r="F20" i="20"/>
  <c r="J11" i="20"/>
  <c r="N11" i="20" s="1"/>
  <c r="G21" i="20"/>
  <c r="E22" i="20"/>
  <c r="F22" i="20"/>
  <c r="J19" i="20"/>
  <c r="L19" i="20" s="1"/>
  <c r="F19" i="25"/>
  <c r="F19" i="30"/>
  <c r="J19" i="13"/>
  <c r="J19" i="29"/>
  <c r="J20" i="29" s="1"/>
  <c r="J19" i="30"/>
  <c r="J20" i="30" s="1"/>
  <c r="J19" i="25"/>
  <c r="J20" i="25" s="1"/>
  <c r="K19" i="13"/>
  <c r="K19" i="29"/>
  <c r="K20" i="29" s="1"/>
  <c r="G19" i="13"/>
  <c r="G19" i="29"/>
  <c r="K19" i="25"/>
  <c r="K20" i="25" s="1"/>
  <c r="K19" i="30"/>
  <c r="K20" i="30" s="1"/>
  <c r="M19" i="13"/>
  <c r="M19" i="29"/>
  <c r="M19" i="30"/>
  <c r="M19" i="25"/>
  <c r="I19" i="13"/>
  <c r="I19" i="29"/>
  <c r="I20" i="29" s="1"/>
  <c r="G19" i="30"/>
  <c r="G20" i="30" s="1"/>
  <c r="G19" i="25"/>
  <c r="G20" i="25" s="1"/>
  <c r="J28" i="20"/>
  <c r="N28" i="20" s="1"/>
  <c r="J16" i="20"/>
  <c r="N16" i="20" s="1"/>
  <c r="N34" i="20"/>
  <c r="L34" i="20"/>
  <c r="J8" i="20"/>
  <c r="N8" i="20" s="1"/>
  <c r="J18" i="20"/>
  <c r="J12" i="20"/>
  <c r="N35" i="20"/>
  <c r="L35" i="20"/>
  <c r="N33" i="20"/>
  <c r="L33" i="20"/>
  <c r="J9" i="20"/>
  <c r="J15" i="20"/>
  <c r="N32" i="20"/>
  <c r="L32" i="20"/>
  <c r="J24" i="20"/>
  <c r="J25" i="20"/>
  <c r="J14" i="20"/>
  <c r="J17" i="20"/>
  <c r="K22" i="34" l="1"/>
  <c r="K22" i="38"/>
  <c r="F22" i="34"/>
  <c r="F22" i="38"/>
  <c r="K18" i="34"/>
  <c r="K21" i="34" s="1"/>
  <c r="K18" i="38"/>
  <c r="K21" i="38" s="1"/>
  <c r="F18" i="31"/>
  <c r="N18" i="31" s="1"/>
  <c r="N21" i="31" s="1"/>
  <c r="D36" i="19"/>
  <c r="F18" i="26"/>
  <c r="N18" i="26" s="1"/>
  <c r="N21" i="26" s="1"/>
  <c r="L11" i="20"/>
  <c r="L10" i="20"/>
  <c r="J13" i="20"/>
  <c r="N13" i="20" s="1"/>
  <c r="N19" i="20"/>
  <c r="N22" i="26"/>
  <c r="N22" i="31"/>
  <c r="F18" i="34"/>
  <c r="K26" i="20"/>
  <c r="E26" i="20" s="1"/>
  <c r="F21" i="35"/>
  <c r="N18" i="35"/>
  <c r="N21" i="35" s="1"/>
  <c r="J20" i="20"/>
  <c r="J21" i="20"/>
  <c r="J23" i="20"/>
  <c r="J22" i="20"/>
  <c r="L16" i="20"/>
  <c r="N19" i="13"/>
  <c r="G20" i="29"/>
  <c r="N19" i="29"/>
  <c r="N20" i="29" s="1"/>
  <c r="N19" i="30"/>
  <c r="N20" i="30" s="1"/>
  <c r="F20" i="30"/>
  <c r="F20" i="25"/>
  <c r="N19" i="25"/>
  <c r="N20" i="25" s="1"/>
  <c r="L28" i="20"/>
  <c r="N9" i="20"/>
  <c r="L9" i="20"/>
  <c r="L17" i="20"/>
  <c r="N17" i="20"/>
  <c r="N15" i="20"/>
  <c r="L15" i="20"/>
  <c r="L18" i="20"/>
  <c r="N18" i="20"/>
  <c r="L14" i="20"/>
  <c r="N14" i="20"/>
  <c r="L25" i="20"/>
  <c r="N25" i="20"/>
  <c r="N24" i="20"/>
  <c r="L24" i="20"/>
  <c r="N12" i="20"/>
  <c r="L12" i="20"/>
  <c r="N22" i="34" l="1"/>
  <c r="K23" i="34" s="1"/>
  <c r="J36" i="19"/>
  <c r="F18" i="38"/>
  <c r="N22" i="38"/>
  <c r="F23" i="38" s="1"/>
  <c r="F21" i="31"/>
  <c r="F21" i="26"/>
  <c r="L13" i="20"/>
  <c r="E36" i="20"/>
  <c r="G19" i="31"/>
  <c r="G20" i="31" s="1"/>
  <c r="G19" i="26"/>
  <c r="G20" i="26" s="1"/>
  <c r="H26" i="20"/>
  <c r="G26" i="20"/>
  <c r="I26" i="20"/>
  <c r="D26" i="20"/>
  <c r="F26" i="20"/>
  <c r="N18" i="34"/>
  <c r="N21" i="34" s="1"/>
  <c r="F21" i="34"/>
  <c r="Q15" i="13"/>
  <c r="F23" i="34" l="1"/>
  <c r="N18" i="38"/>
  <c r="N21" i="38" s="1"/>
  <c r="F21" i="38"/>
  <c r="G19" i="34"/>
  <c r="G20" i="34" s="1"/>
  <c r="K23" i="38"/>
  <c r="F36" i="20"/>
  <c r="I19" i="31"/>
  <c r="I20" i="31" s="1"/>
  <c r="I19" i="26"/>
  <c r="I20" i="26" s="1"/>
  <c r="H36" i="20"/>
  <c r="K19" i="31"/>
  <c r="K20" i="31" s="1"/>
  <c r="K19" i="26"/>
  <c r="K20" i="26" s="1"/>
  <c r="D36" i="20"/>
  <c r="J26" i="20"/>
  <c r="F19" i="26"/>
  <c r="F19" i="31"/>
  <c r="I36" i="20"/>
  <c r="M19" i="26"/>
  <c r="M19" i="31"/>
  <c r="G36" i="20"/>
  <c r="J19" i="26"/>
  <c r="J20" i="26" s="1"/>
  <c r="J19" i="31"/>
  <c r="J20" i="31" s="1"/>
  <c r="M9" i="13"/>
  <c r="L8" i="13"/>
  <c r="L20" i="13" s="1"/>
  <c r="K8" i="13"/>
  <c r="J8" i="13"/>
  <c r="I8" i="13"/>
  <c r="H8" i="13"/>
  <c r="F8" i="13"/>
  <c r="J5" i="15"/>
  <c r="J6" i="15"/>
  <c r="J7" i="15"/>
  <c r="J8" i="15"/>
  <c r="J9" i="15"/>
  <c r="J10" i="15"/>
  <c r="J11" i="15"/>
  <c r="J12" i="15"/>
  <c r="J13" i="15"/>
  <c r="J14" i="15"/>
  <c r="J15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4" i="15"/>
  <c r="AI10" i="14"/>
  <c r="AI11" i="14"/>
  <c r="AI12" i="14"/>
  <c r="AI13" i="14"/>
  <c r="AI14" i="14"/>
  <c r="AI15" i="14"/>
  <c r="M19" i="34" l="1"/>
  <c r="I19" i="34"/>
  <c r="I20" i="34" s="1"/>
  <c r="J19" i="34"/>
  <c r="J20" i="34" s="1"/>
  <c r="K19" i="34"/>
  <c r="K20" i="34" s="1"/>
  <c r="F20" i="31"/>
  <c r="N19" i="31"/>
  <c r="N20" i="31" s="1"/>
  <c r="L26" i="20"/>
  <c r="N26" i="20"/>
  <c r="J36" i="20"/>
  <c r="F19" i="34"/>
  <c r="F20" i="26"/>
  <c r="N19" i="26"/>
  <c r="N20" i="26" s="1"/>
  <c r="F29" i="13"/>
  <c r="F26" i="13"/>
  <c r="F33" i="13"/>
  <c r="G25" i="13"/>
  <c r="F25" i="13"/>
  <c r="G29" i="13"/>
  <c r="G26" i="13"/>
  <c r="G30" i="13"/>
  <c r="F34" i="13"/>
  <c r="G34" i="13"/>
  <c r="F30" i="13"/>
  <c r="G33" i="13"/>
  <c r="H34" i="13"/>
  <c r="H29" i="13"/>
  <c r="H26" i="13"/>
  <c r="H30" i="13"/>
  <c r="H25" i="13"/>
  <c r="H33" i="13"/>
  <c r="J26" i="13"/>
  <c r="J25" i="13"/>
  <c r="J33" i="13"/>
  <c r="J34" i="13"/>
  <c r="J30" i="13"/>
  <c r="J29" i="13"/>
  <c r="K30" i="13"/>
  <c r="K25" i="13"/>
  <c r="K33" i="13"/>
  <c r="K26" i="13"/>
  <c r="K34" i="13"/>
  <c r="K29" i="13"/>
  <c r="I25" i="13"/>
  <c r="I34" i="13"/>
  <c r="I29" i="13"/>
  <c r="I30" i="13"/>
  <c r="I33" i="13"/>
  <c r="I26" i="13"/>
  <c r="K21" i="13"/>
  <c r="K20" i="13"/>
  <c r="I21" i="13"/>
  <c r="I20" i="13"/>
  <c r="G21" i="13"/>
  <c r="F21" i="13"/>
  <c r="G20" i="13"/>
  <c r="F20" i="13"/>
  <c r="J21" i="13"/>
  <c r="J20" i="13"/>
  <c r="N8" i="13"/>
  <c r="C27" i="11"/>
  <c r="F27" i="11" s="1"/>
  <c r="D27" i="11"/>
  <c r="G27" i="11" s="1"/>
  <c r="E27" i="11"/>
  <c r="H27" i="11" s="1"/>
  <c r="C28" i="11"/>
  <c r="F28" i="11" s="1"/>
  <c r="D28" i="11"/>
  <c r="G28" i="11" s="1"/>
  <c r="E28" i="11"/>
  <c r="H28" i="11" s="1"/>
  <c r="C29" i="11"/>
  <c r="F29" i="11" s="1"/>
  <c r="D29" i="11"/>
  <c r="G29" i="11" s="1"/>
  <c r="E29" i="11"/>
  <c r="H29" i="11" s="1"/>
  <c r="C30" i="11"/>
  <c r="F30" i="11" s="1"/>
  <c r="D30" i="11"/>
  <c r="G30" i="11" s="1"/>
  <c r="E30" i="11"/>
  <c r="H30" i="11" s="1"/>
  <c r="C31" i="11"/>
  <c r="F31" i="11" s="1"/>
  <c r="D31" i="11"/>
  <c r="E31" i="11"/>
  <c r="H31" i="11" s="1"/>
  <c r="C32" i="11"/>
  <c r="F32" i="11" s="1"/>
  <c r="D32" i="11"/>
  <c r="G32" i="11" s="1"/>
  <c r="E32" i="11"/>
  <c r="H32" i="11" s="1"/>
  <c r="C33" i="11"/>
  <c r="F33" i="11" s="1"/>
  <c r="D33" i="11"/>
  <c r="G33" i="11" s="1"/>
  <c r="E33" i="11"/>
  <c r="H33" i="11" s="1"/>
  <c r="C34" i="11"/>
  <c r="D34" i="11"/>
  <c r="G34" i="11" s="1"/>
  <c r="E34" i="11"/>
  <c r="H34" i="11" s="1"/>
  <c r="C35" i="11"/>
  <c r="F35" i="11" s="1"/>
  <c r="D35" i="11"/>
  <c r="G35" i="11" s="1"/>
  <c r="E35" i="11"/>
  <c r="H35" i="11" s="1"/>
  <c r="G31" i="11"/>
  <c r="C7" i="11"/>
  <c r="F7" i="11" s="1"/>
  <c r="D7" i="11"/>
  <c r="G7" i="11" s="1"/>
  <c r="E7" i="11"/>
  <c r="H7" i="11" s="1"/>
  <c r="C8" i="11"/>
  <c r="F8" i="11" s="1"/>
  <c r="D8" i="11"/>
  <c r="G8" i="11" s="1"/>
  <c r="E8" i="11"/>
  <c r="H8" i="11" s="1"/>
  <c r="C9" i="11"/>
  <c r="D9" i="11"/>
  <c r="G9" i="11" s="1"/>
  <c r="E9" i="11"/>
  <c r="H9" i="11" s="1"/>
  <c r="C10" i="11"/>
  <c r="D10" i="11"/>
  <c r="G10" i="11" s="1"/>
  <c r="E10" i="11"/>
  <c r="H10" i="11" s="1"/>
  <c r="C11" i="11"/>
  <c r="F11" i="11" s="1"/>
  <c r="D11" i="11"/>
  <c r="G11" i="11" s="1"/>
  <c r="E11" i="11"/>
  <c r="H11" i="11" s="1"/>
  <c r="C12" i="11"/>
  <c r="F12" i="11" s="1"/>
  <c r="D12" i="11"/>
  <c r="G12" i="11" s="1"/>
  <c r="E12" i="11"/>
  <c r="H12" i="11" s="1"/>
  <c r="C13" i="11"/>
  <c r="F13" i="11" s="1"/>
  <c r="D13" i="11"/>
  <c r="G13" i="11" s="1"/>
  <c r="E13" i="11"/>
  <c r="H13" i="11" s="1"/>
  <c r="C14" i="11"/>
  <c r="F14" i="11" s="1"/>
  <c r="D14" i="11"/>
  <c r="G14" i="11" s="1"/>
  <c r="E14" i="11"/>
  <c r="H14" i="11" s="1"/>
  <c r="C15" i="11"/>
  <c r="F15" i="11" s="1"/>
  <c r="D15" i="11"/>
  <c r="G15" i="11" s="1"/>
  <c r="E15" i="11"/>
  <c r="H15" i="11" s="1"/>
  <c r="C16" i="11"/>
  <c r="F16" i="11" s="1"/>
  <c r="D16" i="11"/>
  <c r="G16" i="11" s="1"/>
  <c r="E16" i="11"/>
  <c r="H16" i="11" s="1"/>
  <c r="C17" i="11"/>
  <c r="D17" i="11"/>
  <c r="G17" i="11" s="1"/>
  <c r="E17" i="11"/>
  <c r="H17" i="11" s="1"/>
  <c r="C18" i="11"/>
  <c r="D18" i="11"/>
  <c r="G18" i="11" s="1"/>
  <c r="E18" i="11"/>
  <c r="H18" i="11" s="1"/>
  <c r="C19" i="11"/>
  <c r="F19" i="11" s="1"/>
  <c r="D19" i="11"/>
  <c r="G19" i="11" s="1"/>
  <c r="E19" i="11"/>
  <c r="H19" i="11" s="1"/>
  <c r="C20" i="11"/>
  <c r="F20" i="11" s="1"/>
  <c r="D20" i="11"/>
  <c r="G20" i="11" s="1"/>
  <c r="E20" i="11"/>
  <c r="H20" i="11" s="1"/>
  <c r="C21" i="11"/>
  <c r="F21" i="11" s="1"/>
  <c r="D21" i="11"/>
  <c r="G21" i="11" s="1"/>
  <c r="E21" i="11"/>
  <c r="H21" i="11" s="1"/>
  <c r="C22" i="11"/>
  <c r="F22" i="11" s="1"/>
  <c r="D22" i="11"/>
  <c r="G22" i="11" s="1"/>
  <c r="E22" i="11"/>
  <c r="H22" i="11" s="1"/>
  <c r="C23" i="11"/>
  <c r="F23" i="11" s="1"/>
  <c r="D23" i="11"/>
  <c r="G23" i="11" s="1"/>
  <c r="E23" i="11"/>
  <c r="H23" i="11" s="1"/>
  <c r="C24" i="11"/>
  <c r="F24" i="11" s="1"/>
  <c r="D24" i="11"/>
  <c r="G24" i="11" s="1"/>
  <c r="E24" i="11"/>
  <c r="H24" i="11" s="1"/>
  <c r="C25" i="11"/>
  <c r="D25" i="11"/>
  <c r="G25" i="11" s="1"/>
  <c r="E25" i="11"/>
  <c r="H25" i="11" s="1"/>
  <c r="C26" i="11"/>
  <c r="D26" i="11"/>
  <c r="G26" i="11" s="1"/>
  <c r="E26" i="11"/>
  <c r="H26" i="11" s="1"/>
  <c r="E6" i="11"/>
  <c r="H6" i="11" s="1"/>
  <c r="D6" i="11"/>
  <c r="G6" i="11" s="1"/>
  <c r="C6" i="11"/>
  <c r="F6" i="11" s="1"/>
  <c r="I32" i="11" l="1"/>
  <c r="I7" i="11"/>
  <c r="Y11" i="10" s="1"/>
  <c r="I6" i="11"/>
  <c r="Y10" i="10" s="1"/>
  <c r="I8" i="11"/>
  <c r="Y12" i="10" s="1"/>
  <c r="I16" i="11"/>
  <c r="Y20" i="10" s="1"/>
  <c r="I24" i="11"/>
  <c r="Y28" i="10" s="1"/>
  <c r="I20" i="11"/>
  <c r="Y24" i="10" s="1"/>
  <c r="I21" i="11"/>
  <c r="I13" i="11"/>
  <c r="I15" i="11"/>
  <c r="I23" i="11"/>
  <c r="I12" i="11"/>
  <c r="I11" i="11"/>
  <c r="I22" i="11"/>
  <c r="I14" i="11"/>
  <c r="I19" i="11"/>
  <c r="F9" i="11"/>
  <c r="I9" i="11" s="1"/>
  <c r="F17" i="11"/>
  <c r="I17" i="11" s="1"/>
  <c r="F25" i="11"/>
  <c r="I25" i="11" s="1"/>
  <c r="F34" i="11"/>
  <c r="I34" i="11" s="1"/>
  <c r="N19" i="34"/>
  <c r="N20" i="34" s="1"/>
  <c r="F20" i="34"/>
  <c r="F10" i="11"/>
  <c r="I10" i="11" s="1"/>
  <c r="F18" i="11"/>
  <c r="I18" i="11" s="1"/>
  <c r="F26" i="11"/>
  <c r="I26" i="11" s="1"/>
  <c r="I35" i="11"/>
  <c r="I30" i="11"/>
  <c r="I33" i="11"/>
  <c r="I27" i="11"/>
  <c r="N29" i="13"/>
  <c r="N34" i="13"/>
  <c r="N30" i="13"/>
  <c r="N26" i="13"/>
  <c r="N25" i="13"/>
  <c r="N33" i="13"/>
  <c r="N20" i="13"/>
  <c r="N21" i="13"/>
  <c r="I29" i="11"/>
  <c r="Y33" i="10" s="1"/>
  <c r="I28" i="11"/>
  <c r="Y32" i="10" s="1"/>
  <c r="I31" i="11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H30" i="9" l="1"/>
  <c r="I30" i="9" s="1"/>
  <c r="H16" i="9"/>
  <c r="I16" i="9" s="1"/>
  <c r="H26" i="9"/>
  <c r="I26" i="9" s="1"/>
  <c r="H22" i="9"/>
  <c r="I22" i="9" s="1"/>
  <c r="H20" i="9"/>
  <c r="I20" i="9" s="1"/>
  <c r="H31" i="9"/>
  <c r="I31" i="9" s="1"/>
  <c r="H27" i="9"/>
  <c r="I27" i="9" s="1"/>
  <c r="H23" i="9"/>
  <c r="I23" i="9" s="1"/>
  <c r="H18" i="9"/>
  <c r="I18" i="9" s="1"/>
  <c r="H33" i="9"/>
  <c r="I33" i="9" s="1"/>
  <c r="P29" i="10" s="1"/>
  <c r="H29" i="9"/>
  <c r="I29" i="9" s="1"/>
  <c r="H25" i="9"/>
  <c r="I25" i="9" s="1"/>
  <c r="H21" i="9"/>
  <c r="I21" i="9" s="1"/>
  <c r="H17" i="9"/>
  <c r="I17" i="9" s="1"/>
  <c r="H19" i="9"/>
  <c r="I19" i="9" s="1"/>
  <c r="H15" i="9"/>
  <c r="I15" i="9" s="1"/>
  <c r="H34" i="9"/>
  <c r="I34" i="9" s="1"/>
  <c r="P30" i="10" s="1"/>
  <c r="H32" i="9"/>
  <c r="I32" i="9" s="1"/>
  <c r="P28" i="10" s="1"/>
  <c r="H28" i="9"/>
  <c r="I28" i="9" s="1"/>
  <c r="H24" i="9"/>
  <c r="I24" i="9" s="1"/>
  <c r="Y30" i="10"/>
  <c r="Y14" i="10"/>
  <c r="Y18" i="10"/>
  <c r="Y16" i="10"/>
  <c r="Y22" i="10"/>
  <c r="Y26" i="10"/>
  <c r="Y19" i="10"/>
  <c r="Y29" i="10"/>
  <c r="Y17" i="10"/>
  <c r="Y21" i="10"/>
  <c r="Y15" i="10"/>
  <c r="Y25" i="10"/>
  <c r="Y31" i="10"/>
  <c r="Y13" i="10"/>
  <c r="Y23" i="10"/>
  <c r="Y27" i="10"/>
  <c r="D14" i="9"/>
  <c r="C14" i="9"/>
  <c r="N7" i="6"/>
  <c r="O7" i="6"/>
  <c r="P7" i="6"/>
  <c r="E7" i="6" s="1"/>
  <c r="D6" i="7" s="1"/>
  <c r="Q7" i="6"/>
  <c r="D5" i="2"/>
  <c r="S4" i="2"/>
  <c r="T4" i="2" s="1"/>
  <c r="S5" i="2"/>
  <c r="S3" i="2"/>
  <c r="T3" i="2" s="1"/>
  <c r="Q30" i="4"/>
  <c r="S30" i="1"/>
  <c r="T30" i="1"/>
  <c r="U30" i="1" l="1"/>
  <c r="H14" i="9"/>
  <c r="I14" i="9" s="1"/>
  <c r="T5" i="2"/>
  <c r="R7" i="6"/>
  <c r="I30" i="10"/>
  <c r="M30" i="10" s="1"/>
  <c r="I29" i="10"/>
  <c r="M29" i="10" s="1"/>
  <c r="I28" i="10"/>
  <c r="M28" i="10" s="1"/>
  <c r="I27" i="10"/>
  <c r="M27" i="10" s="1"/>
  <c r="I26" i="10"/>
  <c r="M26" i="10" s="1"/>
  <c r="I25" i="10"/>
  <c r="M25" i="10" s="1"/>
  <c r="I24" i="10"/>
  <c r="M24" i="10" s="1"/>
  <c r="I23" i="10"/>
  <c r="M23" i="10" s="1"/>
  <c r="I22" i="10"/>
  <c r="M22" i="10" s="1"/>
  <c r="I21" i="10"/>
  <c r="M21" i="10" s="1"/>
  <c r="I20" i="10"/>
  <c r="M20" i="10" s="1"/>
  <c r="I19" i="10"/>
  <c r="M19" i="10" s="1"/>
  <c r="I18" i="10"/>
  <c r="M18" i="10" s="1"/>
  <c r="I17" i="10"/>
  <c r="M17" i="10" s="1"/>
  <c r="I16" i="10"/>
  <c r="M16" i="10" s="1"/>
  <c r="I15" i="10"/>
  <c r="M15" i="10" s="1"/>
  <c r="I14" i="10"/>
  <c r="M14" i="10" s="1"/>
  <c r="I13" i="10"/>
  <c r="M13" i="10" s="1"/>
  <c r="I12" i="10"/>
  <c r="M12" i="10" s="1"/>
  <c r="I11" i="10"/>
  <c r="M11" i="10" s="1"/>
  <c r="I10" i="10"/>
  <c r="M10" i="10" s="1"/>
  <c r="I9" i="10"/>
  <c r="M9" i="10" s="1"/>
  <c r="I8" i="10"/>
  <c r="M8" i="10" s="1"/>
  <c r="I7" i="10"/>
  <c r="M7" i="10" s="1"/>
  <c r="I6" i="10"/>
  <c r="M6" i="10" s="1"/>
  <c r="I5" i="10"/>
  <c r="M5" i="10" s="1"/>
  <c r="I4" i="10"/>
  <c r="M4" i="10" s="1"/>
  <c r="I7" i="6" l="1"/>
  <c r="H6" i="7" s="1"/>
  <c r="H7" i="6"/>
  <c r="G6" i="7" s="1"/>
  <c r="G7" i="6"/>
  <c r="F6" i="7" s="1"/>
  <c r="J7" i="6"/>
  <c r="I6" i="7" s="1"/>
  <c r="O30" i="10"/>
  <c r="O22" i="10"/>
  <c r="O10" i="10"/>
  <c r="O18" i="10"/>
  <c r="O17" i="10"/>
  <c r="O9" i="10"/>
  <c r="O25" i="10"/>
  <c r="O24" i="10"/>
  <c r="O27" i="10"/>
  <c r="O29" i="10"/>
  <c r="O8" i="10"/>
  <c r="O5" i="10"/>
  <c r="O15" i="10"/>
  <c r="O20" i="10"/>
  <c r="O23" i="10"/>
  <c r="O7" i="10"/>
  <c r="O12" i="10"/>
  <c r="O14" i="10"/>
  <c r="O16" i="10"/>
  <c r="O11" i="10"/>
  <c r="O13" i="10"/>
  <c r="O4" i="10"/>
  <c r="O6" i="10"/>
  <c r="O19" i="10"/>
  <c r="O21" i="10"/>
  <c r="O26" i="10"/>
  <c r="O28" i="10"/>
  <c r="H108" i="5"/>
  <c r="J35" i="11" s="1"/>
  <c r="K35" i="11" s="1"/>
  <c r="H105" i="5"/>
  <c r="J34" i="11" s="1"/>
  <c r="K34" i="11" s="1"/>
  <c r="H102" i="5"/>
  <c r="J33" i="11" s="1"/>
  <c r="K33" i="11" s="1"/>
  <c r="H99" i="5"/>
  <c r="J32" i="11" s="1"/>
  <c r="K32" i="11" s="1"/>
  <c r="H96" i="5"/>
  <c r="J31" i="11" s="1"/>
  <c r="K31" i="11" s="1"/>
  <c r="H93" i="5"/>
  <c r="J30" i="11" s="1"/>
  <c r="K30" i="11" s="1"/>
  <c r="H90" i="5"/>
  <c r="J29" i="11" s="1"/>
  <c r="H87" i="5"/>
  <c r="J28" i="11" s="1"/>
  <c r="H84" i="5"/>
  <c r="J27" i="11" s="1"/>
  <c r="H81" i="5"/>
  <c r="J26" i="11" s="1"/>
  <c r="H78" i="5"/>
  <c r="J25" i="11" s="1"/>
  <c r="H75" i="5"/>
  <c r="J24" i="11" s="1"/>
  <c r="H72" i="5"/>
  <c r="J23" i="11" s="1"/>
  <c r="H69" i="5"/>
  <c r="J22" i="11" s="1"/>
  <c r="H66" i="5"/>
  <c r="J21" i="11" s="1"/>
  <c r="H63" i="5"/>
  <c r="J20" i="11" s="1"/>
  <c r="H60" i="5"/>
  <c r="J19" i="11" s="1"/>
  <c r="H57" i="5"/>
  <c r="J18" i="11" s="1"/>
  <c r="H54" i="5"/>
  <c r="J17" i="11" s="1"/>
  <c r="H51" i="5"/>
  <c r="J16" i="11" s="1"/>
  <c r="H48" i="5"/>
  <c r="J15" i="11" s="1"/>
  <c r="H45" i="5"/>
  <c r="J14" i="11" s="1"/>
  <c r="H42" i="5"/>
  <c r="J13" i="11" s="1"/>
  <c r="H39" i="5"/>
  <c r="J12" i="11" s="1"/>
  <c r="H36" i="5"/>
  <c r="J11" i="11" s="1"/>
  <c r="H33" i="5"/>
  <c r="J10" i="11" s="1"/>
  <c r="H30" i="5"/>
  <c r="J9" i="11" s="1"/>
  <c r="H27" i="5"/>
  <c r="J8" i="11" s="1"/>
  <c r="H24" i="5"/>
  <c r="J7" i="11" s="1"/>
  <c r="H21" i="5"/>
  <c r="J6" i="11" s="1"/>
  <c r="H18" i="5"/>
  <c r="H15" i="5"/>
  <c r="H12" i="5"/>
  <c r="H9" i="5"/>
  <c r="H6" i="5"/>
  <c r="H3" i="5"/>
  <c r="I5" i="8"/>
  <c r="I6" i="8"/>
  <c r="I7" i="8"/>
  <c r="I8" i="8"/>
  <c r="I9" i="8"/>
  <c r="I4" i="8"/>
  <c r="D33" i="8"/>
  <c r="D33" i="10" s="1"/>
  <c r="E33" i="8"/>
  <c r="E33" i="10" s="1"/>
  <c r="F33" i="8"/>
  <c r="F33" i="10" s="1"/>
  <c r="D34" i="8"/>
  <c r="E34" i="8"/>
  <c r="F34" i="8"/>
  <c r="D35" i="8"/>
  <c r="E35" i="8"/>
  <c r="F35" i="8"/>
  <c r="D36" i="8"/>
  <c r="J36" i="8" s="1"/>
  <c r="E36" i="8"/>
  <c r="F36" i="8"/>
  <c r="D37" i="8"/>
  <c r="J37" i="8" s="1"/>
  <c r="E37" i="8"/>
  <c r="F37" i="8"/>
  <c r="D38" i="8"/>
  <c r="I38" i="8" s="1"/>
  <c r="E38" i="8"/>
  <c r="F38" i="8"/>
  <c r="D39" i="8"/>
  <c r="E39" i="8"/>
  <c r="F39" i="8"/>
  <c r="D11" i="8"/>
  <c r="J11" i="8" s="1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I17" i="8" s="1"/>
  <c r="E17" i="8"/>
  <c r="F17" i="8"/>
  <c r="D18" i="8"/>
  <c r="E18" i="8"/>
  <c r="F18" i="8"/>
  <c r="D19" i="8"/>
  <c r="J19" i="8" s="1"/>
  <c r="E19" i="8"/>
  <c r="F19" i="8"/>
  <c r="D20" i="8"/>
  <c r="E20" i="8"/>
  <c r="F20" i="8"/>
  <c r="D21" i="8"/>
  <c r="E21" i="8"/>
  <c r="F21" i="8"/>
  <c r="D22" i="8"/>
  <c r="J22" i="8" s="1"/>
  <c r="E22" i="8"/>
  <c r="I22" i="8" s="1"/>
  <c r="F22" i="8"/>
  <c r="D23" i="8"/>
  <c r="E23" i="8"/>
  <c r="F23" i="8"/>
  <c r="D24" i="8"/>
  <c r="E24" i="8"/>
  <c r="F24" i="8"/>
  <c r="I24" i="8" s="1"/>
  <c r="D25" i="8"/>
  <c r="I25" i="8" s="1"/>
  <c r="E25" i="8"/>
  <c r="F25" i="8"/>
  <c r="D26" i="8"/>
  <c r="E26" i="8"/>
  <c r="F26" i="8"/>
  <c r="D27" i="8"/>
  <c r="J27" i="8" s="1"/>
  <c r="E27" i="8"/>
  <c r="F27" i="8"/>
  <c r="D28" i="8"/>
  <c r="E28" i="8"/>
  <c r="F28" i="8"/>
  <c r="D29" i="8"/>
  <c r="E29" i="8"/>
  <c r="F29" i="8"/>
  <c r="D30" i="8"/>
  <c r="J30" i="8" s="1"/>
  <c r="E30" i="8"/>
  <c r="F30" i="8"/>
  <c r="D31" i="8"/>
  <c r="D31" i="10" s="1"/>
  <c r="E31" i="8"/>
  <c r="E31" i="10" s="1"/>
  <c r="F31" i="8"/>
  <c r="F31" i="10" s="1"/>
  <c r="D32" i="8"/>
  <c r="D32" i="10" s="1"/>
  <c r="E32" i="8"/>
  <c r="E32" i="10" s="1"/>
  <c r="F32" i="8"/>
  <c r="F32" i="10" s="1"/>
  <c r="F10" i="8"/>
  <c r="E10" i="8"/>
  <c r="D10" i="8"/>
  <c r="D38" i="3"/>
  <c r="E38" i="3"/>
  <c r="F38" i="3"/>
  <c r="I38" i="3"/>
  <c r="M38" i="3" s="1"/>
  <c r="Y7" i="7"/>
  <c r="Y8" i="7"/>
  <c r="Y9" i="7"/>
  <c r="Y10" i="7"/>
  <c r="Y11" i="7"/>
  <c r="Y12" i="7"/>
  <c r="Y13" i="7"/>
  <c r="Y14" i="7"/>
  <c r="Y15" i="7"/>
  <c r="E5" i="7"/>
  <c r="J5" i="7"/>
  <c r="K15" i="7"/>
  <c r="AI15" i="12" s="1"/>
  <c r="K14" i="7"/>
  <c r="AI14" i="12" s="1"/>
  <c r="K13" i="7"/>
  <c r="AI13" i="12" s="1"/>
  <c r="K12" i="7"/>
  <c r="AI12" i="12" s="1"/>
  <c r="K11" i="7"/>
  <c r="AI11" i="12" s="1"/>
  <c r="K10" i="7"/>
  <c r="AI10" i="12" s="1"/>
  <c r="K9" i="7"/>
  <c r="AI9" i="12" s="1"/>
  <c r="K8" i="7"/>
  <c r="AI8" i="12" s="1"/>
  <c r="K7" i="7"/>
  <c r="AI7" i="12" s="1"/>
  <c r="E4" i="7"/>
  <c r="J4" i="7"/>
  <c r="N6" i="6"/>
  <c r="O6" i="6"/>
  <c r="P6" i="6"/>
  <c r="Q6" i="6"/>
  <c r="Q5" i="6"/>
  <c r="P5" i="6"/>
  <c r="O5" i="6"/>
  <c r="N5" i="6"/>
  <c r="I4" i="3"/>
  <c r="M4" i="3" s="1"/>
  <c r="I5" i="3"/>
  <c r="M5" i="3" s="1"/>
  <c r="I6" i="3"/>
  <c r="M6" i="3" s="1"/>
  <c r="I7" i="3"/>
  <c r="M7" i="3" s="1"/>
  <c r="I8" i="3"/>
  <c r="M8" i="3" s="1"/>
  <c r="I9" i="3"/>
  <c r="M9" i="3" s="1"/>
  <c r="O9" i="3" s="1"/>
  <c r="I10" i="3"/>
  <c r="M10" i="3" s="1"/>
  <c r="I11" i="3"/>
  <c r="M11" i="3" s="1"/>
  <c r="O11" i="3" s="1"/>
  <c r="I12" i="3"/>
  <c r="M12" i="3" s="1"/>
  <c r="O12" i="3" s="1"/>
  <c r="I13" i="3"/>
  <c r="M13" i="3" s="1"/>
  <c r="I14" i="3"/>
  <c r="M14" i="3" s="1"/>
  <c r="I15" i="3"/>
  <c r="M15" i="3" s="1"/>
  <c r="I20" i="3"/>
  <c r="M20" i="3" s="1"/>
  <c r="I21" i="3"/>
  <c r="M21" i="3" s="1"/>
  <c r="O21" i="3" s="1"/>
  <c r="I22" i="3"/>
  <c r="M22" i="3" s="1"/>
  <c r="O22" i="3" s="1"/>
  <c r="I23" i="3"/>
  <c r="M23" i="3" s="1"/>
  <c r="I24" i="3"/>
  <c r="M24" i="3" s="1"/>
  <c r="O24" i="3" s="1"/>
  <c r="I25" i="3"/>
  <c r="M25" i="3" s="1"/>
  <c r="O25" i="3" s="1"/>
  <c r="I26" i="3"/>
  <c r="M26" i="3" s="1"/>
  <c r="I27" i="3"/>
  <c r="M27" i="3" s="1"/>
  <c r="I28" i="3"/>
  <c r="M28" i="3" s="1"/>
  <c r="I29" i="3"/>
  <c r="M29" i="3" s="1"/>
  <c r="I30" i="3"/>
  <c r="M30" i="3" s="1"/>
  <c r="O30" i="3" s="1"/>
  <c r="I31" i="3"/>
  <c r="M31" i="3" s="1"/>
  <c r="O31" i="3" s="1"/>
  <c r="I36" i="3"/>
  <c r="M36" i="3" s="1"/>
  <c r="I37" i="3"/>
  <c r="M37" i="3" s="1"/>
  <c r="D4" i="3"/>
  <c r="E4" i="3"/>
  <c r="F4" i="3"/>
  <c r="D5" i="3"/>
  <c r="E5" i="3"/>
  <c r="E5" i="10" s="1"/>
  <c r="F5" i="3"/>
  <c r="F5" i="10" s="1"/>
  <c r="D6" i="3"/>
  <c r="E6" i="3"/>
  <c r="E6" i="10" s="1"/>
  <c r="F6" i="3"/>
  <c r="F6" i="10" s="1"/>
  <c r="D7" i="3"/>
  <c r="E7" i="3"/>
  <c r="F7" i="3"/>
  <c r="D8" i="3"/>
  <c r="E8" i="3"/>
  <c r="E8" i="10" s="1"/>
  <c r="F8" i="3"/>
  <c r="F8" i="10" s="1"/>
  <c r="D9" i="3"/>
  <c r="E9" i="3"/>
  <c r="E9" i="10" s="1"/>
  <c r="F9" i="3"/>
  <c r="F9" i="10" s="1"/>
  <c r="D10" i="3"/>
  <c r="E10" i="3"/>
  <c r="F10" i="3"/>
  <c r="D11" i="3"/>
  <c r="E11" i="3"/>
  <c r="F11" i="3"/>
  <c r="D12" i="3"/>
  <c r="E12" i="3"/>
  <c r="E12" i="10" s="1"/>
  <c r="F12" i="3"/>
  <c r="D13" i="3"/>
  <c r="E13" i="3"/>
  <c r="F13" i="3"/>
  <c r="D14" i="3"/>
  <c r="E14" i="3"/>
  <c r="F14" i="3"/>
  <c r="F14" i="10" s="1"/>
  <c r="D15" i="3"/>
  <c r="E15" i="3"/>
  <c r="F15" i="3"/>
  <c r="D20" i="3"/>
  <c r="E20" i="3"/>
  <c r="F20" i="3"/>
  <c r="D21" i="3"/>
  <c r="E21" i="3"/>
  <c r="E17" i="10" s="1"/>
  <c r="F21" i="3"/>
  <c r="F17" i="10" s="1"/>
  <c r="D22" i="3"/>
  <c r="E22" i="3"/>
  <c r="F22" i="3"/>
  <c r="D23" i="3"/>
  <c r="E23" i="3"/>
  <c r="F23" i="3"/>
  <c r="D24" i="3"/>
  <c r="D20" i="10" s="1"/>
  <c r="E24" i="3"/>
  <c r="E20" i="10" s="1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6" i="3"/>
  <c r="E36" i="3"/>
  <c r="F36" i="3"/>
  <c r="F37" i="3"/>
  <c r="E37" i="3"/>
  <c r="D37" i="3"/>
  <c r="D29" i="10" s="1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29" i="4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29" i="1"/>
  <c r="S29" i="1"/>
  <c r="I14" i="8" l="1"/>
  <c r="K29" i="11"/>
  <c r="Z33" i="10"/>
  <c r="AA33" i="10" s="1"/>
  <c r="N33" i="10"/>
  <c r="Q33" i="10" s="1"/>
  <c r="G33" i="10"/>
  <c r="J10" i="8"/>
  <c r="J14" i="8"/>
  <c r="I16" i="8"/>
  <c r="J24" i="8"/>
  <c r="L24" i="8" s="1"/>
  <c r="I21" i="8"/>
  <c r="I29" i="8"/>
  <c r="I13" i="8"/>
  <c r="U12" i="1"/>
  <c r="U20" i="1"/>
  <c r="U28" i="1"/>
  <c r="Y5" i="1" s="1"/>
  <c r="I23" i="8"/>
  <c r="U29" i="1"/>
  <c r="Y6" i="1" s="1"/>
  <c r="U27" i="1"/>
  <c r="Y10" i="1" s="1"/>
  <c r="D26" i="10"/>
  <c r="E23" i="10"/>
  <c r="F20" i="10"/>
  <c r="N20" i="10" s="1"/>
  <c r="Q20" i="10" s="1"/>
  <c r="D18" i="10"/>
  <c r="E15" i="10"/>
  <c r="F12" i="10"/>
  <c r="U5" i="1"/>
  <c r="U9" i="1"/>
  <c r="U13" i="1"/>
  <c r="U17" i="1"/>
  <c r="U21" i="1"/>
  <c r="U25" i="1"/>
  <c r="J16" i="8"/>
  <c r="U6" i="1"/>
  <c r="U10" i="1"/>
  <c r="U14" i="1"/>
  <c r="U18" i="1"/>
  <c r="U22" i="1"/>
  <c r="U26" i="1"/>
  <c r="I15" i="8"/>
  <c r="E26" i="10"/>
  <c r="F23" i="10"/>
  <c r="D21" i="10"/>
  <c r="E18" i="10"/>
  <c r="F15" i="10"/>
  <c r="U7" i="1"/>
  <c r="U11" i="1"/>
  <c r="U15" i="1"/>
  <c r="U19" i="1"/>
  <c r="U23" i="1"/>
  <c r="Y8" i="1" s="1"/>
  <c r="M32" i="3"/>
  <c r="G10" i="8"/>
  <c r="G33" i="8"/>
  <c r="I35" i="8"/>
  <c r="U4" i="1"/>
  <c r="D35" i="3"/>
  <c r="G28" i="8"/>
  <c r="G20" i="8"/>
  <c r="G12" i="8"/>
  <c r="G38" i="8"/>
  <c r="F21" i="10"/>
  <c r="F27" i="10"/>
  <c r="E14" i="10"/>
  <c r="F11" i="10"/>
  <c r="E24" i="10"/>
  <c r="U8" i="1"/>
  <c r="U16" i="1"/>
  <c r="U24" i="1"/>
  <c r="Y9" i="1" s="1"/>
  <c r="E29" i="10"/>
  <c r="F26" i="10"/>
  <c r="F18" i="10"/>
  <c r="K6" i="7"/>
  <c r="AI6" i="12" s="1"/>
  <c r="E27" i="10"/>
  <c r="F24" i="10"/>
  <c r="D14" i="10"/>
  <c r="E11" i="10"/>
  <c r="G26" i="8"/>
  <c r="G18" i="8"/>
  <c r="G39" i="8"/>
  <c r="G36" i="8"/>
  <c r="L22" i="8"/>
  <c r="K22" i="8"/>
  <c r="D28" i="10"/>
  <c r="D48" i="3"/>
  <c r="F22" i="10"/>
  <c r="F34" i="3"/>
  <c r="O26" i="3"/>
  <c r="M34" i="3"/>
  <c r="E22" i="10"/>
  <c r="E34" i="3"/>
  <c r="F19" i="10"/>
  <c r="F33" i="3"/>
  <c r="E6" i="6"/>
  <c r="D5" i="7" s="1"/>
  <c r="E16" i="10"/>
  <c r="E32" i="3"/>
  <c r="F30" i="10"/>
  <c r="F29" i="10"/>
  <c r="O29" i="3"/>
  <c r="O35" i="3" s="1"/>
  <c r="M35" i="3"/>
  <c r="O17" i="6"/>
  <c r="G29" i="8"/>
  <c r="G21" i="8"/>
  <c r="G13" i="8"/>
  <c r="G34" i="8"/>
  <c r="I26" i="8"/>
  <c r="I18" i="8"/>
  <c r="I10" i="8"/>
  <c r="I37" i="8"/>
  <c r="Z15" i="10"/>
  <c r="AA15" i="10" s="1"/>
  <c r="K11" i="11"/>
  <c r="Z23" i="10"/>
  <c r="AA23" i="10" s="1"/>
  <c r="K19" i="11"/>
  <c r="Z31" i="10"/>
  <c r="AA31" i="10" s="1"/>
  <c r="K27" i="11"/>
  <c r="M35" i="11"/>
  <c r="L35" i="11"/>
  <c r="J35" i="8"/>
  <c r="E5" i="6"/>
  <c r="P17" i="6"/>
  <c r="I36" i="8"/>
  <c r="Z16" i="10"/>
  <c r="AA16" i="10" s="1"/>
  <c r="K12" i="11"/>
  <c r="Z24" i="10"/>
  <c r="AA24" i="10" s="1"/>
  <c r="K20" i="11"/>
  <c r="Z32" i="10"/>
  <c r="AA32" i="10" s="1"/>
  <c r="K28" i="11"/>
  <c r="J29" i="8"/>
  <c r="J21" i="8"/>
  <c r="K21" i="8" s="1"/>
  <c r="J13" i="8"/>
  <c r="J34" i="8"/>
  <c r="E19" i="10"/>
  <c r="E33" i="3"/>
  <c r="F16" i="10"/>
  <c r="F32" i="3"/>
  <c r="O36" i="3"/>
  <c r="M48" i="3"/>
  <c r="F28" i="10"/>
  <c r="F48" i="3"/>
  <c r="E28" i="10"/>
  <c r="E48" i="3"/>
  <c r="F25" i="10"/>
  <c r="F35" i="3"/>
  <c r="Q17" i="6"/>
  <c r="G31" i="10"/>
  <c r="N31" i="10"/>
  <c r="Q31" i="10" s="1"/>
  <c r="G23" i="8"/>
  <c r="G15" i="8"/>
  <c r="Z17" i="10"/>
  <c r="AA17" i="10" s="1"/>
  <c r="K13" i="11"/>
  <c r="Z25" i="10"/>
  <c r="AA25" i="10" s="1"/>
  <c r="K21" i="11"/>
  <c r="M29" i="11"/>
  <c r="L29" i="11"/>
  <c r="J28" i="8"/>
  <c r="J20" i="8"/>
  <c r="J12" i="8"/>
  <c r="J33" i="8"/>
  <c r="L7" i="6"/>
  <c r="D7" i="6" s="1"/>
  <c r="E25" i="10"/>
  <c r="E35" i="3"/>
  <c r="I34" i="8"/>
  <c r="Z10" i="10"/>
  <c r="AA10" i="10" s="1"/>
  <c r="K6" i="11"/>
  <c r="Z18" i="10"/>
  <c r="AA18" i="10" s="1"/>
  <c r="K14" i="11"/>
  <c r="Z26" i="10"/>
  <c r="AA26" i="10" s="1"/>
  <c r="K22" i="11"/>
  <c r="M30" i="11"/>
  <c r="L30" i="11"/>
  <c r="I33" i="8"/>
  <c r="Z11" i="10"/>
  <c r="AA11" i="10" s="1"/>
  <c r="K7" i="11"/>
  <c r="Z19" i="10"/>
  <c r="AA19" i="10" s="1"/>
  <c r="K15" i="11"/>
  <c r="Z27" i="10"/>
  <c r="AA27" i="10" s="1"/>
  <c r="K23" i="11"/>
  <c r="L31" i="11"/>
  <c r="M31" i="11"/>
  <c r="J26" i="8"/>
  <c r="J18" i="8"/>
  <c r="J39" i="8"/>
  <c r="G25" i="8"/>
  <c r="G17" i="8"/>
  <c r="D22" i="10"/>
  <c r="D34" i="3"/>
  <c r="G22" i="8"/>
  <c r="G14" i="8"/>
  <c r="G35" i="8"/>
  <c r="Z12" i="10"/>
  <c r="AA12" i="10" s="1"/>
  <c r="K8" i="11"/>
  <c r="Z20" i="10"/>
  <c r="AA20" i="10" s="1"/>
  <c r="K16" i="11"/>
  <c r="Z28" i="10"/>
  <c r="AA28" i="10" s="1"/>
  <c r="K24" i="11"/>
  <c r="L32" i="11"/>
  <c r="M32" i="11"/>
  <c r="J25" i="8"/>
  <c r="L25" i="8" s="1"/>
  <c r="J17" i="8"/>
  <c r="L17" i="8" s="1"/>
  <c r="J38" i="8"/>
  <c r="K38" i="8" s="1"/>
  <c r="D33" i="3"/>
  <c r="O23" i="3"/>
  <c r="O33" i="3" s="1"/>
  <c r="M33" i="3"/>
  <c r="G32" i="10"/>
  <c r="G27" i="8"/>
  <c r="G19" i="8"/>
  <c r="G11" i="8"/>
  <c r="I28" i="8"/>
  <c r="I20" i="8"/>
  <c r="I12" i="8"/>
  <c r="I39" i="8"/>
  <c r="Z13" i="10"/>
  <c r="AA13" i="10" s="1"/>
  <c r="K9" i="11"/>
  <c r="Z21" i="10"/>
  <c r="AA21" i="10" s="1"/>
  <c r="K17" i="11"/>
  <c r="Z29" i="10"/>
  <c r="AA29" i="10" s="1"/>
  <c r="K25" i="11"/>
  <c r="L33" i="11"/>
  <c r="M33" i="11"/>
  <c r="D32" i="3"/>
  <c r="N17" i="6"/>
  <c r="E30" i="10"/>
  <c r="N32" i="10"/>
  <c r="Q32" i="10" s="1"/>
  <c r="G24" i="8"/>
  <c r="G16" i="8"/>
  <c r="G37" i="8"/>
  <c r="I27" i="8"/>
  <c r="I19" i="8"/>
  <c r="I11" i="8"/>
  <c r="Z14" i="10"/>
  <c r="AA14" i="10" s="1"/>
  <c r="K10" i="11"/>
  <c r="Z22" i="10"/>
  <c r="AA22" i="10" s="1"/>
  <c r="K18" i="11"/>
  <c r="Z30" i="10"/>
  <c r="AA30" i="10" s="1"/>
  <c r="K26" i="11"/>
  <c r="L34" i="11"/>
  <c r="M34" i="11"/>
  <c r="J23" i="8"/>
  <c r="J15" i="8"/>
  <c r="G32" i="8"/>
  <c r="J32" i="8"/>
  <c r="I32" i="8"/>
  <c r="G31" i="8"/>
  <c r="I31" i="8"/>
  <c r="J31" i="8"/>
  <c r="E17" i="7"/>
  <c r="J17" i="7"/>
  <c r="R12" i="7"/>
  <c r="Q11" i="7"/>
  <c r="V10" i="7"/>
  <c r="T9" i="7"/>
  <c r="R8" i="7"/>
  <c r="Q15" i="7"/>
  <c r="Q7" i="7"/>
  <c r="V14" i="7"/>
  <c r="T13" i="7"/>
  <c r="D17" i="3"/>
  <c r="M17" i="3"/>
  <c r="M19" i="3"/>
  <c r="O4" i="3"/>
  <c r="M16" i="3"/>
  <c r="O10" i="3"/>
  <c r="O18" i="3" s="1"/>
  <c r="M18" i="3"/>
  <c r="D19" i="3"/>
  <c r="E10" i="10"/>
  <c r="E18" i="3"/>
  <c r="F7" i="10"/>
  <c r="F17" i="3"/>
  <c r="D18" i="3"/>
  <c r="E7" i="10"/>
  <c r="E17" i="3"/>
  <c r="F4" i="10"/>
  <c r="F16" i="3"/>
  <c r="E4" i="10"/>
  <c r="E16" i="3"/>
  <c r="D16" i="3"/>
  <c r="F13" i="10"/>
  <c r="F19" i="3"/>
  <c r="E13" i="10"/>
  <c r="E19" i="3"/>
  <c r="F10" i="10"/>
  <c r="F18" i="3"/>
  <c r="N31" i="3"/>
  <c r="P31" i="3" s="1"/>
  <c r="D27" i="10"/>
  <c r="N28" i="3"/>
  <c r="D24" i="10"/>
  <c r="N25" i="3"/>
  <c r="P25" i="3" s="1"/>
  <c r="E21" i="10"/>
  <c r="N20" i="3"/>
  <c r="D16" i="10"/>
  <c r="N8" i="3"/>
  <c r="D8" i="10"/>
  <c r="N11" i="3"/>
  <c r="P11" i="3" s="1"/>
  <c r="D11" i="10"/>
  <c r="N14" i="3"/>
  <c r="N13" i="3"/>
  <c r="D13" i="10"/>
  <c r="N5" i="3"/>
  <c r="D5" i="10"/>
  <c r="N37" i="3"/>
  <c r="N23" i="3"/>
  <c r="D19" i="10"/>
  <c r="N10" i="3"/>
  <c r="D10" i="10"/>
  <c r="N36" i="3"/>
  <c r="N27" i="3"/>
  <c r="D23" i="10"/>
  <c r="N15" i="3"/>
  <c r="D15" i="10"/>
  <c r="N15" i="10" s="1"/>
  <c r="Q15" i="10" s="1"/>
  <c r="R15" i="10" s="1"/>
  <c r="N7" i="3"/>
  <c r="D7" i="10"/>
  <c r="N30" i="3"/>
  <c r="P30" i="3" s="1"/>
  <c r="G38" i="3"/>
  <c r="T7" i="6" s="1"/>
  <c r="X7" i="6" s="1"/>
  <c r="D30" i="10"/>
  <c r="N4" i="3"/>
  <c r="D4" i="10"/>
  <c r="N26" i="3"/>
  <c r="N12" i="3"/>
  <c r="P12" i="3" s="1"/>
  <c r="D12" i="10"/>
  <c r="N29" i="3"/>
  <c r="D25" i="10"/>
  <c r="N21" i="3"/>
  <c r="P21" i="3" s="1"/>
  <c r="D17" i="10"/>
  <c r="N9" i="3"/>
  <c r="P9" i="3" s="1"/>
  <c r="D9" i="10"/>
  <c r="N24" i="3"/>
  <c r="P24" i="3" s="1"/>
  <c r="N14" i="10"/>
  <c r="Q14" i="10" s="1"/>
  <c r="N6" i="3"/>
  <c r="D6" i="10"/>
  <c r="N22" i="3"/>
  <c r="P22" i="3" s="1"/>
  <c r="J16" i="7"/>
  <c r="E16" i="7"/>
  <c r="G30" i="8"/>
  <c r="I30" i="8"/>
  <c r="O38" i="3"/>
  <c r="P7" i="7"/>
  <c r="P15" i="7"/>
  <c r="U14" i="7"/>
  <c r="S13" i="7"/>
  <c r="Q12" i="7"/>
  <c r="U10" i="7"/>
  <c r="S9" i="7"/>
  <c r="Q8" i="7"/>
  <c r="P8" i="7"/>
  <c r="V15" i="7"/>
  <c r="T14" i="7"/>
  <c r="R13" i="7"/>
  <c r="V11" i="7"/>
  <c r="T10" i="7"/>
  <c r="R9" i="7"/>
  <c r="V7" i="7"/>
  <c r="N38" i="3"/>
  <c r="P9" i="7"/>
  <c r="U15" i="7"/>
  <c r="S14" i="7"/>
  <c r="Q13" i="7"/>
  <c r="U11" i="7"/>
  <c r="S10" i="7"/>
  <c r="Q9" i="7"/>
  <c r="U7" i="7"/>
  <c r="P10" i="7"/>
  <c r="T15" i="7"/>
  <c r="R14" i="7"/>
  <c r="V12" i="7"/>
  <c r="T11" i="7"/>
  <c r="R10" i="7"/>
  <c r="V8" i="7"/>
  <c r="T7" i="7"/>
  <c r="P11" i="7"/>
  <c r="S15" i="7"/>
  <c r="Q14" i="7"/>
  <c r="U12" i="7"/>
  <c r="S11" i="7"/>
  <c r="Q10" i="7"/>
  <c r="U8" i="7"/>
  <c r="S7" i="7"/>
  <c r="P12" i="7"/>
  <c r="R15" i="7"/>
  <c r="V13" i="7"/>
  <c r="T12" i="7"/>
  <c r="R11" i="7"/>
  <c r="V9" i="7"/>
  <c r="T8" i="7"/>
  <c r="R7" i="7"/>
  <c r="P13" i="7"/>
  <c r="U13" i="7"/>
  <c r="S12" i="7"/>
  <c r="U9" i="7"/>
  <c r="S8" i="7"/>
  <c r="P14" i="7"/>
  <c r="R6" i="6"/>
  <c r="R5" i="6"/>
  <c r="O37" i="3"/>
  <c r="O27" i="3"/>
  <c r="O5" i="3"/>
  <c r="O13" i="3"/>
  <c r="O20" i="3"/>
  <c r="O28" i="3"/>
  <c r="O6" i="3"/>
  <c r="O14" i="3"/>
  <c r="O7" i="3"/>
  <c r="O15" i="3"/>
  <c r="O8" i="3"/>
  <c r="G31" i="3"/>
  <c r="G23" i="3"/>
  <c r="G29" i="3"/>
  <c r="G28" i="3"/>
  <c r="G20" i="3"/>
  <c r="G13" i="3"/>
  <c r="G8" i="3"/>
  <c r="G5" i="3"/>
  <c r="G30" i="3"/>
  <c r="G22" i="3"/>
  <c r="G10" i="3"/>
  <c r="G7" i="3"/>
  <c r="G27" i="3"/>
  <c r="G15" i="3"/>
  <c r="G25" i="3"/>
  <c r="G36" i="3"/>
  <c r="T5" i="6" s="1"/>
  <c r="G24" i="3"/>
  <c r="G21" i="3"/>
  <c r="G12" i="3"/>
  <c r="G9" i="3"/>
  <c r="G4" i="3"/>
  <c r="G26" i="3"/>
  <c r="G14" i="3"/>
  <c r="G11" i="3"/>
  <c r="G6" i="3"/>
  <c r="G37" i="3"/>
  <c r="T6" i="6" s="1"/>
  <c r="U20" i="7" l="1"/>
  <c r="N29" i="10"/>
  <c r="Q29" i="10" s="1"/>
  <c r="S29" i="10" s="1"/>
  <c r="L14" i="8"/>
  <c r="K14" i="8"/>
  <c r="N21" i="10"/>
  <c r="Q21" i="10" s="1"/>
  <c r="S21" i="10" s="1"/>
  <c r="G14" i="10"/>
  <c r="AB33" i="10"/>
  <c r="AC33" i="10"/>
  <c r="N28" i="10"/>
  <c r="Q28" i="10" s="1"/>
  <c r="R28" i="10" s="1"/>
  <c r="W28" i="10" s="1"/>
  <c r="R33" i="10"/>
  <c r="W33" i="10" s="1"/>
  <c r="S33" i="10"/>
  <c r="Y15" i="1"/>
  <c r="Z5" i="1"/>
  <c r="L15" i="8"/>
  <c r="G12" i="10"/>
  <c r="G18" i="10"/>
  <c r="N22" i="10"/>
  <c r="Q22" i="10" s="1"/>
  <c r="S22" i="10" s="1"/>
  <c r="Z10" i="1"/>
  <c r="N23" i="10"/>
  <c r="Q23" i="10" s="1"/>
  <c r="R23" i="10" s="1"/>
  <c r="W23" i="10" s="1"/>
  <c r="G20" i="10"/>
  <c r="P8" i="3"/>
  <c r="Q8" i="3" s="1"/>
  <c r="S8" i="3" s="1"/>
  <c r="Z9" i="1"/>
  <c r="N18" i="10"/>
  <c r="Q18" i="10" s="1"/>
  <c r="S18" i="10" s="1"/>
  <c r="G34" i="3"/>
  <c r="L29" i="8"/>
  <c r="N26" i="10"/>
  <c r="Q26" i="10" s="1"/>
  <c r="S26" i="10" s="1"/>
  <c r="Z7" i="1"/>
  <c r="L16" i="8"/>
  <c r="K16" i="8"/>
  <c r="Z8" i="1"/>
  <c r="Z6" i="1"/>
  <c r="K23" i="8"/>
  <c r="G22" i="10"/>
  <c r="K24" i="8"/>
  <c r="M24" i="8" s="1"/>
  <c r="N24" i="8" s="1"/>
  <c r="K29" i="8"/>
  <c r="P5" i="3"/>
  <c r="Q5" i="3" s="1"/>
  <c r="S5" i="3" s="1"/>
  <c r="G28" i="10"/>
  <c r="N34" i="11"/>
  <c r="N32" i="11"/>
  <c r="G29" i="10"/>
  <c r="P15" i="3"/>
  <c r="Q15" i="3" s="1"/>
  <c r="S15" i="3" s="1"/>
  <c r="G21" i="10"/>
  <c r="N33" i="11"/>
  <c r="N31" i="11"/>
  <c r="P37" i="3"/>
  <c r="Q37" i="3" s="1"/>
  <c r="S37" i="3" s="1"/>
  <c r="Y5" i="7" s="1"/>
  <c r="G4" i="10"/>
  <c r="P38" i="3"/>
  <c r="Q38" i="3" s="1"/>
  <c r="S38" i="3" s="1"/>
  <c r="Y6" i="7" s="1"/>
  <c r="E17" i="6"/>
  <c r="N35" i="11"/>
  <c r="N29" i="11"/>
  <c r="M22" i="8"/>
  <c r="N22" i="8" s="1"/>
  <c r="G26" i="10"/>
  <c r="R17" i="6"/>
  <c r="L21" i="8"/>
  <c r="M21" i="8" s="1"/>
  <c r="N21" i="8" s="1"/>
  <c r="N33" i="3"/>
  <c r="S15" i="10"/>
  <c r="T15" i="10" s="1"/>
  <c r="V15" i="10" s="1"/>
  <c r="G32" i="3"/>
  <c r="N30" i="11"/>
  <c r="G35" i="3"/>
  <c r="M10" i="11"/>
  <c r="L10" i="11"/>
  <c r="R32" i="10"/>
  <c r="W32" i="10" s="1"/>
  <c r="S32" i="10"/>
  <c r="AB29" i="10"/>
  <c r="AC29" i="10"/>
  <c r="K28" i="8"/>
  <c r="L28" i="8"/>
  <c r="L23" i="8"/>
  <c r="L24" i="11"/>
  <c r="M24" i="11"/>
  <c r="L7" i="11"/>
  <c r="M7" i="11"/>
  <c r="R31" i="10"/>
  <c r="W31" i="10" s="1"/>
  <c r="S31" i="10"/>
  <c r="K15" i="8"/>
  <c r="AB24" i="10"/>
  <c r="AC24" i="10"/>
  <c r="K37" i="8"/>
  <c r="L37" i="8"/>
  <c r="L38" i="8"/>
  <c r="M38" i="8" s="1"/>
  <c r="N38" i="8" s="1"/>
  <c r="P36" i="3"/>
  <c r="Q36" i="3" s="1"/>
  <c r="N48" i="3"/>
  <c r="AB14" i="10"/>
  <c r="AC14" i="10"/>
  <c r="M17" i="11"/>
  <c r="L17" i="11"/>
  <c r="AC28" i="10"/>
  <c r="AB28" i="10"/>
  <c r="AC11" i="10"/>
  <c r="AB11" i="10"/>
  <c r="L22" i="11"/>
  <c r="M22" i="11"/>
  <c r="M12" i="11"/>
  <c r="L12" i="11"/>
  <c r="K10" i="8"/>
  <c r="L10" i="8"/>
  <c r="K17" i="8"/>
  <c r="M17" i="8" s="1"/>
  <c r="N17" i="8" s="1"/>
  <c r="K11" i="8"/>
  <c r="L11" i="8"/>
  <c r="AB21" i="10"/>
  <c r="AC21" i="10"/>
  <c r="L16" i="11"/>
  <c r="M16" i="11"/>
  <c r="K33" i="8"/>
  <c r="L33" i="8"/>
  <c r="AC26" i="10"/>
  <c r="AB26" i="10"/>
  <c r="L21" i="11"/>
  <c r="M21" i="11"/>
  <c r="O48" i="3"/>
  <c r="AB16" i="10"/>
  <c r="AC16" i="10"/>
  <c r="L27" i="11"/>
  <c r="M27" i="11"/>
  <c r="K18" i="8"/>
  <c r="L18" i="8"/>
  <c r="K19" i="8"/>
  <c r="L19" i="8"/>
  <c r="M9" i="11"/>
  <c r="L9" i="11"/>
  <c r="AC20" i="10"/>
  <c r="AB20" i="10"/>
  <c r="L14" i="11"/>
  <c r="M14" i="11"/>
  <c r="AB25" i="10"/>
  <c r="AC25" i="10"/>
  <c r="K36" i="8"/>
  <c r="L36" i="8"/>
  <c r="AC31" i="10"/>
  <c r="AB31" i="10"/>
  <c r="K26" i="8"/>
  <c r="L26" i="8"/>
  <c r="M26" i="11"/>
  <c r="L26" i="11"/>
  <c r="K27" i="8"/>
  <c r="L27" i="8"/>
  <c r="AB13" i="10"/>
  <c r="AC13" i="10"/>
  <c r="L8" i="11"/>
  <c r="M8" i="11"/>
  <c r="L23" i="11"/>
  <c r="M23" i="11"/>
  <c r="L13" i="8"/>
  <c r="AC18" i="10"/>
  <c r="AB18" i="10"/>
  <c r="L13" i="11"/>
  <c r="M13" i="11"/>
  <c r="M19" i="11"/>
  <c r="L19" i="11"/>
  <c r="K13" i="8"/>
  <c r="G6" i="6"/>
  <c r="H6" i="6"/>
  <c r="G5" i="7" s="1"/>
  <c r="I6" i="6"/>
  <c r="H5" i="7" s="1"/>
  <c r="J6" i="6"/>
  <c r="I5" i="7" s="1"/>
  <c r="P26" i="3"/>
  <c r="Q26" i="3" s="1"/>
  <c r="N34" i="3"/>
  <c r="AB30" i="10"/>
  <c r="AC30" i="10"/>
  <c r="L39" i="8"/>
  <c r="K39" i="8"/>
  <c r="AC12" i="10"/>
  <c r="AB12" i="10"/>
  <c r="AC27" i="10"/>
  <c r="AB27" i="10"/>
  <c r="M6" i="11"/>
  <c r="L6" i="11"/>
  <c r="AB17" i="10"/>
  <c r="AC17" i="10"/>
  <c r="G33" i="3"/>
  <c r="L28" i="11"/>
  <c r="M28" i="11"/>
  <c r="AB23" i="10"/>
  <c r="AC23" i="10"/>
  <c r="K25" i="8"/>
  <c r="M25" i="8" s="1"/>
  <c r="N25" i="8" s="1"/>
  <c r="L35" i="8"/>
  <c r="G5" i="6"/>
  <c r="H5" i="6"/>
  <c r="G4" i="7" s="1"/>
  <c r="I5" i="6"/>
  <c r="H4" i="7" s="1"/>
  <c r="J5" i="6"/>
  <c r="P23" i="3"/>
  <c r="P33" i="3" s="1"/>
  <c r="P20" i="3"/>
  <c r="P32" i="3" s="1"/>
  <c r="O32" i="3"/>
  <c r="N32" i="3"/>
  <c r="M18" i="11"/>
  <c r="L18" i="11"/>
  <c r="K12" i="8"/>
  <c r="L12" i="8"/>
  <c r="L15" i="11"/>
  <c r="M15" i="11"/>
  <c r="AB10" i="10"/>
  <c r="AC10" i="10"/>
  <c r="AB32" i="10"/>
  <c r="AC32" i="10"/>
  <c r="M11" i="11"/>
  <c r="L11" i="11"/>
  <c r="K35" i="8"/>
  <c r="P29" i="3"/>
  <c r="P35" i="3" s="1"/>
  <c r="N35" i="3"/>
  <c r="AB22" i="10"/>
  <c r="AC22" i="10"/>
  <c r="M25" i="11"/>
  <c r="L25" i="11"/>
  <c r="K20" i="8"/>
  <c r="L20" i="8"/>
  <c r="AC19" i="10"/>
  <c r="AB19" i="10"/>
  <c r="K34" i="8"/>
  <c r="L34" i="8"/>
  <c r="G48" i="3"/>
  <c r="M20" i="11"/>
  <c r="L20" i="11"/>
  <c r="AB15" i="10"/>
  <c r="AC15" i="10"/>
  <c r="O34" i="3"/>
  <c r="K32" i="8"/>
  <c r="L32" i="8"/>
  <c r="K31" i="8"/>
  <c r="L31" i="8"/>
  <c r="V20" i="7"/>
  <c r="V19" i="7"/>
  <c r="Q19" i="7"/>
  <c r="R19" i="7"/>
  <c r="S19" i="7"/>
  <c r="T20" i="7"/>
  <c r="V18" i="7"/>
  <c r="T19" i="7"/>
  <c r="U19" i="7"/>
  <c r="Q20" i="7"/>
  <c r="Q18" i="7"/>
  <c r="R20" i="7"/>
  <c r="S20" i="7"/>
  <c r="P20" i="7"/>
  <c r="P19" i="7"/>
  <c r="R18" i="7"/>
  <c r="S18" i="7"/>
  <c r="T18" i="7"/>
  <c r="U18" i="7"/>
  <c r="P18" i="7"/>
  <c r="G17" i="3"/>
  <c r="P10" i="3"/>
  <c r="P18" i="3" s="1"/>
  <c r="N18" i="3"/>
  <c r="N17" i="3"/>
  <c r="G19" i="3"/>
  <c r="N19" i="3"/>
  <c r="P13" i="3"/>
  <c r="Q13" i="3" s="1"/>
  <c r="O19" i="3"/>
  <c r="P4" i="3"/>
  <c r="Q4" i="3" s="1"/>
  <c r="N16" i="3"/>
  <c r="G16" i="3"/>
  <c r="G18" i="3"/>
  <c r="O16" i="3"/>
  <c r="P7" i="3"/>
  <c r="Q7" i="3" s="1"/>
  <c r="O17" i="3"/>
  <c r="P28" i="3"/>
  <c r="Q28" i="3" s="1"/>
  <c r="S28" i="3" s="1"/>
  <c r="P27" i="3"/>
  <c r="Q27" i="3" s="1"/>
  <c r="S27" i="3" s="1"/>
  <c r="S20" i="10"/>
  <c r="R20" i="10"/>
  <c r="R14" i="10"/>
  <c r="W14" i="10" s="1"/>
  <c r="S14" i="10"/>
  <c r="N12" i="10"/>
  <c r="Q12" i="10" s="1"/>
  <c r="P14" i="3"/>
  <c r="Q14" i="3" s="1"/>
  <c r="S14" i="3" s="1"/>
  <c r="N7" i="10"/>
  <c r="Q7" i="10" s="1"/>
  <c r="R7" i="10" s="1"/>
  <c r="G7" i="10"/>
  <c r="G15" i="10"/>
  <c r="N11" i="10"/>
  <c r="Q11" i="10" s="1"/>
  <c r="G11" i="10"/>
  <c r="N8" i="10"/>
  <c r="Q8" i="10" s="1"/>
  <c r="R8" i="10" s="1"/>
  <c r="G8" i="10"/>
  <c r="N6" i="10"/>
  <c r="Q6" i="10" s="1"/>
  <c r="G6" i="10"/>
  <c r="T17" i="6"/>
  <c r="P6" i="3"/>
  <c r="Q6" i="3" s="1"/>
  <c r="S6" i="3" s="1"/>
  <c r="N17" i="10"/>
  <c r="Q17" i="10" s="1"/>
  <c r="G17" i="10"/>
  <c r="W15" i="10"/>
  <c r="G16" i="10"/>
  <c r="N16" i="10"/>
  <c r="Q16" i="10" s="1"/>
  <c r="N30" i="10"/>
  <c r="Q30" i="10" s="1"/>
  <c r="G30" i="10"/>
  <c r="G23" i="10"/>
  <c r="G5" i="10"/>
  <c r="N5" i="10"/>
  <c r="Q5" i="10" s="1"/>
  <c r="S5" i="10" s="1"/>
  <c r="N4" i="10"/>
  <c r="Q4" i="10" s="1"/>
  <c r="N10" i="10"/>
  <c r="Q10" i="10" s="1"/>
  <c r="G10" i="10"/>
  <c r="N19" i="10"/>
  <c r="Q19" i="10" s="1"/>
  <c r="G19" i="10"/>
  <c r="N13" i="10"/>
  <c r="Q13" i="10" s="1"/>
  <c r="G13" i="10"/>
  <c r="G27" i="10"/>
  <c r="N27" i="10"/>
  <c r="Q27" i="10" s="1"/>
  <c r="G24" i="10"/>
  <c r="N24" i="10"/>
  <c r="Q24" i="10" s="1"/>
  <c r="N25" i="10"/>
  <c r="Q25" i="10" s="1"/>
  <c r="G25" i="10"/>
  <c r="U7" i="6"/>
  <c r="W7" i="6" s="1"/>
  <c r="N9" i="10"/>
  <c r="Q9" i="10" s="1"/>
  <c r="G9" i="10"/>
  <c r="K30" i="8"/>
  <c r="L30" i="8"/>
  <c r="W14" i="7"/>
  <c r="F14" i="12" s="1"/>
  <c r="Q14" i="12" s="1"/>
  <c r="AB14" i="12" s="1"/>
  <c r="W10" i="7"/>
  <c r="C10" i="14" s="1"/>
  <c r="W9" i="7"/>
  <c r="I9" i="12" s="1"/>
  <c r="T9" i="12" s="1"/>
  <c r="AE9" i="12" s="1"/>
  <c r="W12" i="7"/>
  <c r="F12" i="12" s="1"/>
  <c r="Q12" i="12" s="1"/>
  <c r="AB12" i="12" s="1"/>
  <c r="W7" i="7"/>
  <c r="G7" i="12" s="1"/>
  <c r="R7" i="12" s="1"/>
  <c r="W15" i="7"/>
  <c r="E15" i="14" s="1"/>
  <c r="W13" i="7"/>
  <c r="I13" i="14" s="1"/>
  <c r="W11" i="7"/>
  <c r="I11" i="14" s="1"/>
  <c r="W8" i="7"/>
  <c r="C8" i="14" s="1"/>
  <c r="Q20" i="3"/>
  <c r="Q11" i="3"/>
  <c r="S11" i="3" s="1"/>
  <c r="Q24" i="3"/>
  <c r="S24" i="3" s="1"/>
  <c r="Q12" i="3"/>
  <c r="S12" i="3" s="1"/>
  <c r="Q21" i="3"/>
  <c r="S21" i="3" s="1"/>
  <c r="Q22" i="3"/>
  <c r="S22" i="3" s="1"/>
  <c r="Q9" i="3"/>
  <c r="S9" i="3" s="1"/>
  <c r="Q31" i="3"/>
  <c r="S31" i="3" s="1"/>
  <c r="Q25" i="3"/>
  <c r="S25" i="3" s="1"/>
  <c r="Q30" i="3"/>
  <c r="S30" i="3" s="1"/>
  <c r="R29" i="10" l="1"/>
  <c r="W29" i="10" s="1"/>
  <c r="M14" i="8"/>
  <c r="N14" i="8" s="1"/>
  <c r="R21" i="10"/>
  <c r="W21" i="10" s="1"/>
  <c r="AD33" i="10"/>
  <c r="AE33" i="10" s="1"/>
  <c r="AG33" i="10" s="1"/>
  <c r="AI9" i="14" s="1"/>
  <c r="S28" i="10"/>
  <c r="T28" i="10" s="1"/>
  <c r="V28" i="10" s="1"/>
  <c r="T33" i="10"/>
  <c r="V33" i="10" s="1"/>
  <c r="R26" i="10"/>
  <c r="T26" i="10" s="1"/>
  <c r="V26" i="10" s="1"/>
  <c r="M15" i="8"/>
  <c r="N15" i="8" s="1"/>
  <c r="R18" i="10"/>
  <c r="W18" i="10" s="1"/>
  <c r="Q23" i="3"/>
  <c r="S23" i="3" s="1"/>
  <c r="S23" i="10"/>
  <c r="T23" i="10" s="1"/>
  <c r="V23" i="10" s="1"/>
  <c r="P17" i="3"/>
  <c r="R22" i="10"/>
  <c r="W22" i="10" s="1"/>
  <c r="Q29" i="3"/>
  <c r="S29" i="3" s="1"/>
  <c r="M29" i="8"/>
  <c r="N29" i="8" s="1"/>
  <c r="Q10" i="3"/>
  <c r="S10" i="3" s="1"/>
  <c r="T14" i="10"/>
  <c r="V14" i="10" s="1"/>
  <c r="M16" i="8"/>
  <c r="N16" i="8" s="1"/>
  <c r="M23" i="8"/>
  <c r="N23" i="8" s="1"/>
  <c r="P48" i="3"/>
  <c r="N16" i="11"/>
  <c r="T32" i="10"/>
  <c r="V32" i="10" s="1"/>
  <c r="AD31" i="10"/>
  <c r="AE31" i="10" s="1"/>
  <c r="AG31" i="10" s="1"/>
  <c r="AI7" i="14" s="1"/>
  <c r="N22" i="11"/>
  <c r="AD10" i="10"/>
  <c r="AE10" i="10" s="1"/>
  <c r="M13" i="8"/>
  <c r="N13" i="8" s="1"/>
  <c r="N12" i="11"/>
  <c r="N8" i="11"/>
  <c r="N10" i="11"/>
  <c r="M20" i="8"/>
  <c r="N20" i="8" s="1"/>
  <c r="AD27" i="10"/>
  <c r="AE27" i="10" s="1"/>
  <c r="M28" i="8"/>
  <c r="N28" i="8" s="1"/>
  <c r="AD28" i="10"/>
  <c r="AE28" i="10" s="1"/>
  <c r="AG28" i="10" s="1"/>
  <c r="AI4" i="14" s="1"/>
  <c r="AD15" i="10"/>
  <c r="AE15" i="10" s="1"/>
  <c r="AG15" i="10" s="1"/>
  <c r="N6" i="11"/>
  <c r="AD25" i="10"/>
  <c r="AE25" i="10" s="1"/>
  <c r="AD22" i="10"/>
  <c r="AE22" i="10" s="1"/>
  <c r="N18" i="11"/>
  <c r="G17" i="6"/>
  <c r="M39" i="8"/>
  <c r="N39" i="8" s="1"/>
  <c r="P15" i="14" s="1"/>
  <c r="AA15" i="14" s="1"/>
  <c r="AD18" i="10"/>
  <c r="AE18" i="10" s="1"/>
  <c r="AD20" i="10"/>
  <c r="AE20" i="10" s="1"/>
  <c r="N24" i="11"/>
  <c r="N20" i="11"/>
  <c r="N26" i="11"/>
  <c r="N11" i="11"/>
  <c r="M19" i="8"/>
  <c r="N19" i="8" s="1"/>
  <c r="N13" i="11"/>
  <c r="N14" i="11"/>
  <c r="N21" i="11"/>
  <c r="N17" i="11"/>
  <c r="M37" i="8"/>
  <c r="N37" i="8" s="1"/>
  <c r="T13" i="14" s="1"/>
  <c r="AD19" i="10"/>
  <c r="AE19" i="10" s="1"/>
  <c r="H17" i="6"/>
  <c r="M26" i="8"/>
  <c r="N26" i="8" s="1"/>
  <c r="T31" i="10"/>
  <c r="V31" i="10" s="1"/>
  <c r="AD17" i="10"/>
  <c r="AE17" i="10" s="1"/>
  <c r="AD13" i="10"/>
  <c r="AE13" i="10" s="1"/>
  <c r="M18" i="8"/>
  <c r="N18" i="8" s="1"/>
  <c r="M35" i="8"/>
  <c r="N35" i="8" s="1"/>
  <c r="T11" i="14" s="1"/>
  <c r="M27" i="8"/>
  <c r="N27" i="8" s="1"/>
  <c r="N27" i="11"/>
  <c r="AD26" i="10"/>
  <c r="AE26" i="10" s="1"/>
  <c r="AD21" i="10"/>
  <c r="AE21" i="10" s="1"/>
  <c r="N7" i="11"/>
  <c r="AD29" i="10"/>
  <c r="AE29" i="10" s="1"/>
  <c r="N15" i="11"/>
  <c r="AD23" i="10"/>
  <c r="AE23" i="10" s="1"/>
  <c r="AG23" i="10" s="1"/>
  <c r="AD30" i="10"/>
  <c r="AE30" i="10" s="1"/>
  <c r="N9" i="11"/>
  <c r="M11" i="8"/>
  <c r="N11" i="8" s="1"/>
  <c r="N25" i="11"/>
  <c r="M12" i="8"/>
  <c r="N12" i="8" s="1"/>
  <c r="N28" i="11"/>
  <c r="N19" i="11"/>
  <c r="N23" i="11"/>
  <c r="AD16" i="10"/>
  <c r="AE16" i="10" s="1"/>
  <c r="AD14" i="10"/>
  <c r="AE14" i="10" s="1"/>
  <c r="AG14" i="10" s="1"/>
  <c r="AD24" i="10"/>
  <c r="AE24" i="10" s="1"/>
  <c r="AD12" i="10"/>
  <c r="AE12" i="10" s="1"/>
  <c r="AD11" i="10"/>
  <c r="AE11" i="10" s="1"/>
  <c r="S20" i="3"/>
  <c r="Q32" i="3"/>
  <c r="S32" i="3" s="1"/>
  <c r="M30" i="8"/>
  <c r="N30" i="8" s="1"/>
  <c r="M10" i="8"/>
  <c r="N10" i="8" s="1"/>
  <c r="S36" i="3"/>
  <c r="Y4" i="7" s="1"/>
  <c r="Q48" i="3"/>
  <c r="AD32" i="10"/>
  <c r="AE32" i="10" s="1"/>
  <c r="AG32" i="10" s="1"/>
  <c r="AI8" i="14" s="1"/>
  <c r="M36" i="8"/>
  <c r="N36" i="8" s="1"/>
  <c r="J17" i="6"/>
  <c r="M33" i="8"/>
  <c r="N33" i="8" s="1"/>
  <c r="M34" i="8"/>
  <c r="N34" i="8" s="1"/>
  <c r="N10" i="14" s="1"/>
  <c r="F13" i="39" s="1"/>
  <c r="I17" i="6"/>
  <c r="P34" i="3"/>
  <c r="S26" i="3"/>
  <c r="Q34" i="3"/>
  <c r="M32" i="8"/>
  <c r="N32" i="8" s="1"/>
  <c r="N8" i="14" s="1"/>
  <c r="M31" i="8"/>
  <c r="N31" i="8" s="1"/>
  <c r="G17" i="7"/>
  <c r="H17" i="7"/>
  <c r="W20" i="7"/>
  <c r="W18" i="7"/>
  <c r="W19" i="7"/>
  <c r="S13" i="3"/>
  <c r="Q19" i="3"/>
  <c r="S4" i="3"/>
  <c r="Q16" i="3"/>
  <c r="S7" i="3"/>
  <c r="Q17" i="3"/>
  <c r="P16" i="3"/>
  <c r="P19" i="3"/>
  <c r="R5" i="10"/>
  <c r="T5" i="10" s="1"/>
  <c r="V5" i="10" s="1"/>
  <c r="AF5" i="10" s="1"/>
  <c r="F10" i="12"/>
  <c r="Q10" i="12" s="1"/>
  <c r="I11" i="39" s="1"/>
  <c r="T20" i="10"/>
  <c r="V20" i="10" s="1"/>
  <c r="H9" i="12"/>
  <c r="S9" i="12" s="1"/>
  <c r="AD9" i="12" s="1"/>
  <c r="H11" i="12"/>
  <c r="S11" i="12" s="1"/>
  <c r="C14" i="12"/>
  <c r="N14" i="12" s="1"/>
  <c r="W20" i="10"/>
  <c r="G12" i="14"/>
  <c r="I9" i="14"/>
  <c r="I15" i="12"/>
  <c r="T15" i="12" s="1"/>
  <c r="AE15" i="12" s="1"/>
  <c r="D9" i="12"/>
  <c r="O9" i="12" s="1"/>
  <c r="Z9" i="12" s="1"/>
  <c r="G10" i="14"/>
  <c r="G15" i="12"/>
  <c r="R15" i="12" s="1"/>
  <c r="AC15" i="12" s="1"/>
  <c r="C13" i="12"/>
  <c r="N13" i="12" s="1"/>
  <c r="D9" i="14"/>
  <c r="D13" i="12"/>
  <c r="O13" i="12" s="1"/>
  <c r="E9" i="12"/>
  <c r="P9" i="12" s="1"/>
  <c r="AA9" i="12" s="1"/>
  <c r="I8" i="12"/>
  <c r="T8" i="12" s="1"/>
  <c r="L11" i="37" s="1"/>
  <c r="E11" i="14"/>
  <c r="E9" i="14"/>
  <c r="F8" i="12"/>
  <c r="Q8" i="12" s="1"/>
  <c r="D13" i="14"/>
  <c r="AC7" i="12"/>
  <c r="J11" i="27"/>
  <c r="R25" i="10"/>
  <c r="W25" i="10" s="1"/>
  <c r="S25" i="10"/>
  <c r="F7" i="12"/>
  <c r="Q7" i="12" s="1"/>
  <c r="R16" i="10"/>
  <c r="W16" i="10" s="1"/>
  <c r="S16" i="10"/>
  <c r="G14" i="12"/>
  <c r="R14" i="12" s="1"/>
  <c r="AC14" i="12" s="1"/>
  <c r="E15" i="12"/>
  <c r="P15" i="12" s="1"/>
  <c r="AA15" i="12" s="1"/>
  <c r="S6" i="10"/>
  <c r="R6" i="10"/>
  <c r="W6" i="10" s="1"/>
  <c r="AG6" i="10" s="1"/>
  <c r="C10" i="12"/>
  <c r="E13" i="14"/>
  <c r="S13" i="10"/>
  <c r="R13" i="10"/>
  <c r="W13" i="10" s="1"/>
  <c r="C12" i="14"/>
  <c r="H7" i="14"/>
  <c r="G14" i="14"/>
  <c r="R14" i="14" s="1"/>
  <c r="AC14" i="14" s="1"/>
  <c r="R11" i="10"/>
  <c r="W11" i="10" s="1"/>
  <c r="S11" i="10"/>
  <c r="E12" i="14"/>
  <c r="E12" i="12"/>
  <c r="P12" i="12" s="1"/>
  <c r="AA12" i="12" s="1"/>
  <c r="G9" i="14"/>
  <c r="G9" i="12"/>
  <c r="R9" i="12" s="1"/>
  <c r="AC9" i="12" s="1"/>
  <c r="H9" i="14"/>
  <c r="E8" i="12"/>
  <c r="P8" i="12" s="1"/>
  <c r="H11" i="37" s="1"/>
  <c r="E8" i="14"/>
  <c r="I10" i="14"/>
  <c r="I10" i="12"/>
  <c r="T10" i="12" s="1"/>
  <c r="L11" i="39" s="1"/>
  <c r="D11" i="12"/>
  <c r="O11" i="12" s="1"/>
  <c r="D11" i="14"/>
  <c r="S7" i="10"/>
  <c r="T7" i="10" s="1"/>
  <c r="V7" i="10" s="1"/>
  <c r="AF7" i="10" s="1"/>
  <c r="I12" i="14"/>
  <c r="E10" i="12"/>
  <c r="P10" i="12" s="1"/>
  <c r="H11" i="39" s="1"/>
  <c r="D8" i="12"/>
  <c r="O8" i="12" s="1"/>
  <c r="G11" i="37" s="1"/>
  <c r="H8" i="12"/>
  <c r="S8" i="12" s="1"/>
  <c r="G11" i="14"/>
  <c r="G13" i="14"/>
  <c r="G13" i="12"/>
  <c r="R13" i="12" s="1"/>
  <c r="D12" i="12"/>
  <c r="O12" i="12" s="1"/>
  <c r="Z12" i="12" s="1"/>
  <c r="H12" i="12"/>
  <c r="S12" i="12" s="1"/>
  <c r="AD12" i="12" s="1"/>
  <c r="E10" i="14"/>
  <c r="D8" i="14"/>
  <c r="H8" i="14"/>
  <c r="H10" i="12"/>
  <c r="S10" i="12" s="1"/>
  <c r="K11" i="39" s="1"/>
  <c r="F11" i="12"/>
  <c r="Q11" i="12" s="1"/>
  <c r="C12" i="12"/>
  <c r="H7" i="12"/>
  <c r="S7" i="12" s="1"/>
  <c r="D12" i="14"/>
  <c r="H12" i="14"/>
  <c r="F9" i="12"/>
  <c r="Q9" i="12" s="1"/>
  <c r="AB9" i="12" s="1"/>
  <c r="D10" i="12"/>
  <c r="O10" i="12" s="1"/>
  <c r="G11" i="39" s="1"/>
  <c r="I7" i="12"/>
  <c r="T7" i="12" s="1"/>
  <c r="G8" i="12"/>
  <c r="R8" i="12" s="1"/>
  <c r="H10" i="14"/>
  <c r="F11" i="14"/>
  <c r="D15" i="14"/>
  <c r="D15" i="12"/>
  <c r="O15" i="12" s="1"/>
  <c r="Z15" i="12" s="1"/>
  <c r="I14" i="14"/>
  <c r="I14" i="12"/>
  <c r="T14" i="12" s="1"/>
  <c r="AE14" i="12" s="1"/>
  <c r="I11" i="12"/>
  <c r="T11" i="12" s="1"/>
  <c r="G12" i="12"/>
  <c r="R12" i="12" s="1"/>
  <c r="AC12" i="12" s="1"/>
  <c r="F9" i="14"/>
  <c r="D10" i="14"/>
  <c r="I7" i="14"/>
  <c r="G8" i="14"/>
  <c r="G10" i="12"/>
  <c r="R10" i="12" s="1"/>
  <c r="J11" i="39" s="1"/>
  <c r="E11" i="12"/>
  <c r="P11" i="12" s="1"/>
  <c r="R4" i="10"/>
  <c r="W4" i="10" s="1"/>
  <c r="AG4" i="10" s="1"/>
  <c r="S4" i="10"/>
  <c r="H15" i="12"/>
  <c r="S15" i="12" s="1"/>
  <c r="AD15" i="12" s="1"/>
  <c r="H13" i="12"/>
  <c r="S13" i="12" s="1"/>
  <c r="C15" i="12"/>
  <c r="C11" i="12"/>
  <c r="F14" i="14"/>
  <c r="Q14" i="14" s="1"/>
  <c r="AB14" i="14" s="1"/>
  <c r="F12" i="14"/>
  <c r="D7" i="14"/>
  <c r="D7" i="12"/>
  <c r="O7" i="12" s="1"/>
  <c r="R19" i="10"/>
  <c r="S19" i="10"/>
  <c r="G7" i="14"/>
  <c r="H15" i="14"/>
  <c r="H13" i="14"/>
  <c r="C15" i="14"/>
  <c r="C11" i="14"/>
  <c r="E14" i="12"/>
  <c r="P14" i="12" s="1"/>
  <c r="AA14" i="12" s="1"/>
  <c r="R17" i="10"/>
  <c r="S17" i="10"/>
  <c r="W7" i="10"/>
  <c r="AG7" i="10" s="1"/>
  <c r="E14" i="14"/>
  <c r="P14" i="14" s="1"/>
  <c r="AA14" i="14" s="1"/>
  <c r="R12" i="10"/>
  <c r="W12" i="10" s="1"/>
  <c r="S12" i="10"/>
  <c r="R24" i="10"/>
  <c r="S24" i="10"/>
  <c r="H11" i="14"/>
  <c r="F8" i="14"/>
  <c r="S10" i="10"/>
  <c r="R10" i="10"/>
  <c r="W10" i="10" s="1"/>
  <c r="F7" i="14"/>
  <c r="G15" i="14"/>
  <c r="I15" i="14"/>
  <c r="C13" i="14"/>
  <c r="F13" i="12"/>
  <c r="Q13" i="12" s="1"/>
  <c r="D14" i="12"/>
  <c r="O14" i="12" s="1"/>
  <c r="Z14" i="12" s="1"/>
  <c r="C7" i="12"/>
  <c r="R9" i="10"/>
  <c r="W9" i="10" s="1"/>
  <c r="AG9" i="10" s="1"/>
  <c r="S9" i="10"/>
  <c r="I12" i="12"/>
  <c r="T12" i="12" s="1"/>
  <c r="AE12" i="12" s="1"/>
  <c r="F10" i="14"/>
  <c r="C14" i="14"/>
  <c r="I8" i="14"/>
  <c r="G11" i="12"/>
  <c r="R11" i="12" s="1"/>
  <c r="R27" i="10"/>
  <c r="W27" i="10" s="1"/>
  <c r="S27" i="10"/>
  <c r="E7" i="12"/>
  <c r="P7" i="12" s="1"/>
  <c r="H14" i="12"/>
  <c r="S14" i="12" s="1"/>
  <c r="AD14" i="12" s="1"/>
  <c r="F15" i="12"/>
  <c r="Q15" i="12" s="1"/>
  <c r="AB15" i="12" s="1"/>
  <c r="C9" i="12"/>
  <c r="F13" i="14"/>
  <c r="D14" i="14"/>
  <c r="O14" i="14" s="1"/>
  <c r="Z14" i="14" s="1"/>
  <c r="C7" i="14"/>
  <c r="R30" i="10"/>
  <c r="S30" i="10"/>
  <c r="E7" i="14"/>
  <c r="H14" i="14"/>
  <c r="F15" i="14"/>
  <c r="C9" i="14"/>
  <c r="S8" i="10"/>
  <c r="T8" i="10" s="1"/>
  <c r="V8" i="10" s="1"/>
  <c r="AF8" i="10" s="1"/>
  <c r="W8" i="10"/>
  <c r="AG8" i="10" s="1"/>
  <c r="E13" i="12"/>
  <c r="P13" i="12" s="1"/>
  <c r="I13" i="12"/>
  <c r="T13" i="12" s="1"/>
  <c r="C8" i="12"/>
  <c r="G16" i="7"/>
  <c r="F4" i="7"/>
  <c r="F5" i="7"/>
  <c r="K5" i="7" s="1"/>
  <c r="AI5" i="12" s="1"/>
  <c r="L6" i="6"/>
  <c r="X6" i="6" s="1"/>
  <c r="H16" i="7"/>
  <c r="V6" i="7"/>
  <c r="P6" i="7"/>
  <c r="Q6" i="7"/>
  <c r="R6" i="7"/>
  <c r="S6" i="7"/>
  <c r="T6" i="7"/>
  <c r="U6" i="7"/>
  <c r="AD11" i="12" l="1"/>
  <c r="K10" i="40" s="1"/>
  <c r="K11" i="40"/>
  <c r="AB11" i="12"/>
  <c r="I10" i="40" s="1"/>
  <c r="I11" i="40"/>
  <c r="AC11" i="12"/>
  <c r="J10" i="40" s="1"/>
  <c r="J11" i="40"/>
  <c r="AE11" i="14"/>
  <c r="L12" i="40" s="1"/>
  <c r="L13" i="40"/>
  <c r="Z11" i="12"/>
  <c r="G10" i="40" s="1"/>
  <c r="G11" i="40"/>
  <c r="AE11" i="12"/>
  <c r="L10" i="40" s="1"/>
  <c r="L11" i="40"/>
  <c r="AA11" i="12"/>
  <c r="H10" i="40" s="1"/>
  <c r="H11" i="40"/>
  <c r="J10" i="14"/>
  <c r="AG29" i="10"/>
  <c r="AI5" i="14" s="1"/>
  <c r="T29" i="10"/>
  <c r="V29" i="10" s="1"/>
  <c r="K11" i="37"/>
  <c r="I11" i="37"/>
  <c r="J11" i="37"/>
  <c r="T21" i="10"/>
  <c r="V21" i="10" s="1"/>
  <c r="AF21" i="10" s="1"/>
  <c r="AG21" i="10"/>
  <c r="AF33" i="10"/>
  <c r="W26" i="10"/>
  <c r="AG26" i="10" s="1"/>
  <c r="T18" i="10"/>
  <c r="V18" i="10" s="1"/>
  <c r="AF18" i="10" s="1"/>
  <c r="AF28" i="10"/>
  <c r="AG18" i="10"/>
  <c r="S17" i="3"/>
  <c r="Q33" i="3"/>
  <c r="S33" i="3" s="1"/>
  <c r="AG22" i="10"/>
  <c r="T22" i="10"/>
  <c r="V22" i="10" s="1"/>
  <c r="AF22" i="10" s="1"/>
  <c r="Q35" i="3"/>
  <c r="S35" i="3" s="1"/>
  <c r="Q18" i="3"/>
  <c r="S18" i="3" s="1"/>
  <c r="R15" i="14"/>
  <c r="AC15" i="14" s="1"/>
  <c r="S19" i="3"/>
  <c r="AG27" i="10"/>
  <c r="Q15" i="14"/>
  <c r="AB15" i="14" s="1"/>
  <c r="O12" i="14"/>
  <c r="Z12" i="14" s="1"/>
  <c r="S15" i="14"/>
  <c r="AD15" i="14" s="1"/>
  <c r="S48" i="3"/>
  <c r="AF23" i="10"/>
  <c r="AG10" i="10"/>
  <c r="AG12" i="10"/>
  <c r="O11" i="14"/>
  <c r="O13" i="14"/>
  <c r="Z13" i="14" s="1"/>
  <c r="AF31" i="10"/>
  <c r="Q13" i="14"/>
  <c r="AB13" i="14" s="1"/>
  <c r="AF26" i="10"/>
  <c r="P13" i="14"/>
  <c r="AA13" i="14" s="1"/>
  <c r="AA20" i="14" s="1"/>
  <c r="AG20" i="10"/>
  <c r="W5" i="10"/>
  <c r="AG5" i="10" s="1"/>
  <c r="AG25" i="10"/>
  <c r="P11" i="14"/>
  <c r="AF20" i="10"/>
  <c r="AG13" i="10"/>
  <c r="T10" i="14"/>
  <c r="AF29" i="10"/>
  <c r="S16" i="3"/>
  <c r="S10" i="14"/>
  <c r="R10" i="14"/>
  <c r="AF15" i="10"/>
  <c r="P12" i="14"/>
  <c r="AA12" i="14" s="1"/>
  <c r="AG11" i="10"/>
  <c r="AF14" i="10"/>
  <c r="P9" i="14"/>
  <c r="AA9" i="14" s="1"/>
  <c r="S9" i="14"/>
  <c r="AD9" i="14" s="1"/>
  <c r="R9" i="14"/>
  <c r="AC9" i="14" s="1"/>
  <c r="T9" i="14"/>
  <c r="AE9" i="14" s="1"/>
  <c r="L17" i="6"/>
  <c r="X17" i="6" s="1"/>
  <c r="AG16" i="10"/>
  <c r="R12" i="14"/>
  <c r="AC12" i="14" s="1"/>
  <c r="O9" i="14"/>
  <c r="Z9" i="14" s="1"/>
  <c r="S34" i="3"/>
  <c r="AF32" i="10"/>
  <c r="J8" i="14"/>
  <c r="T8" i="14"/>
  <c r="Q8" i="14"/>
  <c r="R8" i="14"/>
  <c r="Z8" i="12"/>
  <c r="G11" i="36"/>
  <c r="AA8" i="12"/>
  <c r="H11" i="36"/>
  <c r="AB8" i="12"/>
  <c r="I11" i="36"/>
  <c r="AC8" i="12"/>
  <c r="J11" i="36"/>
  <c r="Y8" i="14"/>
  <c r="F13" i="36"/>
  <c r="AE8" i="12"/>
  <c r="L11" i="36"/>
  <c r="AD8" i="12"/>
  <c r="K11" i="36"/>
  <c r="R7" i="14"/>
  <c r="Q7" i="14"/>
  <c r="AB7" i="14" s="1"/>
  <c r="S7" i="14"/>
  <c r="P18" i="12"/>
  <c r="F17" i="7"/>
  <c r="T18" i="12"/>
  <c r="AB10" i="12"/>
  <c r="Q19" i="12"/>
  <c r="AD13" i="12"/>
  <c r="AD20" i="12" s="1"/>
  <c r="S20" i="12"/>
  <c r="Q18" i="12"/>
  <c r="J10" i="27"/>
  <c r="J9" i="27" s="1"/>
  <c r="J17" i="27" s="1"/>
  <c r="S18" i="12"/>
  <c r="AA10" i="12"/>
  <c r="P19" i="12"/>
  <c r="Z13" i="12"/>
  <c r="Z20" i="12" s="1"/>
  <c r="O20" i="12"/>
  <c r="AE13" i="12"/>
  <c r="AE20" i="12" s="1"/>
  <c r="T20" i="12"/>
  <c r="AA13" i="12"/>
  <c r="AA20" i="12" s="1"/>
  <c r="P20" i="12"/>
  <c r="O18" i="12"/>
  <c r="AC13" i="12"/>
  <c r="AC20" i="12" s="1"/>
  <c r="R20" i="12"/>
  <c r="AE13" i="14"/>
  <c r="Z10" i="12"/>
  <c r="O19" i="12"/>
  <c r="AD10" i="12"/>
  <c r="S19" i="12"/>
  <c r="Y10" i="14"/>
  <c r="F12" i="39" s="1"/>
  <c r="AB13" i="12"/>
  <c r="AB20" i="12" s="1"/>
  <c r="Q20" i="12"/>
  <c r="AC10" i="12"/>
  <c r="R19" i="12"/>
  <c r="AE10" i="12"/>
  <c r="L10" i="39" s="1"/>
  <c r="L9" i="39" s="1"/>
  <c r="L17" i="39" s="1"/>
  <c r="T19" i="12"/>
  <c r="R18" i="12"/>
  <c r="J13" i="12"/>
  <c r="T11" i="10"/>
  <c r="V11" i="10" s="1"/>
  <c r="AF11" i="10" s="1"/>
  <c r="J14" i="12"/>
  <c r="T24" i="10"/>
  <c r="V24" i="10" s="1"/>
  <c r="AF24" i="10" s="1"/>
  <c r="T17" i="10"/>
  <c r="V17" i="10" s="1"/>
  <c r="AF17" i="10" s="1"/>
  <c r="T13" i="10"/>
  <c r="V13" i="10" s="1"/>
  <c r="AF13" i="10" s="1"/>
  <c r="T30" i="10"/>
  <c r="V30" i="10" s="1"/>
  <c r="AF30" i="10" s="1"/>
  <c r="W24" i="10"/>
  <c r="AG24" i="10" s="1"/>
  <c r="T12" i="10"/>
  <c r="V12" i="10" s="1"/>
  <c r="AF12" i="10" s="1"/>
  <c r="W17" i="10"/>
  <c r="AG17" i="10" s="1"/>
  <c r="T19" i="10"/>
  <c r="V19" i="10" s="1"/>
  <c r="AF19" i="10" s="1"/>
  <c r="W30" i="10"/>
  <c r="AG30" i="10" s="1"/>
  <c r="AI6" i="14" s="1"/>
  <c r="AA7" i="12"/>
  <c r="H11" i="27"/>
  <c r="S14" i="14"/>
  <c r="AD14" i="14" s="1"/>
  <c r="S13" i="14"/>
  <c r="P7" i="14"/>
  <c r="N9" i="12"/>
  <c r="J9" i="12"/>
  <c r="Q10" i="14"/>
  <c r="I13" i="39" s="1"/>
  <c r="N13" i="14"/>
  <c r="J13" i="14"/>
  <c r="N11" i="12"/>
  <c r="F11" i="40" s="1"/>
  <c r="J11" i="12"/>
  <c r="T14" i="14"/>
  <c r="AE14" i="14" s="1"/>
  <c r="S11" i="14"/>
  <c r="O8" i="14"/>
  <c r="G13" i="37" s="1"/>
  <c r="J9" i="14"/>
  <c r="N9" i="14"/>
  <c r="F13" i="37" s="1"/>
  <c r="N7" i="14"/>
  <c r="J7" i="14"/>
  <c r="T27" i="10"/>
  <c r="V27" i="10" s="1"/>
  <c r="AF27" i="10" s="1"/>
  <c r="T9" i="10"/>
  <c r="V9" i="10" s="1"/>
  <c r="AF9" i="10" s="1"/>
  <c r="N11" i="14"/>
  <c r="F13" i="40" s="1"/>
  <c r="J11" i="14"/>
  <c r="W19" i="10"/>
  <c r="AG19" i="10" s="1"/>
  <c r="O10" i="14"/>
  <c r="G13" i="39" s="1"/>
  <c r="O15" i="14"/>
  <c r="Z15" i="14" s="1"/>
  <c r="P10" i="14"/>
  <c r="H13" i="39" s="1"/>
  <c r="N10" i="12"/>
  <c r="F11" i="39" s="1"/>
  <c r="N11" i="39" s="1"/>
  <c r="J10" i="12"/>
  <c r="T15" i="14"/>
  <c r="AE15" i="14" s="1"/>
  <c r="S8" i="14"/>
  <c r="K13" i="37" s="1"/>
  <c r="T7" i="14"/>
  <c r="S12" i="14"/>
  <c r="AD12" i="14" s="1"/>
  <c r="T16" i="10"/>
  <c r="V16" i="10" s="1"/>
  <c r="AF16" i="10" s="1"/>
  <c r="N15" i="14"/>
  <c r="Y15" i="14" s="1"/>
  <c r="J15" i="14"/>
  <c r="Z7" i="12"/>
  <c r="G11" i="27"/>
  <c r="T4" i="10"/>
  <c r="V4" i="10" s="1"/>
  <c r="AF4" i="10" s="1"/>
  <c r="Q9" i="14"/>
  <c r="AB9" i="14" s="1"/>
  <c r="Q11" i="14"/>
  <c r="P8" i="14"/>
  <c r="T6" i="10"/>
  <c r="V6" i="10" s="1"/>
  <c r="AF6" i="10" s="1"/>
  <c r="AB7" i="12"/>
  <c r="I11" i="27"/>
  <c r="O7" i="14"/>
  <c r="N15" i="12"/>
  <c r="N20" i="12" s="1"/>
  <c r="J15" i="12"/>
  <c r="R11" i="14"/>
  <c r="N7" i="12"/>
  <c r="J7" i="12"/>
  <c r="Y13" i="12"/>
  <c r="U13" i="12"/>
  <c r="N8" i="12"/>
  <c r="J8" i="12"/>
  <c r="AD7" i="12"/>
  <c r="K11" i="27"/>
  <c r="Q12" i="14"/>
  <c r="AB12" i="14" s="1"/>
  <c r="N12" i="12"/>
  <c r="J12" i="12"/>
  <c r="T12" i="14"/>
  <c r="AE12" i="14" s="1"/>
  <c r="N12" i="14"/>
  <c r="J12" i="14"/>
  <c r="N14" i="14"/>
  <c r="J14" i="14"/>
  <c r="T10" i="10"/>
  <c r="V10" i="10" s="1"/>
  <c r="AF10" i="10" s="1"/>
  <c r="T25" i="10"/>
  <c r="V25" i="10" s="1"/>
  <c r="AF25" i="10" s="1"/>
  <c r="AE7" i="12"/>
  <c r="L11" i="27"/>
  <c r="R13" i="14"/>
  <c r="Y14" i="12"/>
  <c r="AF14" i="12" s="1"/>
  <c r="U14" i="12"/>
  <c r="S5" i="7"/>
  <c r="V5" i="7"/>
  <c r="P5" i="7"/>
  <c r="T5" i="7"/>
  <c r="Q5" i="7"/>
  <c r="U5" i="7"/>
  <c r="D6" i="6"/>
  <c r="U6" i="6"/>
  <c r="W6" i="6" s="1"/>
  <c r="R5" i="7"/>
  <c r="F16" i="7"/>
  <c r="W6" i="7"/>
  <c r="D6" i="12" s="1"/>
  <c r="O6" i="12" s="1"/>
  <c r="AC19" i="12" l="1"/>
  <c r="J10" i="39"/>
  <c r="J9" i="39" s="1"/>
  <c r="J17" i="39" s="1"/>
  <c r="AC10" i="14"/>
  <c r="J12" i="39" s="1"/>
  <c r="J13" i="39"/>
  <c r="Z19" i="12"/>
  <c r="G10" i="39"/>
  <c r="G9" i="39" s="1"/>
  <c r="G17" i="39" s="1"/>
  <c r="AB19" i="12"/>
  <c r="I10" i="39"/>
  <c r="I9" i="39" s="1"/>
  <c r="I17" i="39" s="1"/>
  <c r="AD10" i="14"/>
  <c r="K12" i="39" s="1"/>
  <c r="K13" i="39"/>
  <c r="F14" i="39"/>
  <c r="AA19" i="12"/>
  <c r="H10" i="39"/>
  <c r="H9" i="39" s="1"/>
  <c r="H17" i="39" s="1"/>
  <c r="AD19" i="12"/>
  <c r="K10" i="39"/>
  <c r="K9" i="39" s="1"/>
  <c r="K17" i="39" s="1"/>
  <c r="AE10" i="14"/>
  <c r="L12" i="39" s="1"/>
  <c r="L13" i="39"/>
  <c r="K9" i="40"/>
  <c r="K17" i="40" s="1"/>
  <c r="L14" i="40"/>
  <c r="H9" i="40"/>
  <c r="H17" i="40" s="1"/>
  <c r="N11" i="40"/>
  <c r="AE19" i="12"/>
  <c r="I9" i="40"/>
  <c r="I17" i="40" s="1"/>
  <c r="AC11" i="14"/>
  <c r="J12" i="40" s="1"/>
  <c r="J13" i="40"/>
  <c r="AB11" i="14"/>
  <c r="I12" i="40" s="1"/>
  <c r="I13" i="40"/>
  <c r="AA11" i="14"/>
  <c r="H12" i="40" s="1"/>
  <c r="H13" i="40"/>
  <c r="J9" i="40"/>
  <c r="J17" i="40" s="1"/>
  <c r="Z11" i="14"/>
  <c r="G12" i="40" s="1"/>
  <c r="G13" i="40"/>
  <c r="AD11" i="14"/>
  <c r="K12" i="40" s="1"/>
  <c r="K13" i="40"/>
  <c r="L9" i="40"/>
  <c r="L17" i="40" s="1"/>
  <c r="G9" i="40"/>
  <c r="G17" i="40" s="1"/>
  <c r="AI16" i="14"/>
  <c r="H13" i="37"/>
  <c r="F11" i="36"/>
  <c r="N11" i="36" s="1"/>
  <c r="F11" i="37"/>
  <c r="N11" i="37" s="1"/>
  <c r="K10" i="36"/>
  <c r="K9" i="36" s="1"/>
  <c r="K17" i="36" s="1"/>
  <c r="K10" i="37"/>
  <c r="K9" i="37" s="1"/>
  <c r="K17" i="37" s="1"/>
  <c r="I10" i="36"/>
  <c r="I9" i="36" s="1"/>
  <c r="I17" i="36" s="1"/>
  <c r="I10" i="37"/>
  <c r="I9" i="37" s="1"/>
  <c r="I17" i="37" s="1"/>
  <c r="L10" i="36"/>
  <c r="L9" i="36" s="1"/>
  <c r="L17" i="36" s="1"/>
  <c r="L10" i="37"/>
  <c r="L9" i="37" s="1"/>
  <c r="L17" i="37" s="1"/>
  <c r="H10" i="36"/>
  <c r="H9" i="36" s="1"/>
  <c r="H17" i="36" s="1"/>
  <c r="H10" i="37"/>
  <c r="H9" i="37" s="1"/>
  <c r="H17" i="37" s="1"/>
  <c r="F12" i="36"/>
  <c r="F14" i="36" s="1"/>
  <c r="G10" i="36"/>
  <c r="G9" i="36" s="1"/>
  <c r="G17" i="36" s="1"/>
  <c r="G10" i="37"/>
  <c r="G9" i="37" s="1"/>
  <c r="G17" i="37" s="1"/>
  <c r="AC8" i="14"/>
  <c r="J13" i="37"/>
  <c r="J10" i="36"/>
  <c r="J9" i="36" s="1"/>
  <c r="J17" i="36" s="1"/>
  <c r="J10" i="37"/>
  <c r="J9" i="37" s="1"/>
  <c r="J17" i="37" s="1"/>
  <c r="AB8" i="14"/>
  <c r="AB18" i="14" s="1"/>
  <c r="I13" i="37"/>
  <c r="AE8" i="14"/>
  <c r="L13" i="37"/>
  <c r="Q20" i="14"/>
  <c r="I13" i="36"/>
  <c r="P20" i="14"/>
  <c r="AB20" i="14"/>
  <c r="AC18" i="12"/>
  <c r="L13" i="36"/>
  <c r="U17" i="6"/>
  <c r="W17" i="6" s="1"/>
  <c r="J13" i="36"/>
  <c r="AD7" i="14"/>
  <c r="K12" i="27" s="1"/>
  <c r="I13" i="27"/>
  <c r="AC7" i="14"/>
  <c r="AD8" i="14"/>
  <c r="K13" i="36"/>
  <c r="Z8" i="14"/>
  <c r="G13" i="36"/>
  <c r="AA8" i="14"/>
  <c r="H13" i="36"/>
  <c r="K13" i="27"/>
  <c r="J13" i="27"/>
  <c r="R18" i="14"/>
  <c r="S18" i="14"/>
  <c r="N19" i="14"/>
  <c r="AF13" i="12"/>
  <c r="AH13" i="12" s="1"/>
  <c r="AJ13" i="12" s="1"/>
  <c r="I10" i="27"/>
  <c r="I9" i="27" s="1"/>
  <c r="I17" i="27" s="1"/>
  <c r="AB18" i="12"/>
  <c r="N19" i="12"/>
  <c r="AA7" i="14"/>
  <c r="P18" i="14"/>
  <c r="H10" i="27"/>
  <c r="H9" i="27" s="1"/>
  <c r="H17" i="27" s="1"/>
  <c r="AA18" i="12"/>
  <c r="O20" i="14"/>
  <c r="Z20" i="14"/>
  <c r="S19" i="14"/>
  <c r="G10" i="27"/>
  <c r="G9" i="27" s="1"/>
  <c r="G17" i="27" s="1"/>
  <c r="Z18" i="12"/>
  <c r="AA10" i="14"/>
  <c r="H12" i="39" s="1"/>
  <c r="H14" i="39" s="1"/>
  <c r="P19" i="14"/>
  <c r="N18" i="12"/>
  <c r="F13" i="27"/>
  <c r="N18" i="14"/>
  <c r="T20" i="14"/>
  <c r="L10" i="27"/>
  <c r="L9" i="27" s="1"/>
  <c r="L17" i="27" s="1"/>
  <c r="AE18" i="12"/>
  <c r="G13" i="27"/>
  <c r="O18" i="14"/>
  <c r="Z10" i="14"/>
  <c r="O19" i="14"/>
  <c r="AD13" i="14"/>
  <c r="AD20" i="14" s="1"/>
  <c r="S20" i="14"/>
  <c r="AE20" i="14"/>
  <c r="R19" i="14"/>
  <c r="L13" i="27"/>
  <c r="T18" i="14"/>
  <c r="N20" i="14"/>
  <c r="T19" i="14"/>
  <c r="AC13" i="14"/>
  <c r="AC20" i="14" s="1"/>
  <c r="R20" i="14"/>
  <c r="K10" i="27"/>
  <c r="K9" i="27" s="1"/>
  <c r="K17" i="27" s="1"/>
  <c r="AD18" i="12"/>
  <c r="AB10" i="14"/>
  <c r="Q19" i="14"/>
  <c r="I12" i="27"/>
  <c r="AE19" i="14"/>
  <c r="Q18" i="14"/>
  <c r="U14" i="14"/>
  <c r="U8" i="14"/>
  <c r="Y7" i="14"/>
  <c r="U10" i="14"/>
  <c r="U13" i="14"/>
  <c r="AF15" i="14"/>
  <c r="Y10" i="12"/>
  <c r="F10" i="39" s="1"/>
  <c r="U10" i="12"/>
  <c r="U9" i="14"/>
  <c r="F11" i="27"/>
  <c r="N11" i="27" s="1"/>
  <c r="U7" i="12"/>
  <c r="Y7" i="12"/>
  <c r="Y12" i="14"/>
  <c r="AF12" i="14" s="1"/>
  <c r="U12" i="14"/>
  <c r="Y11" i="14"/>
  <c r="U11" i="14"/>
  <c r="Y9" i="12"/>
  <c r="AF9" i="12" s="1"/>
  <c r="U9" i="12"/>
  <c r="AH14" i="12"/>
  <c r="AJ14" i="12" s="1"/>
  <c r="Y8" i="12"/>
  <c r="U8" i="12"/>
  <c r="Y15" i="12"/>
  <c r="AF15" i="12" s="1"/>
  <c r="U15" i="12"/>
  <c r="U20" i="12" s="1"/>
  <c r="Y11" i="12"/>
  <c r="U11" i="12"/>
  <c r="Y12" i="12"/>
  <c r="AF12" i="12" s="1"/>
  <c r="U12" i="12"/>
  <c r="Z7" i="14"/>
  <c r="U15" i="14"/>
  <c r="Y13" i="14"/>
  <c r="U7" i="14"/>
  <c r="H13" i="27"/>
  <c r="Y14" i="14"/>
  <c r="AF14" i="14" s="1"/>
  <c r="AE7" i="14"/>
  <c r="Y9" i="14"/>
  <c r="AF9" i="14" s="1"/>
  <c r="Z6" i="12"/>
  <c r="G11" i="26"/>
  <c r="W5" i="7"/>
  <c r="D5" i="14" s="1"/>
  <c r="O5" i="14" s="1"/>
  <c r="C6" i="12"/>
  <c r="N6" i="12" s="1"/>
  <c r="C6" i="14"/>
  <c r="N6" i="14" s="1"/>
  <c r="I6" i="14"/>
  <c r="T6" i="14" s="1"/>
  <c r="D6" i="14"/>
  <c r="O6" i="14" s="1"/>
  <c r="H6" i="12"/>
  <c r="S6" i="12" s="1"/>
  <c r="H6" i="14"/>
  <c r="S6" i="14" s="1"/>
  <c r="G6" i="12"/>
  <c r="R6" i="12" s="1"/>
  <c r="F6" i="14"/>
  <c r="Q6" i="14" s="1"/>
  <c r="E6" i="12"/>
  <c r="P6" i="12" s="1"/>
  <c r="E6" i="14"/>
  <c r="P6" i="14" s="1"/>
  <c r="G6" i="14"/>
  <c r="R6" i="14" s="1"/>
  <c r="F6" i="12"/>
  <c r="Q6" i="12" s="1"/>
  <c r="I6" i="12"/>
  <c r="T6" i="12" s="1"/>
  <c r="I14" i="40" l="1"/>
  <c r="L14" i="39"/>
  <c r="N13" i="39"/>
  <c r="J14" i="39"/>
  <c r="F9" i="39"/>
  <c r="N10" i="39"/>
  <c r="N9" i="39" s="1"/>
  <c r="N17" i="39" s="1"/>
  <c r="Z19" i="14"/>
  <c r="G12" i="39"/>
  <c r="AB19" i="14"/>
  <c r="I12" i="39"/>
  <c r="I14" i="39" s="1"/>
  <c r="K14" i="39"/>
  <c r="AD19" i="14"/>
  <c r="J14" i="40"/>
  <c r="AC19" i="14"/>
  <c r="H14" i="40"/>
  <c r="K14" i="40"/>
  <c r="AA19" i="14"/>
  <c r="N13" i="40"/>
  <c r="AF11" i="12"/>
  <c r="F10" i="40"/>
  <c r="AF11" i="14"/>
  <c r="AH11" i="14" s="1"/>
  <c r="AJ11" i="14" s="1"/>
  <c r="F12" i="40"/>
  <c r="G14" i="40"/>
  <c r="F10" i="37"/>
  <c r="N10" i="37" s="1"/>
  <c r="N9" i="37" s="1"/>
  <c r="N17" i="37" s="1"/>
  <c r="AC18" i="14"/>
  <c r="F12" i="37"/>
  <c r="F14" i="37" s="1"/>
  <c r="N13" i="37"/>
  <c r="J12" i="36"/>
  <c r="J14" i="36" s="1"/>
  <c r="J12" i="37"/>
  <c r="J14" i="37" s="1"/>
  <c r="H12" i="36"/>
  <c r="H14" i="36" s="1"/>
  <c r="H12" i="37"/>
  <c r="H14" i="37" s="1"/>
  <c r="L12" i="36"/>
  <c r="L14" i="36" s="1"/>
  <c r="L12" i="37"/>
  <c r="L14" i="37" s="1"/>
  <c r="I12" i="36"/>
  <c r="I14" i="36" s="1"/>
  <c r="I12" i="37"/>
  <c r="I14" i="37" s="1"/>
  <c r="G12" i="36"/>
  <c r="Q10" i="36" s="1"/>
  <c r="G12" i="37"/>
  <c r="G14" i="37" s="1"/>
  <c r="K12" i="36"/>
  <c r="K14" i="36" s="1"/>
  <c r="K12" i="37"/>
  <c r="K14" i="37" s="1"/>
  <c r="I14" i="27"/>
  <c r="J12" i="27"/>
  <c r="J14" i="27" s="1"/>
  <c r="AF8" i="14"/>
  <c r="AH8" i="14" s="1"/>
  <c r="AJ8" i="14" s="1"/>
  <c r="AD18" i="14"/>
  <c r="N13" i="36"/>
  <c r="AF8" i="12"/>
  <c r="AH8" i="12" s="1"/>
  <c r="AJ8" i="12" s="1"/>
  <c r="F10" i="36"/>
  <c r="K14" i="27"/>
  <c r="U20" i="14"/>
  <c r="AF10" i="14"/>
  <c r="AH10" i="14" s="1"/>
  <c r="AJ10" i="14" s="1"/>
  <c r="U19" i="14"/>
  <c r="Y18" i="12"/>
  <c r="U18" i="14"/>
  <c r="H12" i="27"/>
  <c r="H14" i="27" s="1"/>
  <c r="AA18" i="14"/>
  <c r="AF13" i="14"/>
  <c r="AH13" i="14" s="1"/>
  <c r="AJ13" i="14" s="1"/>
  <c r="Y20" i="14"/>
  <c r="AF20" i="14" s="1"/>
  <c r="U19" i="12"/>
  <c r="AF10" i="12"/>
  <c r="Y19" i="12"/>
  <c r="L12" i="27"/>
  <c r="L14" i="27" s="1"/>
  <c r="AE18" i="14"/>
  <c r="G12" i="27"/>
  <c r="G14" i="27" s="1"/>
  <c r="Z18" i="14"/>
  <c r="F12" i="27"/>
  <c r="Y18" i="14"/>
  <c r="Y19" i="14"/>
  <c r="Y20" i="12"/>
  <c r="AF20" i="12"/>
  <c r="U18" i="12"/>
  <c r="K13" i="26"/>
  <c r="G10" i="26"/>
  <c r="G9" i="26" s="1"/>
  <c r="G17" i="26" s="1"/>
  <c r="H13" i="26"/>
  <c r="F11" i="26"/>
  <c r="AH9" i="14"/>
  <c r="AJ9" i="14" s="1"/>
  <c r="AH14" i="14"/>
  <c r="AJ14" i="14" s="1"/>
  <c r="AH9" i="12"/>
  <c r="AJ9" i="12" s="1"/>
  <c r="AF7" i="14"/>
  <c r="AH7" i="14" s="1"/>
  <c r="AJ7" i="14" s="1"/>
  <c r="AH15" i="14"/>
  <c r="AJ15" i="14" s="1"/>
  <c r="F5" i="14"/>
  <c r="Q5" i="14" s="1"/>
  <c r="I13" i="25" s="1"/>
  <c r="F5" i="12"/>
  <c r="Q5" i="12" s="1"/>
  <c r="AB5" i="12" s="1"/>
  <c r="I10" i="25" s="1"/>
  <c r="AH12" i="14"/>
  <c r="AJ12" i="14" s="1"/>
  <c r="I5" i="12"/>
  <c r="T5" i="12" s="1"/>
  <c r="AE5" i="12" s="1"/>
  <c r="L10" i="25" s="1"/>
  <c r="AH12" i="12"/>
  <c r="AJ12" i="12" s="1"/>
  <c r="AF7" i="12"/>
  <c r="F10" i="27"/>
  <c r="N13" i="27"/>
  <c r="AH11" i="12"/>
  <c r="AJ11" i="12" s="1"/>
  <c r="G5" i="12"/>
  <c r="R5" i="12" s="1"/>
  <c r="J11" i="25" s="1"/>
  <c r="AH15" i="12"/>
  <c r="AJ15" i="12" s="1"/>
  <c r="I5" i="14"/>
  <c r="T5" i="14" s="1"/>
  <c r="E5" i="12"/>
  <c r="P5" i="12" s="1"/>
  <c r="AA5" i="12" s="1"/>
  <c r="H10" i="25" s="1"/>
  <c r="H5" i="12"/>
  <c r="S5" i="12" s="1"/>
  <c r="AD5" i="12" s="1"/>
  <c r="K10" i="25" s="1"/>
  <c r="C5" i="14"/>
  <c r="N5" i="14" s="1"/>
  <c r="H5" i="14"/>
  <c r="S5" i="14" s="1"/>
  <c r="C5" i="12"/>
  <c r="N5" i="12" s="1"/>
  <c r="F11" i="25" s="1"/>
  <c r="G5" i="14"/>
  <c r="R5" i="14" s="1"/>
  <c r="J13" i="25" s="1"/>
  <c r="D5" i="12"/>
  <c r="O5" i="12" s="1"/>
  <c r="Z5" i="12" s="1"/>
  <c r="G10" i="25" s="1"/>
  <c r="E5" i="14"/>
  <c r="P5" i="14" s="1"/>
  <c r="H11" i="25"/>
  <c r="Z5" i="14"/>
  <c r="G12" i="25" s="1"/>
  <c r="G13" i="25"/>
  <c r="AC6" i="12"/>
  <c r="J11" i="26"/>
  <c r="Z6" i="14"/>
  <c r="G13" i="26"/>
  <c r="AE6" i="14"/>
  <c r="L13" i="26"/>
  <c r="AE6" i="12"/>
  <c r="L11" i="26"/>
  <c r="AB6" i="12"/>
  <c r="I11" i="26"/>
  <c r="AD6" i="12"/>
  <c r="K11" i="26"/>
  <c r="AC6" i="14"/>
  <c r="J13" i="26"/>
  <c r="Y6" i="14"/>
  <c r="F13" i="26"/>
  <c r="AA6" i="12"/>
  <c r="H11" i="26"/>
  <c r="AB6" i="14"/>
  <c r="I13" i="26"/>
  <c r="AD6" i="14"/>
  <c r="AA6" i="14"/>
  <c r="J6" i="14"/>
  <c r="U6" i="14"/>
  <c r="J6" i="12"/>
  <c r="Y6" i="12"/>
  <c r="U6" i="12"/>
  <c r="L8" i="20"/>
  <c r="G14" i="39" l="1"/>
  <c r="Q10" i="39"/>
  <c r="N12" i="39"/>
  <c r="N14" i="39" s="1"/>
  <c r="W15" i="39" s="1"/>
  <c r="K15" i="39" s="1"/>
  <c r="K16" i="39" s="1"/>
  <c r="F17" i="39"/>
  <c r="Q9" i="39"/>
  <c r="AF19" i="12"/>
  <c r="AF19" i="14"/>
  <c r="F14" i="40"/>
  <c r="Q10" i="40"/>
  <c r="N12" i="40"/>
  <c r="N14" i="40" s="1"/>
  <c r="F9" i="40"/>
  <c r="N10" i="40"/>
  <c r="N9" i="40" s="1"/>
  <c r="N17" i="40" s="1"/>
  <c r="G14" i="36"/>
  <c r="F9" i="37"/>
  <c r="F17" i="37" s="1"/>
  <c r="N12" i="36"/>
  <c r="N14" i="36" s="1"/>
  <c r="W15" i="36" s="1"/>
  <c r="K15" i="36" s="1"/>
  <c r="K16" i="36" s="1"/>
  <c r="Q10" i="37"/>
  <c r="N12" i="37"/>
  <c r="N14" i="37" s="1"/>
  <c r="T15" i="37" s="1"/>
  <c r="H15" i="37" s="1"/>
  <c r="H16" i="37" s="1"/>
  <c r="F14" i="27"/>
  <c r="Q10" i="27"/>
  <c r="F9" i="36"/>
  <c r="N10" i="36"/>
  <c r="N9" i="36" s="1"/>
  <c r="N17" i="36" s="1"/>
  <c r="Y5" i="12"/>
  <c r="F10" i="25" s="1"/>
  <c r="AH10" i="12"/>
  <c r="AJ10" i="12" s="1"/>
  <c r="K11" i="25"/>
  <c r="K9" i="25" s="1"/>
  <c r="K17" i="25" s="1"/>
  <c r="AF18" i="14"/>
  <c r="N12" i="27"/>
  <c r="N14" i="27" s="1"/>
  <c r="AH7" i="12"/>
  <c r="AJ7" i="12" s="1"/>
  <c r="AF18" i="12"/>
  <c r="F12" i="26"/>
  <c r="F14" i="26" s="1"/>
  <c r="L10" i="26"/>
  <c r="L9" i="26" s="1"/>
  <c r="L17" i="26" s="1"/>
  <c r="H12" i="26"/>
  <c r="H14" i="26" s="1"/>
  <c r="H10" i="26"/>
  <c r="H9" i="26" s="1"/>
  <c r="H17" i="26" s="1"/>
  <c r="I10" i="26"/>
  <c r="I9" i="26" s="1"/>
  <c r="I17" i="26" s="1"/>
  <c r="J10" i="26"/>
  <c r="J9" i="26" s="1"/>
  <c r="J17" i="26" s="1"/>
  <c r="J12" i="26"/>
  <c r="J14" i="26" s="1"/>
  <c r="L12" i="26"/>
  <c r="L14" i="26" s="1"/>
  <c r="I12" i="26"/>
  <c r="I14" i="26" s="1"/>
  <c r="K10" i="26"/>
  <c r="K9" i="26" s="1"/>
  <c r="K17" i="26" s="1"/>
  <c r="G12" i="26"/>
  <c r="G14" i="26" s="1"/>
  <c r="L11" i="25"/>
  <c r="L9" i="25" s="1"/>
  <c r="L17" i="25" s="1"/>
  <c r="I11" i="25"/>
  <c r="I9" i="25" s="1"/>
  <c r="I17" i="25" s="1"/>
  <c r="U5" i="12"/>
  <c r="AC5" i="12"/>
  <c r="J10" i="25" s="1"/>
  <c r="J9" i="25" s="1"/>
  <c r="J17" i="25" s="1"/>
  <c r="H9" i="25"/>
  <c r="H17" i="25" s="1"/>
  <c r="J5" i="12"/>
  <c r="AB5" i="14"/>
  <c r="I12" i="25" s="1"/>
  <c r="I14" i="25" s="1"/>
  <c r="J5" i="14"/>
  <c r="F9" i="27"/>
  <c r="N10" i="27"/>
  <c r="N9" i="27" s="1"/>
  <c r="N17" i="27" s="1"/>
  <c r="G11" i="25"/>
  <c r="Y5" i="14"/>
  <c r="F12" i="25" s="1"/>
  <c r="F13" i="25"/>
  <c r="G14" i="25"/>
  <c r="AD5" i="14"/>
  <c r="K12" i="25" s="1"/>
  <c r="K13" i="25"/>
  <c r="AE5" i="14"/>
  <c r="L12" i="25" s="1"/>
  <c r="L13" i="25"/>
  <c r="AC5" i="14"/>
  <c r="J12" i="25" s="1"/>
  <c r="J14" i="25" s="1"/>
  <c r="AA5" i="14"/>
  <c r="H12" i="25" s="1"/>
  <c r="H13" i="25"/>
  <c r="N11" i="26"/>
  <c r="N13" i="26"/>
  <c r="AF6" i="14"/>
  <c r="AH6" i="14" s="1"/>
  <c r="AJ6" i="14" s="1"/>
  <c r="K12" i="26"/>
  <c r="K14" i="26" s="1"/>
  <c r="AF6" i="12"/>
  <c r="F10" i="26"/>
  <c r="U5" i="14"/>
  <c r="U15" i="39" l="1"/>
  <c r="I15" i="39" s="1"/>
  <c r="I16" i="39" s="1"/>
  <c r="S15" i="39"/>
  <c r="G15" i="39" s="1"/>
  <c r="G16" i="39" s="1"/>
  <c r="R15" i="39"/>
  <c r="F15" i="39" s="1"/>
  <c r="T15" i="39"/>
  <c r="H15" i="39" s="1"/>
  <c r="H16" i="39" s="1"/>
  <c r="V15" i="39"/>
  <c r="J15" i="39" s="1"/>
  <c r="J16" i="39" s="1"/>
  <c r="X15" i="39"/>
  <c r="L15" i="39" s="1"/>
  <c r="L16" i="39" s="1"/>
  <c r="F17" i="40"/>
  <c r="Q9" i="40"/>
  <c r="U15" i="40"/>
  <c r="I15" i="40" s="1"/>
  <c r="I16" i="40" s="1"/>
  <c r="X15" i="40"/>
  <c r="L15" i="40" s="1"/>
  <c r="L16" i="40" s="1"/>
  <c r="T15" i="40"/>
  <c r="H15" i="40" s="1"/>
  <c r="H16" i="40" s="1"/>
  <c r="W15" i="40"/>
  <c r="K15" i="40" s="1"/>
  <c r="K16" i="40" s="1"/>
  <c r="V15" i="40"/>
  <c r="J15" i="40" s="1"/>
  <c r="J16" i="40" s="1"/>
  <c r="R15" i="40"/>
  <c r="F15" i="40" s="1"/>
  <c r="S15" i="40"/>
  <c r="G15" i="40" s="1"/>
  <c r="G16" i="40" s="1"/>
  <c r="Q9" i="37"/>
  <c r="V15" i="37"/>
  <c r="J15" i="37" s="1"/>
  <c r="J16" i="37" s="1"/>
  <c r="R15" i="37"/>
  <c r="F15" i="37" s="1"/>
  <c r="F16" i="37" s="1"/>
  <c r="U15" i="37"/>
  <c r="I15" i="37" s="1"/>
  <c r="I16" i="37" s="1"/>
  <c r="S15" i="37"/>
  <c r="G15" i="37" s="1"/>
  <c r="G16" i="37" s="1"/>
  <c r="X15" i="37"/>
  <c r="L15" i="37" s="1"/>
  <c r="L16" i="37" s="1"/>
  <c r="W15" i="37"/>
  <c r="K15" i="37" s="1"/>
  <c r="K16" i="37" s="1"/>
  <c r="R15" i="36"/>
  <c r="F15" i="36" s="1"/>
  <c r="F16" i="36" s="1"/>
  <c r="S15" i="36"/>
  <c r="G15" i="36" s="1"/>
  <c r="G16" i="36" s="1"/>
  <c r="X15" i="36"/>
  <c r="L15" i="36" s="1"/>
  <c r="L16" i="36" s="1"/>
  <c r="T15" i="36"/>
  <c r="H15" i="36" s="1"/>
  <c r="H16" i="36" s="1"/>
  <c r="V15" i="36"/>
  <c r="J15" i="36" s="1"/>
  <c r="J16" i="36" s="1"/>
  <c r="U15" i="36"/>
  <c r="I15" i="36" s="1"/>
  <c r="I16" i="36" s="1"/>
  <c r="Q9" i="36"/>
  <c r="F17" i="36"/>
  <c r="R15" i="27"/>
  <c r="F15" i="27" s="1"/>
  <c r="F16" i="27" s="1"/>
  <c r="F17" i="27"/>
  <c r="Q9" i="27"/>
  <c r="AH6" i="12"/>
  <c r="AJ6" i="12" s="1"/>
  <c r="N11" i="25"/>
  <c r="AF5" i="12"/>
  <c r="AH5" i="12" s="1"/>
  <c r="AJ5" i="12" s="1"/>
  <c r="W15" i="27"/>
  <c r="K15" i="27" s="1"/>
  <c r="K16" i="27" s="1"/>
  <c r="U15" i="27"/>
  <c r="I15" i="27" s="1"/>
  <c r="I16" i="27" s="1"/>
  <c r="T15" i="27"/>
  <c r="H15" i="27" s="1"/>
  <c r="H16" i="27" s="1"/>
  <c r="V15" i="27"/>
  <c r="J15" i="27" s="1"/>
  <c r="J16" i="27" s="1"/>
  <c r="S15" i="27"/>
  <c r="G15" i="27" s="1"/>
  <c r="G16" i="27" s="1"/>
  <c r="X15" i="27"/>
  <c r="L15" i="27" s="1"/>
  <c r="L16" i="27" s="1"/>
  <c r="H14" i="25"/>
  <c r="G9" i="25"/>
  <c r="G17" i="25" s="1"/>
  <c r="N10" i="25"/>
  <c r="F9" i="25"/>
  <c r="F17" i="25" s="1"/>
  <c r="L14" i="25"/>
  <c r="AF5" i="14"/>
  <c r="AH5" i="14" s="1"/>
  <c r="AJ5" i="14" s="1"/>
  <c r="N13" i="25"/>
  <c r="K14" i="25"/>
  <c r="F14" i="25"/>
  <c r="N12" i="25"/>
  <c r="N12" i="26"/>
  <c r="N14" i="26" s="1"/>
  <c r="X15" i="26" s="1"/>
  <c r="L15" i="26" s="1"/>
  <c r="L16" i="26" s="1"/>
  <c r="N10" i="26"/>
  <c r="N9" i="26" s="1"/>
  <c r="N17" i="26" s="1"/>
  <c r="F9" i="26"/>
  <c r="F17" i="26" s="1"/>
  <c r="D4" i="7"/>
  <c r="L5" i="6"/>
  <c r="X5" i="6" s="1"/>
  <c r="I4" i="7"/>
  <c r="N15" i="39" l="1"/>
  <c r="N16" i="39" s="1"/>
  <c r="F16" i="39"/>
  <c r="F16" i="40"/>
  <c r="N15" i="40"/>
  <c r="N16" i="40" s="1"/>
  <c r="N15" i="37"/>
  <c r="N16" i="37" s="1"/>
  <c r="N15" i="36"/>
  <c r="N16" i="36" s="1"/>
  <c r="N15" i="27"/>
  <c r="N16" i="27" s="1"/>
  <c r="I16" i="7"/>
  <c r="I17" i="7"/>
  <c r="D16" i="7"/>
  <c r="D17" i="7"/>
  <c r="N9" i="25"/>
  <c r="N17" i="25" s="1"/>
  <c r="N14" i="25"/>
  <c r="R15" i="25" s="1"/>
  <c r="F15" i="25" s="1"/>
  <c r="R15" i="26"/>
  <c r="F15" i="26" s="1"/>
  <c r="F16" i="26" s="1"/>
  <c r="U15" i="26"/>
  <c r="I15" i="26" s="1"/>
  <c r="I16" i="26" s="1"/>
  <c r="S15" i="26"/>
  <c r="G15" i="26" s="1"/>
  <c r="G16" i="26" s="1"/>
  <c r="T15" i="26"/>
  <c r="H15" i="26" s="1"/>
  <c r="H16" i="26" s="1"/>
  <c r="V15" i="26"/>
  <c r="J15" i="26" s="1"/>
  <c r="J16" i="26" s="1"/>
  <c r="W15" i="26"/>
  <c r="K15" i="26" s="1"/>
  <c r="K16" i="26" s="1"/>
  <c r="D5" i="6"/>
  <c r="K4" i="7"/>
  <c r="U5" i="6"/>
  <c r="W5" i="6" s="1"/>
  <c r="K16" i="7" l="1"/>
  <c r="AI16" i="12" s="1"/>
  <c r="K17" i="7"/>
  <c r="F16" i="25"/>
  <c r="T15" i="25"/>
  <c r="H15" i="25" s="1"/>
  <c r="H16" i="25" s="1"/>
  <c r="U15" i="25"/>
  <c r="I15" i="25" s="1"/>
  <c r="I16" i="25" s="1"/>
  <c r="S15" i="25"/>
  <c r="G15" i="25" s="1"/>
  <c r="G16" i="25" s="1"/>
  <c r="V15" i="25"/>
  <c r="J15" i="25" s="1"/>
  <c r="J16" i="25" s="1"/>
  <c r="X15" i="25"/>
  <c r="L15" i="25" s="1"/>
  <c r="L16" i="25" s="1"/>
  <c r="W15" i="25"/>
  <c r="K15" i="25" s="1"/>
  <c r="K16" i="25" s="1"/>
  <c r="N15" i="26"/>
  <c r="N16" i="26" s="1"/>
  <c r="P4" i="7"/>
  <c r="P17" i="7" s="1"/>
  <c r="Q4" i="7"/>
  <c r="Q17" i="7" s="1"/>
  <c r="V4" i="7"/>
  <c r="V17" i="7" s="1"/>
  <c r="AI4" i="12"/>
  <c r="T4" i="7"/>
  <c r="T17" i="7" s="1"/>
  <c r="R4" i="7"/>
  <c r="R17" i="7" s="1"/>
  <c r="S4" i="7"/>
  <c r="S17" i="7" s="1"/>
  <c r="U4" i="7"/>
  <c r="U17" i="7" s="1"/>
  <c r="W17" i="7" l="1"/>
  <c r="N15" i="25"/>
  <c r="N16" i="25" s="1"/>
  <c r="S16" i="7"/>
  <c r="T16" i="7"/>
  <c r="U16" i="7"/>
  <c r="R16" i="7"/>
  <c r="V16" i="7"/>
  <c r="Q16" i="7"/>
  <c r="W4" i="7"/>
  <c r="P16" i="7"/>
  <c r="F4" i="12" l="1"/>
  <c r="Q4" i="12" s="1"/>
  <c r="Q17" i="12" s="1"/>
  <c r="C4" i="12"/>
  <c r="N4" i="12" s="1"/>
  <c r="D4" i="14"/>
  <c r="O4" i="14" s="1"/>
  <c r="G4" i="12"/>
  <c r="R4" i="12" s="1"/>
  <c r="I4" i="12"/>
  <c r="T4" i="12" s="1"/>
  <c r="L11" i="13" s="1"/>
  <c r="H4" i="12"/>
  <c r="S4" i="12" s="1"/>
  <c r="G4" i="14"/>
  <c r="R4" i="14" s="1"/>
  <c r="I4" i="14"/>
  <c r="T4" i="14" s="1"/>
  <c r="F4" i="14"/>
  <c r="Q4" i="14" s="1"/>
  <c r="C4" i="14"/>
  <c r="N4" i="14" s="1"/>
  <c r="E4" i="12"/>
  <c r="P4" i="12" s="1"/>
  <c r="H11" i="13" s="1"/>
  <c r="I11" i="13"/>
  <c r="W16" i="7"/>
  <c r="E4" i="14"/>
  <c r="D4" i="12"/>
  <c r="O4" i="12" s="1"/>
  <c r="H4" i="14"/>
  <c r="I11" i="34" l="1"/>
  <c r="I11" i="38"/>
  <c r="Q16" i="12"/>
  <c r="I11" i="35"/>
  <c r="Z4" i="14"/>
  <c r="G13" i="35"/>
  <c r="O17" i="14"/>
  <c r="L13" i="35"/>
  <c r="T17" i="14"/>
  <c r="J13" i="35"/>
  <c r="R17" i="14"/>
  <c r="AB4" i="12"/>
  <c r="AB17" i="12" s="1"/>
  <c r="F13" i="35"/>
  <c r="N17" i="14"/>
  <c r="F13" i="38" s="1"/>
  <c r="AB4" i="14"/>
  <c r="I12" i="13" s="1"/>
  <c r="I13" i="35"/>
  <c r="Q17" i="14"/>
  <c r="AD4" i="12"/>
  <c r="K10" i="13" s="1"/>
  <c r="K11" i="35"/>
  <c r="S17" i="12"/>
  <c r="AE4" i="12"/>
  <c r="AE16" i="12" s="1"/>
  <c r="L11" i="35"/>
  <c r="T17" i="12"/>
  <c r="F11" i="35"/>
  <c r="N17" i="12"/>
  <c r="R16" i="12"/>
  <c r="J11" i="35"/>
  <c r="R17" i="12"/>
  <c r="G11" i="35"/>
  <c r="O17" i="12"/>
  <c r="P16" i="12"/>
  <c r="H11" i="35"/>
  <c r="P17" i="12"/>
  <c r="G16" i="12"/>
  <c r="I18" i="14"/>
  <c r="E20" i="14"/>
  <c r="C20" i="14"/>
  <c r="D20" i="14"/>
  <c r="D19" i="14"/>
  <c r="F20" i="14"/>
  <c r="E19" i="14"/>
  <c r="G20" i="14"/>
  <c r="H18" i="14"/>
  <c r="D18" i="14"/>
  <c r="F19" i="14"/>
  <c r="H20" i="14"/>
  <c r="E18" i="14"/>
  <c r="G19" i="14"/>
  <c r="I20" i="14"/>
  <c r="F18" i="14"/>
  <c r="H19" i="14"/>
  <c r="G18" i="14"/>
  <c r="I19" i="14"/>
  <c r="C18" i="14"/>
  <c r="C19" i="14"/>
  <c r="G17" i="14"/>
  <c r="F17" i="14"/>
  <c r="D17" i="14"/>
  <c r="I17" i="14"/>
  <c r="C17" i="14"/>
  <c r="E17" i="14"/>
  <c r="H17" i="14"/>
  <c r="AA4" i="12"/>
  <c r="H10" i="13" s="1"/>
  <c r="H9" i="13" s="1"/>
  <c r="H17" i="13" s="1"/>
  <c r="J11" i="13"/>
  <c r="AC4" i="12"/>
  <c r="AC16" i="12" s="1"/>
  <c r="K11" i="13"/>
  <c r="S16" i="12"/>
  <c r="D16" i="12"/>
  <c r="H16" i="12"/>
  <c r="I16" i="14"/>
  <c r="D16" i="14"/>
  <c r="E16" i="12"/>
  <c r="C16" i="12"/>
  <c r="G16" i="14"/>
  <c r="T16" i="12"/>
  <c r="C16" i="14"/>
  <c r="H16" i="14"/>
  <c r="F16" i="12"/>
  <c r="AE4" i="14"/>
  <c r="F16" i="14"/>
  <c r="I16" i="12"/>
  <c r="J13" i="13"/>
  <c r="R16" i="14"/>
  <c r="S4" i="14"/>
  <c r="N16" i="14"/>
  <c r="F13" i="13"/>
  <c r="G12" i="13"/>
  <c r="Z16" i="14"/>
  <c r="J4" i="14"/>
  <c r="Q16" i="14"/>
  <c r="I13" i="13"/>
  <c r="O16" i="14"/>
  <c r="G13" i="13"/>
  <c r="Y4" i="14"/>
  <c r="F11" i="13"/>
  <c r="N16" i="12"/>
  <c r="U4" i="12"/>
  <c r="Y4" i="12"/>
  <c r="Z4" i="12"/>
  <c r="G11" i="13"/>
  <c r="O16" i="12"/>
  <c r="E16" i="14"/>
  <c r="J4" i="12"/>
  <c r="P4" i="14"/>
  <c r="L13" i="13"/>
  <c r="T16" i="14"/>
  <c r="AC4" i="14"/>
  <c r="G13" i="34" l="1"/>
  <c r="G13" i="38"/>
  <c r="L11" i="34"/>
  <c r="L11" i="38"/>
  <c r="G11" i="34"/>
  <c r="G11" i="38"/>
  <c r="J11" i="34"/>
  <c r="J11" i="38"/>
  <c r="K11" i="34"/>
  <c r="K11" i="38"/>
  <c r="I10" i="34"/>
  <c r="I9" i="34" s="1"/>
  <c r="I17" i="34" s="1"/>
  <c r="I10" i="38"/>
  <c r="I9" i="38" s="1"/>
  <c r="I17" i="38" s="1"/>
  <c r="J13" i="34"/>
  <c r="J13" i="38"/>
  <c r="H11" i="34"/>
  <c r="H11" i="38"/>
  <c r="F11" i="34"/>
  <c r="F11" i="38"/>
  <c r="I13" i="34"/>
  <c r="I13" i="38"/>
  <c r="L13" i="34"/>
  <c r="L13" i="38"/>
  <c r="L10" i="13"/>
  <c r="L9" i="13" s="1"/>
  <c r="L17" i="13" s="1"/>
  <c r="AB16" i="14"/>
  <c r="AB16" i="12"/>
  <c r="I10" i="13"/>
  <c r="I9" i="13" s="1"/>
  <c r="I17" i="13" s="1"/>
  <c r="I10" i="35"/>
  <c r="I9" i="35" s="1"/>
  <c r="I17" i="35" s="1"/>
  <c r="F12" i="35"/>
  <c r="Y17" i="14"/>
  <c r="F12" i="38" s="1"/>
  <c r="AC17" i="14"/>
  <c r="J12" i="35"/>
  <c r="J14" i="35" s="1"/>
  <c r="AD4" i="14"/>
  <c r="AD16" i="14" s="1"/>
  <c r="S17" i="14"/>
  <c r="K13" i="35"/>
  <c r="I12" i="35"/>
  <c r="I14" i="35" s="1"/>
  <c r="AB17" i="14"/>
  <c r="F13" i="34"/>
  <c r="AE16" i="14"/>
  <c r="L12" i="35"/>
  <c r="L14" i="35" s="1"/>
  <c r="AE17" i="14"/>
  <c r="AA4" i="14"/>
  <c r="AA16" i="14" s="1"/>
  <c r="H13" i="35"/>
  <c r="P17" i="14"/>
  <c r="L12" i="13"/>
  <c r="L14" i="13" s="1"/>
  <c r="G12" i="35"/>
  <c r="G14" i="35" s="1"/>
  <c r="Z17" i="14"/>
  <c r="AD16" i="12"/>
  <c r="J10" i="13"/>
  <c r="J9" i="13" s="1"/>
  <c r="J17" i="13" s="1"/>
  <c r="AA16" i="12"/>
  <c r="H10" i="35"/>
  <c r="H9" i="35" s="1"/>
  <c r="H17" i="35" s="1"/>
  <c r="AA17" i="12"/>
  <c r="N11" i="35"/>
  <c r="J10" i="35"/>
  <c r="J9" i="35" s="1"/>
  <c r="J17" i="35" s="1"/>
  <c r="AC17" i="12"/>
  <c r="U16" i="12"/>
  <c r="U17" i="12"/>
  <c r="G10" i="35"/>
  <c r="G9" i="35" s="1"/>
  <c r="G17" i="35" s="1"/>
  <c r="Z17" i="12"/>
  <c r="F10" i="35"/>
  <c r="Y17" i="12"/>
  <c r="L10" i="35"/>
  <c r="L9" i="35" s="1"/>
  <c r="L17" i="35" s="1"/>
  <c r="AE17" i="12"/>
  <c r="K10" i="35"/>
  <c r="K9" i="35" s="1"/>
  <c r="K17" i="35" s="1"/>
  <c r="AD17" i="12"/>
  <c r="J17" i="14"/>
  <c r="J19" i="14"/>
  <c r="J18" i="14"/>
  <c r="J20" i="14"/>
  <c r="K9" i="13"/>
  <c r="K17" i="13" s="1"/>
  <c r="J16" i="12"/>
  <c r="J16" i="14"/>
  <c r="U4" i="14"/>
  <c r="U16" i="14" s="1"/>
  <c r="G14" i="13"/>
  <c r="P16" i="14"/>
  <c r="H13" i="13"/>
  <c r="G10" i="13"/>
  <c r="G9" i="13" s="1"/>
  <c r="G17" i="13" s="1"/>
  <c r="Z16" i="12"/>
  <c r="AF4" i="12"/>
  <c r="AF17" i="12" s="1"/>
  <c r="F10" i="13"/>
  <c r="Y16" i="12"/>
  <c r="N11" i="13"/>
  <c r="I14" i="13"/>
  <c r="S16" i="14"/>
  <c r="K13" i="13"/>
  <c r="AC16" i="14"/>
  <c r="J12" i="13"/>
  <c r="J14" i="13" s="1"/>
  <c r="F12" i="13"/>
  <c r="Y16" i="14"/>
  <c r="N11" i="34" l="1"/>
  <c r="L10" i="34"/>
  <c r="L9" i="34" s="1"/>
  <c r="L17" i="34" s="1"/>
  <c r="L10" i="38"/>
  <c r="L9" i="38" s="1"/>
  <c r="L17" i="38" s="1"/>
  <c r="J10" i="34"/>
  <c r="J9" i="34" s="1"/>
  <c r="J17" i="34" s="1"/>
  <c r="J10" i="38"/>
  <c r="J9" i="38" s="1"/>
  <c r="J17" i="38" s="1"/>
  <c r="G12" i="34"/>
  <c r="G14" i="34" s="1"/>
  <c r="G12" i="38"/>
  <c r="G14" i="38" s="1"/>
  <c r="J12" i="34"/>
  <c r="J14" i="34" s="1"/>
  <c r="J12" i="38"/>
  <c r="J14" i="38" s="1"/>
  <c r="F10" i="34"/>
  <c r="F9" i="34" s="1"/>
  <c r="F17" i="34" s="1"/>
  <c r="F10" i="38"/>
  <c r="F14" i="38"/>
  <c r="I12" i="34"/>
  <c r="I14" i="34" s="1"/>
  <c r="I12" i="38"/>
  <c r="I14" i="38" s="1"/>
  <c r="G10" i="34"/>
  <c r="G9" i="34" s="1"/>
  <c r="G17" i="34" s="1"/>
  <c r="G10" i="38"/>
  <c r="G9" i="38" s="1"/>
  <c r="G17" i="38" s="1"/>
  <c r="H10" i="34"/>
  <c r="H9" i="34" s="1"/>
  <c r="H17" i="34" s="1"/>
  <c r="H10" i="38"/>
  <c r="H9" i="38" s="1"/>
  <c r="H17" i="38" s="1"/>
  <c r="H13" i="34"/>
  <c r="H13" i="38"/>
  <c r="N11" i="38"/>
  <c r="K10" i="34"/>
  <c r="K9" i="34" s="1"/>
  <c r="K17" i="34" s="1"/>
  <c r="K10" i="38"/>
  <c r="K9" i="38" s="1"/>
  <c r="K17" i="38" s="1"/>
  <c r="K13" i="34"/>
  <c r="K13" i="38"/>
  <c r="L12" i="34"/>
  <c r="L14" i="34" s="1"/>
  <c r="L12" i="38"/>
  <c r="L14" i="38" s="1"/>
  <c r="K12" i="13"/>
  <c r="K14" i="13" s="1"/>
  <c r="N13" i="35"/>
  <c r="AF4" i="14"/>
  <c r="AF16" i="14" s="1"/>
  <c r="H12" i="13"/>
  <c r="H14" i="13" s="1"/>
  <c r="H12" i="35"/>
  <c r="H14" i="35" s="1"/>
  <c r="AA17" i="14"/>
  <c r="K12" i="35"/>
  <c r="K14" i="35" s="1"/>
  <c r="AD17" i="14"/>
  <c r="U17" i="14"/>
  <c r="F12" i="34"/>
  <c r="F14" i="35"/>
  <c r="N10" i="35"/>
  <c r="N9" i="35" s="1"/>
  <c r="N17" i="35" s="1"/>
  <c r="F9" i="35"/>
  <c r="F17" i="35" s="1"/>
  <c r="N13" i="13"/>
  <c r="F9" i="13"/>
  <c r="F17" i="13" s="1"/>
  <c r="N10" i="13"/>
  <c r="N9" i="13" s="1"/>
  <c r="N17" i="13" s="1"/>
  <c r="AF16" i="12"/>
  <c r="AH16" i="12" s="1"/>
  <c r="AJ16" i="12" s="1"/>
  <c r="AH4" i="12"/>
  <c r="AJ4" i="12" s="1"/>
  <c r="F14" i="13"/>
  <c r="N13" i="34" l="1"/>
  <c r="N13" i="38"/>
  <c r="K12" i="34"/>
  <c r="K14" i="34" s="1"/>
  <c r="K12" i="38"/>
  <c r="K14" i="38" s="1"/>
  <c r="H12" i="34"/>
  <c r="H14" i="34" s="1"/>
  <c r="H12" i="38"/>
  <c r="N10" i="38"/>
  <c r="N9" i="38" s="1"/>
  <c r="N17" i="38" s="1"/>
  <c r="F9" i="38"/>
  <c r="F17" i="38" s="1"/>
  <c r="N10" i="34"/>
  <c r="N9" i="34" s="1"/>
  <c r="N17" i="34" s="1"/>
  <c r="AH4" i="14"/>
  <c r="AJ4" i="14" s="1"/>
  <c r="N12" i="13"/>
  <c r="N14" i="13" s="1"/>
  <c r="T15" i="13" s="1"/>
  <c r="H15" i="13" s="1"/>
  <c r="H16" i="13" s="1"/>
  <c r="AF17" i="14"/>
  <c r="F14" i="34"/>
  <c r="N12" i="35"/>
  <c r="N14" i="35" s="1"/>
  <c r="W15" i="35" s="1"/>
  <c r="K15" i="35" s="1"/>
  <c r="K16" i="35" s="1"/>
  <c r="N12" i="34" l="1"/>
  <c r="N14" i="34" s="1"/>
  <c r="W15" i="34" s="1"/>
  <c r="K15" i="34" s="1"/>
  <c r="K16" i="34" s="1"/>
  <c r="H14" i="38"/>
  <c r="N12" i="38"/>
  <c r="N14" i="38" s="1"/>
  <c r="AL4" i="14"/>
  <c r="AH16" i="14"/>
  <c r="AJ16" i="14" s="1"/>
  <c r="T15" i="35"/>
  <c r="H15" i="35" s="1"/>
  <c r="H16" i="35" s="1"/>
  <c r="R15" i="35"/>
  <c r="F15" i="35" s="1"/>
  <c r="F16" i="35" s="1"/>
  <c r="S15" i="35"/>
  <c r="G15" i="35" s="1"/>
  <c r="G16" i="35" s="1"/>
  <c r="U15" i="35"/>
  <c r="I15" i="35" s="1"/>
  <c r="I16" i="35" s="1"/>
  <c r="V15" i="35"/>
  <c r="J15" i="35" s="1"/>
  <c r="J16" i="35" s="1"/>
  <c r="X15" i="35"/>
  <c r="L15" i="35" s="1"/>
  <c r="L16" i="35" s="1"/>
  <c r="W15" i="13"/>
  <c r="K15" i="13" s="1"/>
  <c r="K16" i="13" s="1"/>
  <c r="S15" i="13"/>
  <c r="G15" i="13" s="1"/>
  <c r="G16" i="13" s="1"/>
  <c r="R15" i="13"/>
  <c r="F15" i="13" s="1"/>
  <c r="F16" i="13" s="1"/>
  <c r="U15" i="13"/>
  <c r="I15" i="13" s="1"/>
  <c r="I16" i="13" s="1"/>
  <c r="X15" i="13"/>
  <c r="L15" i="13" s="1"/>
  <c r="L16" i="13" s="1"/>
  <c r="V15" i="13"/>
  <c r="J15" i="13" s="1"/>
  <c r="J16" i="13" s="1"/>
  <c r="T15" i="34" l="1"/>
  <c r="H15" i="34" s="1"/>
  <c r="H16" i="34" s="1"/>
  <c r="V15" i="38"/>
  <c r="J15" i="38" s="1"/>
  <c r="J16" i="38" s="1"/>
  <c r="U15" i="38"/>
  <c r="I15" i="38" s="1"/>
  <c r="I16" i="38" s="1"/>
  <c r="R15" i="38"/>
  <c r="F15" i="38" s="1"/>
  <c r="S15" i="38"/>
  <c r="G15" i="38" s="1"/>
  <c r="G16" i="38" s="1"/>
  <c r="X15" i="38"/>
  <c r="L15" i="38" s="1"/>
  <c r="L16" i="38" s="1"/>
  <c r="V15" i="34"/>
  <c r="J15" i="34" s="1"/>
  <c r="J16" i="34" s="1"/>
  <c r="T15" i="38"/>
  <c r="H15" i="38" s="1"/>
  <c r="H16" i="38" s="1"/>
  <c r="S15" i="34"/>
  <c r="G15" i="34" s="1"/>
  <c r="G16" i="34" s="1"/>
  <c r="R15" i="34"/>
  <c r="F15" i="34" s="1"/>
  <c r="F16" i="34" s="1"/>
  <c r="X15" i="34"/>
  <c r="L15" i="34" s="1"/>
  <c r="L16" i="34" s="1"/>
  <c r="W15" i="38"/>
  <c r="K15" i="38" s="1"/>
  <c r="K16" i="38" s="1"/>
  <c r="U15" i="34"/>
  <c r="I15" i="34" s="1"/>
  <c r="I16" i="34" s="1"/>
  <c r="N15" i="35"/>
  <c r="N16" i="35" s="1"/>
  <c r="N15" i="13"/>
  <c r="N16" i="13" s="1"/>
  <c r="N15" i="34" l="1"/>
  <c r="N16" i="34" s="1"/>
  <c r="F16" i="38"/>
  <c r="N15" i="38"/>
  <c r="N16" i="38" s="1"/>
  <c r="K27" i="20"/>
  <c r="D27" i="20" l="1"/>
  <c r="O27" i="20"/>
  <c r="F19" i="27"/>
  <c r="G27" i="20"/>
  <c r="E27" i="20"/>
  <c r="I27" i="20"/>
  <c r="H27" i="20"/>
  <c r="F27" i="20"/>
  <c r="G19" i="27" l="1"/>
  <c r="G20" i="27" s="1"/>
  <c r="F20" i="27"/>
  <c r="J27" i="20"/>
  <c r="K19" i="27"/>
  <c r="K20" i="27" s="1"/>
  <c r="M19" i="27"/>
  <c r="J19" i="27"/>
  <c r="J20" i="27" s="1"/>
  <c r="I19" i="27"/>
  <c r="I20" i="27" s="1"/>
  <c r="L27" i="20" l="1"/>
  <c r="N27" i="20"/>
  <c r="N19" i="27"/>
  <c r="N20" i="27" s="1"/>
  <c r="E29" i="20" l="1"/>
  <c r="E37" i="20" s="1"/>
  <c r="G19" i="38" s="1"/>
  <c r="G20" i="38" s="1"/>
  <c r="G19" i="37"/>
  <c r="G20" i="37" s="1"/>
  <c r="I29" i="20"/>
  <c r="G29" i="20"/>
  <c r="H29" i="20"/>
  <c r="D29" i="20"/>
  <c r="F29" i="20"/>
  <c r="J29" i="20" l="1"/>
  <c r="H37" i="20"/>
  <c r="K19" i="38" s="1"/>
  <c r="K20" i="38" s="1"/>
  <c r="K19" i="37"/>
  <c r="K20" i="37" s="1"/>
  <c r="I19" i="37"/>
  <c r="I20" i="37" s="1"/>
  <c r="F37" i="20"/>
  <c r="I19" i="38" s="1"/>
  <c r="I20" i="38" s="1"/>
  <c r="D37" i="20"/>
  <c r="F19" i="37"/>
  <c r="J19" i="37"/>
  <c r="J20" i="37" s="1"/>
  <c r="G37" i="20"/>
  <c r="J19" i="38" s="1"/>
  <c r="J20" i="38" s="1"/>
  <c r="I37" i="20"/>
  <c r="M19" i="38" s="1"/>
  <c r="M19" i="37"/>
  <c r="J37" i="20" l="1"/>
  <c r="F19" i="38"/>
  <c r="L29" i="20"/>
  <c r="N29" i="20"/>
  <c r="N19" i="37"/>
  <c r="N20" i="37" s="1"/>
  <c r="F20" i="37"/>
  <c r="N19" i="38" l="1"/>
  <c r="N20" i="38" s="1"/>
  <c r="F20" i="38"/>
  <c r="K30" i="20" l="1"/>
  <c r="D30" i="20" s="1"/>
  <c r="F19" i="39" s="1"/>
  <c r="F20" i="39" l="1"/>
  <c r="G30" i="20"/>
  <c r="J19" i="39" s="1"/>
  <c r="J20" i="39" s="1"/>
  <c r="H30" i="20"/>
  <c r="K19" i="39" s="1"/>
  <c r="K20" i="39" s="1"/>
  <c r="E30" i="20"/>
  <c r="G19" i="39" s="1"/>
  <c r="G20" i="39" s="1"/>
  <c r="F30" i="20"/>
  <c r="I19" i="39" s="1"/>
  <c r="I20" i="39" s="1"/>
  <c r="I30" i="20"/>
  <c r="M19" i="39" s="1"/>
  <c r="N19" i="39" l="1"/>
  <c r="N20" i="39" s="1"/>
  <c r="J30" i="20"/>
  <c r="N30" i="20" l="1"/>
  <c r="L30" i="20"/>
  <c r="K31" i="20" l="1"/>
  <c r="I31" i="20" s="1"/>
  <c r="M19" i="40" l="1"/>
  <c r="M19" i="35"/>
  <c r="I38" i="20"/>
  <c r="M19" i="41" s="1"/>
  <c r="G31" i="20"/>
  <c r="D31" i="20"/>
  <c r="E31" i="20"/>
  <c r="F31" i="20"/>
  <c r="H31" i="20"/>
  <c r="K19" i="40" l="1"/>
  <c r="K20" i="40" s="1"/>
  <c r="H38" i="20"/>
  <c r="K19" i="41" s="1"/>
  <c r="K20" i="41" s="1"/>
  <c r="K19" i="35"/>
  <c r="K20" i="35" s="1"/>
  <c r="G19" i="35"/>
  <c r="G20" i="35" s="1"/>
  <c r="G19" i="40"/>
  <c r="G20" i="40" s="1"/>
  <c r="E38" i="20"/>
  <c r="G19" i="41" s="1"/>
  <c r="G20" i="41" s="1"/>
  <c r="D38" i="20"/>
  <c r="F19" i="40"/>
  <c r="F19" i="35"/>
  <c r="J31" i="20"/>
  <c r="I19" i="35"/>
  <c r="I20" i="35" s="1"/>
  <c r="I19" i="40"/>
  <c r="I20" i="40" s="1"/>
  <c r="F38" i="20"/>
  <c r="I19" i="41" s="1"/>
  <c r="I20" i="41" s="1"/>
  <c r="J19" i="35"/>
  <c r="J20" i="35" s="1"/>
  <c r="J19" i="40"/>
  <c r="J20" i="40" s="1"/>
  <c r="G38" i="20"/>
  <c r="J19" i="41" s="1"/>
  <c r="J20" i="41" s="1"/>
  <c r="N19" i="40" l="1"/>
  <c r="N20" i="40" s="1"/>
  <c r="F20" i="40"/>
  <c r="L31" i="20"/>
  <c r="N31" i="20"/>
  <c r="F19" i="41"/>
  <c r="J38" i="20"/>
  <c r="F20" i="35"/>
  <c r="N19" i="35"/>
  <c r="N20" i="35" s="1"/>
  <c r="N19" i="41" l="1"/>
  <c r="N20" i="41" s="1"/>
  <c r="F20" i="41"/>
</calcChain>
</file>

<file path=xl/sharedStrings.xml><?xml version="1.0" encoding="utf-8"?>
<sst xmlns="http://schemas.openxmlformats.org/spreadsheetml/2006/main" count="3706" uniqueCount="527">
  <si>
    <t>구분</t>
  </si>
  <si>
    <t>사용유효전력량</t>
  </si>
  <si>
    <t>무효전력량</t>
  </si>
  <si>
    <t>최대전력량</t>
  </si>
  <si>
    <t>역률</t>
  </si>
  <si>
    <t>경부하(11)</t>
  </si>
  <si>
    <t>중간[주간](9)</t>
  </si>
  <si>
    <t>최대[저녁](10)</t>
  </si>
  <si>
    <t>주간(12)</t>
  </si>
  <si>
    <t>야간(13)</t>
  </si>
  <si>
    <t>주간(14)</t>
  </si>
  <si>
    <t>야간(15)</t>
  </si>
  <si>
    <t>전월</t>
  </si>
  <si>
    <t>당월</t>
  </si>
  <si>
    <t>피크
주간</t>
    <phoneticPr fontId="1" type="noConversion"/>
  </si>
  <si>
    <t>피크
최대</t>
    <phoneticPr fontId="1" type="noConversion"/>
  </si>
  <si>
    <t>월</t>
    <phoneticPr fontId="1" type="noConversion"/>
  </si>
  <si>
    <t>값</t>
    <phoneticPr fontId="1" type="noConversion"/>
  </si>
  <si>
    <t>RANK</t>
    <phoneticPr fontId="1" type="noConversion"/>
  </si>
  <si>
    <t>년도</t>
    <phoneticPr fontId="1" type="noConversion"/>
  </si>
  <si>
    <t>2018년</t>
    <phoneticPr fontId="1" type="noConversion"/>
  </si>
  <si>
    <t>2019년</t>
  </si>
  <si>
    <t>2019년</t>
    <phoneticPr fontId="1" type="noConversion"/>
  </si>
  <si>
    <t>2020년</t>
  </si>
  <si>
    <t>2020년</t>
    <phoneticPr fontId="1" type="noConversion"/>
  </si>
  <si>
    <t>1월</t>
  </si>
  <si>
    <t>1월</t>
    <phoneticPr fontId="1" type="noConversion"/>
  </si>
  <si>
    <t>2월</t>
  </si>
  <si>
    <t>2월</t>
    <phoneticPr fontId="1" type="noConversion"/>
  </si>
  <si>
    <t>3월</t>
  </si>
  <si>
    <t>3월</t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</si>
  <si>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</si>
  <si>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</si>
  <si>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</si>
  <si>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</si>
  <si>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6월</t>
  </si>
  <si>
    <t>6월</t>
    <phoneticPr fontId="1" type="noConversion"/>
  </si>
  <si>
    <t>7월</t>
  </si>
  <si>
    <t>7월</t>
    <phoneticPr fontId="1" type="noConversion"/>
  </si>
  <si>
    <t>8월</t>
  </si>
  <si>
    <t>8월</t>
    <phoneticPr fontId="1" type="noConversion"/>
  </si>
  <si>
    <t>9월</t>
  </si>
  <si>
    <t>9월</t>
    <phoneticPr fontId="1" type="noConversion"/>
  </si>
  <si>
    <t>10월</t>
  </si>
  <si>
    <t>10월</t>
    <phoneticPr fontId="1" type="noConversion"/>
  </si>
  <si>
    <t>11월</t>
  </si>
  <si>
    <t>11월</t>
    <phoneticPr fontId="1" type="noConversion"/>
  </si>
  <si>
    <t>12월</t>
  </si>
  <si>
    <t>12월</t>
    <phoneticPr fontId="1" type="noConversion"/>
  </si>
  <si>
    <t>년</t>
    <phoneticPr fontId="1" type="noConversion"/>
  </si>
  <si>
    <t>2019년</t>
    <phoneticPr fontId="1" type="noConversion"/>
  </si>
  <si>
    <t>년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</si>
  <si>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</si>
  <si>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</si>
  <si>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</si>
  <si>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12월</t>
    <phoneticPr fontId="1" type="noConversion"/>
  </si>
  <si>
    <t>MAX</t>
    <phoneticPr fontId="1" type="noConversion"/>
  </si>
  <si>
    <t>충전용 계기</t>
    <phoneticPr fontId="1" type="noConversion"/>
  </si>
  <si>
    <t>방전용 계기</t>
    <phoneticPr fontId="1" type="noConversion"/>
  </si>
  <si>
    <t>구분</t>
    <phoneticPr fontId="1" type="noConversion"/>
  </si>
  <si>
    <t>SHV-2</t>
    <phoneticPr fontId="1" type="noConversion"/>
  </si>
  <si>
    <t>HV-2b</t>
    <phoneticPr fontId="1" type="noConversion"/>
  </si>
  <si>
    <t>HV-2a</t>
    <phoneticPr fontId="1" type="noConversion"/>
  </si>
  <si>
    <t>HV-6</t>
    <phoneticPr fontId="1" type="noConversion"/>
  </si>
  <si>
    <t>SHV-6</t>
    <phoneticPr fontId="1" type="noConversion"/>
  </si>
  <si>
    <t>HV-9a</t>
    <phoneticPr fontId="1" type="noConversion"/>
  </si>
  <si>
    <t>HV-9b</t>
    <phoneticPr fontId="1" type="noConversion"/>
  </si>
  <si>
    <t>LV-2-1</t>
    <phoneticPr fontId="1" type="noConversion"/>
  </si>
  <si>
    <t>LV-2</t>
    <phoneticPr fontId="1" type="noConversion"/>
  </si>
  <si>
    <t>LV-6</t>
    <phoneticPr fontId="1" type="noConversion"/>
  </si>
  <si>
    <t>LV-4</t>
    <phoneticPr fontId="1" type="noConversion"/>
  </si>
  <si>
    <t>Comp#1</t>
    <phoneticPr fontId="1" type="noConversion"/>
  </si>
  <si>
    <t>Comp#2</t>
    <phoneticPr fontId="1" type="noConversion"/>
  </si>
  <si>
    <t>Comp#4</t>
    <phoneticPr fontId="1" type="noConversion"/>
  </si>
  <si>
    <t>Main</t>
    <phoneticPr fontId="1" type="noConversion"/>
  </si>
  <si>
    <t>CPL+ARP</t>
    <phoneticPr fontId="1" type="noConversion"/>
  </si>
  <si>
    <t>CRM(6600)</t>
    <phoneticPr fontId="1" type="noConversion"/>
  </si>
  <si>
    <t>CRM(3300)</t>
    <phoneticPr fontId="1" type="noConversion"/>
  </si>
  <si>
    <t>CGL</t>
    <phoneticPr fontId="1" type="noConversion"/>
  </si>
  <si>
    <t>#1CCL</t>
    <phoneticPr fontId="1" type="noConversion"/>
  </si>
  <si>
    <t>#2CCL</t>
    <phoneticPr fontId="1" type="noConversion"/>
  </si>
  <si>
    <t>ARP</t>
    <phoneticPr fontId="1" type="noConversion"/>
  </si>
  <si>
    <t>SSCL</t>
    <phoneticPr fontId="1" type="noConversion"/>
  </si>
  <si>
    <t>Comp#3
500HP</t>
    <phoneticPr fontId="1" type="noConversion"/>
  </si>
  <si>
    <t>사무동</t>
    <phoneticPr fontId="1" type="noConversion"/>
  </si>
  <si>
    <t>450HP</t>
    <phoneticPr fontId="1" type="noConversion"/>
  </si>
  <si>
    <t>220HP</t>
    <phoneticPr fontId="1" type="noConversion"/>
  </si>
  <si>
    <t>1CCL</t>
    <phoneticPr fontId="1" type="noConversion"/>
  </si>
  <si>
    <t>2CCL</t>
    <phoneticPr fontId="1" type="noConversion"/>
  </si>
  <si>
    <t>소계</t>
    <phoneticPr fontId="1" type="noConversion"/>
  </si>
  <si>
    <t>경(심야)</t>
    <phoneticPr fontId="1" type="noConversion"/>
  </si>
  <si>
    <t>중간</t>
  </si>
  <si>
    <t>중간</t>
    <phoneticPr fontId="1" type="noConversion"/>
  </si>
  <si>
    <t>최대</t>
  </si>
  <si>
    <t>최대</t>
    <phoneticPr fontId="1" type="noConversion"/>
  </si>
  <si>
    <t>총사용량</t>
    <phoneticPr fontId="1" type="noConversion"/>
  </si>
  <si>
    <t>년</t>
    <phoneticPr fontId="1" type="noConversion"/>
  </si>
  <si>
    <t>월</t>
    <phoneticPr fontId="1" type="noConversion"/>
  </si>
  <si>
    <t>2018년</t>
    <phoneticPr fontId="1" type="noConversion"/>
  </si>
  <si>
    <t>1월</t>
    <phoneticPr fontId="1" type="noConversion"/>
  </si>
  <si>
    <t>2019년</t>
    <phoneticPr fontId="1" type="noConversion"/>
  </si>
  <si>
    <t>2020년</t>
    <phoneticPr fontId="1" type="noConversion"/>
  </si>
  <si>
    <t>최대전력
(함수)</t>
    <phoneticPr fontId="1" type="noConversion"/>
  </si>
  <si>
    <t>최대전력
(기록)</t>
    <phoneticPr fontId="1" type="noConversion"/>
  </si>
  <si>
    <t>역률</t>
    <phoneticPr fontId="1" type="noConversion"/>
  </si>
  <si>
    <t>경</t>
  </si>
  <si>
    <t>경</t>
    <phoneticPr fontId="1" type="noConversion"/>
  </si>
  <si>
    <t>단가</t>
    <phoneticPr fontId="1" type="noConversion"/>
  </si>
  <si>
    <t>GROUP</t>
    <phoneticPr fontId="1" type="noConversion"/>
  </si>
  <si>
    <t>기본요금</t>
    <phoneticPr fontId="1" type="noConversion"/>
  </si>
  <si>
    <t>기본</t>
    <phoneticPr fontId="1" type="noConversion"/>
  </si>
  <si>
    <t>전력량</t>
    <phoneticPr fontId="1" type="noConversion"/>
  </si>
  <si>
    <t>2018년</t>
    <phoneticPr fontId="1" type="noConversion"/>
  </si>
  <si>
    <t>소계</t>
    <phoneticPr fontId="1" type="noConversion"/>
  </si>
  <si>
    <t>역율할인</t>
    <phoneticPr fontId="1" type="noConversion"/>
  </si>
  <si>
    <t>전력기금</t>
    <phoneticPr fontId="1" type="noConversion"/>
  </si>
  <si>
    <t>본전력
요금계</t>
    <phoneticPr fontId="1" type="noConversion"/>
  </si>
  <si>
    <t>자동이체
추가할인</t>
    <phoneticPr fontId="1" type="noConversion"/>
  </si>
  <si>
    <t>2020년</t>
    <phoneticPr fontId="1" type="noConversion"/>
  </si>
  <si>
    <t>년</t>
    <phoneticPr fontId="1" type="noConversion"/>
  </si>
  <si>
    <t>CPL</t>
    <phoneticPr fontId="1" type="noConversion"/>
  </si>
  <si>
    <t>CRM</t>
    <phoneticPr fontId="1" type="noConversion"/>
  </si>
  <si>
    <t>CGL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</si>
  <si>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</si>
  <si>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</si>
  <si>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</si>
  <si>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2020년</t>
    <phoneticPr fontId="1" type="noConversion"/>
  </si>
  <si>
    <t>450HP#1</t>
    <phoneticPr fontId="1" type="noConversion"/>
  </si>
  <si>
    <t>450HP#2</t>
    <phoneticPr fontId="1" type="noConversion"/>
  </si>
  <si>
    <t>500HP#1</t>
    <phoneticPr fontId="1" type="noConversion"/>
  </si>
  <si>
    <t>220HP#1</t>
    <phoneticPr fontId="1" type="noConversion"/>
  </si>
  <si>
    <t>2월</t>
    <phoneticPr fontId="1" type="noConversion"/>
  </si>
  <si>
    <t>한전값</t>
    <phoneticPr fontId="1" type="noConversion"/>
  </si>
  <si>
    <t>DEV.</t>
    <phoneticPr fontId="1" type="noConversion"/>
  </si>
  <si>
    <t>TOTAL</t>
    <phoneticPr fontId="1" type="noConversion"/>
  </si>
  <si>
    <t>임시계</t>
    <phoneticPr fontId="1" type="noConversion"/>
  </si>
  <si>
    <t>보정값</t>
    <phoneticPr fontId="1" type="noConversion"/>
  </si>
  <si>
    <t>라인별 전력 사용량 분배적용</t>
    <phoneticPr fontId="1" type="noConversion"/>
  </si>
  <si>
    <t>소계</t>
    <phoneticPr fontId="1" type="noConversion"/>
  </si>
  <si>
    <t>금액</t>
    <phoneticPr fontId="1" type="noConversion"/>
  </si>
  <si>
    <t>본 전력사용량</t>
    <phoneticPr fontId="1" type="noConversion"/>
  </si>
  <si>
    <t>본 전력금액</t>
    <phoneticPr fontId="1" type="noConversion"/>
  </si>
  <si>
    <t>충전할인</t>
    <phoneticPr fontId="1" type="noConversion"/>
  </si>
  <si>
    <t>할인적용전
충전비용</t>
    <phoneticPr fontId="1" type="noConversion"/>
  </si>
  <si>
    <t>할인단가</t>
    <phoneticPr fontId="1" type="noConversion"/>
  </si>
  <si>
    <t>부가세</t>
    <phoneticPr fontId="1" type="noConversion"/>
  </si>
  <si>
    <t>총ESS요금</t>
    <phoneticPr fontId="1" type="noConversion"/>
  </si>
  <si>
    <t>기본할인</t>
    <phoneticPr fontId="1" type="noConversion"/>
  </si>
  <si>
    <t>방전량합계</t>
  </si>
  <si>
    <t>충전량합계</t>
  </si>
  <si>
    <t>계기변수</t>
    <phoneticPr fontId="1" type="noConversion"/>
  </si>
  <si>
    <t>월 평일수</t>
    <phoneticPr fontId="1" type="noConversion"/>
  </si>
  <si>
    <t>평균수요감축량</t>
    <phoneticPr fontId="1" type="noConversion"/>
  </si>
  <si>
    <t>할인기본요금</t>
    <phoneticPr fontId="1" type="noConversion"/>
  </si>
  <si>
    <t>18.7월</t>
    <phoneticPr fontId="1" type="noConversion"/>
  </si>
  <si>
    <t>3월</t>
    <phoneticPr fontId="1" type="noConversion"/>
  </si>
  <si>
    <t>할인_기본</t>
  </si>
  <si>
    <t>단가</t>
  </si>
  <si>
    <t>배율</t>
  </si>
  <si>
    <t>배율(2)</t>
  </si>
  <si>
    <t>기본요금 할인 산식 = 평균 최대수요전력 감축량 * 3배 * 기본요금단가 * 1.2배</t>
    <phoneticPr fontId="1" type="noConversion"/>
  </si>
  <si>
    <t>평균 최대수요 전력 감축량 =    해당월 평일 최대부하시간대 방전량 합계 - 해당월 평일 최대부하시간대 충전량 합계</t>
    <phoneticPr fontId="1" type="noConversion"/>
  </si>
  <si>
    <t>해당월 평일일수 *  3시간</t>
    <phoneticPr fontId="1" type="noConversion"/>
  </si>
  <si>
    <t>기본요금할인 = 평균 최대수요 전력 감축량 * 3배 * 8320원/kw * 1.2배</t>
    <phoneticPr fontId="1" type="noConversion"/>
  </si>
  <si>
    <t>구분</t>
    <phoneticPr fontId="1" type="noConversion"/>
  </si>
  <si>
    <t>경부하</t>
    <phoneticPr fontId="1" type="noConversion"/>
  </si>
  <si>
    <t xml:space="preserve"> 경부하 할인단가</t>
    <phoneticPr fontId="1" type="noConversion"/>
  </si>
  <si>
    <t>배율</t>
    <phoneticPr fontId="1" type="noConversion"/>
  </si>
  <si>
    <t>18.8월</t>
  </si>
  <si>
    <t>18.9월</t>
  </si>
  <si>
    <t>18.10월</t>
  </si>
  <si>
    <t>18.11월</t>
  </si>
  <si>
    <t>18.12월</t>
  </si>
  <si>
    <t>19.1월</t>
  </si>
  <si>
    <t>19.1월</t>
    <phoneticPr fontId="1" type="noConversion"/>
  </si>
  <si>
    <t>19.2월</t>
  </si>
  <si>
    <t>19.3월</t>
  </si>
  <si>
    <t>19.4월</t>
  </si>
  <si>
    <t>19.5월</t>
  </si>
  <si>
    <t>19.6월</t>
  </si>
  <si>
    <t>19.7월</t>
  </si>
  <si>
    <t>19.8월</t>
  </si>
  <si>
    <t>19.9월</t>
  </si>
  <si>
    <t>19.10월</t>
  </si>
  <si>
    <t>19.11월</t>
  </si>
  <si>
    <t>19.12월</t>
  </si>
  <si>
    <t>20.1월</t>
  </si>
  <si>
    <t>20.1월</t>
    <phoneticPr fontId="1" type="noConversion"/>
  </si>
  <si>
    <t>20.2월</t>
  </si>
  <si>
    <t>20.3월</t>
  </si>
  <si>
    <t>구분</t>
    <phoneticPr fontId="1" type="noConversion"/>
  </si>
  <si>
    <t>충전량(kw)</t>
    <phoneticPr fontId="1" type="noConversion"/>
  </si>
  <si>
    <t>할인 前</t>
    <phoneticPr fontId="1" type="noConversion"/>
  </si>
  <si>
    <t>충전할인(경)</t>
    <phoneticPr fontId="1" type="noConversion"/>
  </si>
  <si>
    <t>할인 後</t>
    <phoneticPr fontId="1" type="noConversion"/>
  </si>
  <si>
    <t>충전(경)</t>
    <phoneticPr fontId="1" type="noConversion"/>
  </si>
  <si>
    <t>충전(중간)</t>
    <phoneticPr fontId="1" type="noConversion"/>
  </si>
  <si>
    <t>충전(최대)</t>
    <phoneticPr fontId="1" type="noConversion"/>
  </si>
  <si>
    <t>경부하(금액)</t>
    <phoneticPr fontId="1" type="noConversion"/>
  </si>
  <si>
    <t>중간부하(금액)</t>
    <phoneticPr fontId="1" type="noConversion"/>
  </si>
  <si>
    <t>최대부하(금액)</t>
    <phoneticPr fontId="1" type="noConversion"/>
  </si>
  <si>
    <t>Total</t>
    <phoneticPr fontId="1" type="noConversion"/>
  </si>
  <si>
    <t>충전전력비</t>
    <phoneticPr fontId="1" type="noConversion"/>
  </si>
  <si>
    <t>부가세</t>
    <phoneticPr fontId="1" type="noConversion"/>
  </si>
  <si>
    <t>전력기금</t>
    <phoneticPr fontId="1" type="noConversion"/>
  </si>
  <si>
    <t>총 충전요금</t>
    <phoneticPr fontId="1" type="noConversion"/>
  </si>
  <si>
    <t>18.7월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</si>
  <si>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</si>
  <si>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</si>
  <si>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</si>
  <si>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</si>
  <si>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</si>
  <si>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</si>
  <si>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</si>
  <si>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</si>
  <si>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</si>
  <si>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부가가치세</t>
    <phoneticPr fontId="1" type="noConversion"/>
  </si>
  <si>
    <t>TV수신료</t>
    <phoneticPr fontId="1" type="noConversion"/>
  </si>
  <si>
    <t>요금소계</t>
    <phoneticPr fontId="1" type="noConversion"/>
  </si>
  <si>
    <t>총계</t>
    <phoneticPr fontId="1" type="noConversion"/>
  </si>
  <si>
    <t>총계
(부가제외)</t>
    <phoneticPr fontId="1" type="noConversion"/>
  </si>
  <si>
    <t>ESS_
충전요금</t>
    <phoneticPr fontId="1" type="noConversion"/>
  </si>
  <si>
    <t>ESS_
감액요금</t>
    <phoneticPr fontId="1" type="noConversion"/>
  </si>
  <si>
    <t>ESS_
전기요금</t>
    <phoneticPr fontId="1" type="noConversion"/>
  </si>
  <si>
    <t>ESS_
부가세</t>
    <phoneticPr fontId="1" type="noConversion"/>
  </si>
  <si>
    <t>ESS_
전력기금</t>
    <phoneticPr fontId="1" type="noConversion"/>
  </si>
  <si>
    <t>ESS_
요금계</t>
    <phoneticPr fontId="1" type="noConversion"/>
  </si>
  <si>
    <t>ESS_요금계
(부가제외)</t>
    <phoneticPr fontId="1" type="noConversion"/>
  </si>
  <si>
    <t>총요금</t>
    <phoneticPr fontId="1" type="noConversion"/>
  </si>
  <si>
    <t>총요금
(부가제외)</t>
    <phoneticPr fontId="1" type="noConversion"/>
  </si>
  <si>
    <t>구분</t>
    <phoneticPr fontId="1" type="noConversion"/>
  </si>
  <si>
    <t>20.1월</t>
    <phoneticPr fontId="1" type="noConversion"/>
  </si>
  <si>
    <t>CRM</t>
  </si>
  <si>
    <t>CGL</t>
  </si>
  <si>
    <t>1CCL</t>
    <phoneticPr fontId="1" type="noConversion"/>
  </si>
  <si>
    <t>2CCL</t>
  </si>
  <si>
    <t>2CCL</t>
    <phoneticPr fontId="1" type="noConversion"/>
  </si>
  <si>
    <t>SSCL</t>
  </si>
  <si>
    <t>SSCL</t>
    <phoneticPr fontId="1" type="noConversion"/>
  </si>
  <si>
    <t>20.소계</t>
    <phoneticPr fontId="1" type="noConversion"/>
  </si>
  <si>
    <t>라인별 전력 금액 비율</t>
    <phoneticPr fontId="1" type="noConversion"/>
  </si>
  <si>
    <t>총ESS요금
(부가제외)</t>
    <phoneticPr fontId="1" type="noConversion"/>
  </si>
  <si>
    <t>2020년 1월 유틸리티 사용량 및 금액</t>
    <phoneticPr fontId="1" type="noConversion"/>
  </si>
  <si>
    <t>담당</t>
    <phoneticPr fontId="1" type="noConversion"/>
  </si>
  <si>
    <t>P/L</t>
    <phoneticPr fontId="1" type="noConversion"/>
  </si>
  <si>
    <t>T/M</t>
    <phoneticPr fontId="1" type="noConversion"/>
  </si>
  <si>
    <t>구분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</si>
  <si>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</si>
  <si>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</si>
  <si>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</si>
  <si>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기타(사무동)</t>
    <phoneticPr fontId="1" type="noConversion"/>
  </si>
  <si>
    <t>비고</t>
    <phoneticPr fontId="1" type="noConversion"/>
  </si>
  <si>
    <t>년도</t>
    <phoneticPr fontId="1" type="noConversion"/>
  </si>
  <si>
    <t>월</t>
    <phoneticPr fontId="1" type="noConversion"/>
  </si>
  <si>
    <t>2019년</t>
    <phoneticPr fontId="1" type="noConversion"/>
  </si>
  <si>
    <t>2020년</t>
    <phoneticPr fontId="1" type="noConversion"/>
  </si>
  <si>
    <t>CPL</t>
    <phoneticPr fontId="1" type="noConversion"/>
  </si>
  <si>
    <t>1월</t>
    <phoneticPr fontId="1" type="noConversion"/>
  </si>
  <si>
    <t>2020년</t>
    <phoneticPr fontId="1" type="noConversion"/>
  </si>
  <si>
    <t>20.소계</t>
    <phoneticPr fontId="1" type="noConversion"/>
  </si>
  <si>
    <t>본전력량</t>
    <phoneticPr fontId="1" type="noConversion"/>
  </si>
  <si>
    <t>ESS전력량</t>
    <phoneticPr fontId="1" type="noConversion"/>
  </si>
  <si>
    <t>2020년</t>
    <phoneticPr fontId="1" type="noConversion"/>
  </si>
  <si>
    <t>ESS
전력금액</t>
    <phoneticPr fontId="1" type="noConversion"/>
  </si>
  <si>
    <t>본
전력금액</t>
    <phoneticPr fontId="1" type="noConversion"/>
  </si>
  <si>
    <t>2018년</t>
    <phoneticPr fontId="1" type="noConversion"/>
  </si>
  <si>
    <t>7월</t>
    <phoneticPr fontId="1" type="noConversion"/>
  </si>
  <si>
    <t>2021년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</si>
  <si>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</si>
  <si>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</si>
  <si>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</si>
  <si>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</si>
  <si>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</si>
  <si>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</si>
  <si>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</si>
  <si>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</si>
  <si>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</si>
  <si>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</si>
  <si>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</si>
  <si>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</si>
  <si>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기대수익</t>
    <phoneticPr fontId="1" type="noConversion"/>
  </si>
  <si>
    <t>년도</t>
    <phoneticPr fontId="1" type="noConversion"/>
  </si>
  <si>
    <t>월</t>
    <phoneticPr fontId="1" type="noConversion"/>
  </si>
  <si>
    <t>전력</t>
    <phoneticPr fontId="1" type="noConversion"/>
  </si>
  <si>
    <t>3월</t>
    <phoneticPr fontId="1" type="noConversion"/>
  </si>
  <si>
    <t>LNG</t>
    <phoneticPr fontId="1" type="noConversion"/>
  </si>
  <si>
    <t>월</t>
    <phoneticPr fontId="1" type="noConversion"/>
  </si>
  <si>
    <t>CPL</t>
    <phoneticPr fontId="1" type="noConversion"/>
  </si>
  <si>
    <t>CGL</t>
    <phoneticPr fontId="1" type="noConversion"/>
  </si>
  <si>
    <t>1CCL</t>
    <phoneticPr fontId="1" type="noConversion"/>
  </si>
  <si>
    <t>ARP</t>
  </si>
  <si>
    <t>ARP</t>
    <phoneticPr fontId="1" type="noConversion"/>
  </si>
  <si>
    <t>2CCL</t>
    <phoneticPr fontId="1" type="noConversion"/>
  </si>
  <si>
    <t>사무동</t>
    <phoneticPr fontId="1" type="noConversion"/>
  </si>
  <si>
    <t>2019년</t>
    <phoneticPr fontId="1" type="noConversion"/>
  </si>
  <si>
    <t>1월</t>
    <phoneticPr fontId="1" type="noConversion"/>
  </si>
  <si>
    <t>CPL스팀</t>
    <phoneticPr fontId="1" type="noConversion"/>
  </si>
  <si>
    <t>2CCL스팀</t>
    <phoneticPr fontId="1" type="noConversion"/>
  </si>
  <si>
    <t>2월</t>
    <phoneticPr fontId="1" type="noConversion"/>
  </si>
  <si>
    <t>스팀누적량</t>
    <phoneticPr fontId="1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</si>
  <si>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</si>
  <si>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</si>
  <si>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</si>
  <si>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</si>
  <si>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</si>
  <si>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</si>
  <si>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</si>
  <si>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</si>
  <si>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</si>
  <si>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</si>
  <si>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</si>
  <si>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SECTION</t>
    <phoneticPr fontId="1" type="noConversion"/>
  </si>
  <si>
    <t>백만이하</t>
    <phoneticPr fontId="1" type="noConversion"/>
  </si>
  <si>
    <t>백만이상</t>
    <phoneticPr fontId="1" type="noConversion"/>
  </si>
  <si>
    <t>단가</t>
    <phoneticPr fontId="1" type="noConversion"/>
  </si>
  <si>
    <r>
      <t>MJ/Nm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1" type="noConversion"/>
  </si>
  <si>
    <t>금액확인</t>
    <phoneticPr fontId="1" type="noConversion"/>
  </si>
  <si>
    <t>비고</t>
    <phoneticPr fontId="1" type="noConversion"/>
  </si>
  <si>
    <t>백만이하</t>
    <phoneticPr fontId="1" type="noConversion"/>
  </si>
  <si>
    <t>차이</t>
    <phoneticPr fontId="1" type="noConversion"/>
  </si>
  <si>
    <t>지우지말것</t>
    <phoneticPr fontId="1" type="noConversion"/>
  </si>
  <si>
    <t>스팀</t>
    <phoneticPr fontId="1" type="noConversion"/>
  </si>
  <si>
    <t>스팀CPL</t>
    <phoneticPr fontId="1" type="noConversion"/>
  </si>
  <si>
    <t>스팀2CCL</t>
    <phoneticPr fontId="1" type="noConversion"/>
  </si>
  <si>
    <t>2월</t>
    <phoneticPr fontId="1" type="noConversion"/>
  </si>
  <si>
    <t>1월</t>
    <phoneticPr fontId="1" type="noConversion"/>
  </si>
  <si>
    <t>참고용
-보일러LNG배분자료</t>
    <phoneticPr fontId="1" type="noConversion"/>
  </si>
  <si>
    <t>시수</t>
    <phoneticPr fontId="1" type="noConversion"/>
  </si>
  <si>
    <t>공업용수</t>
    <phoneticPr fontId="1" type="noConversion"/>
  </si>
  <si>
    <r>
      <t>공업용수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</si>
  <si>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생산량
(톤)</t>
    <phoneticPr fontId="1" type="noConversion"/>
  </si>
  <si>
    <t>총사용량
(kwh)</t>
    <phoneticPr fontId="1" type="noConversion"/>
  </si>
  <si>
    <t>본 전력사용량
(kWh)</t>
    <phoneticPr fontId="1" type="noConversion"/>
  </si>
  <si>
    <t>ESS 충전사용량
(kWh)</t>
    <phoneticPr fontId="1" type="noConversion"/>
  </si>
  <si>
    <t>전표(1) 전력비-한전
(원)</t>
    <phoneticPr fontId="1" type="noConversion"/>
  </si>
  <si>
    <t>전표(2) 전력비-ESS
(원)</t>
    <phoneticPr fontId="1" type="noConversion"/>
  </si>
  <si>
    <t>총 전력비(전표)
(원)</t>
    <phoneticPr fontId="1" type="noConversion"/>
  </si>
  <si>
    <t>추정 전력비
(생산참고)</t>
    <phoneticPr fontId="1" type="noConversion"/>
  </si>
  <si>
    <t>금액원단위
(원/ton)</t>
    <phoneticPr fontId="1" type="noConversion"/>
  </si>
  <si>
    <t>전력원단위
(kwh/ton)</t>
    <phoneticPr fontId="1" type="noConversion"/>
  </si>
  <si>
    <r>
      <t>사용량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</si>
  <si>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LNG금액
(원)</t>
    <phoneticPr fontId="1" type="noConversion"/>
  </si>
  <si>
    <t>금액원단위
(원/톤)</t>
    <phoneticPr fontId="1" type="noConversion"/>
  </si>
  <si>
    <r>
      <t>LNG원단위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</si>
  <si>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사용량
(톤)</t>
    <phoneticPr fontId="1" type="noConversion"/>
  </si>
  <si>
    <t>시수금액
(원)</t>
    <phoneticPr fontId="1" type="noConversion"/>
  </si>
  <si>
    <r>
      <t>시수원단위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</si>
  <si>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공업용수금액
(원)</t>
    <phoneticPr fontId="1" type="noConversion"/>
  </si>
  <si>
    <t>년</t>
    <phoneticPr fontId="1" type="noConversion"/>
  </si>
  <si>
    <t>월</t>
    <phoneticPr fontId="1" type="noConversion"/>
  </si>
  <si>
    <t>CPL</t>
    <phoneticPr fontId="1" type="noConversion"/>
  </si>
  <si>
    <t>ARP</t>
    <phoneticPr fontId="1" type="noConversion"/>
  </si>
  <si>
    <t>CRM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</si>
  <si>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</si>
  <si>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</si>
  <si>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</si>
  <si>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소계</t>
    <phoneticPr fontId="1" type="noConversion"/>
  </si>
  <si>
    <t>상수도</t>
    <phoneticPr fontId="20" type="noConversion"/>
  </si>
  <si>
    <t>빨간곳은 바꺼줘야됨</t>
    <phoneticPr fontId="20" type="noConversion"/>
  </si>
  <si>
    <t>상수도(M3)</t>
    <phoneticPr fontId="20" type="noConversion"/>
  </si>
  <si>
    <t>단가</t>
    <phoneticPr fontId="20" type="noConversion"/>
  </si>
  <si>
    <t>(0~50m3)</t>
    <phoneticPr fontId="20" type="noConversion"/>
  </si>
  <si>
    <t>(50~100m3)</t>
    <phoneticPr fontId="20" type="noConversion"/>
  </si>
  <si>
    <t>(100~300m3)</t>
    <phoneticPr fontId="20" type="noConversion"/>
  </si>
  <si>
    <t>(300~1000m3)</t>
    <phoneticPr fontId="20" type="noConversion"/>
  </si>
  <si>
    <t>(1000m3~ )</t>
    <phoneticPr fontId="20" type="noConversion"/>
  </si>
  <si>
    <t>합계</t>
    <phoneticPr fontId="20" type="noConversion"/>
  </si>
  <si>
    <t>하수도</t>
    <phoneticPr fontId="20" type="noConversion"/>
  </si>
  <si>
    <t>단가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</si>
  <si>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</si>
  <si>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</si>
  <si>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</si>
  <si>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기본요금</t>
    <phoneticPr fontId="20" type="noConversion"/>
  </si>
  <si>
    <t>요금</t>
    <phoneticPr fontId="20" type="noConversion"/>
  </si>
  <si>
    <t>80구경</t>
    <phoneticPr fontId="20" type="noConversion"/>
  </si>
  <si>
    <t>32구경</t>
    <phoneticPr fontId="20" type="noConversion"/>
  </si>
  <si>
    <t>총금액</t>
    <phoneticPr fontId="20" type="noConversion"/>
  </si>
  <si>
    <t>공업용수</t>
    <phoneticPr fontId="20" type="noConversion"/>
  </si>
  <si>
    <t>빨간곳은 바꺼줘야됨</t>
    <phoneticPr fontId="20" type="noConversion"/>
  </si>
  <si>
    <t>공업용수(M3)</t>
    <phoneticPr fontId="20" type="noConversion"/>
  </si>
  <si>
    <t>단가</t>
    <phoneticPr fontId="20" type="noConversion"/>
  </si>
  <si>
    <t>합계</t>
    <phoneticPr fontId="20" type="noConversion"/>
  </si>
  <si>
    <t>50구경 기본요금</t>
    <phoneticPr fontId="20" type="noConversion"/>
  </si>
  <si>
    <t>80구경 기본요금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</si>
  <si>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</si>
  <si>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</si>
  <si>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</si>
  <si>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*.총금액=50구경 기본요금(14,210원)+물이용부담금+공업용수+80구경 기본요금(15390원)</t>
    <phoneticPr fontId="20" type="noConversion"/>
  </si>
  <si>
    <t>하수도료</t>
    <phoneticPr fontId="20" type="noConversion"/>
  </si>
  <si>
    <t>하수도(M3)</t>
    <phoneticPr fontId="20" type="noConversion"/>
  </si>
  <si>
    <t>구분</t>
    <phoneticPr fontId="20" type="noConversion"/>
  </si>
  <si>
    <t>상수도</t>
    <phoneticPr fontId="20" type="noConversion"/>
  </si>
  <si>
    <t>공업용수</t>
    <phoneticPr fontId="20" type="noConversion"/>
  </si>
  <si>
    <t>총계</t>
    <phoneticPr fontId="20" type="noConversion"/>
  </si>
  <si>
    <t>월 수도료 총액</t>
    <phoneticPr fontId="20" type="noConversion"/>
  </si>
  <si>
    <t>1CCL</t>
    <phoneticPr fontId="1" type="noConversion"/>
  </si>
  <si>
    <t>2CCL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</si>
  <si>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</si>
  <si>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</si>
  <si>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</si>
  <si>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하수금액
(원)</t>
    <phoneticPr fontId="1" type="noConversion"/>
  </si>
  <si>
    <r>
      <t>하수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</si>
  <si>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구분</t>
    <phoneticPr fontId="1" type="noConversion"/>
  </si>
  <si>
    <t>R/O</t>
    <phoneticPr fontId="1" type="noConversion"/>
  </si>
  <si>
    <t>2020년</t>
    <phoneticPr fontId="1" type="noConversion"/>
  </si>
  <si>
    <t>기입량</t>
    <phoneticPr fontId="1" type="noConversion"/>
  </si>
  <si>
    <t>비율</t>
    <phoneticPr fontId="1" type="noConversion"/>
  </si>
  <si>
    <t>2020년 3월 유틸리티 사용량 및 금액</t>
    <phoneticPr fontId="1" type="noConversion"/>
  </si>
  <si>
    <t>2020년 2월 유틸리티 사용량 및 금액</t>
    <phoneticPr fontId="1" type="noConversion"/>
  </si>
  <si>
    <t>3월</t>
    <phoneticPr fontId="1" type="noConversion"/>
  </si>
  <si>
    <t>2020년 4월 유틸리티 사용량 및 금액</t>
    <phoneticPr fontId="1" type="noConversion"/>
  </si>
  <si>
    <t>4월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</si>
  <si>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</si>
  <si>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</si>
  <si>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</si>
  <si>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</si>
  <si>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1Q</t>
    <phoneticPr fontId="1" type="noConversion"/>
  </si>
  <si>
    <t>2Q</t>
  </si>
  <si>
    <t>2Q</t>
    <phoneticPr fontId="1" type="noConversion"/>
  </si>
  <si>
    <t>3Q</t>
  </si>
  <si>
    <t>3Q</t>
    <phoneticPr fontId="1" type="noConversion"/>
  </si>
  <si>
    <t>4Q</t>
  </si>
  <si>
    <t>4Q</t>
    <phoneticPr fontId="1" type="noConversion"/>
  </si>
  <si>
    <t>2018.1Q</t>
    <phoneticPr fontId="1" type="noConversion"/>
  </si>
  <si>
    <t>1Q</t>
    <phoneticPr fontId="1" type="noConversion"/>
  </si>
  <si>
    <t>2018.2Q</t>
    <phoneticPr fontId="1" type="noConversion"/>
  </si>
  <si>
    <t>2018.3Q</t>
    <phoneticPr fontId="1" type="noConversion"/>
  </si>
  <si>
    <t>2018.4Q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</si>
  <si>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</si>
  <si>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</si>
  <si>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</si>
  <si>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</si>
  <si>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</si>
  <si>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</si>
  <si>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</si>
  <si>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</si>
  <si>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</si>
  <si>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</si>
  <si>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</si>
  <si>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</si>
  <si>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</si>
  <si>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</si>
  <si>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</si>
  <si>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</si>
  <si>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</si>
  <si>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</si>
  <si>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</si>
  <si>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</si>
  <si>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분기</t>
    <phoneticPr fontId="1" type="noConversion"/>
  </si>
  <si>
    <t>누적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</si>
  <si>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</si>
  <si>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</si>
  <si>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</si>
  <si>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</si>
  <si>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</si>
  <si>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</si>
  <si>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</si>
  <si>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</si>
  <si>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</si>
  <si>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</si>
  <si>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</si>
  <si>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</si>
  <si>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</si>
  <si>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1Q</t>
    <phoneticPr fontId="1" type="noConversion"/>
  </si>
  <si>
    <t>2020년 1분기 유틸리티 사용량 및 금액</t>
    <phoneticPr fontId="1" type="noConversion"/>
  </si>
  <si>
    <t>1Q</t>
    <phoneticPr fontId="1" type="noConversion"/>
  </si>
  <si>
    <t>2020.1Q</t>
    <phoneticPr fontId="1" type="noConversion"/>
  </si>
  <si>
    <t>2020.4Q</t>
    <phoneticPr fontId="1" type="noConversion"/>
  </si>
  <si>
    <t>2019.3Q</t>
    <phoneticPr fontId="1" type="noConversion"/>
  </si>
  <si>
    <t>2019.2Q</t>
    <phoneticPr fontId="1" type="noConversion"/>
  </si>
  <si>
    <t>2019.1Q</t>
    <phoneticPr fontId="1" type="noConversion"/>
  </si>
  <si>
    <t>2018.4Q</t>
    <phoneticPr fontId="1" type="noConversion"/>
  </si>
  <si>
    <t>2018.3Q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</si>
  <si>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</si>
  <si>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</si>
  <si>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</si>
  <si>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3Q</t>
    <phoneticPr fontId="1" type="noConversion"/>
  </si>
  <si>
    <t>4Q</t>
    <phoneticPr fontId="1" type="noConversion"/>
  </si>
  <si>
    <t>1Q</t>
    <phoneticPr fontId="1" type="noConversion"/>
  </si>
  <si>
    <t>2Q</t>
    <phoneticPr fontId="1" type="noConversion"/>
  </si>
  <si>
    <t>2020.1Q</t>
    <phoneticPr fontId="1" type="noConversion"/>
  </si>
  <si>
    <t>2020년 누적 유틸리티 사용량 및 금액</t>
    <phoneticPr fontId="1" type="noConversion"/>
  </si>
  <si>
    <t>* 보정사유 - 전력사용량 측정 장비 소손으로  전년도 평균 값 및 생산량 비율로 수정 실시 = #1CCL, CPL</t>
    <phoneticPr fontId="1" type="noConversion"/>
  </si>
  <si>
    <t>* 3월 중순 정상화 완료</t>
    <phoneticPr fontId="1" type="noConversion"/>
  </si>
  <si>
    <t>4월</t>
    <phoneticPr fontId="1" type="noConversion"/>
  </si>
  <si>
    <t>20.4월</t>
    <phoneticPr fontId="1" type="noConversion"/>
  </si>
  <si>
    <t>매월 라인별
R/O사용량 기준
비율로 
배분함.</t>
    <phoneticPr fontId="1" type="noConversion"/>
  </si>
  <si>
    <t>4월</t>
    <phoneticPr fontId="1" type="noConversion"/>
  </si>
  <si>
    <r>
      <t>사용량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</si>
  <si>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LNG원단위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</si>
  <si>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시수원단위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</si>
  <si>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공업용수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</si>
  <si>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하수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</si>
  <si>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t>CPL</t>
    <phoneticPr fontId="1" type="noConversion"/>
  </si>
  <si>
    <t>2020년 5월 유틸리티 사용량 및 금액</t>
    <phoneticPr fontId="1" type="noConversion"/>
  </si>
  <si>
    <t>5월</t>
    <phoneticPr fontId="1" type="noConversion"/>
  </si>
  <si>
    <t>20.7.1변경(14.3708→12.1440)</t>
    <phoneticPr fontId="1" type="noConversion"/>
  </si>
  <si>
    <t>20.7.1변경(14.2435→12.0167)</t>
    <phoneticPr fontId="1" type="noConversion"/>
  </si>
  <si>
    <t>20.7.1변경(14.4435→12.2072)</t>
    <phoneticPr fontId="1" type="noConversion"/>
  </si>
  <si>
    <t>20.7.1변경(14.3162→12.0799)</t>
    <phoneticPr fontId="1" type="noConversion"/>
  </si>
  <si>
    <t>20.7.1변경(15.0097→12.9454)</t>
    <phoneticPr fontId="1" type="noConversion"/>
  </si>
  <si>
    <t>20.7.1변경(14.8824→12.8181)</t>
    <phoneticPr fontId="1" type="noConversion"/>
  </si>
  <si>
    <t>6월</t>
    <phoneticPr fontId="1" type="noConversion"/>
  </si>
  <si>
    <t>2020년 6월 유틸리티 사용량 및 금액</t>
    <phoneticPr fontId="1" type="noConversion"/>
  </si>
  <si>
    <t>6월</t>
    <phoneticPr fontId="1" type="noConversion"/>
  </si>
  <si>
    <t>2020년 2분기 유틸리티 사용량 및 금액</t>
    <phoneticPr fontId="1" type="noConversion"/>
  </si>
  <si>
    <t>2Q</t>
    <phoneticPr fontId="1" type="noConversion"/>
  </si>
  <si>
    <t>2020.2Q</t>
    <phoneticPr fontId="1" type="noConversion"/>
  </si>
  <si>
    <t>7월</t>
    <phoneticPr fontId="1" type="noConversion"/>
  </si>
  <si>
    <t>2020년 7월 유틸리티 사용량 및 금액</t>
    <phoneticPr fontId="1" type="noConversion"/>
  </si>
  <si>
    <t>20.8.1변경(12.1440→12.4525)</t>
    <phoneticPr fontId="1" type="noConversion"/>
  </si>
  <si>
    <t>20.8.1변경(12.0167→12.3252)</t>
    <phoneticPr fontId="1" type="noConversion"/>
  </si>
  <si>
    <t>20.8.1변경(12.2072→12.5157)</t>
    <phoneticPr fontId="1" type="noConversion"/>
  </si>
  <si>
    <t>20.8.1변경(12.0799→12.3884)</t>
    <phoneticPr fontId="1" type="noConversion"/>
  </si>
  <si>
    <t>20.8.1변경(12.9454→13.2539)</t>
    <phoneticPr fontId="1" type="noConversion"/>
  </si>
  <si>
    <t>20.8.1변경(12.8181→13.1266)</t>
    <phoneticPr fontId="1" type="noConversion"/>
  </si>
  <si>
    <t>8월</t>
    <phoneticPr fontId="1" type="noConversion"/>
  </si>
  <si>
    <t>8월</t>
    <phoneticPr fontId="1" type="noConversion"/>
  </si>
  <si>
    <t>2020년 8월 유틸리티 사용량 및 금액</t>
    <phoneticPr fontId="1" type="noConversion"/>
  </si>
  <si>
    <t>20.9.1변경(12.4525→11.3223)</t>
    <phoneticPr fontId="1" type="noConversion"/>
  </si>
  <si>
    <t>20.9.1변경(12.3252→11.1863)</t>
    <phoneticPr fontId="1" type="noConversion"/>
  </si>
  <si>
    <t>20.9.1변경(12.5157→11.3855)</t>
    <phoneticPr fontId="1" type="noConversion"/>
  </si>
  <si>
    <t>20.9.1변경(12.3884→11.2495)</t>
    <phoneticPr fontId="1" type="noConversion"/>
  </si>
  <si>
    <t>20.9.1변경(13.2539→12.1237)</t>
    <phoneticPr fontId="1" type="noConversion"/>
  </si>
  <si>
    <t>20.9.1변경(13.1266→11.9877)</t>
    <phoneticPr fontId="1" type="noConversion"/>
  </si>
  <si>
    <t>2020년 3분기 유틸리티 사용량 및 금액</t>
    <phoneticPr fontId="1" type="noConversion"/>
  </si>
  <si>
    <t>3Q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</si>
</sst>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_-* #,##0.00_-;\-* #,##0.00_-;_-* &quot;-&quot;_-;_-@_-"/>
    <numFmt numFmtId="179" formatCode="0.0%"/>
    <numFmt numFmtId="180" formatCode="#,##0_);[Red]\(#,##0\)"/>
    <numFmt numFmtId="181" formatCode="#,##0.00_);[Red]\(#,##0.00\)"/>
    <numFmt numFmtId="182" formatCode="#,##0.000_);[Red]\(#,##0.000\)"/>
    <numFmt numFmtId="183" formatCode="_-* #,##0.0000_-;\-* #,##0.0000_-;_-* &quot;-&quot;_-;_-@_-"/>
    <numFmt numFmtId="184" formatCode="#,##0.00_ "/>
    <numFmt numFmtId="185" formatCode="0.000"/>
    <numFmt numFmtId="186" formatCode="_-* #,##0_-;\-* #,##0_-;_-* &quot;-&quot;??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vertAlign val="superscript"/>
      <sz val="9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2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176" fontId="5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0" fontId="2" fillId="0" borderId="0" xfId="0" quotePrefix="1" applyFont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0" fontId="0" fillId="7" borderId="0" xfId="0" applyFill="1">
      <alignment vertical="center"/>
    </xf>
    <xf numFmtId="41" fontId="0" fillId="0" borderId="10" xfId="0" applyNumberFormat="1" applyBorder="1">
      <alignment vertical="center"/>
    </xf>
    <xf numFmtId="41" fontId="0" fillId="0" borderId="0" xfId="0" applyNumberFormat="1">
      <alignment vertical="center"/>
    </xf>
    <xf numFmtId="41" fontId="0" fillId="7" borderId="0" xfId="0" applyNumberFormat="1" applyFill="1">
      <alignment vertical="center"/>
    </xf>
    <xf numFmtId="41" fontId="0" fillId="0" borderId="0" xfId="0" applyNumberFormat="1" applyAlignment="1">
      <alignment horizontal="center" vertical="center"/>
    </xf>
    <xf numFmtId="41" fontId="2" fillId="0" borderId="0" xfId="1" applyFont="1">
      <alignment vertical="center"/>
    </xf>
    <xf numFmtId="41" fontId="3" fillId="0" borderId="0" xfId="1" applyFont="1">
      <alignment vertical="center"/>
    </xf>
    <xf numFmtId="179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1" fontId="0" fillId="0" borderId="0" xfId="2" applyNumberFormat="1" applyFont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2" fillId="3" borderId="10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2" fillId="7" borderId="10" xfId="0" applyFont="1" applyFill="1" applyBorder="1">
      <alignment vertical="center"/>
    </xf>
    <xf numFmtId="180" fontId="12" fillId="0" borderId="10" xfId="0" applyNumberFormat="1" applyFont="1" applyBorder="1">
      <alignment vertical="center"/>
    </xf>
    <xf numFmtId="180" fontId="12" fillId="3" borderId="10" xfId="0" applyNumberFormat="1" applyFont="1" applyFill="1" applyBorder="1">
      <alignment vertical="center"/>
    </xf>
    <xf numFmtId="180" fontId="12" fillId="7" borderId="10" xfId="0" applyNumberFormat="1" applyFont="1" applyFill="1" applyBorder="1">
      <alignment vertical="center"/>
    </xf>
    <xf numFmtId="180" fontId="12" fillId="6" borderId="10" xfId="0" applyNumberFormat="1" applyFont="1" applyFill="1" applyBorder="1">
      <alignment vertical="center"/>
    </xf>
    <xf numFmtId="181" fontId="12" fillId="0" borderId="10" xfId="0" applyNumberFormat="1" applyFont="1" applyBorder="1">
      <alignment vertical="center"/>
    </xf>
    <xf numFmtId="182" fontId="12" fillId="0" borderId="10" xfId="0" applyNumberFormat="1" applyFont="1" applyBorder="1">
      <alignment vertical="center"/>
    </xf>
    <xf numFmtId="181" fontId="12" fillId="0" borderId="10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41" fontId="12" fillId="0" borderId="10" xfId="1" applyFont="1" applyBorder="1">
      <alignment vertical="center"/>
    </xf>
    <xf numFmtId="43" fontId="12" fillId="0" borderId="10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6" borderId="20" xfId="0" applyFont="1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21" fillId="0" borderId="18" xfId="3" applyFont="1" applyBorder="1">
      <alignment vertical="center"/>
    </xf>
    <xf numFmtId="184" fontId="21" fillId="0" borderId="19" xfId="3" applyNumberFormat="1" applyFont="1" applyBorder="1">
      <alignment vertical="center"/>
    </xf>
    <xf numFmtId="0" fontId="21" fillId="0" borderId="0" xfId="3" applyFont="1" applyBorder="1">
      <alignment vertical="center"/>
    </xf>
    <xf numFmtId="0" fontId="21" fillId="0" borderId="24" xfId="3" applyFont="1" applyBorder="1">
      <alignment vertical="center"/>
    </xf>
    <xf numFmtId="0" fontId="21" fillId="0" borderId="0" xfId="3" applyFont="1" applyFill="1" applyBorder="1">
      <alignment vertical="center"/>
    </xf>
    <xf numFmtId="0" fontId="21" fillId="0" borderId="24" xfId="3" applyFont="1" applyFill="1" applyBorder="1">
      <alignment vertical="center"/>
    </xf>
    <xf numFmtId="0" fontId="21" fillId="6" borderId="25" xfId="3" applyFont="1" applyFill="1" applyBorder="1">
      <alignment vertical="center"/>
    </xf>
    <xf numFmtId="0" fontId="21" fillId="9" borderId="26" xfId="3" applyFont="1" applyFill="1" applyBorder="1">
      <alignment vertical="center"/>
    </xf>
    <xf numFmtId="41" fontId="21" fillId="10" borderId="27" xfId="1" applyFont="1" applyFill="1" applyBorder="1">
      <alignment vertical="center"/>
    </xf>
    <xf numFmtId="0" fontId="21" fillId="0" borderId="23" xfId="3" applyFont="1" applyFill="1" applyBorder="1">
      <alignment vertical="center"/>
    </xf>
    <xf numFmtId="41" fontId="21" fillId="6" borderId="28" xfId="1" applyFont="1" applyFill="1" applyBorder="1" applyAlignment="1">
      <alignment horizontal="center" vertical="center"/>
    </xf>
    <xf numFmtId="41" fontId="21" fillId="6" borderId="29" xfId="1" applyFont="1" applyFill="1" applyBorder="1">
      <alignment vertical="center"/>
    </xf>
    <xf numFmtId="41" fontId="21" fillId="6" borderId="30" xfId="1" applyFont="1" applyFill="1" applyBorder="1">
      <alignment vertical="center"/>
    </xf>
    <xf numFmtId="41" fontId="21" fillId="0" borderId="24" xfId="1" applyFont="1" applyBorder="1">
      <alignment vertical="center"/>
    </xf>
    <xf numFmtId="0" fontId="21" fillId="0" borderId="23" xfId="3" applyFont="1" applyBorder="1">
      <alignment vertical="center"/>
    </xf>
    <xf numFmtId="41" fontId="21" fillId="6" borderId="31" xfId="1" applyFont="1" applyFill="1" applyBorder="1" applyAlignment="1">
      <alignment horizontal="center" vertical="center"/>
    </xf>
    <xf numFmtId="41" fontId="21" fillId="6" borderId="10" xfId="1" applyFont="1" applyFill="1" applyBorder="1">
      <alignment vertical="center"/>
    </xf>
    <xf numFmtId="41" fontId="21" fillId="6" borderId="32" xfId="1" applyFont="1" applyFill="1" applyBorder="1" applyAlignment="1">
      <alignment horizontal="center" vertical="center"/>
    </xf>
    <xf numFmtId="41" fontId="21" fillId="0" borderId="23" xfId="3" applyNumberFormat="1" applyFont="1" applyBorder="1">
      <alignment vertical="center"/>
    </xf>
    <xf numFmtId="41" fontId="21" fillId="9" borderId="33" xfId="1" applyFont="1" applyFill="1" applyBorder="1" applyAlignment="1">
      <alignment horizontal="center" vertical="center"/>
    </xf>
    <xf numFmtId="41" fontId="21" fillId="6" borderId="34" xfId="1" applyFont="1" applyFill="1" applyBorder="1">
      <alignment vertical="center"/>
    </xf>
    <xf numFmtId="41" fontId="21" fillId="0" borderId="0" xfId="3" applyNumberFormat="1" applyFont="1" applyBorder="1">
      <alignment vertical="center"/>
    </xf>
    <xf numFmtId="41" fontId="21" fillId="0" borderId="24" xfId="3" applyNumberFormat="1" applyFont="1" applyBorder="1">
      <alignment vertical="center"/>
    </xf>
    <xf numFmtId="0" fontId="21" fillId="6" borderId="35" xfId="3" applyFont="1" applyFill="1" applyBorder="1" applyAlignment="1">
      <alignment horizontal="center" vertical="center"/>
    </xf>
    <xf numFmtId="41" fontId="21" fillId="6" borderId="36" xfId="1" applyFont="1" applyFill="1" applyBorder="1">
      <alignment vertical="center"/>
    </xf>
    <xf numFmtId="41" fontId="21" fillId="11" borderId="37" xfId="1" applyFont="1" applyFill="1" applyBorder="1">
      <alignment vertical="center"/>
    </xf>
    <xf numFmtId="0" fontId="21" fillId="6" borderId="0" xfId="3" applyFont="1" applyFill="1" applyBorder="1">
      <alignment vertical="center"/>
    </xf>
    <xf numFmtId="41" fontId="21" fillId="9" borderId="27" xfId="1" applyFont="1" applyFill="1" applyBorder="1">
      <alignment vertical="center"/>
    </xf>
    <xf numFmtId="0" fontId="21" fillId="6" borderId="38" xfId="3" applyFont="1" applyFill="1" applyBorder="1">
      <alignment vertical="center"/>
    </xf>
    <xf numFmtId="0" fontId="21" fillId="9" borderId="39" xfId="3" applyFont="1" applyFill="1" applyBorder="1">
      <alignment vertical="center"/>
    </xf>
    <xf numFmtId="41" fontId="21" fillId="9" borderId="40" xfId="1" applyFont="1" applyFill="1" applyBorder="1">
      <alignment vertical="center"/>
    </xf>
    <xf numFmtId="0" fontId="21" fillId="6" borderId="29" xfId="3" applyFont="1" applyFill="1" applyBorder="1">
      <alignment vertical="center"/>
    </xf>
    <xf numFmtId="0" fontId="21" fillId="6" borderId="30" xfId="3" applyFont="1" applyFill="1" applyBorder="1">
      <alignment vertical="center"/>
    </xf>
    <xf numFmtId="9" fontId="21" fillId="0" borderId="24" xfId="2" applyFont="1" applyBorder="1">
      <alignment vertical="center"/>
    </xf>
    <xf numFmtId="0" fontId="21" fillId="6" borderId="10" xfId="3" applyFont="1" applyFill="1" applyBorder="1">
      <alignment vertical="center"/>
    </xf>
    <xf numFmtId="0" fontId="21" fillId="6" borderId="41" xfId="3" applyFont="1" applyFill="1" applyBorder="1">
      <alignment vertical="center"/>
    </xf>
    <xf numFmtId="0" fontId="21" fillId="6" borderId="34" xfId="3" applyFont="1" applyFill="1" applyBorder="1">
      <alignment vertical="center"/>
    </xf>
    <xf numFmtId="41" fontId="21" fillId="10" borderId="41" xfId="3" applyNumberFormat="1" applyFont="1" applyFill="1" applyBorder="1">
      <alignment vertical="center"/>
    </xf>
    <xf numFmtId="0" fontId="21" fillId="6" borderId="36" xfId="3" applyFont="1" applyFill="1" applyBorder="1">
      <alignment vertical="center"/>
    </xf>
    <xf numFmtId="0" fontId="21" fillId="9" borderId="42" xfId="3" applyFont="1" applyFill="1" applyBorder="1">
      <alignment vertical="center"/>
    </xf>
    <xf numFmtId="41" fontId="21" fillId="9" borderId="33" xfId="1" applyFont="1" applyFill="1" applyBorder="1">
      <alignment vertical="center"/>
    </xf>
    <xf numFmtId="0" fontId="21" fillId="6" borderId="10" xfId="3" quotePrefix="1" applyFont="1" applyFill="1" applyBorder="1">
      <alignment vertical="center"/>
    </xf>
    <xf numFmtId="0" fontId="21" fillId="6" borderId="42" xfId="3" applyFont="1" applyFill="1" applyBorder="1">
      <alignment vertical="center"/>
    </xf>
    <xf numFmtId="41" fontId="21" fillId="11" borderId="33" xfId="3" applyNumberFormat="1" applyFont="1" applyFill="1" applyBorder="1">
      <alignment vertical="center"/>
    </xf>
    <xf numFmtId="0" fontId="21" fillId="6" borderId="0" xfId="3" quotePrefix="1" applyFont="1" applyFill="1" applyBorder="1">
      <alignment vertical="center"/>
    </xf>
    <xf numFmtId="41" fontId="21" fillId="11" borderId="0" xfId="3" applyNumberFormat="1" applyFont="1" applyFill="1" applyBorder="1">
      <alignment vertical="center"/>
    </xf>
    <xf numFmtId="0" fontId="21" fillId="6" borderId="43" xfId="3" applyFont="1" applyFill="1" applyBorder="1">
      <alignment vertical="center"/>
    </xf>
    <xf numFmtId="0" fontId="21" fillId="9" borderId="44" xfId="3" applyFont="1" applyFill="1" applyBorder="1">
      <alignment vertical="center"/>
    </xf>
    <xf numFmtId="41" fontId="21" fillId="9" borderId="45" xfId="1" applyFont="1" applyFill="1" applyBorder="1">
      <alignment vertical="center"/>
    </xf>
    <xf numFmtId="0" fontId="21" fillId="6" borderId="31" xfId="3" applyFont="1" applyFill="1" applyBorder="1">
      <alignment vertical="center"/>
    </xf>
    <xf numFmtId="0" fontId="21" fillId="6" borderId="46" xfId="3" applyFont="1" applyFill="1" applyBorder="1">
      <alignment vertical="center"/>
    </xf>
    <xf numFmtId="0" fontId="21" fillId="6" borderId="37" xfId="3" applyFont="1" applyFill="1" applyBorder="1">
      <alignment vertical="center"/>
    </xf>
    <xf numFmtId="41" fontId="21" fillId="6" borderId="41" xfId="1" applyFont="1" applyFill="1" applyBorder="1">
      <alignment vertical="center"/>
    </xf>
    <xf numFmtId="0" fontId="21" fillId="6" borderId="17" xfId="3" applyFont="1" applyFill="1" applyBorder="1">
      <alignment vertical="center"/>
    </xf>
    <xf numFmtId="0" fontId="21" fillId="6" borderId="18" xfId="3" applyFont="1" applyFill="1" applyBorder="1">
      <alignment vertical="center"/>
    </xf>
    <xf numFmtId="41" fontId="21" fillId="11" borderId="19" xfId="1" applyFont="1" applyFill="1" applyBorder="1">
      <alignment vertical="center"/>
    </xf>
    <xf numFmtId="0" fontId="21" fillId="6" borderId="20" xfId="3" applyFont="1" applyFill="1" applyBorder="1">
      <alignment vertical="center"/>
    </xf>
    <xf numFmtId="0" fontId="21" fillId="6" borderId="21" xfId="3" applyFont="1" applyFill="1" applyBorder="1">
      <alignment vertical="center"/>
    </xf>
    <xf numFmtId="41" fontId="21" fillId="11" borderId="22" xfId="1" applyFont="1" applyFill="1" applyBorder="1">
      <alignment vertical="center"/>
    </xf>
    <xf numFmtId="0" fontId="22" fillId="6" borderId="0" xfId="3" applyFont="1" applyFill="1" applyBorder="1">
      <alignment vertical="center"/>
    </xf>
    <xf numFmtId="0" fontId="21" fillId="0" borderId="20" xfId="3" applyFont="1" applyBorder="1">
      <alignment vertical="center"/>
    </xf>
    <xf numFmtId="0" fontId="21" fillId="0" borderId="21" xfId="3" applyFont="1" applyBorder="1">
      <alignment vertical="center"/>
    </xf>
    <xf numFmtId="0" fontId="21" fillId="0" borderId="22" xfId="3" applyFont="1" applyBorder="1">
      <alignment vertical="center"/>
    </xf>
    <xf numFmtId="0" fontId="21" fillId="0" borderId="0" xfId="3" applyFont="1">
      <alignment vertical="center"/>
    </xf>
    <xf numFmtId="0" fontId="21" fillId="6" borderId="47" xfId="3" applyFont="1" applyFill="1" applyBorder="1">
      <alignment vertical="center"/>
    </xf>
    <xf numFmtId="0" fontId="21" fillId="9" borderId="48" xfId="3" applyFont="1" applyFill="1" applyBorder="1">
      <alignment vertical="center"/>
    </xf>
    <xf numFmtId="41" fontId="21" fillId="10" borderId="29" xfId="3" applyNumberFormat="1" applyFont="1" applyFill="1" applyBorder="1">
      <alignment vertical="center"/>
    </xf>
    <xf numFmtId="0" fontId="21" fillId="6" borderId="49" xfId="3" applyFont="1" applyFill="1" applyBorder="1">
      <alignment vertical="center"/>
    </xf>
    <xf numFmtId="41" fontId="21" fillId="9" borderId="50" xfId="3" applyNumberFormat="1" applyFont="1" applyFill="1" applyBorder="1">
      <alignment vertical="center"/>
    </xf>
    <xf numFmtId="9" fontId="21" fillId="0" borderId="0" xfId="2" applyFont="1">
      <alignment vertical="center"/>
    </xf>
    <xf numFmtId="0" fontId="21" fillId="8" borderId="10" xfId="3" applyFont="1" applyFill="1" applyBorder="1">
      <alignment vertical="center"/>
    </xf>
    <xf numFmtId="0" fontId="19" fillId="0" borderId="10" xfId="3" applyFont="1" applyBorder="1">
      <alignment vertical="center"/>
    </xf>
    <xf numFmtId="0" fontId="19" fillId="0" borderId="42" xfId="3" applyFont="1" applyBorder="1">
      <alignment vertical="center"/>
    </xf>
    <xf numFmtId="0" fontId="19" fillId="11" borderId="51" xfId="3" applyFont="1" applyFill="1" applyBorder="1">
      <alignment vertical="center"/>
    </xf>
    <xf numFmtId="41" fontId="21" fillId="9" borderId="10" xfId="3" applyNumberFormat="1" applyFont="1" applyFill="1" applyBorder="1">
      <alignment vertical="center"/>
    </xf>
    <xf numFmtId="41" fontId="21" fillId="9" borderId="42" xfId="3" applyNumberFormat="1" applyFont="1" applyFill="1" applyBorder="1">
      <alignment vertical="center"/>
    </xf>
    <xf numFmtId="41" fontId="21" fillId="11" borderId="52" xfId="3" applyNumberFormat="1" applyFont="1" applyFill="1" applyBorder="1">
      <alignment vertical="center"/>
    </xf>
    <xf numFmtId="41" fontId="21" fillId="0" borderId="0" xfId="3" applyNumberFormat="1" applyFont="1">
      <alignment vertical="center"/>
    </xf>
    <xf numFmtId="41" fontId="21" fillId="9" borderId="0" xfId="3" applyNumberFormat="1" applyFont="1" applyFill="1">
      <alignment vertical="center"/>
    </xf>
    <xf numFmtId="185" fontId="12" fillId="0" borderId="10" xfId="0" applyNumberFormat="1" applyFont="1" applyBorder="1">
      <alignment vertical="center"/>
    </xf>
    <xf numFmtId="2" fontId="12" fillId="0" borderId="10" xfId="0" applyNumberFormat="1" applyFont="1" applyBorder="1">
      <alignment vertical="center"/>
    </xf>
    <xf numFmtId="43" fontId="0" fillId="0" borderId="0" xfId="1" applyNumberFormat="1" applyFo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0" borderId="0" xfId="0" applyFill="1" applyBorder="1">
      <alignment vertical="center"/>
    </xf>
    <xf numFmtId="178" fontId="12" fillId="0" borderId="10" xfId="1" applyNumberFormat="1" applyFont="1" applyBorder="1">
      <alignment vertical="center"/>
    </xf>
    <xf numFmtId="178" fontId="12" fillId="0" borderId="10" xfId="1" applyNumberFormat="1" applyFont="1" applyBorder="1" applyAlignment="1">
      <alignment vertical="center"/>
    </xf>
    <xf numFmtId="178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1" fontId="0" fillId="3" borderId="0" xfId="2" applyNumberFormat="1" applyFont="1" applyFill="1">
      <alignment vertical="center"/>
    </xf>
    <xf numFmtId="179" fontId="0" fillId="3" borderId="0" xfId="2" applyNumberFormat="1" applyFont="1" applyFill="1">
      <alignment vertical="center"/>
    </xf>
    <xf numFmtId="179" fontId="0" fillId="3" borderId="0" xfId="0" applyNumberFormat="1" applyFill="1">
      <alignment vertical="center"/>
    </xf>
    <xf numFmtId="18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9" fontId="12" fillId="0" borderId="10" xfId="2" applyNumberFormat="1" applyFont="1" applyBorder="1">
      <alignment vertical="center"/>
    </xf>
    <xf numFmtId="41" fontId="10" fillId="0" borderId="10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2" fillId="6" borderId="10" xfId="1" applyFont="1" applyFill="1" applyBorder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178" fontId="12" fillId="6" borderId="10" xfId="1" applyNumberFormat="1" applyFont="1" applyFill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0" xfId="0" applyFont="1" applyFill="1">
      <alignment vertical="center"/>
    </xf>
    <xf numFmtId="178" fontId="12" fillId="3" borderId="10" xfId="1" applyNumberFormat="1" applyFont="1" applyFill="1" applyBorder="1" applyAlignment="1">
      <alignment vertical="center"/>
    </xf>
    <xf numFmtId="178" fontId="12" fillId="3" borderId="1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0" fillId="1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5" fillId="0" borderId="0" xfId="0" applyNumberFormat="1" applyFont="1" applyAlignment="1">
      <alignment vertical="center" wrapText="1"/>
    </xf>
    <xf numFmtId="1" fontId="6" fillId="0" borderId="0" xfId="0" applyNumberFormat="1" applyFont="1">
      <alignment vertical="center"/>
    </xf>
    <xf numFmtId="1" fontId="5" fillId="0" borderId="0" xfId="0" applyNumberFormat="1" applyFont="1" applyFill="1">
      <alignment vertical="center"/>
    </xf>
    <xf numFmtId="1" fontId="5" fillId="6" borderId="0" xfId="0" applyNumberFormat="1" applyFont="1" applyFill="1">
      <alignment vertical="center"/>
    </xf>
    <xf numFmtId="43" fontId="0" fillId="0" borderId="0" xfId="0" applyNumberFormat="1">
      <alignment vertical="center"/>
    </xf>
    <xf numFmtId="43" fontId="12" fillId="0" borderId="0" xfId="0" applyNumberFormat="1" applyFo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9" fillId="8" borderId="17" xfId="3" applyFont="1" applyFill="1" applyBorder="1" applyAlignment="1">
      <alignment horizontal="center" vertical="center"/>
    </xf>
    <xf numFmtId="0" fontId="19" fillId="8" borderId="23" xfId="3" applyFont="1" applyFill="1" applyBorder="1" applyAlignment="1">
      <alignment horizontal="center" vertical="center"/>
    </xf>
    <xf numFmtId="0" fontId="19" fillId="9" borderId="0" xfId="3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178" fontId="12" fillId="0" borderId="0" xfId="0" applyNumberFormat="1" applyFon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_2007유틸리티사용량_2007년 원단위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1199029</xdr:colOff>
      <xdr:row>57</xdr:row>
      <xdr:rowOff>56028</xdr:rowOff>
    </xdr:from>
    <xdr:to>
      <xdr:col>5</xdr:col>
      <xdr:colOff>428624</xdr:colOff>
      <xdr:row>59</xdr:row>
      <xdr:rowOff>211230</xdr:rowOff>
    </xdr:to>
    <xdr:sp macro="" textlink="">
      <xdr:nvSpPr>
        <xdr:cNvPr id="2" name="사각형 설명선 1"/>
        <xdr:cNvSpPr/>
      </xdr:nvSpPr>
      <xdr:spPr>
        <a:xfrm>
          <a:off x="3837454" y="12581403"/>
          <a:ext cx="1763245" cy="574302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하수도 사용량 기입</a:t>
          </a:r>
        </a:p>
      </xdr:txBody>
    </xdr:sp>
    <xdr:clientData/>
  </xdr:twoCellAnchor>
  <xdr:twoCellAnchor>
    <xdr:from>
      <xdr:col>5</xdr:col>
      <xdr:colOff>1138516</xdr:colOff>
      <xdr:row>0</xdr:row>
      <xdr:rowOff>40340</xdr:rowOff>
    </xdr:from>
    <xdr:to>
      <xdr:col>7</xdr:col>
      <xdr:colOff>670671</xdr:colOff>
      <xdr:row>2</xdr:row>
      <xdr:rowOff>184336</xdr:rowOff>
    </xdr:to>
    <xdr:sp macro="" textlink="">
      <xdr:nvSpPr>
        <xdr:cNvPr id="3" name="사각형 설명선 2"/>
        <xdr:cNvSpPr/>
      </xdr:nvSpPr>
      <xdr:spPr>
        <a:xfrm>
          <a:off x="6310591" y="249890"/>
          <a:ext cx="1761005" cy="572621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상수 사용량 기입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0"/>
  <sheetViews>
    <sheetView topLeftCell="A100" workbookViewId="0">
      <selection activeCell="O14" sqref="O14"/>
    </sheetView>
  </sheetViews>
  <sheetFormatPr defaultRowHeight="16.5" x14ac:dyDescent="0.3"/>
  <sheetData>
    <row r="2" spans="2:12" x14ac:dyDescent="0.3">
      <c r="B2" t="s">
        <v>109</v>
      </c>
      <c r="D2" t="s">
        <v>96</v>
      </c>
      <c r="E2" t="s">
        <v>97</v>
      </c>
      <c r="F2" t="s">
        <v>108</v>
      </c>
      <c r="G2" t="s">
        <v>107</v>
      </c>
      <c r="H2" t="s">
        <v>144</v>
      </c>
      <c r="L2" s="30"/>
    </row>
    <row r="3" spans="2:12" x14ac:dyDescent="0.3">
      <c r="B3" s="19">
        <v>8320</v>
      </c>
      <c r="D3" t="s">
        <v>112</v>
      </c>
      <c r="E3" t="s">
        <v>99</v>
      </c>
      <c r="F3" t="s">
        <v>106</v>
      </c>
      <c r="G3">
        <v>63.1</v>
      </c>
      <c r="H3">
        <f>G3*0.5</f>
        <v>31.55</v>
      </c>
    </row>
    <row r="4" spans="2:12" x14ac:dyDescent="0.3">
      <c r="D4" t="s">
        <v>112</v>
      </c>
      <c r="E4" t="s">
        <v>99</v>
      </c>
      <c r="F4" t="s">
        <v>92</v>
      </c>
      <c r="G4">
        <v>109.2</v>
      </c>
    </row>
    <row r="5" spans="2:12" x14ac:dyDescent="0.3">
      <c r="D5" t="s">
        <v>112</v>
      </c>
      <c r="E5" t="s">
        <v>99</v>
      </c>
      <c r="F5" t="s">
        <v>94</v>
      </c>
      <c r="G5">
        <v>166.7</v>
      </c>
    </row>
    <row r="6" spans="2:12" x14ac:dyDescent="0.3">
      <c r="D6" t="s">
        <v>112</v>
      </c>
      <c r="E6" t="s">
        <v>27</v>
      </c>
      <c r="F6" t="s">
        <v>106</v>
      </c>
      <c r="G6">
        <v>63.1</v>
      </c>
      <c r="H6">
        <f>G6*0.5</f>
        <v>31.55</v>
      </c>
    </row>
    <row r="7" spans="2:12" x14ac:dyDescent="0.3">
      <c r="D7" t="s">
        <v>112</v>
      </c>
      <c r="E7" t="s">
        <v>27</v>
      </c>
      <c r="F7" t="s">
        <v>92</v>
      </c>
      <c r="G7">
        <v>109.2</v>
      </c>
    </row>
    <row r="8" spans="2:12" x14ac:dyDescent="0.3">
      <c r="D8" t="s">
        <v>112</v>
      </c>
      <c r="E8" t="s">
        <v>27</v>
      </c>
      <c r="F8" t="s">
        <v>94</v>
      </c>
      <c r="G8">
        <v>166.7</v>
      </c>
    </row>
    <row r="9" spans="2:12" x14ac:dyDescent="0.3">
      <c r="D9" t="s">
        <v>112</v>
      </c>
      <c r="E9" t="s">
        <v>29</v>
      </c>
      <c r="F9" t="s">
        <v>106</v>
      </c>
      <c r="G9">
        <v>56.1</v>
      </c>
      <c r="H9">
        <f>G9*0.5</f>
        <v>28.05</v>
      </c>
    </row>
    <row r="10" spans="2:12" x14ac:dyDescent="0.3">
      <c r="D10" t="s">
        <v>112</v>
      </c>
      <c r="E10" t="s">
        <v>29</v>
      </c>
      <c r="F10" t="s">
        <v>92</v>
      </c>
      <c r="G10">
        <v>78.599999999999994</v>
      </c>
    </row>
    <row r="11" spans="2:12" x14ac:dyDescent="0.3">
      <c r="D11" t="s">
        <v>112</v>
      </c>
      <c r="E11" t="s">
        <v>29</v>
      </c>
      <c r="F11" t="s">
        <v>94</v>
      </c>
      <c r="G11">
        <v>109.3</v>
      </c>
    </row>
    <row r="12" spans="2:12" x14ac:dyDescent="0.3">
      <c r="D12" t="s">
        <v>112</v>
      </c>
      <c r="E12" t="s">
        <v>31</v>
      </c>
      <c r="F12" t="s">
        <v>106</v>
      </c>
      <c r="G12">
        <v>56.1</v>
      </c>
      <c r="H12">
        <f>G12*0.5</f>
        <v>28.05</v>
      </c>
    </row>
    <row r="13" spans="2:12" x14ac:dyDescent="0.3">
      <c r="D13" t="s">
        <v>112</v>
      </c>
      <c r="E13" t="s">
        <v>31</v>
      </c>
      <c r="F13" t="s">
        <v>92</v>
      </c>
      <c r="G13">
        <v>78.599999999999994</v>
      </c>
    </row>
    <row r="14" spans="2:12" x14ac:dyDescent="0.3">
      <c r="D14" t="s">
        <v>112</v>
      </c>
      <c r="E14" t="s">
        <v>31</v>
      </c>
      <c r="F14" t="s">
        <v>94</v>
      </c>
      <c r="G14">
        <v>109.3</v>
      </c>
    </row>
    <row r="15" spans="2:12" x14ac:dyDescent="0.3">
      <c r="D15" t="s">
        <v>112</v>
      </c>
      <c r="E15" t="s">
        <v>33</v>
      </c>
      <c r="F15" t="s">
        <v>106</v>
      </c>
      <c r="G15">
        <v>56.1</v>
      </c>
      <c r="H15">
        <f>G15*0.5</f>
        <v>28.05</v>
      </c>
    </row>
    <row r="16" spans="2:12" x14ac:dyDescent="0.3">
      <c r="D16" t="s">
        <v>112</v>
      </c>
      <c r="E16" t="s">
        <v>33</v>
      </c>
      <c r="F16" t="s">
        <v>92</v>
      </c>
      <c r="G16">
        <v>78.599999999999994</v>
      </c>
    </row>
    <row r="17" spans="4:8" x14ac:dyDescent="0.3">
      <c r="D17" t="s">
        <v>112</v>
      </c>
      <c r="E17" t="s">
        <v>33</v>
      </c>
      <c r="F17" t="s">
        <v>94</v>
      </c>
      <c r="G17">
        <v>109.3</v>
      </c>
    </row>
    <row r="18" spans="4:8" x14ac:dyDescent="0.3">
      <c r="D18" t="s">
        <v>112</v>
      </c>
      <c r="E18" t="s">
        <v>35</v>
      </c>
      <c r="F18" t="s">
        <v>106</v>
      </c>
      <c r="G18">
        <v>56.1</v>
      </c>
      <c r="H18">
        <f>G18*0.5</f>
        <v>28.05</v>
      </c>
    </row>
    <row r="19" spans="4:8" x14ac:dyDescent="0.3">
      <c r="D19" t="s">
        <v>112</v>
      </c>
      <c r="E19" t="s">
        <v>35</v>
      </c>
      <c r="F19" t="s">
        <v>92</v>
      </c>
      <c r="G19">
        <v>109</v>
      </c>
    </row>
    <row r="20" spans="4:8" x14ac:dyDescent="0.3">
      <c r="D20" t="s">
        <v>112</v>
      </c>
      <c r="E20" t="s">
        <v>35</v>
      </c>
      <c r="F20" t="s">
        <v>94</v>
      </c>
      <c r="G20">
        <v>191.1</v>
      </c>
    </row>
    <row r="21" spans="4:8" x14ac:dyDescent="0.3">
      <c r="D21" t="s">
        <v>112</v>
      </c>
      <c r="E21" t="s">
        <v>37</v>
      </c>
      <c r="F21" t="s">
        <v>106</v>
      </c>
      <c r="G21">
        <v>56.1</v>
      </c>
      <c r="H21">
        <f>G21*0.5</f>
        <v>28.05</v>
      </c>
    </row>
    <row r="22" spans="4:8" x14ac:dyDescent="0.3">
      <c r="D22" t="s">
        <v>112</v>
      </c>
      <c r="E22" t="s">
        <v>37</v>
      </c>
      <c r="F22" t="s">
        <v>92</v>
      </c>
      <c r="G22">
        <v>109</v>
      </c>
    </row>
    <row r="23" spans="4:8" x14ac:dyDescent="0.3">
      <c r="D23" t="s">
        <v>112</v>
      </c>
      <c r="E23" t="s">
        <v>37</v>
      </c>
      <c r="F23" t="s">
        <v>94</v>
      </c>
      <c r="G23">
        <v>191.1</v>
      </c>
    </row>
    <row r="24" spans="4:8" x14ac:dyDescent="0.3">
      <c r="D24" t="s">
        <v>112</v>
      </c>
      <c r="E24" t="s">
        <v>39</v>
      </c>
      <c r="F24" t="s">
        <v>106</v>
      </c>
      <c r="G24">
        <v>56.1</v>
      </c>
      <c r="H24">
        <f>G24*0.5</f>
        <v>28.05</v>
      </c>
    </row>
    <row r="25" spans="4:8" x14ac:dyDescent="0.3">
      <c r="D25" t="s">
        <v>112</v>
      </c>
      <c r="E25" t="s">
        <v>39</v>
      </c>
      <c r="F25" t="s">
        <v>92</v>
      </c>
      <c r="G25">
        <v>109</v>
      </c>
    </row>
    <row r="26" spans="4:8" x14ac:dyDescent="0.3">
      <c r="D26" t="s">
        <v>112</v>
      </c>
      <c r="E26" t="s">
        <v>39</v>
      </c>
      <c r="F26" t="s">
        <v>94</v>
      </c>
      <c r="G26">
        <v>191.1</v>
      </c>
    </row>
    <row r="27" spans="4:8" x14ac:dyDescent="0.3">
      <c r="D27" t="s">
        <v>112</v>
      </c>
      <c r="E27" t="s">
        <v>41</v>
      </c>
      <c r="F27" t="s">
        <v>106</v>
      </c>
      <c r="G27">
        <v>56.1</v>
      </c>
      <c r="H27">
        <f>G27*0.5</f>
        <v>28.05</v>
      </c>
    </row>
    <row r="28" spans="4:8" x14ac:dyDescent="0.3">
      <c r="D28" t="s">
        <v>112</v>
      </c>
      <c r="E28" t="s">
        <v>41</v>
      </c>
      <c r="F28" t="s">
        <v>92</v>
      </c>
      <c r="G28">
        <v>78.599999999999994</v>
      </c>
    </row>
    <row r="29" spans="4:8" x14ac:dyDescent="0.3">
      <c r="D29" t="s">
        <v>112</v>
      </c>
      <c r="E29" t="s">
        <v>41</v>
      </c>
      <c r="F29" t="s">
        <v>94</v>
      </c>
      <c r="G29">
        <v>109.3</v>
      </c>
    </row>
    <row r="30" spans="4:8" x14ac:dyDescent="0.3">
      <c r="D30" t="s">
        <v>112</v>
      </c>
      <c r="E30" t="s">
        <v>43</v>
      </c>
      <c r="F30" t="s">
        <v>106</v>
      </c>
      <c r="G30">
        <v>56.1</v>
      </c>
      <c r="H30">
        <f>G30*0.5</f>
        <v>28.05</v>
      </c>
    </row>
    <row r="31" spans="4:8" x14ac:dyDescent="0.3">
      <c r="D31" t="s">
        <v>112</v>
      </c>
      <c r="E31" t="s">
        <v>43</v>
      </c>
      <c r="F31" t="s">
        <v>92</v>
      </c>
      <c r="G31">
        <v>78.599999999999994</v>
      </c>
    </row>
    <row r="32" spans="4:8" x14ac:dyDescent="0.3">
      <c r="D32" t="s">
        <v>112</v>
      </c>
      <c r="E32" t="s">
        <v>43</v>
      </c>
      <c r="F32" t="s">
        <v>94</v>
      </c>
      <c r="G32">
        <v>109.3</v>
      </c>
    </row>
    <row r="33" spans="4:8" x14ac:dyDescent="0.3">
      <c r="D33" t="s">
        <v>112</v>
      </c>
      <c r="E33" t="s">
        <v>45</v>
      </c>
      <c r="F33" t="s">
        <v>106</v>
      </c>
      <c r="G33">
        <v>63.1</v>
      </c>
      <c r="H33">
        <f>G33*0.5</f>
        <v>31.55</v>
      </c>
    </row>
    <row r="34" spans="4:8" x14ac:dyDescent="0.3">
      <c r="D34" t="s">
        <v>112</v>
      </c>
      <c r="E34" t="s">
        <v>45</v>
      </c>
      <c r="F34" t="s">
        <v>92</v>
      </c>
      <c r="G34">
        <v>109.2</v>
      </c>
    </row>
    <row r="35" spans="4:8" x14ac:dyDescent="0.3">
      <c r="D35" t="s">
        <v>112</v>
      </c>
      <c r="E35" t="s">
        <v>45</v>
      </c>
      <c r="F35" t="s">
        <v>94</v>
      </c>
      <c r="G35">
        <v>166.7</v>
      </c>
    </row>
    <row r="36" spans="4:8" x14ac:dyDescent="0.3">
      <c r="D36" t="s">
        <v>112</v>
      </c>
      <c r="E36" t="s">
        <v>47</v>
      </c>
      <c r="F36" t="s">
        <v>106</v>
      </c>
      <c r="G36">
        <v>63.1</v>
      </c>
      <c r="H36">
        <f>G36*0.5</f>
        <v>31.55</v>
      </c>
    </row>
    <row r="37" spans="4:8" x14ac:dyDescent="0.3">
      <c r="D37" t="s">
        <v>112</v>
      </c>
      <c r="E37" t="s">
        <v>47</v>
      </c>
      <c r="F37" t="s">
        <v>92</v>
      </c>
      <c r="G37">
        <v>109.2</v>
      </c>
    </row>
    <row r="38" spans="4:8" x14ac:dyDescent="0.3">
      <c r="D38" t="s">
        <v>112</v>
      </c>
      <c r="E38" t="s">
        <v>47</v>
      </c>
      <c r="F38" t="s">
        <v>94</v>
      </c>
      <c r="G38">
        <v>166.7</v>
      </c>
    </row>
    <row r="39" spans="4:8" x14ac:dyDescent="0.3">
      <c r="D39" t="s">
        <v>21</v>
      </c>
      <c r="E39" t="s">
        <v>25</v>
      </c>
      <c r="F39" t="s">
        <v>105</v>
      </c>
      <c r="G39">
        <v>63.1</v>
      </c>
      <c r="H39">
        <f>G39*0.5</f>
        <v>31.55</v>
      </c>
    </row>
    <row r="40" spans="4:8" x14ac:dyDescent="0.3">
      <c r="D40" t="s">
        <v>21</v>
      </c>
      <c r="E40" t="s">
        <v>25</v>
      </c>
      <c r="F40" t="s">
        <v>91</v>
      </c>
      <c r="G40">
        <v>109.2</v>
      </c>
    </row>
    <row r="41" spans="4:8" x14ac:dyDescent="0.3">
      <c r="D41" t="s">
        <v>21</v>
      </c>
      <c r="E41" t="s">
        <v>25</v>
      </c>
      <c r="F41" t="s">
        <v>93</v>
      </c>
      <c r="G41">
        <v>166.7</v>
      </c>
    </row>
    <row r="42" spans="4:8" x14ac:dyDescent="0.3">
      <c r="D42" t="s">
        <v>21</v>
      </c>
      <c r="E42" t="s">
        <v>27</v>
      </c>
      <c r="F42" t="s">
        <v>105</v>
      </c>
      <c r="G42">
        <v>63.1</v>
      </c>
      <c r="H42">
        <f>G42*0.5</f>
        <v>31.55</v>
      </c>
    </row>
    <row r="43" spans="4:8" x14ac:dyDescent="0.3">
      <c r="D43" t="s">
        <v>21</v>
      </c>
      <c r="E43" t="s">
        <v>27</v>
      </c>
      <c r="F43" t="s">
        <v>91</v>
      </c>
      <c r="G43">
        <v>109.2</v>
      </c>
    </row>
    <row r="44" spans="4:8" x14ac:dyDescent="0.3">
      <c r="D44" t="s">
        <v>21</v>
      </c>
      <c r="E44" t="s">
        <v>27</v>
      </c>
      <c r="F44" t="s">
        <v>93</v>
      </c>
      <c r="G44">
        <v>166.7</v>
      </c>
    </row>
    <row r="45" spans="4:8" x14ac:dyDescent="0.3">
      <c r="D45" t="s">
        <v>21</v>
      </c>
      <c r="E45" t="s">
        <v>29</v>
      </c>
      <c r="F45" t="s">
        <v>105</v>
      </c>
      <c r="G45">
        <v>56.1</v>
      </c>
      <c r="H45">
        <f>G45*0.5</f>
        <v>28.05</v>
      </c>
    </row>
    <row r="46" spans="4:8" x14ac:dyDescent="0.3">
      <c r="D46" t="s">
        <v>21</v>
      </c>
      <c r="E46" t="s">
        <v>29</v>
      </c>
      <c r="F46" t="s">
        <v>91</v>
      </c>
      <c r="G46">
        <v>78.599999999999994</v>
      </c>
    </row>
    <row r="47" spans="4:8" x14ac:dyDescent="0.3">
      <c r="D47" t="s">
        <v>21</v>
      </c>
      <c r="E47" t="s">
        <v>29</v>
      </c>
      <c r="F47" t="s">
        <v>93</v>
      </c>
      <c r="G47">
        <v>109.3</v>
      </c>
    </row>
    <row r="48" spans="4:8" x14ac:dyDescent="0.3">
      <c r="D48" t="s">
        <v>21</v>
      </c>
      <c r="E48" t="s">
        <v>31</v>
      </c>
      <c r="F48" t="s">
        <v>105</v>
      </c>
      <c r="G48">
        <v>56.1</v>
      </c>
      <c r="H48">
        <f>G48*0.5</f>
        <v>28.05</v>
      </c>
    </row>
    <row r="49" spans="4:8" x14ac:dyDescent="0.3">
      <c r="D49" t="s">
        <v>21</v>
      </c>
      <c r="E49" t="s">
        <v>31</v>
      </c>
      <c r="F49" t="s">
        <v>91</v>
      </c>
      <c r="G49">
        <v>78.599999999999994</v>
      </c>
    </row>
    <row r="50" spans="4:8" x14ac:dyDescent="0.3">
      <c r="D50" t="s">
        <v>21</v>
      </c>
      <c r="E50" t="s">
        <v>31</v>
      </c>
      <c r="F50" t="s">
        <v>93</v>
      </c>
      <c r="G50">
        <v>109.3</v>
      </c>
    </row>
    <row r="51" spans="4:8" x14ac:dyDescent="0.3">
      <c r="D51" t="s">
        <v>21</v>
      </c>
      <c r="E51" t="s">
        <v>33</v>
      </c>
      <c r="F51" t="s">
        <v>105</v>
      </c>
      <c r="G51">
        <v>56.1</v>
      </c>
      <c r="H51">
        <f>G51*0.5</f>
        <v>28.05</v>
      </c>
    </row>
    <row r="52" spans="4:8" x14ac:dyDescent="0.3">
      <c r="D52" t="s">
        <v>21</v>
      </c>
      <c r="E52" t="s">
        <v>33</v>
      </c>
      <c r="F52" t="s">
        <v>91</v>
      </c>
      <c r="G52">
        <v>78.599999999999994</v>
      </c>
    </row>
    <row r="53" spans="4:8" x14ac:dyDescent="0.3">
      <c r="D53" t="s">
        <v>21</v>
      </c>
      <c r="E53" t="s">
        <v>33</v>
      </c>
      <c r="F53" t="s">
        <v>93</v>
      </c>
      <c r="G53">
        <v>109.3</v>
      </c>
    </row>
    <row r="54" spans="4:8" x14ac:dyDescent="0.3">
      <c r="D54" t="s">
        <v>21</v>
      </c>
      <c r="E54" t="s">
        <v>35</v>
      </c>
      <c r="F54" t="s">
        <v>105</v>
      </c>
      <c r="G54">
        <v>56.1</v>
      </c>
      <c r="H54">
        <f>G54*0.5</f>
        <v>28.05</v>
      </c>
    </row>
    <row r="55" spans="4:8" x14ac:dyDescent="0.3">
      <c r="D55" t="s">
        <v>21</v>
      </c>
      <c r="E55" t="s">
        <v>35</v>
      </c>
      <c r="F55" t="s">
        <v>91</v>
      </c>
      <c r="G55">
        <v>109</v>
      </c>
    </row>
    <row r="56" spans="4:8" x14ac:dyDescent="0.3">
      <c r="D56" t="s">
        <v>21</v>
      </c>
      <c r="E56" t="s">
        <v>35</v>
      </c>
      <c r="F56" t="s">
        <v>93</v>
      </c>
      <c r="G56">
        <v>191.1</v>
      </c>
    </row>
    <row r="57" spans="4:8" x14ac:dyDescent="0.3">
      <c r="D57" t="s">
        <v>21</v>
      </c>
      <c r="E57" t="s">
        <v>37</v>
      </c>
      <c r="F57" t="s">
        <v>105</v>
      </c>
      <c r="G57">
        <v>56.1</v>
      </c>
      <c r="H57">
        <f>G57*0.5</f>
        <v>28.05</v>
      </c>
    </row>
    <row r="58" spans="4:8" x14ac:dyDescent="0.3">
      <c r="D58" t="s">
        <v>21</v>
      </c>
      <c r="E58" t="s">
        <v>37</v>
      </c>
      <c r="F58" t="s">
        <v>91</v>
      </c>
      <c r="G58">
        <v>109</v>
      </c>
    </row>
    <row r="59" spans="4:8" x14ac:dyDescent="0.3">
      <c r="D59" t="s">
        <v>21</v>
      </c>
      <c r="E59" t="s">
        <v>37</v>
      </c>
      <c r="F59" t="s">
        <v>93</v>
      </c>
      <c r="G59">
        <v>191.1</v>
      </c>
    </row>
    <row r="60" spans="4:8" x14ac:dyDescent="0.3">
      <c r="D60" t="s">
        <v>21</v>
      </c>
      <c r="E60" t="s">
        <v>39</v>
      </c>
      <c r="F60" t="s">
        <v>105</v>
      </c>
      <c r="G60">
        <v>56.1</v>
      </c>
      <c r="H60">
        <f>G60*0.5</f>
        <v>28.05</v>
      </c>
    </row>
    <row r="61" spans="4:8" x14ac:dyDescent="0.3">
      <c r="D61" t="s">
        <v>21</v>
      </c>
      <c r="E61" t="s">
        <v>39</v>
      </c>
      <c r="F61" t="s">
        <v>91</v>
      </c>
      <c r="G61">
        <v>109</v>
      </c>
    </row>
    <row r="62" spans="4:8" x14ac:dyDescent="0.3">
      <c r="D62" t="s">
        <v>21</v>
      </c>
      <c r="E62" t="s">
        <v>39</v>
      </c>
      <c r="F62" t="s">
        <v>93</v>
      </c>
      <c r="G62">
        <v>191.1</v>
      </c>
    </row>
    <row r="63" spans="4:8" x14ac:dyDescent="0.3">
      <c r="D63" t="s">
        <v>21</v>
      </c>
      <c r="E63" t="s">
        <v>41</v>
      </c>
      <c r="F63" t="s">
        <v>105</v>
      </c>
      <c r="G63">
        <v>56.1</v>
      </c>
      <c r="H63">
        <f>G63*0.5</f>
        <v>28.05</v>
      </c>
    </row>
    <row r="64" spans="4:8" x14ac:dyDescent="0.3">
      <c r="D64" t="s">
        <v>21</v>
      </c>
      <c r="E64" t="s">
        <v>41</v>
      </c>
      <c r="F64" t="s">
        <v>91</v>
      </c>
      <c r="G64">
        <v>78.599999999999994</v>
      </c>
    </row>
    <row r="65" spans="4:8" x14ac:dyDescent="0.3">
      <c r="D65" t="s">
        <v>21</v>
      </c>
      <c r="E65" t="s">
        <v>41</v>
      </c>
      <c r="F65" t="s">
        <v>93</v>
      </c>
      <c r="G65">
        <v>109.3</v>
      </c>
    </row>
    <row r="66" spans="4:8" x14ac:dyDescent="0.3">
      <c r="D66" t="s">
        <v>21</v>
      </c>
      <c r="E66" t="s">
        <v>43</v>
      </c>
      <c r="F66" t="s">
        <v>105</v>
      </c>
      <c r="G66">
        <v>56.1</v>
      </c>
      <c r="H66">
        <f>G66*0.5</f>
        <v>28.05</v>
      </c>
    </row>
    <row r="67" spans="4:8" x14ac:dyDescent="0.3">
      <c r="D67" t="s">
        <v>21</v>
      </c>
      <c r="E67" t="s">
        <v>43</v>
      </c>
      <c r="F67" t="s">
        <v>91</v>
      </c>
      <c r="G67">
        <v>78.599999999999994</v>
      </c>
    </row>
    <row r="68" spans="4:8" x14ac:dyDescent="0.3">
      <c r="D68" t="s">
        <v>21</v>
      </c>
      <c r="E68" t="s">
        <v>43</v>
      </c>
      <c r="F68" t="s">
        <v>93</v>
      </c>
      <c r="G68">
        <v>109.3</v>
      </c>
    </row>
    <row r="69" spans="4:8" x14ac:dyDescent="0.3">
      <c r="D69" t="s">
        <v>21</v>
      </c>
      <c r="E69" t="s">
        <v>45</v>
      </c>
      <c r="F69" t="s">
        <v>105</v>
      </c>
      <c r="G69">
        <v>63.1</v>
      </c>
      <c r="H69">
        <f>G69*0.5</f>
        <v>31.55</v>
      </c>
    </row>
    <row r="70" spans="4:8" x14ac:dyDescent="0.3">
      <c r="D70" t="s">
        <v>21</v>
      </c>
      <c r="E70" t="s">
        <v>45</v>
      </c>
      <c r="F70" t="s">
        <v>91</v>
      </c>
      <c r="G70">
        <v>109.2</v>
      </c>
    </row>
    <row r="71" spans="4:8" x14ac:dyDescent="0.3">
      <c r="D71" t="s">
        <v>21</v>
      </c>
      <c r="E71" t="s">
        <v>45</v>
      </c>
      <c r="F71" t="s">
        <v>93</v>
      </c>
      <c r="G71">
        <v>166.7</v>
      </c>
    </row>
    <row r="72" spans="4:8" x14ac:dyDescent="0.3">
      <c r="D72" t="s">
        <v>21</v>
      </c>
      <c r="E72" t="s">
        <v>47</v>
      </c>
      <c r="F72" t="s">
        <v>105</v>
      </c>
      <c r="G72">
        <v>63.1</v>
      </c>
      <c r="H72">
        <f>G72*0.5</f>
        <v>31.55</v>
      </c>
    </row>
    <row r="73" spans="4:8" x14ac:dyDescent="0.3">
      <c r="D73" t="s">
        <v>21</v>
      </c>
      <c r="E73" t="s">
        <v>47</v>
      </c>
      <c r="F73" t="s">
        <v>91</v>
      </c>
      <c r="G73">
        <v>109.2</v>
      </c>
    </row>
    <row r="74" spans="4:8" x14ac:dyDescent="0.3">
      <c r="D74" t="s">
        <v>21</v>
      </c>
      <c r="E74" t="s">
        <v>47</v>
      </c>
      <c r="F74" t="s">
        <v>93</v>
      </c>
      <c r="G74">
        <v>166.7</v>
      </c>
    </row>
    <row r="75" spans="4:8" x14ac:dyDescent="0.3">
      <c r="D75" t="s">
        <v>23</v>
      </c>
      <c r="E75" t="s">
        <v>25</v>
      </c>
      <c r="F75" t="s">
        <v>105</v>
      </c>
      <c r="G75">
        <v>63.1</v>
      </c>
      <c r="H75">
        <f>G75*0.5</f>
        <v>31.55</v>
      </c>
    </row>
    <row r="76" spans="4:8" x14ac:dyDescent="0.3">
      <c r="D76" t="s">
        <v>23</v>
      </c>
      <c r="E76" t="s">
        <v>25</v>
      </c>
      <c r="F76" t="s">
        <v>91</v>
      </c>
      <c r="G76">
        <v>109.2</v>
      </c>
    </row>
    <row r="77" spans="4:8" x14ac:dyDescent="0.3">
      <c r="D77" t="s">
        <v>23</v>
      </c>
      <c r="E77" t="s">
        <v>25</v>
      </c>
      <c r="F77" t="s">
        <v>93</v>
      </c>
      <c r="G77">
        <v>166.7</v>
      </c>
    </row>
    <row r="78" spans="4:8" x14ac:dyDescent="0.3">
      <c r="D78" t="s">
        <v>23</v>
      </c>
      <c r="E78" t="s">
        <v>27</v>
      </c>
      <c r="F78" t="s">
        <v>105</v>
      </c>
      <c r="G78">
        <v>63.1</v>
      </c>
      <c r="H78">
        <f>G78*0.5</f>
        <v>31.55</v>
      </c>
    </row>
    <row r="79" spans="4:8" x14ac:dyDescent="0.3">
      <c r="D79" t="s">
        <v>23</v>
      </c>
      <c r="E79" t="s">
        <v>27</v>
      </c>
      <c r="F79" t="s">
        <v>91</v>
      </c>
      <c r="G79">
        <v>109.2</v>
      </c>
    </row>
    <row r="80" spans="4:8" x14ac:dyDescent="0.3">
      <c r="D80" t="s">
        <v>23</v>
      </c>
      <c r="E80" t="s">
        <v>27</v>
      </c>
      <c r="F80" t="s">
        <v>93</v>
      </c>
      <c r="G80">
        <v>166.7</v>
      </c>
    </row>
    <row r="81" spans="4:8" x14ac:dyDescent="0.3">
      <c r="D81" t="s">
        <v>23</v>
      </c>
      <c r="E81" t="s">
        <v>29</v>
      </c>
      <c r="F81" t="s">
        <v>105</v>
      </c>
      <c r="G81">
        <v>56.1</v>
      </c>
      <c r="H81">
        <f>G81*0.5</f>
        <v>28.05</v>
      </c>
    </row>
    <row r="82" spans="4:8" x14ac:dyDescent="0.3">
      <c r="D82" t="s">
        <v>23</v>
      </c>
      <c r="E82" t="s">
        <v>29</v>
      </c>
      <c r="F82" t="s">
        <v>91</v>
      </c>
      <c r="G82">
        <v>78.599999999999994</v>
      </c>
    </row>
    <row r="83" spans="4:8" x14ac:dyDescent="0.3">
      <c r="D83" t="s">
        <v>23</v>
      </c>
      <c r="E83" t="s">
        <v>29</v>
      </c>
      <c r="F83" t="s">
        <v>93</v>
      </c>
      <c r="G83">
        <v>109.3</v>
      </c>
    </row>
    <row r="84" spans="4:8" x14ac:dyDescent="0.3">
      <c r="D84" t="s">
        <v>23</v>
      </c>
      <c r="E84" t="s">
        <v>31</v>
      </c>
      <c r="F84" t="s">
        <v>105</v>
      </c>
      <c r="G84">
        <v>56.1</v>
      </c>
      <c r="H84">
        <f>G84*0.5</f>
        <v>28.05</v>
      </c>
    </row>
    <row r="85" spans="4:8" x14ac:dyDescent="0.3">
      <c r="D85" t="s">
        <v>23</v>
      </c>
      <c r="E85" t="s">
        <v>31</v>
      </c>
      <c r="F85" t="s">
        <v>91</v>
      </c>
      <c r="G85">
        <v>78.599999999999994</v>
      </c>
    </row>
    <row r="86" spans="4:8" x14ac:dyDescent="0.3">
      <c r="D86" t="s">
        <v>23</v>
      </c>
      <c r="E86" t="s">
        <v>31</v>
      </c>
      <c r="F86" t="s">
        <v>93</v>
      </c>
      <c r="G86">
        <v>109.3</v>
      </c>
    </row>
    <row r="87" spans="4:8" x14ac:dyDescent="0.3">
      <c r="D87" t="s">
        <v>23</v>
      </c>
      <c r="E87" t="s">
        <v>33</v>
      </c>
      <c r="F87" t="s">
        <v>105</v>
      </c>
      <c r="G87">
        <v>56.1</v>
      </c>
      <c r="H87">
        <f>G87*0.5</f>
        <v>28.05</v>
      </c>
    </row>
    <row r="88" spans="4:8" x14ac:dyDescent="0.3">
      <c r="D88" t="s">
        <v>23</v>
      </c>
      <c r="E88" t="s">
        <v>33</v>
      </c>
      <c r="F88" t="s">
        <v>91</v>
      </c>
      <c r="G88">
        <v>78.599999999999994</v>
      </c>
    </row>
    <row r="89" spans="4:8" x14ac:dyDescent="0.3">
      <c r="D89" t="s">
        <v>23</v>
      </c>
      <c r="E89" t="s">
        <v>33</v>
      </c>
      <c r="F89" t="s">
        <v>93</v>
      </c>
      <c r="G89">
        <v>109.3</v>
      </c>
    </row>
    <row r="90" spans="4:8" x14ac:dyDescent="0.3">
      <c r="D90" t="s">
        <v>23</v>
      </c>
      <c r="E90" t="s">
        <v>35</v>
      </c>
      <c r="F90" t="s">
        <v>105</v>
      </c>
      <c r="G90">
        <v>56.1</v>
      </c>
      <c r="H90">
        <f>G90*0.5</f>
        <v>28.05</v>
      </c>
    </row>
    <row r="91" spans="4:8" x14ac:dyDescent="0.3">
      <c r="D91" t="s">
        <v>23</v>
      </c>
      <c r="E91" t="s">
        <v>35</v>
      </c>
      <c r="F91" t="s">
        <v>91</v>
      </c>
      <c r="G91">
        <v>109</v>
      </c>
    </row>
    <row r="92" spans="4:8" x14ac:dyDescent="0.3">
      <c r="D92" t="s">
        <v>23</v>
      </c>
      <c r="E92" t="s">
        <v>35</v>
      </c>
      <c r="F92" t="s">
        <v>93</v>
      </c>
      <c r="G92">
        <v>191.1</v>
      </c>
    </row>
    <row r="93" spans="4:8" x14ac:dyDescent="0.3">
      <c r="D93" t="s">
        <v>23</v>
      </c>
      <c r="E93" t="s">
        <v>37</v>
      </c>
      <c r="F93" t="s">
        <v>105</v>
      </c>
      <c r="G93">
        <v>56.1</v>
      </c>
      <c r="H93">
        <f>G93*0.5</f>
        <v>28.05</v>
      </c>
    </row>
    <row r="94" spans="4:8" x14ac:dyDescent="0.3">
      <c r="D94" t="s">
        <v>23</v>
      </c>
      <c r="E94" t="s">
        <v>37</v>
      </c>
      <c r="F94" t="s">
        <v>91</v>
      </c>
      <c r="G94">
        <v>109</v>
      </c>
    </row>
    <row r="95" spans="4:8" x14ac:dyDescent="0.3">
      <c r="D95" t="s">
        <v>23</v>
      </c>
      <c r="E95" t="s">
        <v>37</v>
      </c>
      <c r="F95" t="s">
        <v>93</v>
      </c>
      <c r="G95">
        <v>191.1</v>
      </c>
    </row>
    <row r="96" spans="4:8" x14ac:dyDescent="0.3">
      <c r="D96" t="s">
        <v>23</v>
      </c>
      <c r="E96" t="s">
        <v>39</v>
      </c>
      <c r="F96" t="s">
        <v>105</v>
      </c>
      <c r="G96">
        <v>56.1</v>
      </c>
      <c r="H96">
        <f>G96*0.5</f>
        <v>28.05</v>
      </c>
    </row>
    <row r="97" spans="4:8" x14ac:dyDescent="0.3">
      <c r="D97" t="s">
        <v>23</v>
      </c>
      <c r="E97" t="s">
        <v>39</v>
      </c>
      <c r="F97" t="s">
        <v>91</v>
      </c>
      <c r="G97">
        <v>109</v>
      </c>
    </row>
    <row r="98" spans="4:8" x14ac:dyDescent="0.3">
      <c r="D98" t="s">
        <v>23</v>
      </c>
      <c r="E98" t="s">
        <v>39</v>
      </c>
      <c r="F98" t="s">
        <v>93</v>
      </c>
      <c r="G98">
        <v>191.1</v>
      </c>
    </row>
    <row r="99" spans="4:8" x14ac:dyDescent="0.3">
      <c r="D99" t="s">
        <v>23</v>
      </c>
      <c r="E99" t="s">
        <v>41</v>
      </c>
      <c r="F99" t="s">
        <v>105</v>
      </c>
      <c r="G99">
        <v>56.1</v>
      </c>
      <c r="H99">
        <f>G99*0.5</f>
        <v>28.05</v>
      </c>
    </row>
    <row r="100" spans="4:8" x14ac:dyDescent="0.3">
      <c r="D100" t="s">
        <v>23</v>
      </c>
      <c r="E100" t="s">
        <v>41</v>
      </c>
      <c r="F100" t="s">
        <v>91</v>
      </c>
      <c r="G100">
        <v>78.599999999999994</v>
      </c>
    </row>
    <row r="101" spans="4:8" x14ac:dyDescent="0.3">
      <c r="D101" t="s">
        <v>23</v>
      </c>
      <c r="E101" t="s">
        <v>41</v>
      </c>
      <c r="F101" t="s">
        <v>93</v>
      </c>
      <c r="G101">
        <v>109.3</v>
      </c>
    </row>
    <row r="102" spans="4:8" x14ac:dyDescent="0.3">
      <c r="D102" t="s">
        <v>23</v>
      </c>
      <c r="E102" t="s">
        <v>43</v>
      </c>
      <c r="F102" t="s">
        <v>105</v>
      </c>
      <c r="G102">
        <v>56.1</v>
      </c>
      <c r="H102">
        <f>G102*0.5</f>
        <v>28.05</v>
      </c>
    </row>
    <row r="103" spans="4:8" x14ac:dyDescent="0.3">
      <c r="D103" t="s">
        <v>23</v>
      </c>
      <c r="E103" t="s">
        <v>43</v>
      </c>
      <c r="F103" t="s">
        <v>91</v>
      </c>
      <c r="G103">
        <v>78.599999999999994</v>
      </c>
    </row>
    <row r="104" spans="4:8" x14ac:dyDescent="0.3">
      <c r="D104" t="s">
        <v>23</v>
      </c>
      <c r="E104" t="s">
        <v>43</v>
      </c>
      <c r="F104" t="s">
        <v>93</v>
      </c>
      <c r="G104">
        <v>109.3</v>
      </c>
    </row>
    <row r="105" spans="4:8" x14ac:dyDescent="0.3">
      <c r="D105" t="s">
        <v>23</v>
      </c>
      <c r="E105" t="s">
        <v>45</v>
      </c>
      <c r="F105" t="s">
        <v>105</v>
      </c>
      <c r="G105">
        <v>63.1</v>
      </c>
      <c r="H105">
        <f>G105*0.5</f>
        <v>31.55</v>
      </c>
    </row>
    <row r="106" spans="4:8" x14ac:dyDescent="0.3">
      <c r="D106" t="s">
        <v>23</v>
      </c>
      <c r="E106" t="s">
        <v>45</v>
      </c>
      <c r="F106" t="s">
        <v>91</v>
      </c>
      <c r="G106">
        <v>109.2</v>
      </c>
    </row>
    <row r="107" spans="4:8" x14ac:dyDescent="0.3">
      <c r="D107" t="s">
        <v>23</v>
      </c>
      <c r="E107" t="s">
        <v>45</v>
      </c>
      <c r="F107" t="s">
        <v>93</v>
      </c>
      <c r="G107">
        <v>166.7</v>
      </c>
    </row>
    <row r="108" spans="4:8" x14ac:dyDescent="0.3">
      <c r="D108" t="s">
        <v>23</v>
      </c>
      <c r="E108" t="s">
        <v>47</v>
      </c>
      <c r="F108" t="s">
        <v>105</v>
      </c>
      <c r="G108">
        <v>63.1</v>
      </c>
      <c r="H108">
        <f>G108*0.5</f>
        <v>31.55</v>
      </c>
    </row>
    <row r="109" spans="4:8" x14ac:dyDescent="0.3">
      <c r="D109" t="s">
        <v>23</v>
      </c>
      <c r="E109" t="s">
        <v>47</v>
      </c>
      <c r="F109" t="s">
        <v>91</v>
      </c>
      <c r="G109">
        <v>109.2</v>
      </c>
    </row>
    <row r="110" spans="4:8" x14ac:dyDescent="0.3">
      <c r="D110" t="s">
        <v>23</v>
      </c>
      <c r="E110" t="s">
        <v>47</v>
      </c>
      <c r="F110" t="s">
        <v>93</v>
      </c>
      <c r="G110">
        <v>166.7</v>
      </c>
    </row>
  </sheetData>
  <autoFilter ref="D2:H110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10" workbookViewId="0">
      <selection activeCell="K35" sqref="K35"/>
    </sheetView>
  </sheetViews>
  <sheetFormatPr defaultRowHeight="16.5" x14ac:dyDescent="0.3"/>
  <cols>
    <col min="2" max="2" width="6.75" bestFit="1" customWidth="1"/>
    <col min="3" max="4" width="11" bestFit="1" customWidth="1"/>
    <col min="6" max="6" width="9.625" bestFit="1" customWidth="1"/>
    <col min="8" max="8" width="15.125" bestFit="1" customWidth="1"/>
    <col min="9" max="9" width="11.875" bestFit="1" customWidth="1"/>
    <col min="14" max="14" width="12.125" customWidth="1"/>
  </cols>
  <sheetData>
    <row r="1" spans="2:14" s="30" customFormat="1" x14ac:dyDescent="0.3"/>
    <row r="2" spans="2:14" s="30" customFormat="1" x14ac:dyDescent="0.3"/>
    <row r="3" spans="2:14" s="30" customFormat="1" x14ac:dyDescent="0.3">
      <c r="I3" s="38" t="s">
        <v>156</v>
      </c>
      <c r="J3" s="38" t="s">
        <v>157</v>
      </c>
      <c r="K3" s="38">
        <v>8320</v>
      </c>
      <c r="N3" s="42" t="s">
        <v>164</v>
      </c>
    </row>
    <row r="4" spans="2:14" s="30" customFormat="1" x14ac:dyDescent="0.3">
      <c r="B4" s="39" t="s">
        <v>160</v>
      </c>
      <c r="I4" s="38"/>
      <c r="J4" s="38" t="s">
        <v>158</v>
      </c>
      <c r="K4" s="38">
        <v>1.2</v>
      </c>
      <c r="N4" s="43" t="s">
        <v>165</v>
      </c>
    </row>
    <row r="5" spans="2:14" s="30" customFormat="1" x14ac:dyDescent="0.3">
      <c r="I5" s="38"/>
      <c r="J5" s="38" t="s">
        <v>159</v>
      </c>
      <c r="K5" s="38">
        <v>3</v>
      </c>
      <c r="N5" s="44" t="s">
        <v>166</v>
      </c>
    </row>
    <row r="6" spans="2:14" s="30" customFormat="1" x14ac:dyDescent="0.3">
      <c r="N6" s="45" t="s">
        <v>167</v>
      </c>
    </row>
    <row r="7" spans="2:14" s="30" customFormat="1" x14ac:dyDescent="0.3">
      <c r="B7" s="27" t="s">
        <v>161</v>
      </c>
      <c r="C7" s="27"/>
      <c r="D7" s="27"/>
      <c r="E7" s="40"/>
      <c r="F7" s="40"/>
      <c r="G7" s="40"/>
      <c r="H7" s="40"/>
      <c r="I7" s="40"/>
      <c r="J7" s="40"/>
      <c r="K7" s="40"/>
      <c r="L7" s="40"/>
      <c r="N7" s="46"/>
    </row>
    <row r="8" spans="2:14" x14ac:dyDescent="0.3">
      <c r="B8" s="27"/>
      <c r="C8" s="27"/>
      <c r="D8" s="27"/>
      <c r="E8" s="240" t="s">
        <v>162</v>
      </c>
      <c r="F8" s="240"/>
      <c r="G8" s="240"/>
      <c r="H8" s="240"/>
      <c r="I8" s="240"/>
      <c r="J8" s="240"/>
      <c r="K8" s="240"/>
      <c r="L8" s="240"/>
    </row>
    <row r="9" spans="2:14" s="30" customFormat="1" x14ac:dyDescent="0.3">
      <c r="B9" s="27"/>
      <c r="C9" s="27"/>
      <c r="D9" s="27"/>
      <c r="E9" s="41"/>
      <c r="F9" s="41"/>
      <c r="G9" s="41"/>
      <c r="H9" s="41"/>
      <c r="I9" s="41"/>
      <c r="J9" s="41"/>
      <c r="K9" s="41"/>
      <c r="L9" s="41"/>
    </row>
    <row r="10" spans="2:14" s="30" customFormat="1" x14ac:dyDescent="0.3">
      <c r="B10" s="30" t="s">
        <v>163</v>
      </c>
      <c r="C10" s="27"/>
      <c r="D10" s="27"/>
      <c r="E10" s="41"/>
      <c r="F10" s="41"/>
      <c r="G10" s="41"/>
      <c r="H10" s="41"/>
      <c r="I10" s="41"/>
      <c r="J10" s="41"/>
      <c r="K10" s="41"/>
      <c r="L10" s="41"/>
    </row>
    <row r="11" spans="2:14" s="30" customFormat="1" x14ac:dyDescent="0.3">
      <c r="B11" s="27"/>
      <c r="C11" s="27"/>
      <c r="D11" s="27"/>
      <c r="E11" s="41"/>
      <c r="F11" s="41"/>
      <c r="G11" s="41"/>
      <c r="H11" s="41"/>
      <c r="I11" s="41"/>
      <c r="J11" s="41"/>
      <c r="K11" s="41"/>
      <c r="L11" s="41"/>
    </row>
    <row r="13" spans="2:14" x14ac:dyDescent="0.3">
      <c r="B13" s="30" t="s">
        <v>0</v>
      </c>
      <c r="C13" s="30" t="s">
        <v>148</v>
      </c>
      <c r="D13" s="30" t="s">
        <v>149</v>
      </c>
      <c r="E13" t="s">
        <v>150</v>
      </c>
      <c r="F13" t="s">
        <v>151</v>
      </c>
      <c r="H13" t="s">
        <v>152</v>
      </c>
      <c r="I13" t="s">
        <v>153</v>
      </c>
    </row>
    <row r="14" spans="2:14" x14ac:dyDescent="0.3">
      <c r="B14" t="s">
        <v>154</v>
      </c>
      <c r="C14">
        <f>ESS전력량계!O10-ESS전력량계!N10</f>
        <v>75.77</v>
      </c>
      <c r="D14">
        <f>ESS전력량계!I10-ESS전력량계!H10</f>
        <v>0.09</v>
      </c>
      <c r="E14">
        <v>1736</v>
      </c>
      <c r="F14">
        <v>19</v>
      </c>
      <c r="H14">
        <f>ROUND(((C14*E14)-(D14*E14))/(F14*3),0)</f>
        <v>2305</v>
      </c>
      <c r="I14" s="47">
        <f>(H14*$K$3*$K$4*$K$5)*(27/31)</f>
        <v>60131055.483870968</v>
      </c>
    </row>
    <row r="15" spans="2:14" x14ac:dyDescent="0.3">
      <c r="B15" s="30" t="s">
        <v>168</v>
      </c>
      <c r="C15" s="30">
        <f>ESS전력량계!O11-ESS전력량계!N11</f>
        <v>102.3</v>
      </c>
      <c r="D15" s="30">
        <f>ESS전력량계!I11-ESS전력량계!H11</f>
        <v>0</v>
      </c>
      <c r="E15" s="30">
        <v>1736</v>
      </c>
      <c r="F15">
        <v>22</v>
      </c>
      <c r="H15" s="30">
        <f t="shared" ref="H15:H19" si="0">ROUND(((C15*E15)-(D15*E15))/(F15*3),0)</f>
        <v>2691</v>
      </c>
      <c r="I15" s="47">
        <f>(H15*$K$3*$K$4*$K$5)</f>
        <v>80600832</v>
      </c>
      <c r="N15" s="30"/>
    </row>
    <row r="16" spans="2:14" x14ac:dyDescent="0.3">
      <c r="B16" s="30" t="s">
        <v>169</v>
      </c>
      <c r="C16" s="30">
        <f>ESS전력량계!O12-ESS전력량계!N12</f>
        <v>86.829999999999984</v>
      </c>
      <c r="D16" s="30">
        <f>ESS전력량계!I12-ESS전력량계!H12</f>
        <v>1.0000000000000009E-2</v>
      </c>
      <c r="E16" s="30">
        <v>1736</v>
      </c>
      <c r="F16">
        <v>17</v>
      </c>
      <c r="H16" s="30">
        <f t="shared" si="0"/>
        <v>2955</v>
      </c>
      <c r="I16" s="47">
        <f t="shared" ref="I16:I35" si="1">H16*$K$3*$K$4*$K$5</f>
        <v>88508160</v>
      </c>
      <c r="N16" s="30"/>
    </row>
    <row r="17" spans="2:14" x14ac:dyDescent="0.3">
      <c r="B17" s="30" t="s">
        <v>170</v>
      </c>
      <c r="C17" s="30">
        <f>ESS전력량계!O13-ESS전력량계!N13</f>
        <v>107.49000000000001</v>
      </c>
      <c r="D17" s="30">
        <f>ESS전력량계!I13-ESS전력량계!H13</f>
        <v>0.03</v>
      </c>
      <c r="E17" s="30">
        <v>1736</v>
      </c>
      <c r="F17">
        <v>21</v>
      </c>
      <c r="H17" s="30">
        <f t="shared" si="0"/>
        <v>2961</v>
      </c>
      <c r="I17" s="47">
        <f t="shared" si="1"/>
        <v>88687872</v>
      </c>
      <c r="N17" s="30"/>
    </row>
    <row r="18" spans="2:14" x14ac:dyDescent="0.3">
      <c r="B18" s="30" t="s">
        <v>171</v>
      </c>
      <c r="C18" s="30">
        <f>ESS전력량계!O14-ESS전력량계!N14</f>
        <v>112.5</v>
      </c>
      <c r="D18" s="30">
        <f>ESS전력량계!I14-ESS전력량계!H14</f>
        <v>0.03</v>
      </c>
      <c r="E18" s="30">
        <v>1736</v>
      </c>
      <c r="F18">
        <v>22</v>
      </c>
      <c r="H18" s="30">
        <f t="shared" si="0"/>
        <v>2958</v>
      </c>
      <c r="I18" s="47">
        <f t="shared" si="1"/>
        <v>88598016</v>
      </c>
      <c r="N18" s="30"/>
    </row>
    <row r="19" spans="2:14" x14ac:dyDescent="0.3">
      <c r="B19" s="30" t="s">
        <v>172</v>
      </c>
      <c r="C19" s="30">
        <f>ESS전력량계!O15-ESS전력량계!N15</f>
        <v>96.730000000000018</v>
      </c>
      <c r="D19" s="30">
        <f>ESS전력량계!I15-ESS전력량계!H15</f>
        <v>0.03</v>
      </c>
      <c r="E19" s="30">
        <v>1736</v>
      </c>
      <c r="F19">
        <v>20</v>
      </c>
      <c r="H19" s="30">
        <f t="shared" si="0"/>
        <v>2798</v>
      </c>
      <c r="I19" s="47">
        <f t="shared" si="1"/>
        <v>83805696</v>
      </c>
      <c r="N19" s="30"/>
    </row>
    <row r="20" spans="2:14" x14ac:dyDescent="0.3">
      <c r="B20" t="s">
        <v>174</v>
      </c>
      <c r="C20" s="30">
        <f>ESS전력량계!O16-ESS전력량계!N16</f>
        <v>109.5</v>
      </c>
      <c r="D20" s="30">
        <f>ESS전력량계!I16-ESS전력량계!H16</f>
        <v>0.03</v>
      </c>
      <c r="E20" s="30">
        <v>1736</v>
      </c>
      <c r="F20">
        <v>22</v>
      </c>
      <c r="H20" s="30">
        <f>ROUNDUP(((C20*E20)-(D20*E20))/(F20*3),0)</f>
        <v>2880</v>
      </c>
      <c r="I20" s="47">
        <f t="shared" si="1"/>
        <v>86261760</v>
      </c>
      <c r="N20" s="30"/>
    </row>
    <row r="21" spans="2:14" x14ac:dyDescent="0.3">
      <c r="B21" s="30" t="s">
        <v>175</v>
      </c>
      <c r="C21" s="30">
        <f>ESS전력량계!O17-ESS전력량계!N17</f>
        <v>85.5</v>
      </c>
      <c r="D21" s="30">
        <f>ESS전력량계!I17-ESS전력량계!H17</f>
        <v>0.03</v>
      </c>
      <c r="E21" s="30">
        <v>1736</v>
      </c>
      <c r="F21">
        <v>17</v>
      </c>
      <c r="H21" s="30">
        <f>ROUNDUP(((C21*E21)-(D21*E21))/(F21*3),0)</f>
        <v>2910</v>
      </c>
      <c r="I21" s="47">
        <f t="shared" si="1"/>
        <v>87160320</v>
      </c>
      <c r="N21" s="30"/>
    </row>
    <row r="22" spans="2:14" x14ac:dyDescent="0.3">
      <c r="B22" s="30" t="s">
        <v>176</v>
      </c>
      <c r="C22" s="30">
        <f>ESS전력량계!O18-ESS전력량계!N18</f>
        <v>101.83000000000004</v>
      </c>
      <c r="D22" s="30">
        <f>ESS전력량계!I18-ESS전력량계!H18</f>
        <v>2.0000000000000018E-2</v>
      </c>
      <c r="E22" s="30">
        <v>1736</v>
      </c>
      <c r="F22">
        <v>20</v>
      </c>
      <c r="H22" s="30">
        <f t="shared" ref="H22:H33" si="2">ROUNDUP(((C22*E22)-(D22*E22))/(F22*3),0)</f>
        <v>2946</v>
      </c>
      <c r="I22" s="47">
        <f t="shared" si="1"/>
        <v>88238592</v>
      </c>
      <c r="N22" s="30"/>
    </row>
    <row r="23" spans="2:14" x14ac:dyDescent="0.3">
      <c r="B23" s="30" t="s">
        <v>177</v>
      </c>
      <c r="C23" s="30">
        <f>ESS전력량계!O19-ESS전력량계!N19</f>
        <v>112.03999999999996</v>
      </c>
      <c r="D23" s="30">
        <f>ESS전력량계!I19-ESS전력량계!H19</f>
        <v>2.9999999999999971E-2</v>
      </c>
      <c r="E23" s="30">
        <v>1736</v>
      </c>
      <c r="F23">
        <v>22</v>
      </c>
      <c r="H23" s="30">
        <f t="shared" si="2"/>
        <v>2947</v>
      </c>
      <c r="I23" s="47">
        <f t="shared" si="1"/>
        <v>88268544</v>
      </c>
      <c r="N23" s="30"/>
    </row>
    <row r="24" spans="2:14" x14ac:dyDescent="0.3">
      <c r="B24" s="30" t="s">
        <v>178</v>
      </c>
      <c r="C24" s="30">
        <f>ESS전력량계!O20-ESS전력량계!N20</f>
        <v>111.69000000000005</v>
      </c>
      <c r="D24" s="30">
        <f>ESS전력량계!I20-ESS전력량계!H20</f>
        <v>3.0000000000000027E-2</v>
      </c>
      <c r="E24" s="30">
        <v>1736</v>
      </c>
      <c r="F24">
        <v>22</v>
      </c>
      <c r="H24" s="30">
        <f t="shared" si="2"/>
        <v>2937</v>
      </c>
      <c r="I24" s="47">
        <f t="shared" si="1"/>
        <v>87969024</v>
      </c>
      <c r="N24" s="30"/>
    </row>
    <row r="25" spans="2:14" x14ac:dyDescent="0.3">
      <c r="B25" s="30" t="s">
        <v>179</v>
      </c>
      <c r="C25" s="30">
        <f>ESS전력량계!O21-ESS전력량계!N21</f>
        <v>95.819999999999936</v>
      </c>
      <c r="D25" s="30">
        <f>ESS전력량계!I21-ESS전력량계!H21</f>
        <v>1.9999999999999962E-2</v>
      </c>
      <c r="E25" s="30">
        <v>1736</v>
      </c>
      <c r="F25">
        <v>19</v>
      </c>
      <c r="H25" s="30">
        <f t="shared" si="2"/>
        <v>2918</v>
      </c>
      <c r="I25" s="47">
        <f t="shared" si="1"/>
        <v>87399936</v>
      </c>
      <c r="N25" s="30"/>
    </row>
    <row r="26" spans="2:14" x14ac:dyDescent="0.3">
      <c r="B26" s="30" t="s">
        <v>180</v>
      </c>
      <c r="C26" s="30">
        <f>ESS전력량계!O22-ESS전력량계!N22</f>
        <v>115.91000000000008</v>
      </c>
      <c r="D26" s="30">
        <f>ESS전력량계!I22-ESS전력량계!H22</f>
        <v>3.0000000000000027E-2</v>
      </c>
      <c r="E26" s="30">
        <v>1736</v>
      </c>
      <c r="F26">
        <v>23</v>
      </c>
      <c r="H26" s="30">
        <f t="shared" si="2"/>
        <v>2916</v>
      </c>
      <c r="I26" s="47">
        <f t="shared" si="1"/>
        <v>87340032</v>
      </c>
      <c r="N26" s="30"/>
    </row>
    <row r="27" spans="2:14" x14ac:dyDescent="0.3">
      <c r="B27" s="30" t="s">
        <v>181</v>
      </c>
      <c r="C27" s="30">
        <f>ESS전력량계!O23-ESS전력량계!N23</f>
        <v>100.14999999999986</v>
      </c>
      <c r="D27" s="30">
        <f>ESS전력량계!I23-ESS전력량계!H23</f>
        <v>2.9999999999999971E-2</v>
      </c>
      <c r="E27" s="30">
        <v>1736</v>
      </c>
      <c r="F27">
        <v>21</v>
      </c>
      <c r="H27" s="30">
        <f t="shared" si="2"/>
        <v>2759</v>
      </c>
      <c r="I27" s="47">
        <f t="shared" si="1"/>
        <v>82637568</v>
      </c>
      <c r="N27" s="30"/>
    </row>
    <row r="28" spans="2:14" x14ac:dyDescent="0.3">
      <c r="B28" s="30" t="s">
        <v>182</v>
      </c>
      <c r="C28" s="30">
        <f>ESS전력량계!O24-ESS전력량계!N24</f>
        <v>94.529999999999973</v>
      </c>
      <c r="D28" s="30">
        <f>ESS전력량계!I24-ESS전력량계!H24</f>
        <v>2.0000000000000018E-2</v>
      </c>
      <c r="E28" s="30">
        <v>1736</v>
      </c>
      <c r="F28">
        <v>19</v>
      </c>
      <c r="H28" s="30">
        <f t="shared" si="2"/>
        <v>2879</v>
      </c>
      <c r="I28" s="47">
        <f t="shared" si="1"/>
        <v>86231808</v>
      </c>
      <c r="N28" s="30"/>
    </row>
    <row r="29" spans="2:14" x14ac:dyDescent="0.3">
      <c r="B29" s="30" t="s">
        <v>183</v>
      </c>
      <c r="C29" s="30">
        <f>ESS전력량계!O25-ESS전력량계!N25</f>
        <v>102.23000000000002</v>
      </c>
      <c r="D29" s="30">
        <f>ESS전력량계!I25-ESS전력량계!H25</f>
        <v>3.0000000000000027E-2</v>
      </c>
      <c r="E29" s="30">
        <v>1736</v>
      </c>
      <c r="F29">
        <v>21</v>
      </c>
      <c r="H29" s="30">
        <f t="shared" si="2"/>
        <v>2817</v>
      </c>
      <c r="I29" s="47">
        <f t="shared" si="1"/>
        <v>84374784</v>
      </c>
      <c r="N29" s="30"/>
    </row>
    <row r="30" spans="2:14" x14ac:dyDescent="0.3">
      <c r="B30" s="30" t="s">
        <v>184</v>
      </c>
      <c r="C30" s="30">
        <f>ESS전력량계!O26-ESS전력량계!N26</f>
        <v>101.19000000000005</v>
      </c>
      <c r="D30" s="30">
        <f>ESS전력량계!I26-ESS전력량계!H26</f>
        <v>3.999999999999998E-2</v>
      </c>
      <c r="E30" s="30">
        <v>1736</v>
      </c>
      <c r="F30">
        <v>21</v>
      </c>
      <c r="H30" s="30">
        <f t="shared" si="2"/>
        <v>2788</v>
      </c>
      <c r="I30" s="47">
        <f t="shared" si="1"/>
        <v>83506176</v>
      </c>
      <c r="N30" s="30"/>
    </row>
    <row r="31" spans="2:14" x14ac:dyDescent="0.3">
      <c r="B31" s="30" t="s">
        <v>185</v>
      </c>
      <c r="C31" s="30">
        <f>ESS전력량계!O27-ESS전력량계!N27</f>
        <v>81.5</v>
      </c>
      <c r="D31" s="30">
        <f>ESS전력량계!I27-ESS전력량계!H27</f>
        <v>4.0000000000000036E-2</v>
      </c>
      <c r="E31" s="30">
        <v>1736</v>
      </c>
      <c r="F31">
        <v>21</v>
      </c>
      <c r="H31" s="30">
        <f t="shared" si="2"/>
        <v>2245</v>
      </c>
      <c r="I31" s="47">
        <f t="shared" si="1"/>
        <v>67242240</v>
      </c>
      <c r="N31" s="30"/>
    </row>
    <row r="32" spans="2:14" x14ac:dyDescent="0.3">
      <c r="B32" t="s">
        <v>187</v>
      </c>
      <c r="C32" s="30">
        <f>ESS전력량계!O28-ESS전력량계!N28</f>
        <v>39.8900000000001</v>
      </c>
      <c r="D32" s="30">
        <f>ESS전력량계!I28-ESS전력량계!H28</f>
        <v>0.12</v>
      </c>
      <c r="E32" s="30">
        <v>1736</v>
      </c>
      <c r="F32">
        <v>20</v>
      </c>
      <c r="H32" s="30">
        <f t="shared" si="2"/>
        <v>1151</v>
      </c>
      <c r="I32" s="47">
        <f t="shared" si="1"/>
        <v>34474752</v>
      </c>
      <c r="N32" s="30"/>
    </row>
    <row r="33" spans="2:14" x14ac:dyDescent="0.3">
      <c r="B33" s="30" t="s">
        <v>188</v>
      </c>
      <c r="C33" s="30">
        <f>ESS전력량계!O29-ESS전력량계!N29</f>
        <v>94.289999999999964</v>
      </c>
      <c r="D33" s="30">
        <f>ESS전력량계!I29-ESS전력량계!H29</f>
        <v>2.9999999999999916E-2</v>
      </c>
      <c r="E33" s="30">
        <v>1736</v>
      </c>
      <c r="F33">
        <v>20</v>
      </c>
      <c r="H33" s="30">
        <f t="shared" si="2"/>
        <v>2728</v>
      </c>
      <c r="I33" s="47">
        <f t="shared" si="1"/>
        <v>81709056</v>
      </c>
      <c r="N33" s="30"/>
    </row>
    <row r="34" spans="2:14" x14ac:dyDescent="0.3">
      <c r="B34" s="30" t="s">
        <v>189</v>
      </c>
      <c r="C34" s="30">
        <f>ESS전력량계!O30-ESS전력량계!N30</f>
        <v>108.29999999999995</v>
      </c>
      <c r="D34" s="30">
        <f>ESS전력량계!I30-ESS전력량계!H30</f>
        <v>2.0000000000000018E-2</v>
      </c>
      <c r="E34" s="30">
        <v>1736</v>
      </c>
      <c r="F34">
        <v>22</v>
      </c>
      <c r="H34" s="30">
        <f t="shared" ref="H34:H39" si="3">ROUND(((C34*E34)-(D34*E34))/(F34*3),0)</f>
        <v>2848</v>
      </c>
      <c r="I34" s="47">
        <f t="shared" si="1"/>
        <v>85303296</v>
      </c>
      <c r="N34" s="30"/>
    </row>
    <row r="35" spans="2:14" x14ac:dyDescent="0.3">
      <c r="B35" s="30" t="s">
        <v>485</v>
      </c>
      <c r="C35" s="30">
        <f>ESS전력량계!O31-ESS전력량계!N31</f>
        <v>94.680000000000064</v>
      </c>
      <c r="D35" s="30">
        <f>ESS전력량계!I31-ESS전력량계!H31</f>
        <v>3.0000000000000027E-2</v>
      </c>
      <c r="E35" s="30">
        <v>1736</v>
      </c>
      <c r="F35">
        <v>20</v>
      </c>
      <c r="H35">
        <f t="shared" si="3"/>
        <v>2739</v>
      </c>
      <c r="I35" s="47">
        <f t="shared" si="1"/>
        <v>82038528</v>
      </c>
      <c r="N35" s="30"/>
    </row>
    <row r="36" spans="2:14" x14ac:dyDescent="0.3">
      <c r="B36" s="30" t="s">
        <v>208</v>
      </c>
      <c r="C36" s="30">
        <f>ESS전력량계!O32-ESS전력량계!N32</f>
        <v>92.409999999999854</v>
      </c>
      <c r="D36" s="30">
        <f>ESS전력량계!I32-ESS전력량계!H32</f>
        <v>2.0000000000000018E-2</v>
      </c>
      <c r="E36" s="30">
        <v>1736</v>
      </c>
      <c r="F36">
        <v>20</v>
      </c>
      <c r="H36" s="30">
        <f t="shared" si="3"/>
        <v>2673</v>
      </c>
      <c r="I36" s="47">
        <f t="shared" ref="I36" si="4">H36*$K$3*$K$4*$K$5</f>
        <v>80061696</v>
      </c>
    </row>
    <row r="37" spans="2:14" x14ac:dyDescent="0.3">
      <c r="B37" s="30" t="s">
        <v>209</v>
      </c>
      <c r="C37" s="30">
        <f>ESS전력량계!O33-ESS전력량계!N33</f>
        <v>83.599999999999909</v>
      </c>
      <c r="D37" s="30">
        <f>ESS전력량계!I33-ESS전력량계!H33</f>
        <v>5.0000000000000044E-2</v>
      </c>
      <c r="E37" s="30">
        <v>1736</v>
      </c>
      <c r="F37" s="30">
        <v>22</v>
      </c>
      <c r="H37" s="30">
        <f t="shared" si="3"/>
        <v>2198</v>
      </c>
      <c r="I37" s="47">
        <f t="shared" ref="I37:I38" si="5">H37*$K$3*$K$4*$K$5</f>
        <v>65834496</v>
      </c>
    </row>
    <row r="38" spans="2:14" x14ac:dyDescent="0.3">
      <c r="B38" s="30" t="s">
        <v>210</v>
      </c>
      <c r="C38" s="30">
        <f>ESS전력량계!O34-ESS전력량계!N34</f>
        <v>88.0300000000002</v>
      </c>
      <c r="D38" s="30">
        <f>ESS전력량계!I34-ESS전력량계!H34</f>
        <v>3.9999999999999925E-2</v>
      </c>
      <c r="E38" s="30">
        <v>1736</v>
      </c>
      <c r="F38">
        <v>23</v>
      </c>
      <c r="H38">
        <f t="shared" si="3"/>
        <v>2214</v>
      </c>
      <c r="I38" s="47">
        <f t="shared" si="5"/>
        <v>66313728</v>
      </c>
    </row>
    <row r="39" spans="2:14" x14ac:dyDescent="0.3">
      <c r="B39" s="30" t="s">
        <v>211</v>
      </c>
      <c r="C39" s="30">
        <f>ESS전력량계!O35-ESS전력량계!N35</f>
        <v>80.230000000000018</v>
      </c>
      <c r="D39" s="30">
        <f>ESS전력량계!I35-ESS전력량계!H35</f>
        <v>4.0000000000000036E-2</v>
      </c>
      <c r="E39" s="30">
        <v>1737</v>
      </c>
      <c r="F39">
        <v>21</v>
      </c>
      <c r="H39" s="30">
        <f t="shared" si="3"/>
        <v>2211</v>
      </c>
      <c r="I39" s="47">
        <f t="shared" ref="I39" si="6">H39*$K$3*$K$4*$K$5</f>
        <v>66223872</v>
      </c>
    </row>
  </sheetData>
  <mergeCells count="1">
    <mergeCell ref="E8:L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A7" workbookViewId="0">
      <selection activeCell="C31" sqref="C31:N32"/>
    </sheetView>
  </sheetViews>
  <sheetFormatPr defaultRowHeight="16.5" x14ac:dyDescent="0.3"/>
  <cols>
    <col min="6" max="6" width="10" bestFit="1" customWidth="1"/>
    <col min="7" max="8" width="11.625" bestFit="1" customWidth="1"/>
    <col min="9" max="9" width="11.875" bestFit="1" customWidth="1"/>
    <col min="11" max="11" width="10.875" bestFit="1" customWidth="1"/>
    <col min="12" max="13" width="9.375" style="47" bestFit="1" customWidth="1"/>
    <col min="14" max="14" width="10.875" bestFit="1" customWidth="1"/>
  </cols>
  <sheetData>
    <row r="1" spans="2:16" s="30" customFormat="1" x14ac:dyDescent="0.3">
      <c r="L1" s="47"/>
      <c r="M1" s="47"/>
    </row>
    <row r="2" spans="2:16" s="30" customFormat="1" x14ac:dyDescent="0.3">
      <c r="L2" s="47"/>
      <c r="M2" s="47"/>
      <c r="P2" s="38">
        <v>1736</v>
      </c>
    </row>
    <row r="3" spans="2:16" x14ac:dyDescent="0.3">
      <c r="P3" s="38">
        <v>1.2</v>
      </c>
    </row>
    <row r="4" spans="2:16" x14ac:dyDescent="0.3">
      <c r="B4" s="241" t="s">
        <v>190</v>
      </c>
      <c r="C4" s="241" t="s">
        <v>191</v>
      </c>
      <c r="D4" s="242"/>
      <c r="E4" s="242"/>
      <c r="F4" s="242" t="s">
        <v>192</v>
      </c>
      <c r="G4" s="242"/>
      <c r="H4" s="242"/>
      <c r="I4" s="242"/>
      <c r="J4" s="242" t="s">
        <v>193</v>
      </c>
      <c r="K4" s="241" t="s">
        <v>194</v>
      </c>
      <c r="L4" s="241"/>
      <c r="M4" s="241"/>
      <c r="N4" s="241"/>
    </row>
    <row r="5" spans="2:16" x14ac:dyDescent="0.3">
      <c r="B5" s="241"/>
      <c r="C5" s="49" t="s">
        <v>195</v>
      </c>
      <c r="D5" s="49" t="s">
        <v>196</v>
      </c>
      <c r="E5" s="49" t="s">
        <v>197</v>
      </c>
      <c r="F5" s="48" t="s">
        <v>198</v>
      </c>
      <c r="G5" s="48" t="s">
        <v>199</v>
      </c>
      <c r="H5" s="48" t="s">
        <v>200</v>
      </c>
      <c r="I5" s="48" t="s">
        <v>201</v>
      </c>
      <c r="J5" s="242"/>
      <c r="K5" s="48" t="s">
        <v>202</v>
      </c>
      <c r="L5" s="200" t="s">
        <v>203</v>
      </c>
      <c r="M5" s="200" t="s">
        <v>204</v>
      </c>
      <c r="N5" s="48" t="s">
        <v>205</v>
      </c>
    </row>
    <row r="6" spans="2:16" x14ac:dyDescent="0.3">
      <c r="B6" s="50" t="s">
        <v>206</v>
      </c>
      <c r="C6" s="50">
        <f>ROUND((ESS전력량계!E10-ESS전력량계!D10)*$P$2,0)</f>
        <v>176482</v>
      </c>
      <c r="D6" s="50">
        <f>ROUND((ESS전력량계!G10-ESS전력량계!F10)*$P$2,0)</f>
        <v>2066</v>
      </c>
      <c r="E6" s="50">
        <f>ROUND((ESS전력량계!I10-ESS전력량계!H10)*$P$2,0)</f>
        <v>156</v>
      </c>
      <c r="F6" s="50">
        <f>ROUNDDOWN(SUMIFS(요금적용DB!G:G,요금적용DB!$D:$D,"2018년",요금적용DB!$E:$E,"7월",요금적용DB!$F:$F,"경")*C6,0)</f>
        <v>9900640</v>
      </c>
      <c r="G6" s="50">
        <f>ROUNDDOWN(SUMIFS(요금적용DB!G:G,요금적용DB!$D:$D,"2018년",요금적용DB!$E:$E,"7월",요금적용DB!$F:$F,"중간")*D6,0)</f>
        <v>225194</v>
      </c>
      <c r="H6" s="50">
        <f>ROUNDDOWN(SUMIFS(요금적용DB!G:G,요금적용DB!$D:$D,"2018년",요금적용DB!$E:$E,"7월",요금적용DB!$F:$F,"최대")*E6,0)</f>
        <v>29811</v>
      </c>
      <c r="I6" s="51">
        <f>SUM(F6:H6)</f>
        <v>10155645</v>
      </c>
      <c r="J6" s="50">
        <f>ROUND(SUMIFS(요금적용DB!$H:$H,요금적용DB!$D:$D,"2018년",요금적용DB!E:E,"7월",요금적용DB!F:F,"경")*C6*$P$3,0)</f>
        <v>5940384</v>
      </c>
      <c r="K6" s="53">
        <f>I6-J6</f>
        <v>4215261</v>
      </c>
      <c r="L6" s="51">
        <f>ROUND(K6*0.1,0)</f>
        <v>421526</v>
      </c>
      <c r="M6" s="51">
        <f>ROUNDDOWN(K6*0.037,-1)</f>
        <v>155960</v>
      </c>
      <c r="N6" s="53">
        <f>ROUNDDOWN(SUM(K6:M6),-1)</f>
        <v>4792740</v>
      </c>
    </row>
    <row r="7" spans="2:16" x14ac:dyDescent="0.3">
      <c r="B7" s="50" t="s">
        <v>168</v>
      </c>
      <c r="C7" s="50">
        <f>ROUND((ESS전력량계!E11-ESS전력량계!D11)*$P$2,0)</f>
        <v>237138</v>
      </c>
      <c r="D7" s="50">
        <f>ROUND((ESS전력량계!G11-ESS전력량계!F11)*$P$2,0)</f>
        <v>799</v>
      </c>
      <c r="E7" s="50">
        <f>ROUND((ESS전력량계!I11-ESS전력량계!H11)*$P$2,0)</f>
        <v>0</v>
      </c>
      <c r="F7" s="50">
        <f>ROUNDDOWN(SUMIFS(요금적용DB!G:G,요금적용DB!$D:$D,"2018년",요금적용DB!$E:$E,"8월",요금적용DB!$F:$F,"경")*C7,0)</f>
        <v>13303441</v>
      </c>
      <c r="G7" s="50">
        <f>ROUNDDOWN(SUMIFS(요금적용DB!G:G,요금적용DB!$D:$D,"2018년",요금적용DB!$E:$E,"8월",요금적용DB!$F:$F,"중간")*D7,0)</f>
        <v>87091</v>
      </c>
      <c r="H7" s="50">
        <f>ROUNDDOWN(SUMIFS(요금적용DB!G:G,요금적용DB!$D:$D,"2018년",요금적용DB!$E:$E,"8월",요금적용DB!$F:$F,"최대")*E7,0)</f>
        <v>0</v>
      </c>
      <c r="I7" s="51">
        <f t="shared" ref="I7:I35" si="0">SUM(F7:H7)</f>
        <v>13390532</v>
      </c>
      <c r="J7" s="50">
        <f>ROUND(SUMIFS(요금적용DB!$H:$H,요금적용DB!$D:$D,"2018년",요금적용DB!E:E,"8월",요금적용DB!F:F,"경")*C7*$P$3,0)</f>
        <v>7982065</v>
      </c>
      <c r="K7" s="53">
        <f t="shared" ref="K7:K35" si="1">I7-J7</f>
        <v>5408467</v>
      </c>
      <c r="L7" s="51">
        <f t="shared" ref="L7:L35" si="2">ROUND(K7*0.1,0)</f>
        <v>540847</v>
      </c>
      <c r="M7" s="51">
        <f t="shared" ref="M7:M35" si="3">ROUNDDOWN(K7*0.037,-1)</f>
        <v>200110</v>
      </c>
      <c r="N7" s="53">
        <f t="shared" ref="N7:N35" si="4">ROUNDDOWN(SUM(K7:M7),-1)</f>
        <v>6149420</v>
      </c>
    </row>
    <row r="8" spans="2:16" x14ac:dyDescent="0.3">
      <c r="B8" s="50" t="s">
        <v>169</v>
      </c>
      <c r="C8" s="50">
        <f>ROUND((ESS전력량계!E12-ESS전력량계!D12)*$P$2,0)</f>
        <v>214552</v>
      </c>
      <c r="D8" s="50">
        <f>ROUND((ESS전력량계!G12-ESS전력량계!F12)*$P$2,0)</f>
        <v>694</v>
      </c>
      <c r="E8" s="50">
        <f>ROUND((ESS전력량계!I12-ESS전력량계!H12)*$P$2,0)</f>
        <v>17</v>
      </c>
      <c r="F8" s="50">
        <f>ROUNDDOWN(SUMIFS(요금적용DB!G:G,요금적용DB!$D:$D,"2018년",요금적용DB!$E:$E,"9월",요금적용DB!$F:$F,"경")*C8,0)</f>
        <v>12036367</v>
      </c>
      <c r="G8" s="50">
        <f>ROUNDDOWN(SUMIFS(요금적용DB!G:G,요금적용DB!$D:$D,"2018년",요금적용DB!$E:$E,"9월",요금적용DB!$F:$F,"중간")*D8,0)</f>
        <v>54548</v>
      </c>
      <c r="H8" s="50">
        <f>ROUNDDOWN(SUMIFS(요금적용DB!G:G,요금적용DB!$D:$D,"2018년",요금적용DB!$E:$E,"9월",요금적용DB!$F:$F,"최대")*E8,0)</f>
        <v>1858</v>
      </c>
      <c r="I8" s="51">
        <f t="shared" si="0"/>
        <v>12092773</v>
      </c>
      <c r="J8" s="50">
        <f>ROUND(SUMIFS(요금적용DB!$H:$H,요금적용DB!$D:$D,"2018년",요금적용DB!E:E,"9월",요금적용DB!F:F,"경")*C8*$P$3,0)</f>
        <v>7221820</v>
      </c>
      <c r="K8" s="53">
        <f t="shared" si="1"/>
        <v>4870953</v>
      </c>
      <c r="L8" s="51">
        <f t="shared" si="2"/>
        <v>487095</v>
      </c>
      <c r="M8" s="51">
        <f t="shared" si="3"/>
        <v>180220</v>
      </c>
      <c r="N8" s="53">
        <f t="shared" si="4"/>
        <v>5538260</v>
      </c>
    </row>
    <row r="9" spans="2:16" x14ac:dyDescent="0.3">
      <c r="B9" s="50" t="s">
        <v>170</v>
      </c>
      <c r="C9" s="50">
        <f>ROUND((ESS전력량계!E13-ESS전력량계!D13)*$P$2,0)</f>
        <v>243526</v>
      </c>
      <c r="D9" s="50">
        <f>ROUND((ESS전력량계!G13-ESS전력량계!F13)*$P$2,0)</f>
        <v>833</v>
      </c>
      <c r="E9" s="50">
        <f>ROUND((ESS전력량계!I13-ESS전력량계!H13)*$P$2,0)</f>
        <v>52</v>
      </c>
      <c r="F9" s="50">
        <f>ROUNDDOWN(SUMIFS(요금적용DB!G:G,요금적용DB!$D:$D,"2018년",요금적용DB!$E:$E,"10월",요금적용DB!$F:$F,"경")*C9,0)</f>
        <v>13661808</v>
      </c>
      <c r="G9" s="50">
        <f>ROUNDDOWN(SUMIFS(요금적용DB!G:G,요금적용DB!$D:$D,"2018년",요금적용DB!$E:$E,"10월",요금적용DB!$F:$F,"중간")*D9,0)</f>
        <v>65473</v>
      </c>
      <c r="H9" s="50">
        <f>ROUNDDOWN(SUMIFS(요금적용DB!G:G,요금적용DB!$D:$D,"2018년",요금적용DB!$E:$E,"10월",요금적용DB!$F:$F,"최대")*E9,0)</f>
        <v>5683</v>
      </c>
      <c r="I9" s="51">
        <f t="shared" si="0"/>
        <v>13732964</v>
      </c>
      <c r="J9" s="50">
        <f>ROUND(SUMIFS(요금적용DB!$H:$H,요금적용DB!$D:$D,"2018년",요금적용DB!E:E,"10월",요금적용DB!F:F,"경")*C9*$P$3,0)</f>
        <v>8197085</v>
      </c>
      <c r="K9" s="53">
        <f t="shared" si="1"/>
        <v>5535879</v>
      </c>
      <c r="L9" s="51">
        <f t="shared" si="2"/>
        <v>553588</v>
      </c>
      <c r="M9" s="51">
        <f t="shared" si="3"/>
        <v>204820</v>
      </c>
      <c r="N9" s="53">
        <f t="shared" si="4"/>
        <v>6294280</v>
      </c>
    </row>
    <row r="10" spans="2:16" x14ac:dyDescent="0.3">
      <c r="B10" s="50" t="s">
        <v>171</v>
      </c>
      <c r="C10" s="50">
        <f>ROUND((ESS전력량계!E14-ESS전력량계!D14)*$P$2,0)</f>
        <v>252171</v>
      </c>
      <c r="D10" s="50">
        <f>ROUND((ESS전력량계!G14-ESS전력량계!F14)*$P$2,0)</f>
        <v>799</v>
      </c>
      <c r="E10" s="50">
        <f>ROUND((ESS전력량계!I14-ESS전력량계!H14)*$P$2,0)</f>
        <v>52</v>
      </c>
      <c r="F10" s="50">
        <f>ROUNDDOWN(SUMIFS(요금적용DB!G:G,요금적용DB!$D:$D,"2018년",요금적용DB!$E:$E,"11월",요금적용DB!$F:$F,"경")*C10,0)</f>
        <v>15911990</v>
      </c>
      <c r="G10" s="50">
        <f>ROUNDDOWN(SUMIFS(요금적용DB!G:G,요금적용DB!$D:$D,"2018년",요금적용DB!$E:$E,"11월",요금적용DB!$F:$F,"중간")*D10,0)</f>
        <v>87250</v>
      </c>
      <c r="H10" s="50">
        <f>ROUNDDOWN(SUMIFS(요금적용DB!G:G,요금적용DB!$D:$D,"2018년",요금적용DB!$E:$E,"11월",요금적용DB!$F:$F,"최대")*E10,0)</f>
        <v>8668</v>
      </c>
      <c r="I10" s="51">
        <f t="shared" si="0"/>
        <v>16007908</v>
      </c>
      <c r="J10" s="50">
        <f>ROUND(SUMIFS(요금적용DB!$H:$H,요금적용DB!$D:$D,"2018년",요금적용DB!E:E,"11월",요금적용DB!F:F,"경")*C10*$P$3,0)</f>
        <v>9547194</v>
      </c>
      <c r="K10" s="53">
        <f t="shared" si="1"/>
        <v>6460714</v>
      </c>
      <c r="L10" s="51">
        <f t="shared" si="2"/>
        <v>646071</v>
      </c>
      <c r="M10" s="51">
        <f t="shared" si="3"/>
        <v>239040</v>
      </c>
      <c r="N10" s="53">
        <f t="shared" si="4"/>
        <v>7345820</v>
      </c>
    </row>
    <row r="11" spans="2:16" x14ac:dyDescent="0.3">
      <c r="B11" s="50" t="s">
        <v>172</v>
      </c>
      <c r="C11" s="50">
        <f>ROUND((ESS전력량계!E15-ESS전력량계!D15)*$P$2,0)</f>
        <v>229742</v>
      </c>
      <c r="D11" s="50">
        <f>ROUND((ESS전력량계!G15-ESS전력량계!F15)*$P$2,0)</f>
        <v>781</v>
      </c>
      <c r="E11" s="50">
        <f>ROUND((ESS전력량계!I15-ESS전력량계!H15)*$P$2,0)</f>
        <v>52</v>
      </c>
      <c r="F11" s="50">
        <f>ROUNDDOWN(SUMIFS(요금적용DB!G:G,요금적용DB!$D:$D,"2018년",요금적용DB!$E:$E,"12월",요금적용DB!$F:$F,"경")*C11,0)</f>
        <v>14496720</v>
      </c>
      <c r="G11" s="50">
        <f>ROUNDDOWN(SUMIFS(요금적용DB!G:G,요금적용DB!$D:$D,"2018년",요금적용DB!$E:$E,"12월",요금적용DB!$F:$F,"중간")*D11,0)</f>
        <v>85285</v>
      </c>
      <c r="H11" s="50">
        <f>ROUNDDOWN(SUMIFS(요금적용DB!G:G,요금적용DB!$D:$D,"2018년",요금적용DB!$E:$E,"12월",요금적용DB!$F:$F,"최대")*E11,0)</f>
        <v>8668</v>
      </c>
      <c r="I11" s="51">
        <f t="shared" si="0"/>
        <v>14590673</v>
      </c>
      <c r="J11" s="50">
        <f>ROUND(SUMIFS(요금적용DB!$H:$H,요금적용DB!$D:$D,"2018년",요금적용DB!E:E,"12월",요금적용DB!F:F,"경")*C11*$P$3,0)</f>
        <v>8698032</v>
      </c>
      <c r="K11" s="53">
        <f t="shared" si="1"/>
        <v>5892641</v>
      </c>
      <c r="L11" s="51">
        <f t="shared" si="2"/>
        <v>589264</v>
      </c>
      <c r="M11" s="51">
        <f t="shared" si="3"/>
        <v>218020</v>
      </c>
      <c r="N11" s="53">
        <f t="shared" si="4"/>
        <v>6699920</v>
      </c>
    </row>
    <row r="12" spans="2:16" x14ac:dyDescent="0.3">
      <c r="B12" s="50" t="s">
        <v>173</v>
      </c>
      <c r="C12" s="50">
        <f>ROUND((ESS전력량계!E16-ESS전력량계!D16)*$P$2,0)</f>
        <v>246408</v>
      </c>
      <c r="D12" s="50">
        <f>ROUND((ESS전력량계!G16-ESS전력량계!F16)*$P$2,0)</f>
        <v>816</v>
      </c>
      <c r="E12" s="50">
        <f>ROUND((ESS전력량계!I16-ESS전력량계!H16)*$P$2,0)</f>
        <v>52</v>
      </c>
      <c r="F12" s="50">
        <f>ROUNDDOWN(SUMIFS(요금적용DB!G:G,요금적용DB!$D:$D,"2019년",요금적용DB!$E:$E,"1월",요금적용DB!$F:$F,"경")*C12,0)</f>
        <v>15548344</v>
      </c>
      <c r="G12" s="50">
        <f>ROUNDDOWN(SUMIFS(요금적용DB!G:G,요금적용DB!$D:$D,"2019년",요금적용DB!$E:$E,"1월",요금적용DB!$F:$F,"중간")*D12,0)</f>
        <v>89107</v>
      </c>
      <c r="H12" s="50">
        <f>ROUNDDOWN(SUMIFS(요금적용DB!G:G,요금적용DB!$D:$D,"2019년",요금적용DB!$E:$E,"1월",요금적용DB!$F:$F,"최대")*E12,0)</f>
        <v>8668</v>
      </c>
      <c r="I12" s="51">
        <f t="shared" si="0"/>
        <v>15646119</v>
      </c>
      <c r="J12" s="50">
        <f>ROUND(SUMIFS(요금적용DB!$H:$H,요금적용DB!$D:$D,"2019년",요금적용DB!E:E,"1월",요금적용DB!F:F,"경")*C12*$P$3,0)</f>
        <v>9329007</v>
      </c>
      <c r="K12" s="53">
        <f t="shared" si="1"/>
        <v>6317112</v>
      </c>
      <c r="L12" s="51">
        <f t="shared" si="2"/>
        <v>631711</v>
      </c>
      <c r="M12" s="51">
        <f t="shared" si="3"/>
        <v>233730</v>
      </c>
      <c r="N12" s="53">
        <f t="shared" si="4"/>
        <v>7182550</v>
      </c>
    </row>
    <row r="13" spans="2:16" x14ac:dyDescent="0.3">
      <c r="B13" s="50" t="s">
        <v>175</v>
      </c>
      <c r="C13" s="50">
        <f>ROUND((ESS전력량계!E17-ESS전력량계!D17)*$P$2,0)</f>
        <v>201237</v>
      </c>
      <c r="D13" s="50">
        <f>ROUND((ESS전력량계!G17-ESS전력량계!F17)*$P$2,0)</f>
        <v>660</v>
      </c>
      <c r="E13" s="50">
        <f>ROUND((ESS전력량계!I17-ESS전력량계!H17)*$P$2,0)</f>
        <v>52</v>
      </c>
      <c r="F13" s="50">
        <f>ROUNDDOWN(SUMIFS(요금적용DB!G:G,요금적용DB!$D:$D,"2019년",요금적용DB!$E:$E,"2월",요금적용DB!$F:$F,"경")*C13,0)</f>
        <v>12698054</v>
      </c>
      <c r="G13" s="50">
        <f>ROUNDDOWN(SUMIFS(요금적용DB!G:G,요금적용DB!$D:$D,"2019년",요금적용DB!$E:$E,"2월",요금적용DB!$F:$F,"중간")*D13,0)</f>
        <v>72072</v>
      </c>
      <c r="H13" s="50">
        <f>ROUNDDOWN(SUMIFS(요금적용DB!G:G,요금적용DB!$D:$D,"2019년",요금적용DB!$E:$E,"2월",요금적용DB!$F:$F,"최대")*E13,0)</f>
        <v>8668</v>
      </c>
      <c r="I13" s="51">
        <f t="shared" si="0"/>
        <v>12778794</v>
      </c>
      <c r="J13" s="50">
        <f>ROUND(SUMIFS(요금적용DB!$H:$H,요금적용DB!$D:$D,"2019년",요금적용DB!E:E,"2월",요금적용DB!F:F,"경")*C13*$P$3,0)</f>
        <v>7618833</v>
      </c>
      <c r="K13" s="53">
        <f t="shared" si="1"/>
        <v>5159961</v>
      </c>
      <c r="L13" s="51">
        <f t="shared" si="2"/>
        <v>515996</v>
      </c>
      <c r="M13" s="51">
        <f t="shared" si="3"/>
        <v>190910</v>
      </c>
      <c r="N13" s="53">
        <f t="shared" si="4"/>
        <v>5866860</v>
      </c>
    </row>
    <row r="14" spans="2:16" x14ac:dyDescent="0.3">
      <c r="B14" s="50" t="s">
        <v>176</v>
      </c>
      <c r="C14" s="50">
        <f>ROUND((ESS전력량계!E18-ESS전력량계!D18)*$P$2,0)</f>
        <v>241356</v>
      </c>
      <c r="D14" s="50">
        <f>ROUND((ESS전력량계!G18-ESS전력량계!F18)*$P$2,0)</f>
        <v>799</v>
      </c>
      <c r="E14" s="50">
        <f>ROUND((ESS전력량계!I18-ESS전력량계!H18)*$P$2,0)</f>
        <v>35</v>
      </c>
      <c r="F14" s="50">
        <f>ROUNDDOWN(SUMIFS(요금적용DB!G:G,요금적용DB!$D:$D,"2019년",요금적용DB!$E:$E,"3월",요금적용DB!$F:$F,"경")*C14,0)</f>
        <v>13540071</v>
      </c>
      <c r="G14" s="50">
        <f>ROUNDDOWN(SUMIFS(요금적용DB!G:G,요금적용DB!$D:$D,"2019년",요금적용DB!$E:$E,"3월",요금적용DB!$F:$F,"중간")*D14,0)</f>
        <v>62801</v>
      </c>
      <c r="H14" s="50">
        <f>ROUNDDOWN(SUMIFS(요금적용DB!G:G,요금적용DB!$D:$D,"2019년",요금적용DB!$E:$E,"3월",요금적용DB!$F:$F,"최대")*E14,0)</f>
        <v>3825</v>
      </c>
      <c r="I14" s="51">
        <f t="shared" si="0"/>
        <v>13606697</v>
      </c>
      <c r="J14" s="50">
        <f>ROUND(SUMIFS(요금적용DB!$H:$H,요금적용DB!$D:$D,"2019년",요금적용DB!E:E,"3월",요금적용DB!F:F,"경")*C14*$P$3,0)</f>
        <v>8124043</v>
      </c>
      <c r="K14" s="53">
        <f t="shared" si="1"/>
        <v>5482654</v>
      </c>
      <c r="L14" s="51">
        <f t="shared" si="2"/>
        <v>548265</v>
      </c>
      <c r="M14" s="51">
        <f t="shared" si="3"/>
        <v>202850</v>
      </c>
      <c r="N14" s="53">
        <f t="shared" si="4"/>
        <v>6233760</v>
      </c>
    </row>
    <row r="15" spans="2:16" x14ac:dyDescent="0.3">
      <c r="B15" s="50" t="s">
        <v>177</v>
      </c>
      <c r="C15" s="50">
        <f>ROUND((ESS전력량계!E19-ESS전력량계!D19)*$P$2,0)</f>
        <v>251026</v>
      </c>
      <c r="D15" s="50">
        <f>ROUND((ESS전력량계!G19-ESS전력량계!F19)*$P$2,0)</f>
        <v>833</v>
      </c>
      <c r="E15" s="50">
        <f>ROUND((ESS전력량계!I19-ESS전력량계!H19)*$P$2,0)</f>
        <v>52</v>
      </c>
      <c r="F15" s="50">
        <f>ROUNDDOWN(SUMIFS(요금적용DB!G:G,요금적용DB!$D:$D,"2019년",요금적용DB!$E:$E,"4월",요금적용DB!$F:$F,"경")*C15,0)</f>
        <v>14082558</v>
      </c>
      <c r="G15" s="50">
        <f>ROUNDDOWN(SUMIFS(요금적용DB!G:G,요금적용DB!$D:$D,"2019년",요금적용DB!$E:$E,"4월",요금적용DB!$F:$F,"중간")*D15,0)</f>
        <v>65473</v>
      </c>
      <c r="H15" s="50">
        <f>ROUNDDOWN(SUMIFS(요금적용DB!G:G,요금적용DB!$D:$D,"2019년",요금적용DB!$E:$E,"4월",요금적용DB!$F:$F,"최대")*E15,0)</f>
        <v>5683</v>
      </c>
      <c r="I15" s="51">
        <f t="shared" si="0"/>
        <v>14153714</v>
      </c>
      <c r="J15" s="50">
        <f>ROUND(SUMIFS(요금적용DB!$H:$H,요금적용DB!$D:$D,"2019년",요금적용DB!E:E,"4월",요금적용DB!F:F,"경")*C15*$P$3,0)</f>
        <v>8449535</v>
      </c>
      <c r="K15" s="53">
        <f t="shared" si="1"/>
        <v>5704179</v>
      </c>
      <c r="L15" s="51">
        <f t="shared" si="2"/>
        <v>570418</v>
      </c>
      <c r="M15" s="51">
        <f t="shared" si="3"/>
        <v>211050</v>
      </c>
      <c r="N15" s="53">
        <f t="shared" si="4"/>
        <v>6485640</v>
      </c>
    </row>
    <row r="16" spans="2:16" x14ac:dyDescent="0.3">
      <c r="B16" s="50" t="s">
        <v>178</v>
      </c>
      <c r="C16" s="50">
        <f>ROUND((ESS전력량계!E20-ESS전력량계!D20)*$P$2,0)</f>
        <v>250210</v>
      </c>
      <c r="D16" s="50">
        <f>ROUND((ESS전력량계!G20-ESS전력량계!F20)*$P$2,0)</f>
        <v>677</v>
      </c>
      <c r="E16" s="50">
        <f>ROUND((ESS전력량계!I20-ESS전력량계!H20)*$P$2,0)</f>
        <v>52</v>
      </c>
      <c r="F16" s="50">
        <f>ROUNDDOWN(SUMIFS(요금적용DB!G:G,요금적용DB!$D:$D,"2019년",요금적용DB!$E:$E,"5월",요금적용DB!$F:$F,"경")*C16,0)</f>
        <v>14036781</v>
      </c>
      <c r="G16" s="50">
        <f>ROUNDDOWN(SUMIFS(요금적용DB!G:G,요금적용DB!$D:$D,"2019년",요금적용DB!$E:$E,"5월",요금적용DB!$F:$F,"중간")*D16,0)</f>
        <v>53212</v>
      </c>
      <c r="H16" s="50">
        <f>ROUNDDOWN(SUMIFS(요금적용DB!G:G,요금적용DB!$D:$D,"2019년",요금적용DB!$E:$E,"5월",요금적용DB!$F:$F,"최대")*E16,0)</f>
        <v>5683</v>
      </c>
      <c r="I16" s="51">
        <f t="shared" si="0"/>
        <v>14095676</v>
      </c>
      <c r="J16" s="50">
        <f>ROUND(SUMIFS(요금적용DB!$H:$H,요금적용DB!$D:$D,"2019년",요금적용DB!E:E,"5월",요금적용DB!F:F,"경")*C16*$P$3,0)</f>
        <v>8422069</v>
      </c>
      <c r="K16" s="53">
        <f t="shared" si="1"/>
        <v>5673607</v>
      </c>
      <c r="L16" s="51">
        <f t="shared" si="2"/>
        <v>567361</v>
      </c>
      <c r="M16" s="51">
        <f t="shared" si="3"/>
        <v>209920</v>
      </c>
      <c r="N16" s="53">
        <f t="shared" si="4"/>
        <v>6450880</v>
      </c>
    </row>
    <row r="17" spans="2:14" x14ac:dyDescent="0.3">
      <c r="B17" s="50" t="s">
        <v>179</v>
      </c>
      <c r="C17" s="50">
        <f>ROUND((ESS전력량계!E21-ESS전력량계!D21)*$P$2,0)</f>
        <v>230437</v>
      </c>
      <c r="D17" s="50">
        <f>ROUND((ESS전력량계!G21-ESS전력량계!F21)*$P$2,0)</f>
        <v>712</v>
      </c>
      <c r="E17" s="50">
        <f>ROUND((ESS전력량계!I21-ESS전력량계!H21)*$P$2,0)</f>
        <v>35</v>
      </c>
      <c r="F17" s="50">
        <f>ROUNDDOWN(SUMIFS(요금적용DB!G:G,요금적용DB!$D:$D,"2019년",요금적용DB!$E:$E,"6월",요금적용DB!$F:$F,"경")*C17,0)</f>
        <v>12927515</v>
      </c>
      <c r="G17" s="50">
        <f>ROUNDDOWN(SUMIFS(요금적용DB!G:G,요금적용DB!$D:$D,"2019년",요금적용DB!$E:$E,"6월",요금적용DB!$F:$F,"중간")*D17,0)</f>
        <v>77608</v>
      </c>
      <c r="H17" s="50">
        <f>ROUNDDOWN(SUMIFS(요금적용DB!G:G,요금적용DB!$D:$D,"2019년",요금적용DB!$E:$E,"6월",요금적용DB!$F:$F,"최대")*E17,0)</f>
        <v>6688</v>
      </c>
      <c r="I17" s="51">
        <f t="shared" si="0"/>
        <v>13011811</v>
      </c>
      <c r="J17" s="50">
        <f>ROUND(SUMIFS(요금적용DB!$H:$H,요금적용DB!$D:$D,"2019년",요금적용DB!E:E,"6월",요금적용DB!F:F,"경")*C17*$P$3,0)</f>
        <v>7756509</v>
      </c>
      <c r="K17" s="53">
        <f t="shared" si="1"/>
        <v>5255302</v>
      </c>
      <c r="L17" s="51">
        <f t="shared" si="2"/>
        <v>525530</v>
      </c>
      <c r="M17" s="51">
        <f t="shared" si="3"/>
        <v>194440</v>
      </c>
      <c r="N17" s="53">
        <f t="shared" si="4"/>
        <v>5975270</v>
      </c>
    </row>
    <row r="18" spans="2:14" x14ac:dyDescent="0.3">
      <c r="B18" s="50" t="s">
        <v>180</v>
      </c>
      <c r="C18" s="50">
        <f>ROUND((ESS전력량계!E22-ESS전력량계!D22)*$P$2,0)</f>
        <v>257813</v>
      </c>
      <c r="D18" s="50">
        <f>ROUND((ESS전력량계!G22-ESS전력량계!F22)*$P$2,0)</f>
        <v>660</v>
      </c>
      <c r="E18" s="50">
        <f>ROUND((ESS전력량계!I22-ESS전력량계!H22)*$P$2,0)</f>
        <v>52</v>
      </c>
      <c r="F18" s="50">
        <f>ROUNDDOWN(SUMIFS(요금적용DB!G:G,요금적용DB!$D:$D,"2019년",요금적용DB!$E:$E,"7월",요금적용DB!$F:$F,"경")*C18,0)</f>
        <v>14463309</v>
      </c>
      <c r="G18" s="50">
        <f>ROUNDDOWN(SUMIFS(요금적용DB!G:G,요금적용DB!$D:$D,"2019년",요금적용DB!$E:$E,"7월",요금적용DB!$F:$F,"중간")*D18,0)</f>
        <v>71940</v>
      </c>
      <c r="H18" s="50">
        <f>ROUNDDOWN(SUMIFS(요금적용DB!G:G,요금적용DB!$D:$D,"2019년",요금적용DB!$E:$E,"7월",요금적용DB!$F:$F,"최대")*E18,0)</f>
        <v>9937</v>
      </c>
      <c r="I18" s="51">
        <f t="shared" si="0"/>
        <v>14545186</v>
      </c>
      <c r="J18" s="50">
        <f>ROUND(SUMIFS(요금적용DB!$H:$H,요금적용DB!$D:$D,"2019년",요금적용DB!E:E,"7월",요금적용DB!F:F,"경")*C18*$P$3,0)</f>
        <v>8677986</v>
      </c>
      <c r="K18" s="53">
        <f t="shared" si="1"/>
        <v>5867200</v>
      </c>
      <c r="L18" s="51">
        <f t="shared" si="2"/>
        <v>586720</v>
      </c>
      <c r="M18" s="51">
        <f t="shared" si="3"/>
        <v>217080</v>
      </c>
      <c r="N18" s="53">
        <f t="shared" si="4"/>
        <v>6671000</v>
      </c>
    </row>
    <row r="19" spans="2:14" x14ac:dyDescent="0.3">
      <c r="B19" s="50" t="s">
        <v>181</v>
      </c>
      <c r="C19" s="50">
        <f>ROUND((ESS전력량계!E23-ESS전력량계!D23)*$P$2,0)</f>
        <v>238561</v>
      </c>
      <c r="D19" s="50">
        <f>ROUND((ESS전력량계!G23-ESS전력량계!F23)*$P$2,0)</f>
        <v>642</v>
      </c>
      <c r="E19" s="50">
        <f>ROUND((ESS전력량계!I23-ESS전력량계!H23)*$P$2,0)</f>
        <v>52</v>
      </c>
      <c r="F19" s="50">
        <f>ROUNDDOWN(SUMIFS(요금적용DB!G:G,요금적용DB!$D:$D,"2019년",요금적용DB!$E:$E,"8월",요금적용DB!$F:$F,"경")*C19,0)</f>
        <v>13383272</v>
      </c>
      <c r="G19" s="50">
        <f>ROUNDDOWN(SUMIFS(요금적용DB!G:G,요금적용DB!$D:$D,"2019년",요금적용DB!$E:$E,"8월",요금적용DB!$F:$F,"중간")*D19,0)</f>
        <v>69978</v>
      </c>
      <c r="H19" s="50">
        <f>ROUNDDOWN(SUMIFS(요금적용DB!G:G,요금적용DB!$D:$D,"2019년",요금적용DB!$E:$E,"8월",요금적용DB!$F:$F,"최대")*E19,0)</f>
        <v>9937</v>
      </c>
      <c r="I19" s="51">
        <f t="shared" si="0"/>
        <v>13463187</v>
      </c>
      <c r="J19" s="50">
        <f>ROUND(SUMIFS(요금적용DB!$H:$H,요금적용DB!$D:$D,"2019년",요금적용DB!E:E,"8월",요금적용DB!F:F,"경")*C19*$P$3,0)</f>
        <v>8029963</v>
      </c>
      <c r="K19" s="53">
        <f t="shared" si="1"/>
        <v>5433224</v>
      </c>
      <c r="L19" s="51">
        <f t="shared" si="2"/>
        <v>543322</v>
      </c>
      <c r="M19" s="51">
        <f t="shared" si="3"/>
        <v>201020</v>
      </c>
      <c r="N19" s="53">
        <f t="shared" si="4"/>
        <v>6177560</v>
      </c>
    </row>
    <row r="20" spans="2:14" x14ac:dyDescent="0.3">
      <c r="B20" s="50" t="s">
        <v>182</v>
      </c>
      <c r="C20" s="50">
        <f>ROUND((ESS전력량계!E24-ESS전력량계!D24)*$P$2,0)</f>
        <v>207886</v>
      </c>
      <c r="D20" s="50">
        <f>ROUND((ESS전력량계!G24-ESS전력량계!F24)*$P$2,0)</f>
        <v>538</v>
      </c>
      <c r="E20" s="50">
        <f>ROUND((ESS전력량계!I24-ESS전력량계!H24)*$P$2,0)</f>
        <v>35</v>
      </c>
      <c r="F20" s="50">
        <f>ROUNDDOWN(SUMIFS(요금적용DB!G:G,요금적용DB!$D:$D,"2019년",요금적용DB!$E:$E,"9월",요금적용DB!$F:$F,"경")*C20,0)</f>
        <v>11662404</v>
      </c>
      <c r="G20" s="50">
        <f>ROUNDDOWN(SUMIFS(요금적용DB!G:G,요금적용DB!$D:$D,"2019년",요금적용DB!$E:$E,"9월",요금적용DB!$F:$F,"중간")*D20,0)</f>
        <v>42286</v>
      </c>
      <c r="H20" s="50">
        <f>ROUNDDOWN(SUMIFS(요금적용DB!G:G,요금적용DB!$D:$D,"2019년",요금적용DB!$E:$E,"9월",요금적용DB!$F:$F,"최대")*E20,0)</f>
        <v>3825</v>
      </c>
      <c r="I20" s="51">
        <f t="shared" si="0"/>
        <v>11708515</v>
      </c>
      <c r="J20" s="50">
        <f>ROUND(SUMIFS(요금적용DB!$H:$H,요금적용DB!$D:$D,"2019년",요금적용DB!E:E,"9월",요금적용DB!F:F,"경")*C20*$P$3,0)</f>
        <v>6997443</v>
      </c>
      <c r="K20" s="53">
        <f t="shared" si="1"/>
        <v>4711072</v>
      </c>
      <c r="L20" s="51">
        <f t="shared" si="2"/>
        <v>471107</v>
      </c>
      <c r="M20" s="51">
        <f t="shared" si="3"/>
        <v>174300</v>
      </c>
      <c r="N20" s="53">
        <f t="shared" si="4"/>
        <v>5356470</v>
      </c>
    </row>
    <row r="21" spans="2:14" x14ac:dyDescent="0.3">
      <c r="B21" s="50" t="s">
        <v>183</v>
      </c>
      <c r="C21" s="50">
        <f>ROUND((ESS전력량계!E25-ESS전력량계!D25)*$P$2,0)</f>
        <v>230871</v>
      </c>
      <c r="D21" s="50">
        <f>ROUND((ESS전력량계!G25-ESS전력량계!F25)*$P$2,0)</f>
        <v>608</v>
      </c>
      <c r="E21" s="50">
        <f>ROUND((ESS전력량계!I25-ESS전력량계!H25)*$P$2,0)</f>
        <v>52</v>
      </c>
      <c r="F21" s="50">
        <f>ROUNDDOWN(SUMIFS(요금적용DB!G:G,요금적용DB!$D:$D,"2019년",요금적용DB!$E:$E,"10월",요금적용DB!$F:$F,"경")*C21,0)</f>
        <v>12951863</v>
      </c>
      <c r="G21" s="50">
        <f>ROUNDDOWN(SUMIFS(요금적용DB!G:G,요금적용DB!$D:$D,"2019년",요금적용DB!$E:$E,"10월",요금적용DB!$F:$F,"중간")*D21,0)</f>
        <v>47788</v>
      </c>
      <c r="H21" s="50">
        <f>ROUNDDOWN(SUMIFS(요금적용DB!G:G,요금적용DB!$D:$D,"2019년",요금적용DB!$E:$E,"10월",요금적용DB!$F:$F,"최대")*E21,0)</f>
        <v>5683</v>
      </c>
      <c r="I21" s="51">
        <f t="shared" si="0"/>
        <v>13005334</v>
      </c>
      <c r="J21" s="50">
        <f>ROUND(SUMIFS(요금적용DB!$H:$H,요금적용DB!$D:$D,"2019년",요금적용DB!E:E,"10월",요금적용DB!F:F,"경")*C21*$P$3,0)</f>
        <v>7771118</v>
      </c>
      <c r="K21" s="53">
        <f t="shared" si="1"/>
        <v>5234216</v>
      </c>
      <c r="L21" s="51">
        <f t="shared" si="2"/>
        <v>523422</v>
      </c>
      <c r="M21" s="51">
        <f t="shared" si="3"/>
        <v>193660</v>
      </c>
      <c r="N21" s="53">
        <f t="shared" si="4"/>
        <v>5951290</v>
      </c>
    </row>
    <row r="22" spans="2:14" x14ac:dyDescent="0.3">
      <c r="B22" s="50" t="s">
        <v>184</v>
      </c>
      <c r="C22" s="50">
        <f>ROUND((ESS전력량계!E26-ESS전력량계!D26)*$P$2,0)</f>
        <v>237346</v>
      </c>
      <c r="D22" s="50">
        <f>ROUND((ESS전력량계!G26-ESS전력량계!F26)*$P$2,0)</f>
        <v>642</v>
      </c>
      <c r="E22" s="50">
        <f>ROUND((ESS전력량계!I26-ESS전력량계!H26)*$P$2,0)</f>
        <v>69</v>
      </c>
      <c r="F22" s="50">
        <f>ROUNDDOWN(SUMIFS(요금적용DB!G:G,요금적용DB!$D:$D,"2019년",요금적용DB!$E:$E,"11월",요금적용DB!$F:$F,"경")*C22,0)</f>
        <v>14976532</v>
      </c>
      <c r="G22" s="50">
        <f>ROUNDDOWN(SUMIFS(요금적용DB!G:G,요금적용DB!$D:$D,"2019년",요금적용DB!$E:$E,"11월",요금적용DB!$F:$F,"중간")*D22,0)</f>
        <v>70106</v>
      </c>
      <c r="H22" s="50">
        <f>ROUNDDOWN(SUMIFS(요금적용DB!G:G,요금적용DB!$D:$D,"2019년",요금적용DB!$E:$E,"11월",요금적용DB!$F:$F,"최대")*E22,0)</f>
        <v>11502</v>
      </c>
      <c r="I22" s="51">
        <f t="shared" si="0"/>
        <v>15058140</v>
      </c>
      <c r="J22" s="50">
        <f>ROUND(SUMIFS(요금적용DB!$H:$H,요금적용DB!$D:$D,"2019년",요금적용DB!E:E,"11월",요금적용DB!F:F,"경")*C22*$P$3,0)</f>
        <v>8985920</v>
      </c>
      <c r="K22" s="53">
        <f t="shared" si="1"/>
        <v>6072220</v>
      </c>
      <c r="L22" s="51">
        <f t="shared" si="2"/>
        <v>607222</v>
      </c>
      <c r="M22" s="51">
        <f t="shared" si="3"/>
        <v>224670</v>
      </c>
      <c r="N22" s="53">
        <f t="shared" si="4"/>
        <v>6904110</v>
      </c>
    </row>
    <row r="23" spans="2:14" x14ac:dyDescent="0.3">
      <c r="B23" s="50" t="s">
        <v>185</v>
      </c>
      <c r="C23" s="50">
        <f>ROUND((ESS전력량계!E27-ESS전력량계!D27)*$P$2,0)</f>
        <v>183061</v>
      </c>
      <c r="D23" s="50">
        <f>ROUND((ESS전력량계!G27-ESS전력량계!F27)*$P$2,0)</f>
        <v>625</v>
      </c>
      <c r="E23" s="50">
        <f>ROUND((ESS전력량계!I27-ESS전력량계!H27)*$P$2,0)</f>
        <v>69</v>
      </c>
      <c r="F23" s="50">
        <f>ROUNDDOWN(SUMIFS(요금적용DB!G:G,요금적용DB!$D:$D,"2019년",요금적용DB!$E:$E,"12월",요금적용DB!$F:$F,"경")*C23,0)</f>
        <v>11551149</v>
      </c>
      <c r="G23" s="50">
        <f>ROUNDDOWN(SUMIFS(요금적용DB!G:G,요금적용DB!$D:$D,"2019년",요금적용DB!$E:$E,"12월",요금적용DB!$F:$F,"중간")*D23,0)</f>
        <v>68250</v>
      </c>
      <c r="H23" s="50">
        <f>ROUNDDOWN(SUMIFS(요금적용DB!G:G,요금적용DB!$D:$D,"2019년",요금적용DB!$E:$E,"12월",요금적용DB!$F:$F,"최대")*E23,0)</f>
        <v>11502</v>
      </c>
      <c r="I23" s="51">
        <f t="shared" si="0"/>
        <v>11630901</v>
      </c>
      <c r="J23" s="50">
        <f>ROUND(SUMIFS(요금적용DB!$H:$H,요금적용DB!$D:$D,"2019년",요금적용DB!E:E,"12월",요금적용DB!F:F,"경")*C23*$P$3,0)</f>
        <v>6930689</v>
      </c>
      <c r="K23" s="53">
        <f t="shared" si="1"/>
        <v>4700212</v>
      </c>
      <c r="L23" s="51">
        <f t="shared" si="2"/>
        <v>470021</v>
      </c>
      <c r="M23" s="51">
        <f t="shared" si="3"/>
        <v>173900</v>
      </c>
      <c r="N23" s="53">
        <f t="shared" si="4"/>
        <v>5344130</v>
      </c>
    </row>
    <row r="24" spans="2:14" x14ac:dyDescent="0.3">
      <c r="B24" s="50" t="s">
        <v>186</v>
      </c>
      <c r="C24" s="50">
        <f>ROUND((ESS전력량계!E28-ESS전력량계!D28)*$P$2,0)</f>
        <v>95636</v>
      </c>
      <c r="D24" s="50">
        <f>ROUND((ESS전력량계!G28-ESS전력량계!F28)*$P$2,0)</f>
        <v>608</v>
      </c>
      <c r="E24" s="50">
        <f>ROUND((ESS전력량계!I28-ESS전력량계!H28)*$P$2,0)</f>
        <v>208</v>
      </c>
      <c r="F24" s="50">
        <f>ROUNDDOWN(SUMIFS(요금적용DB!G:G,요금적용DB!$D:$D,"2020년",요금적용DB!$E:$E,"1월",요금적용DB!$F:$F,"경")*C24,0)</f>
        <v>6034631</v>
      </c>
      <c r="G24" s="50">
        <f>ROUNDDOWN(SUMIFS(요금적용DB!G:G,요금적용DB!$D:$D,"2020년",요금적용DB!$E:$E,"1월",요금적용DB!$F:$F,"중간")*D24,0)</f>
        <v>66393</v>
      </c>
      <c r="H24" s="50">
        <f>ROUNDDOWN(SUMIFS(요금적용DB!G:G,요금적용DB!$D:$D,"2020년",요금적용DB!$E:$E,"1월",요금적용DB!$F:$F,"최대")*E24,0)</f>
        <v>34673</v>
      </c>
      <c r="I24" s="51">
        <f t="shared" si="0"/>
        <v>6135697</v>
      </c>
      <c r="J24" s="50">
        <f>ROUND(SUMIFS(요금적용DB!$H:$H,요금적용DB!$D:$D,"2020년",요금적용DB!E:E,"1월",요금적용DB!F:F,"경")*C24*$P$3,0)</f>
        <v>3620779</v>
      </c>
      <c r="K24" s="53">
        <f t="shared" si="1"/>
        <v>2514918</v>
      </c>
      <c r="L24" s="51">
        <f t="shared" si="2"/>
        <v>251492</v>
      </c>
      <c r="M24" s="51">
        <f t="shared" si="3"/>
        <v>93050</v>
      </c>
      <c r="N24" s="53">
        <f t="shared" si="4"/>
        <v>2859460</v>
      </c>
    </row>
    <row r="25" spans="2:14" x14ac:dyDescent="0.3">
      <c r="B25" s="50" t="s">
        <v>188</v>
      </c>
      <c r="C25" s="50">
        <f>ROUND((ESS전력량계!E29-ESS전력량계!D29)*$P$2,0)</f>
        <v>222850</v>
      </c>
      <c r="D25" s="50">
        <f>ROUND((ESS전력량계!G29-ESS전력량계!F29)*$P$2,0)</f>
        <v>625</v>
      </c>
      <c r="E25" s="50">
        <f>ROUND((ESS전력량계!I29-ESS전력량계!H29)*$P$2,0)</f>
        <v>52</v>
      </c>
      <c r="F25" s="50">
        <f>ROUNDDOWN(SUMIFS(요금적용DB!G:G,요금적용DB!$D:$D,"2020년",요금적용DB!$E:$E,"2월",요금적용DB!$F:$F,"경")*C25,0)</f>
        <v>14061835</v>
      </c>
      <c r="G25" s="50">
        <f>ROUNDDOWN(SUMIFS(요금적용DB!G:G,요금적용DB!$D:$D,"2020년",요금적용DB!$E:$E,"2월",요금적용DB!$F:$F,"중간")*D25,0)</f>
        <v>68250</v>
      </c>
      <c r="H25" s="50">
        <f>ROUNDDOWN(SUMIFS(요금적용DB!G:G,요금적용DB!$D:$D,"2020년",요금적용DB!$E:$E,"2월",요금적용DB!$F:$F,"최대")*E25,0)</f>
        <v>8668</v>
      </c>
      <c r="I25" s="51">
        <f t="shared" si="0"/>
        <v>14138753</v>
      </c>
      <c r="J25" s="50">
        <f>ROUND(SUMIFS(요금적용DB!$H:$H,요금적용DB!$D:$D,"2020년",요금적용DB!E:E,"2월",요금적용DB!F:F,"경")*C25*$P$3,0)</f>
        <v>8437101</v>
      </c>
      <c r="K25" s="53">
        <f t="shared" si="1"/>
        <v>5701652</v>
      </c>
      <c r="L25" s="51">
        <f t="shared" si="2"/>
        <v>570165</v>
      </c>
      <c r="M25" s="51">
        <f t="shared" si="3"/>
        <v>210960</v>
      </c>
      <c r="N25" s="53">
        <f t="shared" si="4"/>
        <v>6482770</v>
      </c>
    </row>
    <row r="26" spans="2:14" x14ac:dyDescent="0.3">
      <c r="B26" s="50" t="s">
        <v>189</v>
      </c>
      <c r="C26" s="50">
        <f>ROUND((ESS전력량계!E30-ESS전력량계!D30)*$P$2,0)</f>
        <v>242450</v>
      </c>
      <c r="D26" s="50">
        <f>ROUND((ESS전력량계!G30-ESS전력량계!F30)*$P$2,0)</f>
        <v>642</v>
      </c>
      <c r="E26" s="50">
        <f>ROUND((ESS전력량계!I30-ESS전력량계!H30)*$P$2,0)</f>
        <v>35</v>
      </c>
      <c r="F26" s="50">
        <f>ROUNDDOWN(SUMIFS(요금적용DB!G:G,요금적용DB!$D:$D,"2020년",요금적용DB!$E:$E,"3월",요금적용DB!$F:$F,"경")*C26,0)</f>
        <v>13601445</v>
      </c>
      <c r="G26" s="50">
        <f>ROUNDDOWN(SUMIFS(요금적용DB!G:G,요금적용DB!$D:$D,"2020년",요금적용DB!$E:$E,"3월",요금적용DB!$F:$F,"중간")*D26,0)</f>
        <v>50461</v>
      </c>
      <c r="H26" s="50">
        <f>ROUNDDOWN(SUMIFS(요금적용DB!G:G,요금적용DB!$D:$D,"2020년",요금적용DB!$E:$E,"3월",요금적용DB!$F:$F,"최대")*E26,0)</f>
        <v>3825</v>
      </c>
      <c r="I26" s="51">
        <f t="shared" si="0"/>
        <v>13655731</v>
      </c>
      <c r="J26" s="50">
        <f>ROUND(SUMIFS(요금적용DB!$H:$H,요금적용DB!$D:$D,"2020년",요금적용DB!E:E,"3월",요금적용DB!F:F,"경")*C26*$P$3,0)</f>
        <v>8160867</v>
      </c>
      <c r="K26" s="53">
        <f t="shared" si="1"/>
        <v>5494864</v>
      </c>
      <c r="L26" s="51">
        <f t="shared" si="2"/>
        <v>549486</v>
      </c>
      <c r="M26" s="51">
        <f t="shared" si="3"/>
        <v>203300</v>
      </c>
      <c r="N26" s="53">
        <f t="shared" si="4"/>
        <v>6247650</v>
      </c>
    </row>
    <row r="27" spans="2:14" x14ac:dyDescent="0.3">
      <c r="B27" s="50" t="s">
        <v>207</v>
      </c>
      <c r="C27" s="50">
        <f>ROUND((ESS전력량계!E31-ESS전력량계!D31)*$P$2,0)</f>
        <v>215229</v>
      </c>
      <c r="D27" s="50">
        <f>ROUND((ESS전력량계!G31-ESS전력량계!F31)*$P$2,0)</f>
        <v>590</v>
      </c>
      <c r="E27" s="50">
        <f>ROUND((ESS전력량계!I31-ESS전력량계!H31)*$P$2,0)</f>
        <v>52</v>
      </c>
      <c r="F27" s="50">
        <f>ROUNDDOWN(SUMIFS(요금적용DB!G:G,요금적용DB!$D:$D,"2020년",요금적용DB!$E:$E,"4월",요금적용DB!$F:$F,"경")*C27,0)</f>
        <v>12074346</v>
      </c>
      <c r="G27" s="50">
        <f>ROUNDDOWN(SUMIFS(요금적용DB!G:G,요금적용DB!$D:$D,"2020년",요금적용DB!$E:$E,"4월",요금적용DB!$F:$F,"중간")*D27,0)</f>
        <v>46374</v>
      </c>
      <c r="H27" s="50">
        <f>ROUNDDOWN(SUMIFS(요금적용DB!G:G,요금적용DB!$D:$D,"2020년",요금적용DB!$E:$E,"4월",요금적용DB!$F:$F,"최대")*E27,0)</f>
        <v>5683</v>
      </c>
      <c r="I27" s="51">
        <f t="shared" si="0"/>
        <v>12126403</v>
      </c>
      <c r="J27" s="50">
        <f>ROUND(SUMIFS(요금적용DB!$H:$H,요금적용DB!$D:$D,"2020년",요금적용DB!E:E,"4월",요금적용DB!F:F,"경")*C27*$P$3,0)</f>
        <v>7244608</v>
      </c>
      <c r="K27" s="53">
        <f t="shared" si="1"/>
        <v>4881795</v>
      </c>
      <c r="L27" s="51">
        <f t="shared" si="2"/>
        <v>488180</v>
      </c>
      <c r="M27" s="51">
        <f t="shared" si="3"/>
        <v>180620</v>
      </c>
      <c r="N27" s="53">
        <f t="shared" si="4"/>
        <v>5550590</v>
      </c>
    </row>
    <row r="28" spans="2:14" x14ac:dyDescent="0.3">
      <c r="B28" s="50" t="s">
        <v>208</v>
      </c>
      <c r="C28" s="50">
        <f>ROUND((ESS전력량계!E32-ESS전력량계!D32)*$P$2,0)</f>
        <v>218875</v>
      </c>
      <c r="D28" s="50">
        <f>ROUND((ESS전력량계!G32-ESS전력량계!F32)*$P$2,0)</f>
        <v>712</v>
      </c>
      <c r="E28" s="50">
        <f>ROUND((ESS전력량계!I32-ESS전력량계!H32)*$P$2,0)</f>
        <v>35</v>
      </c>
      <c r="F28" s="50">
        <f>ROUNDDOWN(SUMIFS(요금적용DB!G:G,요금적용DB!$D:$D,"2020년",요금적용DB!$E:$E,"5월",요금적용DB!$F:$F,"경")*C28,0)</f>
        <v>12278887</v>
      </c>
      <c r="G28" s="50">
        <f>ROUNDDOWN(SUMIFS(요금적용DB!G:G,요금적용DB!$D:$D,"2020년",요금적용DB!$E:$E,"5월",요금적용DB!$F:$F,"중간")*D28,0)</f>
        <v>55963</v>
      </c>
      <c r="H28" s="50">
        <f>ROUNDDOWN(SUMIFS(요금적용DB!G:G,요금적용DB!$D:$D,"2020년",요금적용DB!$E:$E,"5월",요금적용DB!$F:$F,"최대")*E28,0)</f>
        <v>3825</v>
      </c>
      <c r="I28" s="51">
        <f t="shared" si="0"/>
        <v>12338675</v>
      </c>
      <c r="J28" s="50">
        <f>ROUND(SUMIFS(요금적용DB!$H:$H,요금적용DB!$D:$D,"2020년",요금적용DB!E:E,"5월",요금적용DB!F:F,"경")*C28*$P$3,0)</f>
        <v>7367333</v>
      </c>
      <c r="K28" s="53">
        <f t="shared" si="1"/>
        <v>4971342</v>
      </c>
      <c r="L28" s="51">
        <f t="shared" si="2"/>
        <v>497134</v>
      </c>
      <c r="M28" s="51">
        <f t="shared" si="3"/>
        <v>183930</v>
      </c>
      <c r="N28" s="53">
        <f t="shared" si="4"/>
        <v>5652400</v>
      </c>
    </row>
    <row r="29" spans="2:14" x14ac:dyDescent="0.3">
      <c r="B29" s="50" t="s">
        <v>209</v>
      </c>
      <c r="C29" s="50">
        <f>ROUND((ESS전력량계!E33-ESS전력량계!D33)*$P$2,0)</f>
        <v>168357</v>
      </c>
      <c r="D29" s="50">
        <f>ROUND((ESS전력량계!G33-ESS전력량계!F33)*$P$2,0)</f>
        <v>851</v>
      </c>
      <c r="E29" s="50">
        <f>ROUND((ESS전력량계!I33-ESS전력량계!H33)*$P$2,0)</f>
        <v>87</v>
      </c>
      <c r="F29" s="50">
        <f>ROUNDDOWN(SUMIFS(요금적용DB!G:G,요금적용DB!$D:$D,"2020년",요금적용DB!$E:$E,"6월",요금적용DB!$F:$F,"경")*C29,0)</f>
        <v>9444827</v>
      </c>
      <c r="G29" s="50">
        <f>ROUNDDOWN(SUMIFS(요금적용DB!G:G,요금적용DB!$D:$D,"2020년",요금적용DB!$E:$E,"6월",요금적용DB!$F:$F,"중간")*D29,0)</f>
        <v>92759</v>
      </c>
      <c r="H29" s="50">
        <f>ROUNDDOWN(SUMIFS(요금적용DB!G:G,요금적용DB!$D:$D,"2020년",요금적용DB!$E:$E,"6월",요금적용DB!$F:$F,"최대")*E29,0)</f>
        <v>16625</v>
      </c>
      <c r="I29" s="51">
        <f t="shared" si="0"/>
        <v>9554211</v>
      </c>
      <c r="J29" s="50">
        <f>ROUND(SUMIFS(요금적용DB!$H:$H,요금적용DB!$D:$D,"2020년",요금적용DB!E:E,"6월",요금적용DB!F:F,"경")*C29*$P$3,0)</f>
        <v>5666897</v>
      </c>
      <c r="K29" s="53">
        <f t="shared" si="1"/>
        <v>3887314</v>
      </c>
      <c r="L29" s="51">
        <f t="shared" si="2"/>
        <v>388731</v>
      </c>
      <c r="M29" s="51">
        <f t="shared" si="3"/>
        <v>143830</v>
      </c>
      <c r="N29" s="53">
        <f t="shared" si="4"/>
        <v>4419870</v>
      </c>
    </row>
    <row r="30" spans="2:14" x14ac:dyDescent="0.3">
      <c r="B30" s="50" t="s">
        <v>210</v>
      </c>
      <c r="C30" s="50">
        <f>ROUND((ESS전력량계!E34-ESS전력량계!D34)*$P$2,0)</f>
        <v>195717</v>
      </c>
      <c r="D30" s="50">
        <f>ROUND((ESS전력량계!G34-ESS전력량계!F34)*$P$2,0)</f>
        <v>660</v>
      </c>
      <c r="E30" s="50">
        <f>ROUND((ESS전력량계!I34-ESS전력량계!H34)*$P$2,0)</f>
        <v>69</v>
      </c>
      <c r="F30" s="50">
        <f>ROUNDDOWN(SUMIFS(요금적용DB!G:G,요금적용DB!$D:$D,"2020년",요금적용DB!$E:$E,"7월",요금적용DB!$F:$F,"경")*C30,0)</f>
        <v>10979723</v>
      </c>
      <c r="G30" s="50">
        <f>ROUNDDOWN(SUMIFS(요금적용DB!G:G,요금적용DB!$D:$D,"2020년",요금적용DB!$E:$E,"7월",요금적용DB!$F:$F,"중간")*D30,0)</f>
        <v>71940</v>
      </c>
      <c r="H30" s="50">
        <f>ROUNDDOWN(SUMIFS(요금적용DB!G:G,요금적용DB!$D:$D,"2020년",요금적용DB!$E:$E,"7월",요금적용DB!$F:$F,"최대")*E30,0)</f>
        <v>13185</v>
      </c>
      <c r="I30" s="51">
        <f t="shared" si="0"/>
        <v>11064848</v>
      </c>
      <c r="J30" s="50">
        <f>ROUND(SUMIFS(요금적용DB!$H:$H,요금적용DB!$D:$D,"2020년",요금적용DB!E:E,"7월",요금적용DB!F:F,"경")*C30*$P$3,0)</f>
        <v>6587834</v>
      </c>
      <c r="K30" s="53">
        <f t="shared" si="1"/>
        <v>4477014</v>
      </c>
      <c r="L30" s="51">
        <f t="shared" si="2"/>
        <v>447701</v>
      </c>
      <c r="M30" s="51">
        <f t="shared" si="3"/>
        <v>165640</v>
      </c>
      <c r="N30" s="53">
        <f t="shared" si="4"/>
        <v>5090350</v>
      </c>
    </row>
    <row r="31" spans="2:14" x14ac:dyDescent="0.3">
      <c r="B31" s="50" t="s">
        <v>211</v>
      </c>
      <c r="C31" s="50">
        <f>ROUND((ESS전력량계!E35-ESS전력량계!D35)*$P$2,0)</f>
        <v>181013</v>
      </c>
      <c r="D31" s="50">
        <f>ROUND((ESS전력량계!G35-ESS전력량계!F35)*$P$2,0)</f>
        <v>694</v>
      </c>
      <c r="E31" s="50">
        <f>ROUND((ESS전력량계!I35-ESS전력량계!H35)*$P$2,0)</f>
        <v>69</v>
      </c>
      <c r="F31" s="50">
        <f>ROUNDDOWN(SUMIFS(요금적용DB!G:G,요금적용DB!$D:$D,"2020년",요금적용DB!$E:$E,"8월",요금적용DB!$F:$F,"경")*C31,0)</f>
        <v>10154829</v>
      </c>
      <c r="G31" s="50">
        <f>ROUNDDOWN(SUMIFS(요금적용DB!G:G,요금적용DB!$D:$D,"2020년",요금적용DB!$E:$E,"8월",요금적용DB!$F:$F,"중간")*D31,0)</f>
        <v>75646</v>
      </c>
      <c r="H31" s="50">
        <f>ROUNDDOWN(SUMIFS(요금적용DB!G:G,요금적용DB!$D:$D,"2020년",요금적용DB!$E:$E,"8월",요금적용DB!$F:$F,"최대")*E31,0)</f>
        <v>13185</v>
      </c>
      <c r="I31" s="51">
        <f t="shared" si="0"/>
        <v>10243660</v>
      </c>
      <c r="J31" s="50">
        <f>ROUND(SUMIFS(요금적용DB!$H:$H,요금적용DB!$D:$D,"2020년",요금적용DB!E:E,"8월",요금적용DB!F:F,"경")*C31*$P$3,0)</f>
        <v>6092898</v>
      </c>
      <c r="K31" s="53">
        <f t="shared" si="1"/>
        <v>4150762</v>
      </c>
      <c r="L31" s="51">
        <f t="shared" si="2"/>
        <v>415076</v>
      </c>
      <c r="M31" s="51">
        <f t="shared" si="3"/>
        <v>153570</v>
      </c>
      <c r="N31" s="53">
        <f t="shared" si="4"/>
        <v>4719400</v>
      </c>
    </row>
    <row r="32" spans="2:14" x14ac:dyDescent="0.3">
      <c r="B32" s="50" t="s">
        <v>212</v>
      </c>
      <c r="C32" s="50">
        <f>ROUND((ESS전력량계!E36-ESS전력량계!D36)*$P$2,0)</f>
        <v>0</v>
      </c>
      <c r="D32" s="50">
        <f>ROUND((ESS전력량계!G36-ESS전력량계!F36)*$P$2,0)</f>
        <v>0</v>
      </c>
      <c r="E32" s="50">
        <f>ROUND((ESS전력량계!I36-ESS전력량계!H36)*$P$2,0)</f>
        <v>0</v>
      </c>
      <c r="F32" s="50">
        <f>ROUNDDOWN(SUMIFS(요금적용DB!G:G,요금적용DB!$D:$D,"2020년",요금적용DB!$E:$E,"9월",요금적용DB!$F:$F,"경")*C32,0)</f>
        <v>0</v>
      </c>
      <c r="G32" s="50">
        <f>ROUNDDOWN(SUMIFS(요금적용DB!G:G,요금적용DB!$D:$D,"2020년",요금적용DB!$E:$E,"9월",요금적용DB!$F:$F,"중간")*D32,0)</f>
        <v>0</v>
      </c>
      <c r="H32" s="50">
        <f>ROUNDDOWN(SUMIFS(요금적용DB!G:G,요금적용DB!$D:$D,"2020년",요금적용DB!$E:$E,"9월",요금적용DB!$F:$F,"최대")*E32,0)</f>
        <v>0</v>
      </c>
      <c r="I32" s="51">
        <f t="shared" si="0"/>
        <v>0</v>
      </c>
      <c r="J32" s="50">
        <f>ROUND(SUMIFS(요금적용DB!$H:$H,요금적용DB!$D:$D,"2020년",요금적용DB!E:E,"9월",요금적용DB!F:F,"경")*C32*$P$3,0)</f>
        <v>0</v>
      </c>
      <c r="K32" s="53">
        <f t="shared" si="1"/>
        <v>0</v>
      </c>
      <c r="L32" s="51">
        <f t="shared" si="2"/>
        <v>0</v>
      </c>
      <c r="M32" s="51">
        <f t="shared" si="3"/>
        <v>0</v>
      </c>
      <c r="N32" s="53">
        <f t="shared" si="4"/>
        <v>0</v>
      </c>
    </row>
    <row r="33" spans="2:14" x14ac:dyDescent="0.3">
      <c r="B33" s="50" t="s">
        <v>213</v>
      </c>
      <c r="C33" s="50">
        <f>ROUND((ESS전력량계!E37-ESS전력량계!D37)*$P$2,0)</f>
        <v>0</v>
      </c>
      <c r="D33" s="50">
        <f>ROUND((ESS전력량계!G37-ESS전력량계!F37)*$P$2,0)</f>
        <v>0</v>
      </c>
      <c r="E33" s="50">
        <f>ROUND((ESS전력량계!I37-ESS전력량계!H37)*$P$2,0)</f>
        <v>0</v>
      </c>
      <c r="F33" s="50">
        <f>ROUNDDOWN(SUMIFS(요금적용DB!G:G,요금적용DB!$D:$D,"2020년",요금적용DB!$E:$E,"10월",요금적용DB!$F:$F,"경")*C33,0)</f>
        <v>0</v>
      </c>
      <c r="G33" s="50">
        <f>ROUNDDOWN(SUMIFS(요금적용DB!G:G,요금적용DB!$D:$D,"2020년",요금적용DB!$E:$E,"10월",요금적용DB!$F:$F,"중간")*D33,0)</f>
        <v>0</v>
      </c>
      <c r="H33" s="50">
        <f>ROUNDDOWN(SUMIFS(요금적용DB!G:G,요금적용DB!$D:$D,"2020년",요금적용DB!$E:$E,"10월",요금적용DB!$F:$F,"최대")*E33,0)</f>
        <v>0</v>
      </c>
      <c r="I33" s="51">
        <f t="shared" si="0"/>
        <v>0</v>
      </c>
      <c r="J33" s="50">
        <f>ROUND(SUMIFS(요금적용DB!$H:$H,요금적용DB!$D:$D,"2020년",요금적용DB!E:E,"10월",요금적용DB!F:F,"경")*C33*$P$3,0)</f>
        <v>0</v>
      </c>
      <c r="K33" s="53">
        <f t="shared" si="1"/>
        <v>0</v>
      </c>
      <c r="L33" s="51">
        <f t="shared" si="2"/>
        <v>0</v>
      </c>
      <c r="M33" s="51">
        <f t="shared" si="3"/>
        <v>0</v>
      </c>
      <c r="N33" s="53">
        <f t="shared" si="4"/>
        <v>0</v>
      </c>
    </row>
    <row r="34" spans="2:14" x14ac:dyDescent="0.3">
      <c r="B34" s="50" t="s">
        <v>214</v>
      </c>
      <c r="C34" s="50">
        <f>ROUND((ESS전력량계!E38-ESS전력량계!D38)*$P$2,0)</f>
        <v>0</v>
      </c>
      <c r="D34" s="50">
        <f>ROUND((ESS전력량계!G38-ESS전력량계!F38)*$P$2,0)</f>
        <v>0</v>
      </c>
      <c r="E34" s="50">
        <f>ROUND((ESS전력량계!I38-ESS전력량계!H38)*$P$2,0)</f>
        <v>0</v>
      </c>
      <c r="F34" s="50">
        <f>ROUNDDOWN(SUMIFS(요금적용DB!G:G,요금적용DB!$D:$D,"2020년",요금적용DB!$E:$E,"11월",요금적용DB!$F:$F,"경")*C34,0)</f>
        <v>0</v>
      </c>
      <c r="G34" s="50">
        <f>ROUNDDOWN(SUMIFS(요금적용DB!G:G,요금적용DB!$D:$D,"2020년",요금적용DB!$E:$E,"11월",요금적용DB!$F:$F,"중간")*D34,0)</f>
        <v>0</v>
      </c>
      <c r="H34" s="50">
        <f>ROUNDDOWN(SUMIFS(요금적용DB!G:G,요금적용DB!$D:$D,"2020년",요금적용DB!$E:$E,"11월",요금적용DB!$F:$F,"최대")*E34,0)</f>
        <v>0</v>
      </c>
      <c r="I34" s="51">
        <f t="shared" si="0"/>
        <v>0</v>
      </c>
      <c r="J34" s="50">
        <f>ROUND(SUMIFS(요금적용DB!$H:$H,요금적용DB!$D:$D,"2020년",요금적용DB!E:E,"11월",요금적용DB!F:F,"경")*C34*$P$3,0)</f>
        <v>0</v>
      </c>
      <c r="K34" s="53">
        <f t="shared" si="1"/>
        <v>0</v>
      </c>
      <c r="L34" s="51">
        <f t="shared" si="2"/>
        <v>0</v>
      </c>
      <c r="M34" s="51">
        <f t="shared" si="3"/>
        <v>0</v>
      </c>
      <c r="N34" s="53">
        <f t="shared" si="4"/>
        <v>0</v>
      </c>
    </row>
    <row r="35" spans="2:14" x14ac:dyDescent="0.3">
      <c r="B35" s="50" t="s">
        <v>215</v>
      </c>
      <c r="C35" s="50">
        <f>ROUND((ESS전력량계!E39-ESS전력량계!D39)*$P$2,0)</f>
        <v>0</v>
      </c>
      <c r="D35" s="50">
        <f>ROUND((ESS전력량계!G39-ESS전력량계!F39)*$P$2,0)</f>
        <v>0</v>
      </c>
      <c r="E35" s="50">
        <f>ROUND((ESS전력량계!I39-ESS전력량계!H39)*$P$2,0)</f>
        <v>0</v>
      </c>
      <c r="F35" s="50">
        <f>ROUNDDOWN(SUMIFS(요금적용DB!G:G,요금적용DB!$D:$D,"2020년",요금적용DB!$E:$E,"12월",요금적용DB!$F:$F,"경")*C35,0)</f>
        <v>0</v>
      </c>
      <c r="G35" s="50">
        <f>ROUNDDOWN(SUMIFS(요금적용DB!G:G,요금적용DB!$D:$D,"2020년",요금적용DB!$E:$E,"12월",요금적용DB!$F:$F,"중간")*D35,0)</f>
        <v>0</v>
      </c>
      <c r="H35" s="50">
        <f>ROUNDDOWN(SUMIFS(요금적용DB!G:G,요금적용DB!$D:$D,"2020년",요금적용DB!$E:$E,"12월",요금적용DB!$F:$F,"최대")*E35,0)</f>
        <v>0</v>
      </c>
      <c r="I35" s="51">
        <f t="shared" si="0"/>
        <v>0</v>
      </c>
      <c r="J35" s="50">
        <f>ROUND(SUMIFS(요금적용DB!$H:$H,요금적용DB!$D:$D,"2020년",요금적용DB!E:E,"12월",요금적용DB!F:F,"경")*C35*$P$3,0)</f>
        <v>0</v>
      </c>
      <c r="K35" s="53">
        <f t="shared" si="1"/>
        <v>0</v>
      </c>
      <c r="L35" s="51">
        <f t="shared" si="2"/>
        <v>0</v>
      </c>
      <c r="M35" s="51">
        <f t="shared" si="3"/>
        <v>0</v>
      </c>
      <c r="N35" s="53">
        <f t="shared" si="4"/>
        <v>0</v>
      </c>
    </row>
  </sheetData>
  <mergeCells count="5">
    <mergeCell ref="B4:B5"/>
    <mergeCell ref="C4:E4"/>
    <mergeCell ref="F4:I4"/>
    <mergeCell ref="J4:J5"/>
    <mergeCell ref="K4:N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G39"/>
  <sheetViews>
    <sheetView topLeftCell="O19" workbookViewId="0">
      <selection activeCell="AE40" sqref="AE40"/>
    </sheetView>
  </sheetViews>
  <sheetFormatPr defaultRowHeight="16.5" x14ac:dyDescent="0.3"/>
  <cols>
    <col min="1" max="3" width="9" style="2"/>
    <col min="7" max="7" width="9" customWidth="1"/>
    <col min="13" max="13" width="11.875" bestFit="1" customWidth="1"/>
    <col min="14" max="14" width="13" bestFit="1" customWidth="1"/>
    <col min="15" max="15" width="9.375" bestFit="1" customWidth="1"/>
    <col min="16" max="16" width="12" bestFit="1" customWidth="1"/>
    <col min="17" max="17" width="13.125" bestFit="1" customWidth="1"/>
    <col min="18" max="18" width="11.875" bestFit="1" customWidth="1"/>
    <col min="19" max="20" width="11.875" style="30" customWidth="1"/>
    <col min="21" max="21" width="9.5" style="30" customWidth="1"/>
    <col min="22" max="22" width="13" bestFit="1" customWidth="1"/>
    <col min="23" max="23" width="13.75" customWidth="1"/>
    <col min="25" max="25" width="11.875" bestFit="1" customWidth="1"/>
    <col min="26" max="26" width="9.25" bestFit="1" customWidth="1"/>
    <col min="27" max="27" width="10.875" bestFit="1" customWidth="1"/>
    <col min="30" max="30" width="10.5" customWidth="1"/>
    <col min="31" max="31" width="10.375" customWidth="1"/>
    <col min="32" max="32" width="13" bestFit="1" customWidth="1"/>
    <col min="33" max="33" width="12.75" customWidth="1"/>
  </cols>
  <sheetData>
    <row r="2" spans="2:33" x14ac:dyDescent="0.3">
      <c r="D2">
        <v>14400</v>
      </c>
      <c r="E2">
        <v>14400</v>
      </c>
      <c r="F2">
        <v>14400</v>
      </c>
    </row>
    <row r="3" spans="2:33" s="2" customFormat="1" ht="33" x14ac:dyDescent="0.3">
      <c r="B3" s="2" t="s">
        <v>96</v>
      </c>
      <c r="C3" s="2" t="s">
        <v>97</v>
      </c>
      <c r="D3" s="2" t="s">
        <v>90</v>
      </c>
      <c r="E3" s="2" t="s">
        <v>92</v>
      </c>
      <c r="F3" s="2" t="s">
        <v>94</v>
      </c>
      <c r="G3" s="2" t="s">
        <v>95</v>
      </c>
      <c r="I3" s="21" t="s">
        <v>102</v>
      </c>
      <c r="J3" s="21" t="s">
        <v>103</v>
      </c>
      <c r="K3" s="2" t="s">
        <v>104</v>
      </c>
      <c r="M3" s="2" t="s">
        <v>110</v>
      </c>
      <c r="N3" s="2" t="s">
        <v>111</v>
      </c>
      <c r="O3" s="2" t="s">
        <v>114</v>
      </c>
      <c r="P3" s="2" t="s">
        <v>147</v>
      </c>
      <c r="Q3" s="2" t="s">
        <v>113</v>
      </c>
      <c r="R3" s="2" t="s">
        <v>115</v>
      </c>
      <c r="S3" s="29" t="s">
        <v>216</v>
      </c>
      <c r="T3" s="29" t="s">
        <v>218</v>
      </c>
      <c r="U3" s="21" t="s">
        <v>217</v>
      </c>
      <c r="V3" s="2" t="s">
        <v>219</v>
      </c>
      <c r="W3" s="21" t="s">
        <v>220</v>
      </c>
      <c r="X3" s="21"/>
      <c r="Y3" s="21" t="s">
        <v>221</v>
      </c>
      <c r="Z3" s="21" t="s">
        <v>222</v>
      </c>
      <c r="AA3" s="21" t="s">
        <v>223</v>
      </c>
      <c r="AB3" s="21" t="s">
        <v>224</v>
      </c>
      <c r="AC3" s="21" t="s">
        <v>225</v>
      </c>
      <c r="AD3" s="21" t="s">
        <v>226</v>
      </c>
      <c r="AE3" s="21" t="s">
        <v>227</v>
      </c>
      <c r="AF3" s="2" t="s">
        <v>228</v>
      </c>
      <c r="AG3" s="21" t="s">
        <v>229</v>
      </c>
    </row>
    <row r="4" spans="2:33" x14ac:dyDescent="0.3">
      <c r="B4" s="2" t="s">
        <v>20</v>
      </c>
      <c r="C4" s="2" t="s">
        <v>99</v>
      </c>
      <c r="D4">
        <f>본전력량!D4-ESS전력량!D4</f>
        <v>3156048</v>
      </c>
      <c r="E4">
        <f>본전력량!E4-ESS전력량!E4</f>
        <v>1967184</v>
      </c>
      <c r="F4">
        <f>본전력량!F4-ESS전력량!F4</f>
        <v>1126080</v>
      </c>
      <c r="G4">
        <f t="shared" ref="G4:G28" si="0">SUM(D4:F4)</f>
        <v>6249312</v>
      </c>
      <c r="I4">
        <f t="shared" ref="I4:I28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28" si="2">ROUNDDOWN(M4*-0.01,0)</f>
        <v>-953638</v>
      </c>
      <c r="P4" s="47"/>
      <c r="Q4" s="47">
        <f>SUM(M4:O4)-P4</f>
        <v>696090859.60000002</v>
      </c>
      <c r="R4" s="47">
        <f>ROUNDDOWN(Q4*0.037,-1)</f>
        <v>25755360</v>
      </c>
      <c r="S4" s="47">
        <f>ROUND(Q4*0.1,0)</f>
        <v>69609086</v>
      </c>
      <c r="T4" s="47">
        <f>ROUNDDOWN(SUM(Q4:S4),-1)</f>
        <v>791455300</v>
      </c>
      <c r="U4" s="47">
        <v>2500</v>
      </c>
      <c r="V4" s="55">
        <f>SUM(T4:U4)</f>
        <v>791457800</v>
      </c>
      <c r="W4" s="56">
        <f>SUM(Q4:R4)</f>
        <v>721846219.60000002</v>
      </c>
      <c r="AF4" s="54">
        <f>V4+AD4</f>
        <v>791457800</v>
      </c>
      <c r="AG4" s="54">
        <f>W4+AE4</f>
        <v>721846219.60000002</v>
      </c>
    </row>
    <row r="5" spans="2:33" x14ac:dyDescent="0.3">
      <c r="B5" s="2" t="s">
        <v>20</v>
      </c>
      <c r="C5" s="2" t="s">
        <v>27</v>
      </c>
      <c r="D5">
        <f>본전력량!D5-ESS전력량!D5</f>
        <v>3269376</v>
      </c>
      <c r="E5">
        <f>본전력량!E5-ESS전력량!E5</f>
        <v>1639440</v>
      </c>
      <c r="F5">
        <f>본전력량!F5-ESS전력량!F5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/>
      <c r="Q5" s="47">
        <f t="shared" ref="Q5:Q30" si="3">SUM(M5:O5)-P5</f>
        <v>639198562</v>
      </c>
      <c r="R5" s="47">
        <f t="shared" ref="R5:R30" si="4">ROUNDDOWN(Q5*0.037,-1)</f>
        <v>23650340</v>
      </c>
      <c r="S5" s="47">
        <f t="shared" ref="S5:S30" si="5">ROUND(Q5*0.1,0)</f>
        <v>63919856</v>
      </c>
      <c r="T5" s="47">
        <f t="shared" ref="T5:T30" si="6">ROUNDDOWN(SUM(Q5:S5),-1)</f>
        <v>726768750</v>
      </c>
      <c r="U5" s="47">
        <v>2500</v>
      </c>
      <c r="V5" s="55">
        <f t="shared" ref="V5:V31" si="7">SUM(T5:U5)</f>
        <v>726771250</v>
      </c>
      <c r="W5" s="56">
        <f t="shared" ref="W5:W31" si="8">SUM(Q5:R5)</f>
        <v>662848902</v>
      </c>
      <c r="AF5" s="54">
        <f t="shared" ref="AF5:AF30" si="9">V5+AD5</f>
        <v>726771250</v>
      </c>
      <c r="AG5" s="54">
        <f t="shared" ref="AG5:AG30" si="10">W5+AE5</f>
        <v>662848902</v>
      </c>
    </row>
    <row r="6" spans="2:33" x14ac:dyDescent="0.3">
      <c r="B6" s="2" t="s">
        <v>20</v>
      </c>
      <c r="C6" s="2" t="s">
        <v>29</v>
      </c>
      <c r="D6">
        <f>본전력량!D6-ESS전력량!D6</f>
        <v>3029328</v>
      </c>
      <c r="E6">
        <f>본전력량!E6-ESS전력량!E6</f>
        <v>1849824</v>
      </c>
      <c r="F6">
        <f>본전력량!F6-ESS전력량!F6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/>
      <c r="Q6" s="47">
        <f t="shared" si="3"/>
        <v>518887282</v>
      </c>
      <c r="R6" s="47">
        <f t="shared" si="4"/>
        <v>19198820</v>
      </c>
      <c r="S6" s="47">
        <f t="shared" si="5"/>
        <v>51888728</v>
      </c>
      <c r="T6" s="47">
        <f t="shared" si="6"/>
        <v>589974830</v>
      </c>
      <c r="U6" s="47">
        <v>2500</v>
      </c>
      <c r="V6" s="55">
        <f t="shared" si="7"/>
        <v>589977330</v>
      </c>
      <c r="W6" s="56">
        <f t="shared" si="8"/>
        <v>538086102</v>
      </c>
      <c r="AF6" s="54">
        <f t="shared" si="9"/>
        <v>589977330</v>
      </c>
      <c r="AG6" s="54">
        <f t="shared" si="10"/>
        <v>538086102</v>
      </c>
    </row>
    <row r="7" spans="2:33" x14ac:dyDescent="0.3">
      <c r="B7" s="2" t="s">
        <v>20</v>
      </c>
      <c r="C7" s="2" t="s">
        <v>31</v>
      </c>
      <c r="D7">
        <f>본전력량!D7-ESS전력량!D7</f>
        <v>2803248</v>
      </c>
      <c r="E7">
        <f>본전력량!E7-ESS전력량!E7</f>
        <v>1765872</v>
      </c>
      <c r="F7">
        <f>본전력량!F7-ESS전력량!F7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/>
      <c r="Q7" s="47">
        <f t="shared" si="3"/>
        <v>496941019.80000001</v>
      </c>
      <c r="R7" s="47">
        <f t="shared" si="4"/>
        <v>18386810</v>
      </c>
      <c r="S7" s="47">
        <f t="shared" si="5"/>
        <v>49694102</v>
      </c>
      <c r="T7" s="47">
        <f t="shared" si="6"/>
        <v>565021930</v>
      </c>
      <c r="U7" s="47">
        <v>2500</v>
      </c>
      <c r="V7" s="55">
        <f t="shared" si="7"/>
        <v>565024430</v>
      </c>
      <c r="W7" s="56">
        <f t="shared" si="8"/>
        <v>515327829.80000001</v>
      </c>
      <c r="AF7" s="54">
        <f t="shared" si="9"/>
        <v>565024430</v>
      </c>
      <c r="AG7" s="54">
        <f t="shared" si="10"/>
        <v>515327829.80000001</v>
      </c>
    </row>
    <row r="8" spans="2:33" x14ac:dyDescent="0.3">
      <c r="B8" s="2" t="s">
        <v>20</v>
      </c>
      <c r="C8" s="2" t="s">
        <v>33</v>
      </c>
      <c r="D8">
        <f>본전력량!D8-ESS전력량!D8</f>
        <v>3454416</v>
      </c>
      <c r="E8">
        <f>본전력량!E8-ESS전력량!E8</f>
        <v>1824192</v>
      </c>
      <c r="F8">
        <f>본전력량!F8-ESS전력량!F8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/>
      <c r="Q8" s="47">
        <f t="shared" si="3"/>
        <v>547865640.39999998</v>
      </c>
      <c r="R8" s="47">
        <f t="shared" si="4"/>
        <v>20271020</v>
      </c>
      <c r="S8" s="47">
        <f t="shared" si="5"/>
        <v>54786564</v>
      </c>
      <c r="T8" s="47">
        <f t="shared" si="6"/>
        <v>622923220</v>
      </c>
      <c r="U8" s="47">
        <v>2500</v>
      </c>
      <c r="V8" s="55">
        <f t="shared" si="7"/>
        <v>622925720</v>
      </c>
      <c r="W8" s="56">
        <f t="shared" si="8"/>
        <v>568136660.39999998</v>
      </c>
      <c r="AF8" s="54">
        <f t="shared" si="9"/>
        <v>622925720</v>
      </c>
      <c r="AG8" s="54">
        <f t="shared" si="10"/>
        <v>568136660.39999998</v>
      </c>
    </row>
    <row r="9" spans="2:33" x14ac:dyDescent="0.3">
      <c r="B9" s="2" t="s">
        <v>20</v>
      </c>
      <c r="C9" s="2" t="s">
        <v>35</v>
      </c>
      <c r="D9">
        <f>본전력량!D9-ESS전력량!D9</f>
        <v>3072384</v>
      </c>
      <c r="E9">
        <f>본전력량!E9-ESS전력량!E9</f>
        <v>1813680</v>
      </c>
      <c r="F9">
        <f>본전력량!F9-ESS전력량!F9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/>
      <c r="Q9" s="47">
        <f t="shared" si="3"/>
        <v>651834850</v>
      </c>
      <c r="R9" s="47">
        <f t="shared" si="4"/>
        <v>24117880</v>
      </c>
      <c r="S9" s="47">
        <f t="shared" si="5"/>
        <v>65183485</v>
      </c>
      <c r="T9" s="47">
        <f t="shared" si="6"/>
        <v>741136210</v>
      </c>
      <c r="U9" s="47">
        <v>2500</v>
      </c>
      <c r="V9" s="55">
        <f t="shared" si="7"/>
        <v>741138710</v>
      </c>
      <c r="W9" s="56">
        <f t="shared" si="8"/>
        <v>675952730</v>
      </c>
      <c r="AF9" s="54">
        <f t="shared" si="9"/>
        <v>741138710</v>
      </c>
      <c r="AG9" s="54">
        <f t="shared" si="10"/>
        <v>675952730</v>
      </c>
    </row>
    <row r="10" spans="2:33" x14ac:dyDescent="0.3">
      <c r="B10" s="2" t="s">
        <v>20</v>
      </c>
      <c r="C10" s="2" t="s">
        <v>37</v>
      </c>
      <c r="D10">
        <f>본전력량!D10-ESS전력량!D10</f>
        <v>3281678</v>
      </c>
      <c r="E10">
        <f>본전력량!E10-ESS전력량!E10</f>
        <v>2034958</v>
      </c>
      <c r="F10">
        <f>본전력량!F10-ESS전력량!F10</f>
        <v>1010436</v>
      </c>
      <c r="G10">
        <f t="shared" si="0"/>
        <v>6327072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599006877.39999998</v>
      </c>
      <c r="O10" s="47">
        <f t="shared" si="2"/>
        <v>-953638</v>
      </c>
      <c r="P10" s="47">
        <v>60131055.483870968</v>
      </c>
      <c r="Q10" s="47">
        <f t="shared" si="3"/>
        <v>633286023.91612899</v>
      </c>
      <c r="R10" s="47">
        <f t="shared" si="4"/>
        <v>23431580</v>
      </c>
      <c r="S10" s="47">
        <f t="shared" si="5"/>
        <v>63328602</v>
      </c>
      <c r="T10" s="47">
        <f t="shared" si="6"/>
        <v>720046200</v>
      </c>
      <c r="U10" s="47">
        <v>2500</v>
      </c>
      <c r="V10" s="55">
        <f t="shared" si="7"/>
        <v>720048700</v>
      </c>
      <c r="W10" s="56">
        <f t="shared" si="8"/>
        <v>656717603.91612899</v>
      </c>
      <c r="Y10" s="54">
        <f>'ESS-충전할인'!I6</f>
        <v>10155645</v>
      </c>
      <c r="Z10">
        <f>'ESS-충전할인'!J6*-1</f>
        <v>-5940384</v>
      </c>
      <c r="AA10" s="54">
        <f>SUM(Y10:Z10)</f>
        <v>4215261</v>
      </c>
      <c r="AB10">
        <f>ROUND(AA10*0.1,0)</f>
        <v>421526</v>
      </c>
      <c r="AC10">
        <f>ROUNDDOWN(AA10*0.037,-1)</f>
        <v>155960</v>
      </c>
      <c r="AD10" s="54">
        <f>ROUNDDOWN(SUM(AA10:AC10),-1)</f>
        <v>4792740</v>
      </c>
      <c r="AE10" s="54">
        <f>AD10-AB10</f>
        <v>4371214</v>
      </c>
      <c r="AF10" s="54">
        <f t="shared" si="9"/>
        <v>724841440</v>
      </c>
      <c r="AG10" s="54">
        <f t="shared" si="10"/>
        <v>661088817.91612899</v>
      </c>
    </row>
    <row r="11" spans="2:33" x14ac:dyDescent="0.3">
      <c r="B11" s="2" t="s">
        <v>20</v>
      </c>
      <c r="C11" s="2" t="s">
        <v>39</v>
      </c>
      <c r="D11">
        <f>본전력량!D11-ESS전력량!D11</f>
        <v>2781534</v>
      </c>
      <c r="E11">
        <f>본전력량!E11-ESS전력량!E11</f>
        <v>1698401</v>
      </c>
      <c r="F11">
        <f>본전력량!F11-ESS전력량!F11</f>
        <v>814608</v>
      </c>
      <c r="G11">
        <f t="shared" si="0"/>
        <v>5294543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496841355.19999993</v>
      </c>
      <c r="O11" s="47">
        <f t="shared" si="2"/>
        <v>-953638</v>
      </c>
      <c r="P11" s="47">
        <v>80600832</v>
      </c>
      <c r="Q11" s="47">
        <f t="shared" si="3"/>
        <v>510650725.19999993</v>
      </c>
      <c r="R11" s="47">
        <f t="shared" si="4"/>
        <v>18894070</v>
      </c>
      <c r="S11" s="47">
        <f t="shared" si="5"/>
        <v>51065073</v>
      </c>
      <c r="T11" s="47">
        <f t="shared" si="6"/>
        <v>580609860</v>
      </c>
      <c r="U11" s="47">
        <v>2500</v>
      </c>
      <c r="V11" s="55">
        <f t="shared" si="7"/>
        <v>580612360</v>
      </c>
      <c r="W11" s="56">
        <f t="shared" si="8"/>
        <v>529544795.19999993</v>
      </c>
      <c r="Y11" s="54">
        <f>'ESS-충전할인'!I7</f>
        <v>13390532</v>
      </c>
      <c r="Z11" s="30">
        <f>'ESS-충전할인'!J7*-1</f>
        <v>-7982065</v>
      </c>
      <c r="AA11" s="54">
        <f t="shared" ref="AA11:AA30" si="11">SUM(Y11:Z11)</f>
        <v>5408467</v>
      </c>
      <c r="AB11" s="30">
        <f t="shared" ref="AB11:AB30" si="12">ROUND(AA11*0.1,0)</f>
        <v>540847</v>
      </c>
      <c r="AC11" s="30">
        <f t="shared" ref="AC11:AC30" si="13">ROUNDDOWN(AA11*0.037,-1)</f>
        <v>200110</v>
      </c>
      <c r="AD11" s="54">
        <f t="shared" ref="AD11:AD30" si="14">ROUNDDOWN(SUM(AA11:AC11),-1)</f>
        <v>6149420</v>
      </c>
      <c r="AE11" s="54">
        <f t="shared" ref="AE11:AE30" si="15">AD11-AB11</f>
        <v>5608573</v>
      </c>
      <c r="AF11" s="54">
        <f t="shared" si="9"/>
        <v>586761780</v>
      </c>
      <c r="AG11" s="54">
        <f t="shared" si="10"/>
        <v>535153368.19999993</v>
      </c>
    </row>
    <row r="12" spans="2:33" x14ac:dyDescent="0.3">
      <c r="B12" s="2" t="s">
        <v>20</v>
      </c>
      <c r="C12" s="2" t="s">
        <v>41</v>
      </c>
      <c r="D12">
        <f>본전력량!D12-ESS전력량!D12</f>
        <v>3224744</v>
      </c>
      <c r="E12">
        <f>본전력량!E12-ESS전력량!E12</f>
        <v>1714058</v>
      </c>
      <c r="F12">
        <f>본전력량!F12-ESS전력량!F12</f>
        <v>660511</v>
      </c>
      <c r="G12">
        <f t="shared" si="0"/>
        <v>5599313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387826949.5</v>
      </c>
      <c r="O12" s="47">
        <f t="shared" si="2"/>
        <v>-953638</v>
      </c>
      <c r="P12" s="47">
        <v>88508160</v>
      </c>
      <c r="Q12" s="47">
        <f t="shared" si="3"/>
        <v>393728991.5</v>
      </c>
      <c r="R12" s="47">
        <f t="shared" si="4"/>
        <v>14567970</v>
      </c>
      <c r="S12" s="47">
        <f t="shared" si="5"/>
        <v>39372899</v>
      </c>
      <c r="T12" s="47">
        <f t="shared" si="6"/>
        <v>447669860</v>
      </c>
      <c r="U12" s="47">
        <v>2500</v>
      </c>
      <c r="V12" s="55">
        <f t="shared" si="7"/>
        <v>447672360</v>
      </c>
      <c r="W12" s="56">
        <f t="shared" si="8"/>
        <v>408296961.5</v>
      </c>
      <c r="Y12" s="54">
        <f>'ESS-충전할인'!I8</f>
        <v>12092773</v>
      </c>
      <c r="Z12" s="30">
        <f>'ESS-충전할인'!J8*-1</f>
        <v>-7221820</v>
      </c>
      <c r="AA12" s="54">
        <f t="shared" si="11"/>
        <v>4870953</v>
      </c>
      <c r="AB12" s="30">
        <f t="shared" si="12"/>
        <v>487095</v>
      </c>
      <c r="AC12" s="30">
        <f t="shared" si="13"/>
        <v>180220</v>
      </c>
      <c r="AD12" s="54">
        <f t="shared" si="14"/>
        <v>5538260</v>
      </c>
      <c r="AE12" s="54">
        <f t="shared" si="15"/>
        <v>5051165</v>
      </c>
      <c r="AF12" s="54">
        <f t="shared" si="9"/>
        <v>453210620</v>
      </c>
      <c r="AG12" s="54">
        <f t="shared" si="10"/>
        <v>413348126.5</v>
      </c>
    </row>
    <row r="13" spans="2:33" x14ac:dyDescent="0.3">
      <c r="B13" s="2" t="s">
        <v>20</v>
      </c>
      <c r="C13" s="2" t="s">
        <v>43</v>
      </c>
      <c r="D13">
        <f>본전력량!D13-ESS전력량!D13</f>
        <v>3213482</v>
      </c>
      <c r="E13">
        <f>본전력량!E13-ESS전력량!E13</f>
        <v>1859503</v>
      </c>
      <c r="F13">
        <f>본전력량!F13-ESS전력량!F13</f>
        <v>820604</v>
      </c>
      <c r="G13">
        <f t="shared" si="0"/>
        <v>5893589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416125293.19999999</v>
      </c>
      <c r="O13" s="47">
        <f t="shared" si="2"/>
        <v>-953638</v>
      </c>
      <c r="P13" s="47">
        <v>88687872</v>
      </c>
      <c r="Q13" s="47">
        <f t="shared" si="3"/>
        <v>421847623.19999999</v>
      </c>
      <c r="R13" s="47">
        <f t="shared" si="4"/>
        <v>15608360</v>
      </c>
      <c r="S13" s="47">
        <f t="shared" si="5"/>
        <v>42184762</v>
      </c>
      <c r="T13" s="47">
        <f t="shared" si="6"/>
        <v>479640740</v>
      </c>
      <c r="U13" s="47">
        <v>2500</v>
      </c>
      <c r="V13" s="55">
        <f t="shared" si="7"/>
        <v>479643240</v>
      </c>
      <c r="W13" s="56">
        <f t="shared" si="8"/>
        <v>437455983.19999999</v>
      </c>
      <c r="Y13" s="54">
        <f>'ESS-충전할인'!I9</f>
        <v>13732964</v>
      </c>
      <c r="Z13" s="30">
        <f>'ESS-충전할인'!J9*-1</f>
        <v>-8197085</v>
      </c>
      <c r="AA13" s="54">
        <f t="shared" si="11"/>
        <v>5535879</v>
      </c>
      <c r="AB13" s="30">
        <f t="shared" si="12"/>
        <v>553588</v>
      </c>
      <c r="AC13" s="30">
        <f t="shared" si="13"/>
        <v>204820</v>
      </c>
      <c r="AD13" s="54">
        <f t="shared" si="14"/>
        <v>6294280</v>
      </c>
      <c r="AE13" s="54">
        <f t="shared" si="15"/>
        <v>5740692</v>
      </c>
      <c r="AF13" s="54">
        <f t="shared" si="9"/>
        <v>485937520</v>
      </c>
      <c r="AG13" s="54">
        <f t="shared" si="10"/>
        <v>443196675.19999999</v>
      </c>
    </row>
    <row r="14" spans="2:33" x14ac:dyDescent="0.3">
      <c r="B14" s="2" t="s">
        <v>20</v>
      </c>
      <c r="C14" s="2" t="s">
        <v>45</v>
      </c>
      <c r="D14">
        <f>본전력량!D14-ESS전력량!D14</f>
        <v>2873925</v>
      </c>
      <c r="E14">
        <f>본전력량!E14-ESS전력량!E14</f>
        <v>1875377</v>
      </c>
      <c r="F14">
        <f>본전력량!F14-ESS전력량!F14</f>
        <v>923852</v>
      </c>
      <c r="G14">
        <f t="shared" si="0"/>
        <v>5673154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540141964.29999995</v>
      </c>
      <c r="O14" s="47">
        <f t="shared" si="2"/>
        <v>-953638</v>
      </c>
      <c r="P14" s="47">
        <v>88598016</v>
      </c>
      <c r="Q14" s="47">
        <f t="shared" si="3"/>
        <v>545954150.29999995</v>
      </c>
      <c r="R14" s="47">
        <f t="shared" si="4"/>
        <v>20200300</v>
      </c>
      <c r="S14" s="47">
        <f t="shared" si="5"/>
        <v>54595415</v>
      </c>
      <c r="T14" s="47">
        <f t="shared" si="6"/>
        <v>620749860</v>
      </c>
      <c r="U14" s="47">
        <v>2500</v>
      </c>
      <c r="V14" s="55">
        <f t="shared" si="7"/>
        <v>620752360</v>
      </c>
      <c r="W14" s="56">
        <f t="shared" si="8"/>
        <v>566154450.29999995</v>
      </c>
      <c r="Y14" s="54">
        <f>'ESS-충전할인'!I10</f>
        <v>16007908</v>
      </c>
      <c r="Z14" s="30">
        <f>'ESS-충전할인'!J10*-1</f>
        <v>-9547194</v>
      </c>
      <c r="AA14" s="54">
        <f t="shared" si="11"/>
        <v>6460714</v>
      </c>
      <c r="AB14" s="30">
        <f t="shared" si="12"/>
        <v>646071</v>
      </c>
      <c r="AC14" s="30">
        <f t="shared" si="13"/>
        <v>239040</v>
      </c>
      <c r="AD14" s="54">
        <f t="shared" si="14"/>
        <v>7345820</v>
      </c>
      <c r="AE14" s="54">
        <f t="shared" si="15"/>
        <v>6699749</v>
      </c>
      <c r="AF14" s="54">
        <f t="shared" si="9"/>
        <v>628098180</v>
      </c>
      <c r="AG14" s="54">
        <f t="shared" si="10"/>
        <v>572854199.29999995</v>
      </c>
    </row>
    <row r="15" spans="2:33" x14ac:dyDescent="0.3">
      <c r="B15" s="2" t="s">
        <v>20</v>
      </c>
      <c r="C15" s="2" t="s">
        <v>47</v>
      </c>
      <c r="D15">
        <f>본전력량!D15-ESS전력량!D15</f>
        <v>2948914</v>
      </c>
      <c r="E15">
        <f>본전력량!E15-ESS전력량!E15</f>
        <v>1651475</v>
      </c>
      <c r="F15">
        <f>본전력량!F15-ESS전력량!F15</f>
        <v>752492</v>
      </c>
      <c r="G15">
        <f t="shared" si="0"/>
        <v>5352881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491857959.79999995</v>
      </c>
      <c r="O15" s="47">
        <f t="shared" si="2"/>
        <v>-951308</v>
      </c>
      <c r="P15" s="47">
        <v>83805696</v>
      </c>
      <c r="Q15" s="47">
        <f t="shared" si="3"/>
        <v>502231835.79999995</v>
      </c>
      <c r="R15" s="47">
        <f t="shared" si="4"/>
        <v>18582570</v>
      </c>
      <c r="S15" s="47">
        <f t="shared" si="5"/>
        <v>50223184</v>
      </c>
      <c r="T15" s="47">
        <f t="shared" si="6"/>
        <v>571037580</v>
      </c>
      <c r="U15" s="47">
        <v>2500</v>
      </c>
      <c r="V15" s="55">
        <f t="shared" si="7"/>
        <v>571040080</v>
      </c>
      <c r="W15" s="56">
        <f t="shared" si="8"/>
        <v>520814405.79999995</v>
      </c>
      <c r="Y15" s="54">
        <f>'ESS-충전할인'!I11</f>
        <v>14590673</v>
      </c>
      <c r="Z15" s="30">
        <f>'ESS-충전할인'!J11*-1</f>
        <v>-8698032</v>
      </c>
      <c r="AA15" s="54">
        <f t="shared" si="11"/>
        <v>5892641</v>
      </c>
      <c r="AB15" s="30">
        <f t="shared" si="12"/>
        <v>589264</v>
      </c>
      <c r="AC15" s="30">
        <f t="shared" si="13"/>
        <v>218020</v>
      </c>
      <c r="AD15" s="54">
        <f t="shared" si="14"/>
        <v>6699920</v>
      </c>
      <c r="AE15" s="54">
        <f t="shared" si="15"/>
        <v>6110656</v>
      </c>
      <c r="AF15" s="54">
        <f t="shared" si="9"/>
        <v>577740000</v>
      </c>
      <c r="AG15" s="54">
        <f t="shared" si="10"/>
        <v>526925061.79999995</v>
      </c>
    </row>
    <row r="16" spans="2:33" x14ac:dyDescent="0.3">
      <c r="B16" s="2" t="s">
        <v>22</v>
      </c>
      <c r="C16" s="2" t="s">
        <v>99</v>
      </c>
      <c r="D16">
        <f>본전력량!D20-ESS전력량!D16</f>
        <v>2761896</v>
      </c>
      <c r="E16">
        <f>본전력량!E20-ESS전력량!E16</f>
        <v>1873344</v>
      </c>
      <c r="F16">
        <f>본전력량!F20-ESS전력량!F16</f>
        <v>900956</v>
      </c>
      <c r="G16">
        <f t="shared" si="0"/>
        <v>5536196</v>
      </c>
      <c r="I16">
        <f t="shared" si="1"/>
        <v>11434</v>
      </c>
      <c r="J16" s="20">
        <v>11434</v>
      </c>
      <c r="K16">
        <v>97</v>
      </c>
      <c r="M16" s="47">
        <f>I16*요금적용DB!$B$3</f>
        <v>95130880</v>
      </c>
      <c r="N16" s="47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529034167.59999996</v>
      </c>
      <c r="O16" s="47">
        <f t="shared" si="2"/>
        <v>-951308</v>
      </c>
      <c r="P16" s="47">
        <v>86261760</v>
      </c>
      <c r="Q16" s="47">
        <f t="shared" si="3"/>
        <v>536951979.5999999</v>
      </c>
      <c r="R16" s="47">
        <f t="shared" si="4"/>
        <v>19867220</v>
      </c>
      <c r="S16" s="47">
        <f t="shared" si="5"/>
        <v>53695198</v>
      </c>
      <c r="T16" s="47">
        <f t="shared" si="6"/>
        <v>610514390</v>
      </c>
      <c r="U16" s="47">
        <v>2500</v>
      </c>
      <c r="V16" s="55">
        <f t="shared" si="7"/>
        <v>610516890</v>
      </c>
      <c r="W16" s="56">
        <f t="shared" si="8"/>
        <v>556819199.5999999</v>
      </c>
      <c r="Y16" s="54">
        <f>'ESS-충전할인'!I12</f>
        <v>15646119</v>
      </c>
      <c r="Z16" s="30">
        <f>'ESS-충전할인'!J12*-1</f>
        <v>-9329007</v>
      </c>
      <c r="AA16" s="54">
        <f t="shared" si="11"/>
        <v>6317112</v>
      </c>
      <c r="AB16" s="30">
        <f t="shared" si="12"/>
        <v>631711</v>
      </c>
      <c r="AC16" s="30">
        <f t="shared" si="13"/>
        <v>233730</v>
      </c>
      <c r="AD16" s="54">
        <f t="shared" si="14"/>
        <v>7182550</v>
      </c>
      <c r="AE16" s="54">
        <f t="shared" si="15"/>
        <v>6550839</v>
      </c>
      <c r="AF16" s="54">
        <f t="shared" si="9"/>
        <v>617699440</v>
      </c>
      <c r="AG16" s="54">
        <f t="shared" si="10"/>
        <v>563370038.5999999</v>
      </c>
    </row>
    <row r="17" spans="2:33" x14ac:dyDescent="0.3">
      <c r="B17" s="2" t="s">
        <v>22</v>
      </c>
      <c r="C17" s="2" t="s">
        <v>27</v>
      </c>
      <c r="D17">
        <f>본전력량!D21-ESS전력량!D17</f>
        <v>2881515</v>
      </c>
      <c r="E17">
        <f>본전력량!E21-ESS전력량!E17</f>
        <v>1522860</v>
      </c>
      <c r="F17">
        <f>본전력량!F21-ESS전력량!F17</f>
        <v>681788</v>
      </c>
      <c r="G17">
        <f t="shared" si="0"/>
        <v>5086163</v>
      </c>
      <c r="I17">
        <f t="shared" si="1"/>
        <v>11362</v>
      </c>
      <c r="J17" s="20">
        <v>11362</v>
      </c>
      <c r="K17">
        <v>97</v>
      </c>
      <c r="M17" s="47">
        <f>I17*요금적용DB!$B$3</f>
        <v>94531840</v>
      </c>
      <c r="N17" s="4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461773968.10000002</v>
      </c>
      <c r="O17" s="47">
        <f t="shared" si="2"/>
        <v>-945318</v>
      </c>
      <c r="P17" s="47">
        <v>87160320</v>
      </c>
      <c r="Q17" s="47">
        <f t="shared" si="3"/>
        <v>468200170.10000002</v>
      </c>
      <c r="R17" s="47">
        <f t="shared" si="4"/>
        <v>17323400</v>
      </c>
      <c r="S17" s="47">
        <f t="shared" si="5"/>
        <v>46820017</v>
      </c>
      <c r="T17" s="47">
        <f t="shared" si="6"/>
        <v>532343580</v>
      </c>
      <c r="U17" s="47">
        <v>2500</v>
      </c>
      <c r="V17" s="55">
        <f t="shared" si="7"/>
        <v>532346080</v>
      </c>
      <c r="W17" s="56">
        <f t="shared" si="8"/>
        <v>485523570.10000002</v>
      </c>
      <c r="Y17" s="54">
        <f>'ESS-충전할인'!I13</f>
        <v>12778794</v>
      </c>
      <c r="Z17" s="30">
        <f>'ESS-충전할인'!J13*-1</f>
        <v>-7618833</v>
      </c>
      <c r="AA17" s="54">
        <f t="shared" si="11"/>
        <v>5159961</v>
      </c>
      <c r="AB17" s="30">
        <f t="shared" si="12"/>
        <v>515996</v>
      </c>
      <c r="AC17" s="30">
        <f t="shared" si="13"/>
        <v>190910</v>
      </c>
      <c r="AD17" s="54">
        <f t="shared" si="14"/>
        <v>5866860</v>
      </c>
      <c r="AE17" s="54">
        <f t="shared" si="15"/>
        <v>5350864</v>
      </c>
      <c r="AF17" s="54">
        <f t="shared" si="9"/>
        <v>538212940</v>
      </c>
      <c r="AG17" s="54">
        <f t="shared" si="10"/>
        <v>490874434.10000002</v>
      </c>
    </row>
    <row r="18" spans="2:33" x14ac:dyDescent="0.3">
      <c r="B18" s="2" t="s">
        <v>22</v>
      </c>
      <c r="C18" s="2" t="s">
        <v>29</v>
      </c>
      <c r="D18">
        <f>본전력량!D22-ESS전력량!D18</f>
        <v>2994468</v>
      </c>
      <c r="E18">
        <f>본전력량!E22-ESS전력량!E18</f>
        <v>1811297</v>
      </c>
      <c r="F18">
        <f>본전력량!F22-ESS전력량!F18</f>
        <v>754093</v>
      </c>
      <c r="G18">
        <f t="shared" si="0"/>
        <v>5559858</v>
      </c>
      <c r="I18">
        <f t="shared" si="1"/>
        <v>11362</v>
      </c>
      <c r="J18" s="20">
        <v>11362</v>
      </c>
      <c r="K18">
        <v>97</v>
      </c>
      <c r="M18" s="47">
        <f>I18*요금적용DB!$B$3</f>
        <v>94531840</v>
      </c>
      <c r="N18" s="47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392779963.89999998</v>
      </c>
      <c r="O18" s="47">
        <f t="shared" si="2"/>
        <v>-945318</v>
      </c>
      <c r="P18" s="47">
        <v>88238592</v>
      </c>
      <c r="Q18" s="47">
        <f t="shared" si="3"/>
        <v>398127893.89999998</v>
      </c>
      <c r="R18" s="47">
        <f t="shared" si="4"/>
        <v>14730730</v>
      </c>
      <c r="S18" s="47">
        <f t="shared" si="5"/>
        <v>39812789</v>
      </c>
      <c r="T18" s="47">
        <f t="shared" si="6"/>
        <v>452671410</v>
      </c>
      <c r="U18" s="47">
        <v>2500</v>
      </c>
      <c r="V18" s="55">
        <f t="shared" si="7"/>
        <v>452673910</v>
      </c>
      <c r="W18" s="56">
        <f t="shared" si="8"/>
        <v>412858623.89999998</v>
      </c>
      <c r="Y18" s="54">
        <f>'ESS-충전할인'!I14</f>
        <v>13606697</v>
      </c>
      <c r="Z18" s="30">
        <f>'ESS-충전할인'!J14*-1</f>
        <v>-8124043</v>
      </c>
      <c r="AA18" s="54">
        <f t="shared" si="11"/>
        <v>5482654</v>
      </c>
      <c r="AB18" s="30">
        <f t="shared" si="12"/>
        <v>548265</v>
      </c>
      <c r="AC18" s="30">
        <f t="shared" si="13"/>
        <v>202850</v>
      </c>
      <c r="AD18" s="54">
        <f t="shared" si="14"/>
        <v>6233760</v>
      </c>
      <c r="AE18" s="54">
        <f t="shared" si="15"/>
        <v>5685495</v>
      </c>
      <c r="AF18" s="54">
        <f t="shared" si="9"/>
        <v>458907670</v>
      </c>
      <c r="AG18" s="54">
        <f t="shared" si="10"/>
        <v>418544118.89999998</v>
      </c>
    </row>
    <row r="19" spans="2:33" x14ac:dyDescent="0.3">
      <c r="B19" s="2" t="s">
        <v>22</v>
      </c>
      <c r="C19" s="2" t="s">
        <v>31</v>
      </c>
      <c r="D19">
        <f>본전력량!D23-ESS전력량!D19</f>
        <v>2761886</v>
      </c>
      <c r="E19">
        <f>본전력량!E23-ESS전력량!E19</f>
        <v>1971967</v>
      </c>
      <c r="F19">
        <f>본전력량!F23-ESS전력량!F19</f>
        <v>946748</v>
      </c>
      <c r="G19">
        <f t="shared" si="0"/>
        <v>5680601</v>
      </c>
      <c r="I19">
        <f t="shared" si="1"/>
        <v>11362</v>
      </c>
      <c r="J19" s="20">
        <v>11362</v>
      </c>
      <c r="K19">
        <v>97</v>
      </c>
      <c r="M19" s="47">
        <f>I19*요금적용DB!$B$3</f>
        <v>94531840</v>
      </c>
      <c r="N19" s="47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413417967.19999993</v>
      </c>
      <c r="O19" s="47">
        <f t="shared" si="2"/>
        <v>-945318</v>
      </c>
      <c r="P19" s="47">
        <v>88268544</v>
      </c>
      <c r="Q19" s="47">
        <f t="shared" si="3"/>
        <v>418735945.19999993</v>
      </c>
      <c r="R19" s="47">
        <f t="shared" si="4"/>
        <v>15493220</v>
      </c>
      <c r="S19" s="47">
        <f t="shared" si="5"/>
        <v>41873595</v>
      </c>
      <c r="T19" s="47">
        <f t="shared" si="6"/>
        <v>476102760</v>
      </c>
      <c r="U19" s="47">
        <v>2500</v>
      </c>
      <c r="V19" s="55">
        <f t="shared" si="7"/>
        <v>476105260</v>
      </c>
      <c r="W19" s="56">
        <f t="shared" si="8"/>
        <v>434229165.19999993</v>
      </c>
      <c r="Y19" s="54">
        <f>'ESS-충전할인'!I15</f>
        <v>14153714</v>
      </c>
      <c r="Z19" s="30">
        <f>'ESS-충전할인'!J15*-1</f>
        <v>-8449535</v>
      </c>
      <c r="AA19" s="54">
        <f t="shared" si="11"/>
        <v>5704179</v>
      </c>
      <c r="AB19" s="30">
        <f t="shared" si="12"/>
        <v>570418</v>
      </c>
      <c r="AC19" s="30">
        <f t="shared" si="13"/>
        <v>211050</v>
      </c>
      <c r="AD19" s="54">
        <f t="shared" si="14"/>
        <v>6485640</v>
      </c>
      <c r="AE19" s="54">
        <f t="shared" si="15"/>
        <v>5915222</v>
      </c>
      <c r="AF19" s="54">
        <f t="shared" si="9"/>
        <v>482590900</v>
      </c>
      <c r="AG19" s="54">
        <f t="shared" si="10"/>
        <v>440144387.19999993</v>
      </c>
    </row>
    <row r="20" spans="2:33" x14ac:dyDescent="0.3">
      <c r="B20" s="2" t="s">
        <v>22</v>
      </c>
      <c r="C20" s="2" t="s">
        <v>33</v>
      </c>
      <c r="D20">
        <f>본전력량!D24-ESS전력량!D20</f>
        <v>2588318</v>
      </c>
      <c r="E20">
        <f>본전력량!E24-ESS전력량!E20</f>
        <v>1713211</v>
      </c>
      <c r="F20">
        <f>본전력량!F24-ESS전력량!F20</f>
        <v>818012</v>
      </c>
      <c r="G20">
        <f t="shared" si="0"/>
        <v>5119541</v>
      </c>
      <c r="I20">
        <f t="shared" si="1"/>
        <v>11362</v>
      </c>
      <c r="J20" s="20">
        <v>11362</v>
      </c>
      <c r="K20">
        <v>97</v>
      </c>
      <c r="M20" s="47">
        <f>I20*요금적용DB!$B$3</f>
        <v>94531840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369271736</v>
      </c>
      <c r="O20" s="47">
        <f t="shared" si="2"/>
        <v>-945318</v>
      </c>
      <c r="P20" s="47">
        <v>87969024</v>
      </c>
      <c r="Q20" s="47">
        <f t="shared" si="3"/>
        <v>374889234</v>
      </c>
      <c r="R20" s="47">
        <f t="shared" si="4"/>
        <v>13870900</v>
      </c>
      <c r="S20" s="47">
        <f t="shared" si="5"/>
        <v>37488923</v>
      </c>
      <c r="T20" s="47">
        <f t="shared" si="6"/>
        <v>426249050</v>
      </c>
      <c r="U20" s="47">
        <v>2500</v>
      </c>
      <c r="V20" s="55">
        <f t="shared" si="7"/>
        <v>426251550</v>
      </c>
      <c r="W20" s="56">
        <f t="shared" si="8"/>
        <v>388760134</v>
      </c>
      <c r="Y20" s="54">
        <f>'ESS-충전할인'!I16</f>
        <v>14095676</v>
      </c>
      <c r="Z20" s="30">
        <f>'ESS-충전할인'!J16*-1</f>
        <v>-8422069</v>
      </c>
      <c r="AA20" s="54">
        <f t="shared" si="11"/>
        <v>5673607</v>
      </c>
      <c r="AB20" s="30">
        <f t="shared" si="12"/>
        <v>567361</v>
      </c>
      <c r="AC20" s="30">
        <f t="shared" si="13"/>
        <v>209920</v>
      </c>
      <c r="AD20" s="54">
        <f t="shared" si="14"/>
        <v>6450880</v>
      </c>
      <c r="AE20" s="54">
        <f t="shared" si="15"/>
        <v>5883519</v>
      </c>
      <c r="AF20" s="54">
        <f t="shared" si="9"/>
        <v>432702430</v>
      </c>
      <c r="AG20" s="54">
        <f t="shared" si="10"/>
        <v>394643653</v>
      </c>
    </row>
    <row r="21" spans="2:33" x14ac:dyDescent="0.3">
      <c r="B21" s="2" t="s">
        <v>22</v>
      </c>
      <c r="C21" s="2" t="s">
        <v>35</v>
      </c>
      <c r="D21">
        <f>본전력량!D25-ESS전력량!D21</f>
        <v>1580795</v>
      </c>
      <c r="E21">
        <f>본전력량!E25-ESS전력량!E21</f>
        <v>960776</v>
      </c>
      <c r="F21">
        <f>본전력량!F25-ESS전력량!F21</f>
        <v>333901</v>
      </c>
      <c r="G21">
        <f t="shared" si="0"/>
        <v>2875472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257215664.59999999</v>
      </c>
      <c r="O21" s="47">
        <f t="shared" si="2"/>
        <v>-945318</v>
      </c>
      <c r="P21" s="47">
        <v>87399936</v>
      </c>
      <c r="Q21" s="47">
        <f t="shared" si="3"/>
        <v>263402250.60000002</v>
      </c>
      <c r="R21" s="47">
        <f t="shared" si="4"/>
        <v>9745880</v>
      </c>
      <c r="S21" s="47">
        <f t="shared" si="5"/>
        <v>26340225</v>
      </c>
      <c r="T21" s="47">
        <f t="shared" si="6"/>
        <v>299488350</v>
      </c>
      <c r="U21" s="47">
        <v>2500</v>
      </c>
      <c r="V21" s="55">
        <f t="shared" si="7"/>
        <v>299490850</v>
      </c>
      <c r="W21" s="56">
        <f t="shared" si="8"/>
        <v>273148130.60000002</v>
      </c>
      <c r="Y21" s="54">
        <f>'ESS-충전할인'!I17</f>
        <v>13011811</v>
      </c>
      <c r="Z21" s="30">
        <f>'ESS-충전할인'!J17*-1</f>
        <v>-7756509</v>
      </c>
      <c r="AA21" s="54">
        <f t="shared" si="11"/>
        <v>5255302</v>
      </c>
      <c r="AB21" s="30">
        <f t="shared" si="12"/>
        <v>525530</v>
      </c>
      <c r="AC21" s="30">
        <f t="shared" si="13"/>
        <v>194440</v>
      </c>
      <c r="AD21" s="54">
        <f t="shared" si="14"/>
        <v>5975270</v>
      </c>
      <c r="AE21" s="54">
        <f t="shared" si="15"/>
        <v>5449740</v>
      </c>
      <c r="AF21" s="54">
        <f t="shared" si="9"/>
        <v>305466120</v>
      </c>
      <c r="AG21" s="54">
        <f t="shared" si="10"/>
        <v>278597870.60000002</v>
      </c>
    </row>
    <row r="22" spans="2:33" x14ac:dyDescent="0.3">
      <c r="B22" s="2" t="s">
        <v>22</v>
      </c>
      <c r="C22" s="2" t="s">
        <v>37</v>
      </c>
      <c r="D22">
        <f>본전력량!D26-ESS전력량!D22</f>
        <v>3121579</v>
      </c>
      <c r="E22">
        <f>본전력량!E26-ESS전력량!E22</f>
        <v>2068620</v>
      </c>
      <c r="F22">
        <f>본전력량!F26-ESS전력량!F22</f>
        <v>968636</v>
      </c>
      <c r="G22">
        <f t="shared" si="0"/>
        <v>6158835</v>
      </c>
      <c r="I22">
        <f t="shared" si="1"/>
        <v>11419</v>
      </c>
      <c r="J22" s="20">
        <v>11419</v>
      </c>
      <c r="K22">
        <v>97</v>
      </c>
      <c r="M22" s="47">
        <f>I22*요금적용DB!$B$3</f>
        <v>95006080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585706501.5</v>
      </c>
      <c r="O22" s="47">
        <f t="shared" si="2"/>
        <v>-950060</v>
      </c>
      <c r="P22" s="47">
        <v>87340032</v>
      </c>
      <c r="Q22" s="47">
        <f t="shared" si="3"/>
        <v>592422489.5</v>
      </c>
      <c r="R22" s="47">
        <f t="shared" si="4"/>
        <v>21919630</v>
      </c>
      <c r="S22" s="47">
        <f t="shared" si="5"/>
        <v>59242249</v>
      </c>
      <c r="T22" s="47">
        <f t="shared" si="6"/>
        <v>673584360</v>
      </c>
      <c r="U22" s="47">
        <v>2500</v>
      </c>
      <c r="V22" s="55">
        <f t="shared" si="7"/>
        <v>673586860</v>
      </c>
      <c r="W22" s="56">
        <f t="shared" si="8"/>
        <v>614342119.5</v>
      </c>
      <c r="Y22" s="54">
        <f>'ESS-충전할인'!I18</f>
        <v>14545186</v>
      </c>
      <c r="Z22" s="30">
        <f>'ESS-충전할인'!J18*-1</f>
        <v>-8677986</v>
      </c>
      <c r="AA22" s="54">
        <f t="shared" si="11"/>
        <v>5867200</v>
      </c>
      <c r="AB22" s="30">
        <f t="shared" si="12"/>
        <v>586720</v>
      </c>
      <c r="AC22" s="30">
        <f t="shared" si="13"/>
        <v>217080</v>
      </c>
      <c r="AD22" s="54">
        <f t="shared" si="14"/>
        <v>6671000</v>
      </c>
      <c r="AE22" s="54">
        <f t="shared" si="15"/>
        <v>6084280</v>
      </c>
      <c r="AF22" s="54">
        <f t="shared" si="9"/>
        <v>680257860</v>
      </c>
      <c r="AG22" s="54">
        <f t="shared" si="10"/>
        <v>620426399.5</v>
      </c>
    </row>
    <row r="23" spans="2:33" x14ac:dyDescent="0.3">
      <c r="B23" s="2" t="s">
        <v>22</v>
      </c>
      <c r="C23" s="2" t="s">
        <v>39</v>
      </c>
      <c r="D23">
        <f>본전력량!D27-ESS전력량!D23</f>
        <v>2955503</v>
      </c>
      <c r="E23">
        <f>본전력량!E27-ESS전력량!E23</f>
        <v>1812174</v>
      </c>
      <c r="F23">
        <f>본전력량!F27-ESS전력량!F23</f>
        <v>809372</v>
      </c>
      <c r="G23">
        <f t="shared" si="0"/>
        <v>5577049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518001673.5</v>
      </c>
      <c r="O23" s="47">
        <f t="shared" si="2"/>
        <v>-945318</v>
      </c>
      <c r="P23" s="47">
        <v>82637568</v>
      </c>
      <c r="Q23" s="47">
        <f t="shared" si="3"/>
        <v>528950627.5</v>
      </c>
      <c r="R23" s="47">
        <f t="shared" si="4"/>
        <v>19571170</v>
      </c>
      <c r="S23" s="47">
        <f t="shared" si="5"/>
        <v>52895063</v>
      </c>
      <c r="T23" s="47">
        <f t="shared" si="6"/>
        <v>601416860</v>
      </c>
      <c r="U23" s="47">
        <v>2500</v>
      </c>
      <c r="V23" s="55">
        <f t="shared" si="7"/>
        <v>601419360</v>
      </c>
      <c r="W23" s="56">
        <f t="shared" si="8"/>
        <v>548521797.5</v>
      </c>
      <c r="Y23" s="54">
        <f>'ESS-충전할인'!I19</f>
        <v>13463187</v>
      </c>
      <c r="Z23" s="30">
        <f>'ESS-충전할인'!J19*-1</f>
        <v>-8029963</v>
      </c>
      <c r="AA23" s="54">
        <f t="shared" si="11"/>
        <v>5433224</v>
      </c>
      <c r="AB23" s="30">
        <f t="shared" si="12"/>
        <v>543322</v>
      </c>
      <c r="AC23" s="30">
        <f t="shared" si="13"/>
        <v>201020</v>
      </c>
      <c r="AD23" s="54">
        <f t="shared" si="14"/>
        <v>6177560</v>
      </c>
      <c r="AE23" s="54">
        <f t="shared" si="15"/>
        <v>5634238</v>
      </c>
      <c r="AF23" s="54">
        <f t="shared" si="9"/>
        <v>607596920</v>
      </c>
      <c r="AG23" s="54">
        <f t="shared" si="10"/>
        <v>554156035.5</v>
      </c>
    </row>
    <row r="24" spans="2:33" x14ac:dyDescent="0.3">
      <c r="B24" s="2" t="s">
        <v>22</v>
      </c>
      <c r="C24" s="2" t="s">
        <v>41</v>
      </c>
      <c r="D24">
        <f>본전력량!D28-ESS전력량!D24</f>
        <v>3284258</v>
      </c>
      <c r="E24">
        <f>본전력량!E28-ESS전력량!E24</f>
        <v>1658918</v>
      </c>
      <c r="F24">
        <f>본전력량!F28-ESS전력량!F24</f>
        <v>829549</v>
      </c>
      <c r="G24">
        <f t="shared" si="0"/>
        <v>5772725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405307534.30000001</v>
      </c>
      <c r="O24" s="47">
        <f t="shared" si="2"/>
        <v>-945318</v>
      </c>
      <c r="P24" s="47">
        <v>86231808</v>
      </c>
      <c r="Q24" s="47">
        <f t="shared" si="3"/>
        <v>412662248.30000001</v>
      </c>
      <c r="R24" s="47">
        <f t="shared" si="4"/>
        <v>15268500</v>
      </c>
      <c r="S24" s="47">
        <f t="shared" si="5"/>
        <v>41266225</v>
      </c>
      <c r="T24" s="47">
        <f t="shared" si="6"/>
        <v>469196970</v>
      </c>
      <c r="U24" s="47">
        <v>2500</v>
      </c>
      <c r="V24" s="55">
        <f t="shared" si="7"/>
        <v>469199470</v>
      </c>
      <c r="W24" s="56">
        <f t="shared" si="8"/>
        <v>427930748.30000001</v>
      </c>
      <c r="Y24" s="54">
        <f>'ESS-충전할인'!I20</f>
        <v>11708515</v>
      </c>
      <c r="Z24" s="30">
        <f>'ESS-충전할인'!J20*-1</f>
        <v>-6997443</v>
      </c>
      <c r="AA24" s="54">
        <f t="shared" si="11"/>
        <v>4711072</v>
      </c>
      <c r="AB24" s="30">
        <f t="shared" si="12"/>
        <v>471107</v>
      </c>
      <c r="AC24" s="30">
        <f t="shared" si="13"/>
        <v>174300</v>
      </c>
      <c r="AD24" s="54">
        <f t="shared" si="14"/>
        <v>5356470</v>
      </c>
      <c r="AE24" s="54">
        <f t="shared" si="15"/>
        <v>4885363</v>
      </c>
      <c r="AF24" s="54">
        <f t="shared" si="9"/>
        <v>474555940</v>
      </c>
      <c r="AG24" s="54">
        <f t="shared" si="10"/>
        <v>432816111.30000001</v>
      </c>
    </row>
    <row r="25" spans="2:33" x14ac:dyDescent="0.3">
      <c r="B25" s="2" t="s">
        <v>22</v>
      </c>
      <c r="C25" s="2" t="s">
        <v>43</v>
      </c>
      <c r="D25">
        <f>본전력량!D29-ESS전력량!D25</f>
        <v>3086457</v>
      </c>
      <c r="E25">
        <f>본전력량!E29-ESS전력량!E25</f>
        <v>1794064</v>
      </c>
      <c r="F25">
        <f>본전력량!F29-ESS전력량!F25</f>
        <v>892172</v>
      </c>
      <c r="G25">
        <f t="shared" si="0"/>
        <v>5772693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411678067.70000005</v>
      </c>
      <c r="O25" s="47">
        <f t="shared" si="2"/>
        <v>-945318</v>
      </c>
      <c r="P25" s="47">
        <v>84374784</v>
      </c>
      <c r="Q25" s="47">
        <f t="shared" si="3"/>
        <v>420889805.70000005</v>
      </c>
      <c r="R25" s="47">
        <f t="shared" si="4"/>
        <v>15572920</v>
      </c>
      <c r="S25" s="47">
        <f t="shared" si="5"/>
        <v>42088981</v>
      </c>
      <c r="T25" s="47">
        <f t="shared" si="6"/>
        <v>478551700</v>
      </c>
      <c r="U25" s="47">
        <v>2500</v>
      </c>
      <c r="V25" s="55">
        <f t="shared" si="7"/>
        <v>478554200</v>
      </c>
      <c r="W25" s="56">
        <f t="shared" si="8"/>
        <v>436462725.70000005</v>
      </c>
      <c r="Y25" s="54">
        <f>'ESS-충전할인'!I21</f>
        <v>13005334</v>
      </c>
      <c r="Z25" s="30">
        <f>'ESS-충전할인'!J21*-1</f>
        <v>-7771118</v>
      </c>
      <c r="AA25" s="54">
        <f t="shared" si="11"/>
        <v>5234216</v>
      </c>
      <c r="AB25" s="30">
        <f t="shared" si="12"/>
        <v>523422</v>
      </c>
      <c r="AC25" s="30">
        <f t="shared" si="13"/>
        <v>193660</v>
      </c>
      <c r="AD25" s="54">
        <f t="shared" si="14"/>
        <v>5951290</v>
      </c>
      <c r="AE25" s="54">
        <f t="shared" si="15"/>
        <v>5427868</v>
      </c>
      <c r="AF25" s="54">
        <f t="shared" si="9"/>
        <v>484505490</v>
      </c>
      <c r="AG25" s="54">
        <f t="shared" si="10"/>
        <v>441890593.70000005</v>
      </c>
    </row>
    <row r="26" spans="2:33" x14ac:dyDescent="0.3">
      <c r="B26" s="2" t="s">
        <v>22</v>
      </c>
      <c r="C26" s="2" t="s">
        <v>45</v>
      </c>
      <c r="D26">
        <f>본전력량!D30-ESS전력량!D26</f>
        <v>2890622</v>
      </c>
      <c r="E26">
        <f>본전력량!E30-ESS전력량!E26</f>
        <v>2063022</v>
      </c>
      <c r="F26">
        <f>본전력량!F30-ESS전력량!F26</f>
        <v>965451</v>
      </c>
      <c r="G26">
        <f t="shared" si="0"/>
        <v>5919095</v>
      </c>
      <c r="I26">
        <f t="shared" si="1"/>
        <v>11362</v>
      </c>
      <c r="J26" s="20">
        <v>11362</v>
      </c>
      <c r="K26">
        <v>97</v>
      </c>
      <c r="M26" s="47">
        <f>I26*요금적용DB!$B$3</f>
        <v>94531840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568620932.29999995</v>
      </c>
      <c r="O26" s="47">
        <f t="shared" si="2"/>
        <v>-945318</v>
      </c>
      <c r="P26" s="47">
        <v>83506176</v>
      </c>
      <c r="Q26" s="47">
        <f t="shared" si="3"/>
        <v>578701278.29999995</v>
      </c>
      <c r="R26" s="47">
        <f t="shared" si="4"/>
        <v>21411940</v>
      </c>
      <c r="S26" s="47">
        <f t="shared" si="5"/>
        <v>57870128</v>
      </c>
      <c r="T26" s="47">
        <f t="shared" si="6"/>
        <v>657983340</v>
      </c>
      <c r="U26" s="47">
        <v>2500</v>
      </c>
      <c r="V26" s="55">
        <f t="shared" si="7"/>
        <v>657985840</v>
      </c>
      <c r="W26" s="56">
        <f t="shared" si="8"/>
        <v>600113218.29999995</v>
      </c>
      <c r="Y26" s="54">
        <f>'ESS-충전할인'!I22</f>
        <v>15058140</v>
      </c>
      <c r="Z26" s="30">
        <f>'ESS-충전할인'!J22*-1</f>
        <v>-8985920</v>
      </c>
      <c r="AA26" s="54">
        <f t="shared" si="11"/>
        <v>6072220</v>
      </c>
      <c r="AB26" s="30">
        <f t="shared" si="12"/>
        <v>607222</v>
      </c>
      <c r="AC26" s="30">
        <f t="shared" si="13"/>
        <v>224670</v>
      </c>
      <c r="AD26" s="54">
        <f t="shared" si="14"/>
        <v>6904110</v>
      </c>
      <c r="AE26" s="54">
        <f t="shared" si="15"/>
        <v>6296888</v>
      </c>
      <c r="AF26" s="54">
        <f t="shared" si="9"/>
        <v>664889950</v>
      </c>
      <c r="AG26" s="54">
        <f t="shared" si="10"/>
        <v>606410106.29999995</v>
      </c>
    </row>
    <row r="27" spans="2:33" x14ac:dyDescent="0.3">
      <c r="B27" s="2" t="s">
        <v>22</v>
      </c>
      <c r="C27" s="2" t="s">
        <v>47</v>
      </c>
      <c r="D27">
        <f>본전력량!D31-ESS전력량!D27</f>
        <v>3220379</v>
      </c>
      <c r="E27">
        <f>본전력량!E31-ESS전력량!E27</f>
        <v>1855391</v>
      </c>
      <c r="F27">
        <f>본전력량!F31-ESS전력량!F27</f>
        <v>913611</v>
      </c>
      <c r="G27">
        <f t="shared" si="0"/>
        <v>5989381</v>
      </c>
      <c r="I27">
        <f t="shared" si="1"/>
        <v>11246</v>
      </c>
      <c r="J27" s="20">
        <v>11246</v>
      </c>
      <c r="K27">
        <v>97</v>
      </c>
      <c r="M27" s="47">
        <f>I27*요금적용DB!$B$3</f>
        <v>93566720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558113565.79999995</v>
      </c>
      <c r="O27" s="47">
        <f t="shared" si="2"/>
        <v>-935667</v>
      </c>
      <c r="P27" s="47">
        <v>67242240</v>
      </c>
      <c r="Q27" s="47">
        <f t="shared" si="3"/>
        <v>583502378.79999995</v>
      </c>
      <c r="R27" s="47">
        <f t="shared" si="4"/>
        <v>21589580</v>
      </c>
      <c r="S27" s="47">
        <f t="shared" si="5"/>
        <v>58350238</v>
      </c>
      <c r="T27" s="47">
        <f t="shared" si="6"/>
        <v>663442190</v>
      </c>
      <c r="U27" s="47">
        <v>2500</v>
      </c>
      <c r="V27" s="55">
        <f t="shared" si="7"/>
        <v>663444690</v>
      </c>
      <c r="W27" s="56">
        <f t="shared" si="8"/>
        <v>605091958.79999995</v>
      </c>
      <c r="Y27" s="54">
        <f>'ESS-충전할인'!I23</f>
        <v>11630901</v>
      </c>
      <c r="Z27" s="30">
        <f>'ESS-충전할인'!J23*-1</f>
        <v>-6930689</v>
      </c>
      <c r="AA27" s="54">
        <f t="shared" si="11"/>
        <v>4700212</v>
      </c>
      <c r="AB27" s="30">
        <f t="shared" si="12"/>
        <v>470021</v>
      </c>
      <c r="AC27" s="30">
        <f t="shared" si="13"/>
        <v>173900</v>
      </c>
      <c r="AD27" s="54">
        <f t="shared" si="14"/>
        <v>5344130</v>
      </c>
      <c r="AE27" s="54">
        <f t="shared" si="15"/>
        <v>4874109</v>
      </c>
      <c r="AF27" s="54">
        <f t="shared" si="9"/>
        <v>668788820</v>
      </c>
      <c r="AG27" s="54">
        <f t="shared" si="10"/>
        <v>609966067.79999995</v>
      </c>
    </row>
    <row r="28" spans="2:33" x14ac:dyDescent="0.3">
      <c r="B28" s="2" t="s">
        <v>101</v>
      </c>
      <c r="C28" s="2" t="s">
        <v>99</v>
      </c>
      <c r="D28">
        <f>본전력량!D36-ESS전력량!D28</f>
        <v>3092956</v>
      </c>
      <c r="E28">
        <f>본전력량!E36-ESS전력량!E28</f>
        <v>1609312</v>
      </c>
      <c r="F28">
        <f>본전력량!F36-ESS전력량!F28</f>
        <v>907568</v>
      </c>
      <c r="G28">
        <f t="shared" si="0"/>
        <v>5609836</v>
      </c>
      <c r="I28">
        <f t="shared" si="1"/>
        <v>11419</v>
      </c>
      <c r="J28" s="20">
        <v>11419</v>
      </c>
      <c r="K28">
        <v>97</v>
      </c>
      <c r="M28" s="47">
        <f>I28*요금적용DB!$B$3</f>
        <v>95006080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522193979.60000002</v>
      </c>
      <c r="O28" s="47">
        <f t="shared" si="2"/>
        <v>-950060</v>
      </c>
      <c r="P28" s="47">
        <f>'ESS-기본할인'!I32</f>
        <v>34474752</v>
      </c>
      <c r="Q28" s="47">
        <f t="shared" si="3"/>
        <v>581775247.60000002</v>
      </c>
      <c r="R28" s="47">
        <f t="shared" si="4"/>
        <v>21525680</v>
      </c>
      <c r="S28" s="47">
        <f t="shared" si="5"/>
        <v>58177525</v>
      </c>
      <c r="T28" s="47">
        <f t="shared" si="6"/>
        <v>661478450</v>
      </c>
      <c r="U28" s="47">
        <v>2500</v>
      </c>
      <c r="V28" s="55">
        <f t="shared" si="7"/>
        <v>661480950</v>
      </c>
      <c r="W28" s="56">
        <f t="shared" si="8"/>
        <v>603300927.60000002</v>
      </c>
      <c r="Y28" s="54">
        <f>'ESS-충전할인'!I24</f>
        <v>6135697</v>
      </c>
      <c r="Z28" s="30">
        <f>'ESS-충전할인'!J24*-1</f>
        <v>-3620779</v>
      </c>
      <c r="AA28" s="54">
        <f t="shared" si="11"/>
        <v>2514918</v>
      </c>
      <c r="AB28" s="30">
        <f t="shared" si="12"/>
        <v>251492</v>
      </c>
      <c r="AC28" s="30">
        <f t="shared" si="13"/>
        <v>93050</v>
      </c>
      <c r="AD28" s="54">
        <f t="shared" si="14"/>
        <v>2859460</v>
      </c>
      <c r="AE28" s="54">
        <f t="shared" si="15"/>
        <v>2607968</v>
      </c>
      <c r="AF28" s="54">
        <f t="shared" si="9"/>
        <v>664340410</v>
      </c>
      <c r="AG28" s="54">
        <f t="shared" si="10"/>
        <v>605908895.60000002</v>
      </c>
    </row>
    <row r="29" spans="2:33" x14ac:dyDescent="0.3">
      <c r="B29" s="2" t="s">
        <v>101</v>
      </c>
      <c r="C29" s="2" t="s">
        <v>27</v>
      </c>
      <c r="D29">
        <f>본전력량!D37-ESS전력량!D29</f>
        <v>2906990</v>
      </c>
      <c r="E29">
        <f>본전력량!E37-ESS전력량!E29</f>
        <v>1907519</v>
      </c>
      <c r="F29">
        <f>본전력량!F37-ESS전력량!F29</f>
        <v>856892</v>
      </c>
      <c r="G29">
        <f t="shared" ref="G29:G34" si="16">SUM(D29:F29)</f>
        <v>5671401</v>
      </c>
      <c r="I29">
        <f t="shared" ref="I29:I34" si="17">ROUND(J29,0)</f>
        <v>11419</v>
      </c>
      <c r="J29" s="20">
        <v>11419</v>
      </c>
      <c r="K29">
        <v>97</v>
      </c>
      <c r="M29" s="47">
        <f>I29*요금적용DB!$B$3</f>
        <v>95006080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534576040.19999999</v>
      </c>
      <c r="O29" s="47">
        <f t="shared" ref="O29:O34" si="18">ROUNDDOWN(M29*-0.01,0)</f>
        <v>-950060</v>
      </c>
      <c r="P29" s="47">
        <f>'ESS-기본할인'!I33</f>
        <v>81709056</v>
      </c>
      <c r="Q29" s="47">
        <f t="shared" si="3"/>
        <v>546923004.20000005</v>
      </c>
      <c r="R29" s="47">
        <f t="shared" si="4"/>
        <v>20236150</v>
      </c>
      <c r="S29" s="47">
        <f t="shared" si="5"/>
        <v>54692300</v>
      </c>
      <c r="T29" s="47">
        <f t="shared" si="6"/>
        <v>621851450</v>
      </c>
      <c r="U29" s="47">
        <v>2500</v>
      </c>
      <c r="V29" s="55">
        <f t="shared" si="7"/>
        <v>621853950</v>
      </c>
      <c r="W29" s="56">
        <f t="shared" si="8"/>
        <v>567159154.20000005</v>
      </c>
      <c r="Y29" s="54">
        <f>'ESS-충전할인'!I25</f>
        <v>14138753</v>
      </c>
      <c r="Z29" s="30">
        <f>'ESS-충전할인'!J25*-1</f>
        <v>-8437101</v>
      </c>
      <c r="AA29" s="54">
        <f t="shared" si="11"/>
        <v>5701652</v>
      </c>
      <c r="AB29" s="30">
        <f t="shared" si="12"/>
        <v>570165</v>
      </c>
      <c r="AC29" s="30">
        <f t="shared" si="13"/>
        <v>210960</v>
      </c>
      <c r="AD29" s="54">
        <f t="shared" si="14"/>
        <v>6482770</v>
      </c>
      <c r="AE29" s="54">
        <f t="shared" si="15"/>
        <v>5912605</v>
      </c>
      <c r="AF29" s="54">
        <f t="shared" si="9"/>
        <v>628336720</v>
      </c>
      <c r="AG29" s="54">
        <f t="shared" si="10"/>
        <v>573071759.20000005</v>
      </c>
    </row>
    <row r="30" spans="2:33" x14ac:dyDescent="0.3">
      <c r="B30" s="2" t="s">
        <v>101</v>
      </c>
      <c r="C30" s="2" t="s">
        <v>29</v>
      </c>
      <c r="D30" s="30">
        <f>본전력량!D38-ESS전력량!D30</f>
        <v>2833822</v>
      </c>
      <c r="E30" s="30">
        <f>본전력량!E38-ESS전력량!E30</f>
        <v>1793022</v>
      </c>
      <c r="F30" s="30">
        <f>본전력량!F38-ESS전력량!F30</f>
        <v>846397</v>
      </c>
      <c r="G30" s="30">
        <f t="shared" si="16"/>
        <v>5473241</v>
      </c>
      <c r="I30">
        <f t="shared" si="17"/>
        <v>11419</v>
      </c>
      <c r="J30" s="20">
        <v>11419</v>
      </c>
      <c r="K30">
        <v>97</v>
      </c>
      <c r="M30" s="47">
        <f>I30*요금적용DB!$B$3</f>
        <v>95006080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392420135.5</v>
      </c>
      <c r="O30" s="47">
        <f t="shared" si="18"/>
        <v>-950060</v>
      </c>
      <c r="P30" s="47">
        <f>'ESS-기본할인'!I34</f>
        <v>85303296</v>
      </c>
      <c r="Q30" s="47">
        <f t="shared" si="3"/>
        <v>401172859.5</v>
      </c>
      <c r="R30" s="47">
        <f t="shared" si="4"/>
        <v>14843390</v>
      </c>
      <c r="S30" s="47">
        <f t="shared" si="5"/>
        <v>40117286</v>
      </c>
      <c r="T30" s="47">
        <f t="shared" si="6"/>
        <v>456133530</v>
      </c>
      <c r="U30" s="47">
        <v>2500</v>
      </c>
      <c r="V30" s="55">
        <f t="shared" si="7"/>
        <v>456136030</v>
      </c>
      <c r="W30" s="56">
        <f t="shared" si="8"/>
        <v>416016249.5</v>
      </c>
      <c r="Y30" s="54">
        <f>'ESS-충전할인'!I26</f>
        <v>13655731</v>
      </c>
      <c r="Z30" s="30">
        <f>'ESS-충전할인'!J26*-1</f>
        <v>-8160867</v>
      </c>
      <c r="AA30" s="54">
        <f t="shared" si="11"/>
        <v>5494864</v>
      </c>
      <c r="AB30" s="30">
        <f t="shared" si="12"/>
        <v>549486</v>
      </c>
      <c r="AC30" s="30">
        <f t="shared" si="13"/>
        <v>203300</v>
      </c>
      <c r="AD30" s="54">
        <f t="shared" si="14"/>
        <v>6247650</v>
      </c>
      <c r="AE30" s="54">
        <f t="shared" si="15"/>
        <v>5698164</v>
      </c>
      <c r="AF30" s="54">
        <f t="shared" si="9"/>
        <v>462383680</v>
      </c>
      <c r="AG30" s="54">
        <f t="shared" si="10"/>
        <v>421714413.5</v>
      </c>
    </row>
    <row r="31" spans="2:33" x14ac:dyDescent="0.3">
      <c r="B31" s="2" t="s">
        <v>101</v>
      </c>
      <c r="C31" s="2" t="s">
        <v>31</v>
      </c>
      <c r="D31" s="30">
        <f>본전력량!D39-ESS전력량!D31</f>
        <v>2797827</v>
      </c>
      <c r="E31" s="30">
        <f>본전력량!E39-ESS전력량!E31</f>
        <v>1682338</v>
      </c>
      <c r="F31" s="30">
        <f>본전력량!F39-ESS전력량!F31</f>
        <v>840620</v>
      </c>
      <c r="G31" s="30">
        <f t="shared" si="16"/>
        <v>5320785</v>
      </c>
      <c r="H31" s="30"/>
      <c r="I31" s="30">
        <f t="shared" si="17"/>
        <v>11419</v>
      </c>
      <c r="J31" s="20">
        <v>11419</v>
      </c>
      <c r="K31" s="30">
        <v>97</v>
      </c>
      <c r="L31" s="30"/>
      <c r="M31" s="47">
        <f>I31*요금적용DB!$B$3</f>
        <v>95006080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381069627.5</v>
      </c>
      <c r="O31" s="47">
        <f t="shared" si="18"/>
        <v>-950060</v>
      </c>
      <c r="P31" s="47">
        <f>'ESS-기본할인'!I35</f>
        <v>82038528</v>
      </c>
      <c r="Q31" s="47">
        <f t="shared" ref="Q31" si="19">SUM(M31:O31)-P31</f>
        <v>393087119.5</v>
      </c>
      <c r="R31" s="47">
        <f t="shared" ref="R31" si="20">ROUNDDOWN(Q31*0.037,-1)</f>
        <v>14544220</v>
      </c>
      <c r="S31" s="47">
        <f t="shared" ref="S31" si="21">ROUND(Q31*0.1,0)</f>
        <v>39308712</v>
      </c>
      <c r="T31" s="47">
        <f t="shared" ref="T31" si="22">ROUNDDOWN(SUM(Q31:S31),-1)</f>
        <v>446940050</v>
      </c>
      <c r="U31" s="47">
        <v>2500</v>
      </c>
      <c r="V31" s="55">
        <f t="shared" si="7"/>
        <v>446942550</v>
      </c>
      <c r="W31" s="56">
        <f t="shared" si="8"/>
        <v>407631339.5</v>
      </c>
      <c r="Y31" s="54">
        <f>'ESS-충전할인'!I27</f>
        <v>12126403</v>
      </c>
      <c r="Z31" s="30">
        <f>'ESS-충전할인'!J27*-1</f>
        <v>-7244608</v>
      </c>
      <c r="AA31" s="54">
        <f t="shared" ref="AA31" si="23">SUM(Y31:Z31)</f>
        <v>4881795</v>
      </c>
      <c r="AB31" s="30">
        <f t="shared" ref="AB31" si="24">ROUND(AA31*0.1,0)</f>
        <v>488180</v>
      </c>
      <c r="AC31" s="30">
        <f t="shared" ref="AC31" si="25">ROUNDDOWN(AA31*0.037,-1)</f>
        <v>180620</v>
      </c>
      <c r="AD31" s="54">
        <f t="shared" ref="AD31" si="26">ROUNDDOWN(SUM(AA31:AC31),-1)</f>
        <v>5550590</v>
      </c>
      <c r="AE31" s="54">
        <f t="shared" ref="AE31" si="27">AD31-AB31</f>
        <v>5062410</v>
      </c>
      <c r="AF31" s="54">
        <f t="shared" ref="AF31" si="28">V31+AD31</f>
        <v>452493140</v>
      </c>
      <c r="AG31" s="54">
        <f t="shared" ref="AG31" si="29">W31+AE31</f>
        <v>412693749.5</v>
      </c>
    </row>
    <row r="32" spans="2:33" x14ac:dyDescent="0.3">
      <c r="B32" s="2" t="s">
        <v>101</v>
      </c>
      <c r="C32" s="2" t="s">
        <v>33</v>
      </c>
      <c r="D32" s="30">
        <f>본전력량!D40-ESS전력량!D32</f>
        <v>2828165</v>
      </c>
      <c r="E32" s="30">
        <f>본전력량!E40-ESS전력량!E32</f>
        <v>1734920</v>
      </c>
      <c r="F32" s="30">
        <f>본전력량!F40-ESS전력량!F32</f>
        <v>784765</v>
      </c>
      <c r="G32" s="30">
        <f t="shared" si="16"/>
        <v>5347850</v>
      </c>
      <c r="H32" s="30"/>
      <c r="I32" s="30">
        <f t="shared" si="17"/>
        <v>11419</v>
      </c>
      <c r="J32" s="20">
        <v>11419</v>
      </c>
      <c r="K32" s="30">
        <v>97</v>
      </c>
      <c r="M32" s="47">
        <f>I32*요금적용DB!$B$3</f>
        <v>95006080</v>
      </c>
      <c r="N32" s="47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380799583</v>
      </c>
      <c r="O32" s="47">
        <f t="shared" si="18"/>
        <v>-950060</v>
      </c>
      <c r="P32" s="47">
        <f>'ESS-기본할인'!I36</f>
        <v>80061696</v>
      </c>
      <c r="Q32" s="47">
        <f t="shared" ref="Q32" si="30">SUM(M32:O32)-P32</f>
        <v>394793907</v>
      </c>
      <c r="R32" s="47">
        <f t="shared" ref="R32" si="31">ROUNDDOWN(Q32*0.037,-1)</f>
        <v>14607370</v>
      </c>
      <c r="S32" s="47">
        <f t="shared" ref="S32" si="32">ROUND(Q32*0.1,0)</f>
        <v>39479391</v>
      </c>
      <c r="T32" s="47">
        <f t="shared" ref="T32" si="33">ROUNDDOWN(SUM(Q32:S32),-1)</f>
        <v>448880660</v>
      </c>
      <c r="U32" s="47">
        <v>2500</v>
      </c>
      <c r="V32" s="55">
        <f t="shared" ref="V32" si="34">SUM(T32:U32)</f>
        <v>448883160</v>
      </c>
      <c r="W32" s="56">
        <f t="shared" ref="W32:W33" si="35">SUM(Q32:R32)</f>
        <v>409401277</v>
      </c>
      <c r="Y32" s="54">
        <f>'ESS-충전할인'!I28</f>
        <v>12338675</v>
      </c>
      <c r="Z32" s="30">
        <f>'ESS-충전할인'!J28*-1</f>
        <v>-7367333</v>
      </c>
      <c r="AA32" s="54">
        <f t="shared" ref="AA32" si="36">SUM(Y32:Z32)</f>
        <v>4971342</v>
      </c>
      <c r="AB32" s="30">
        <f t="shared" ref="AB32" si="37">ROUND(AA32*0.1,0)</f>
        <v>497134</v>
      </c>
      <c r="AC32" s="30">
        <f t="shared" ref="AC32" si="38">ROUNDDOWN(AA32*0.037,-1)</f>
        <v>183930</v>
      </c>
      <c r="AD32" s="54">
        <f t="shared" ref="AD32" si="39">ROUNDDOWN(SUM(AA32:AC32),-1)</f>
        <v>5652400</v>
      </c>
      <c r="AE32" s="54">
        <f t="shared" ref="AE32" si="40">AD32-AB32</f>
        <v>5155266</v>
      </c>
      <c r="AF32" s="54">
        <f t="shared" ref="AF32" si="41">V32+AD32</f>
        <v>454535560</v>
      </c>
      <c r="AG32" s="54">
        <f t="shared" ref="AG32" si="42">W32+AE32</f>
        <v>414556543</v>
      </c>
    </row>
    <row r="33" spans="2:33" x14ac:dyDescent="0.3">
      <c r="B33" s="2" t="s">
        <v>101</v>
      </c>
      <c r="C33" s="2" t="s">
        <v>35</v>
      </c>
      <c r="D33" s="30">
        <f>본전력량!D41-ESS전력량!D33</f>
        <v>2928363</v>
      </c>
      <c r="E33" s="30">
        <f>본전력량!E41-ESS전력량!E33</f>
        <v>1722541</v>
      </c>
      <c r="F33" s="30">
        <f>본전력량!F41-ESS전력량!F33</f>
        <v>856425</v>
      </c>
      <c r="G33" s="30">
        <f t="shared" si="16"/>
        <v>5507329</v>
      </c>
      <c r="I33" s="30">
        <f t="shared" si="17"/>
        <v>11419</v>
      </c>
      <c r="J33" s="20">
        <v>11419</v>
      </c>
      <c r="K33" s="30">
        <v>97</v>
      </c>
      <c r="M33" s="47">
        <f>I33*요금적용DB!$B$3</f>
        <v>95006080</v>
      </c>
      <c r="N33" s="47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515700950.80000001</v>
      </c>
      <c r="O33" s="47">
        <f t="shared" si="18"/>
        <v>-950060</v>
      </c>
      <c r="P33" s="47">
        <f>'ESS-기본할인'!I37</f>
        <v>65834496</v>
      </c>
      <c r="Q33" s="47">
        <f t="shared" ref="Q33" si="43">SUM(M33:O33)-P33</f>
        <v>543922474.79999995</v>
      </c>
      <c r="R33" s="47">
        <f t="shared" ref="R33" si="44">ROUNDDOWN(Q33*0.037,-1)</f>
        <v>20125130</v>
      </c>
      <c r="S33" s="47">
        <f t="shared" ref="S33" si="45">ROUND(Q33*0.1,0)</f>
        <v>54392247</v>
      </c>
      <c r="T33" s="47">
        <f t="shared" ref="T33" si="46">ROUNDDOWN(SUM(Q33:S33),-1)</f>
        <v>618439850</v>
      </c>
      <c r="U33" s="47">
        <v>2500</v>
      </c>
      <c r="V33" s="55">
        <f t="shared" ref="V33" si="47">SUM(T33:U33)</f>
        <v>618442350</v>
      </c>
      <c r="W33" s="56">
        <f t="shared" si="35"/>
        <v>564047604.79999995</v>
      </c>
      <c r="Y33" s="54">
        <f>'ESS-충전할인'!I29</f>
        <v>9554211</v>
      </c>
      <c r="Z33" s="30">
        <f>'ESS-충전할인'!J29*-1</f>
        <v>-5666897</v>
      </c>
      <c r="AA33" s="54">
        <f t="shared" ref="AA33" si="48">SUM(Y33:Z33)</f>
        <v>3887314</v>
      </c>
      <c r="AB33" s="30">
        <f t="shared" ref="AB33" si="49">ROUND(AA33*0.1,0)</f>
        <v>388731</v>
      </c>
      <c r="AC33" s="30">
        <f t="shared" ref="AC33" si="50">ROUNDDOWN(AA33*0.037,-1)</f>
        <v>143830</v>
      </c>
      <c r="AD33" s="54">
        <f t="shared" ref="AD33" si="51">ROUNDDOWN(SUM(AA33:AC33),-1)</f>
        <v>4419870</v>
      </c>
      <c r="AE33" s="54">
        <f t="shared" ref="AE33" si="52">AD33-AB33</f>
        <v>4031139</v>
      </c>
      <c r="AF33" s="54">
        <f t="shared" ref="AF33" si="53">V33+AD33</f>
        <v>622862220</v>
      </c>
      <c r="AG33" s="54">
        <f t="shared" ref="AG33" si="54">W33+AE33</f>
        <v>568078743.79999995</v>
      </c>
    </row>
    <row r="34" spans="2:33" x14ac:dyDescent="0.3">
      <c r="B34" s="2" t="s">
        <v>101</v>
      </c>
      <c r="C34" s="2" t="s">
        <v>37</v>
      </c>
      <c r="D34" s="30">
        <f>본전력량!D42-ESS전력량!D34</f>
        <v>2974011</v>
      </c>
      <c r="E34" s="30">
        <f>본전력량!E42-ESS전력량!E34</f>
        <v>1989564</v>
      </c>
      <c r="F34" s="30">
        <f>본전력량!F42-ESS전력량!F34</f>
        <v>1028379</v>
      </c>
      <c r="G34" s="30">
        <f t="shared" si="16"/>
        <v>5991954</v>
      </c>
      <c r="H34" s="30"/>
      <c r="I34" s="30">
        <f t="shared" si="17"/>
        <v>11448</v>
      </c>
      <c r="J34">
        <v>11448</v>
      </c>
      <c r="K34">
        <v>97</v>
      </c>
      <c r="M34" s="47">
        <f>I34*요금적용DB!$B$3</f>
        <v>95247360</v>
      </c>
      <c r="N34" s="47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580227720</v>
      </c>
      <c r="O34" s="47">
        <f t="shared" si="18"/>
        <v>-952473</v>
      </c>
      <c r="P34" s="47">
        <f>'ESS-기본할인'!I38</f>
        <v>66313728</v>
      </c>
      <c r="Q34" s="47">
        <f t="shared" ref="Q34" si="55">SUM(M34:O34)-P34</f>
        <v>608208879</v>
      </c>
      <c r="R34" s="47">
        <f t="shared" ref="R34" si="56">ROUNDDOWN(Q34*0.037,-1)</f>
        <v>22503720</v>
      </c>
      <c r="S34" s="47">
        <f t="shared" ref="S34" si="57">ROUND(Q34*0.1,0)</f>
        <v>60820888</v>
      </c>
      <c r="T34" s="47">
        <f t="shared" ref="T34" si="58">ROUNDDOWN(SUM(Q34:S34),-1)</f>
        <v>691533480</v>
      </c>
      <c r="U34" s="47">
        <v>2500</v>
      </c>
      <c r="V34" s="55">
        <f t="shared" ref="V34" si="59">SUM(T34:U34)</f>
        <v>691535980</v>
      </c>
      <c r="W34" s="56">
        <f t="shared" ref="W34" si="60">SUM(Q34:R34)</f>
        <v>630712599</v>
      </c>
      <c r="X34" s="30"/>
      <c r="Y34" s="54">
        <f>'ESS-충전할인'!I30</f>
        <v>11064848</v>
      </c>
      <c r="Z34" s="30">
        <f>'ESS-충전할인'!J30*-1</f>
        <v>-6587834</v>
      </c>
      <c r="AA34" s="54">
        <f t="shared" ref="AA34" si="61">SUM(Y34:Z34)</f>
        <v>4477014</v>
      </c>
      <c r="AB34" s="30">
        <f t="shared" ref="AB34" si="62">ROUND(AA34*0.1,0)</f>
        <v>447701</v>
      </c>
      <c r="AC34" s="30">
        <f t="shared" ref="AC34" si="63">ROUNDDOWN(AA34*0.037,-1)</f>
        <v>165640</v>
      </c>
      <c r="AD34" s="54">
        <f t="shared" ref="AD34" si="64">ROUNDDOWN(SUM(AA34:AC34),-1)</f>
        <v>5090350</v>
      </c>
      <c r="AE34" s="54">
        <f t="shared" ref="AE34" si="65">AD34-AB34</f>
        <v>4642649</v>
      </c>
      <c r="AF34" s="54">
        <f t="shared" ref="AF34" si="66">V34+AD34</f>
        <v>696626330</v>
      </c>
      <c r="AG34" s="54">
        <f t="shared" ref="AG34" si="67">W34+AE34</f>
        <v>635355248</v>
      </c>
    </row>
    <row r="35" spans="2:33" x14ac:dyDescent="0.3">
      <c r="B35" s="2" t="s">
        <v>101</v>
      </c>
      <c r="C35" s="2" t="s">
        <v>39</v>
      </c>
      <c r="D35" s="30">
        <f>본전력량!D43-ESS전력량!D35</f>
        <v>2924059</v>
      </c>
      <c r="E35" s="30">
        <f>본전력량!E43-ESS전력량!E35</f>
        <v>1843946</v>
      </c>
      <c r="F35" s="30">
        <f>본전력량!F43-ESS전력량!F35</f>
        <v>879627</v>
      </c>
      <c r="G35" s="30">
        <f t="shared" ref="G35" si="68">SUM(D35:F35)</f>
        <v>5647632</v>
      </c>
      <c r="H35" s="30"/>
      <c r="I35" s="30">
        <f t="shared" ref="I35" si="69">ROUND(J35,0)</f>
        <v>11448</v>
      </c>
      <c r="J35" s="30">
        <v>11448</v>
      </c>
      <c r="K35" s="30">
        <v>97</v>
      </c>
      <c r="M35" s="47">
        <f>I35*요금적용DB!$B$3</f>
        <v>95247360</v>
      </c>
      <c r="N35" s="47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533126543.59999996</v>
      </c>
      <c r="O35" s="47">
        <f t="shared" ref="O35" si="70">ROUNDDOWN(M35*-0.01,0)</f>
        <v>-952473</v>
      </c>
      <c r="P35" s="47">
        <f>'ESS-기본할인'!I39</f>
        <v>66223872</v>
      </c>
      <c r="Q35" s="47">
        <f t="shared" ref="Q35" si="71">SUM(M35:O35)-P35</f>
        <v>561197558.5999999</v>
      </c>
      <c r="R35" s="47">
        <f t="shared" ref="R35" si="72">ROUNDDOWN(Q35*0.037,-1)</f>
        <v>20764300</v>
      </c>
      <c r="S35" s="47">
        <f t="shared" ref="S35" si="73">ROUND(Q35*0.1,0)</f>
        <v>56119756</v>
      </c>
      <c r="T35" s="47">
        <f t="shared" ref="T35" si="74">ROUNDDOWN(SUM(Q35:S35),-1)</f>
        <v>638081610</v>
      </c>
      <c r="U35" s="47">
        <v>2500</v>
      </c>
      <c r="V35" s="55">
        <f t="shared" ref="V35" si="75">SUM(T35:U35)</f>
        <v>638084110</v>
      </c>
      <c r="W35" s="56">
        <f t="shared" ref="W35" si="76">SUM(Q35:R35)</f>
        <v>581961858.5999999</v>
      </c>
      <c r="X35" s="30"/>
      <c r="Y35" s="54">
        <f>'ESS-충전할인'!I31</f>
        <v>10243660</v>
      </c>
      <c r="Z35" s="30">
        <f>'ESS-충전할인'!J31*-1</f>
        <v>-6092898</v>
      </c>
      <c r="AA35" s="54">
        <f t="shared" ref="AA35" si="77">SUM(Y35:Z35)</f>
        <v>4150762</v>
      </c>
      <c r="AB35" s="30">
        <f t="shared" ref="AB35" si="78">ROUND(AA35*0.1,0)</f>
        <v>415076</v>
      </c>
      <c r="AC35" s="30">
        <f t="shared" ref="AC35" si="79">ROUNDDOWN(AA35*0.037,-1)</f>
        <v>153570</v>
      </c>
      <c r="AD35" s="54">
        <f t="shared" ref="AD35" si="80">ROUNDDOWN(SUM(AA35:AC35),-1)</f>
        <v>4719400</v>
      </c>
      <c r="AE35" s="54">
        <f t="shared" ref="AE35" si="81">AD35-AB35</f>
        <v>4304324</v>
      </c>
      <c r="AF35" s="54">
        <f t="shared" ref="AF35" si="82">V35+AD35</f>
        <v>642803510</v>
      </c>
      <c r="AG35" s="54">
        <f t="shared" ref="AG35" si="83">W35+AE35</f>
        <v>586266182.5999999</v>
      </c>
    </row>
    <row r="36" spans="2:33" x14ac:dyDescent="0.3">
      <c r="B36" s="2" t="s">
        <v>101</v>
      </c>
      <c r="C36" s="2" t="s">
        <v>41</v>
      </c>
    </row>
    <row r="37" spans="2:33" x14ac:dyDescent="0.3">
      <c r="B37" s="2" t="s">
        <v>101</v>
      </c>
      <c r="C37" s="2" t="s">
        <v>43</v>
      </c>
    </row>
    <row r="38" spans="2:33" x14ac:dyDescent="0.3">
      <c r="B38" s="2" t="s">
        <v>101</v>
      </c>
      <c r="C38" s="2" t="s">
        <v>45</v>
      </c>
    </row>
    <row r="39" spans="2:33" x14ac:dyDescent="0.3">
      <c r="B39" s="2" t="s">
        <v>101</v>
      </c>
      <c r="C39" s="2" t="s">
        <v>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"/>
  <sheetViews>
    <sheetView topLeftCell="L1" workbookViewId="0">
      <selection activeCell="AH11" sqref="AH11:AI11"/>
    </sheetView>
  </sheetViews>
  <sheetFormatPr defaultRowHeight="16.5" x14ac:dyDescent="0.3"/>
  <cols>
    <col min="3" max="10" width="12.625" customWidth="1"/>
    <col min="12" max="12" width="9" style="30"/>
    <col min="14" max="20" width="9.5" customWidth="1"/>
    <col min="21" max="21" width="11" bestFit="1" customWidth="1"/>
    <col min="23" max="23" width="9" style="30"/>
    <col min="32" max="32" width="10.5" bestFit="1" customWidth="1"/>
  </cols>
  <sheetData>
    <row r="2" spans="2:36" x14ac:dyDescent="0.3">
      <c r="B2" s="239" t="s">
        <v>230</v>
      </c>
      <c r="C2" s="239" t="s">
        <v>240</v>
      </c>
      <c r="D2" s="239"/>
      <c r="E2" s="239"/>
      <c r="F2" s="239"/>
      <c r="G2" s="239"/>
      <c r="H2" s="239"/>
      <c r="I2" s="239"/>
      <c r="J2" s="239"/>
      <c r="M2" s="243" t="s">
        <v>261</v>
      </c>
      <c r="N2" s="62"/>
      <c r="O2" s="62"/>
      <c r="P2" s="62"/>
      <c r="Q2" s="62"/>
      <c r="R2" s="62"/>
      <c r="S2" s="62"/>
      <c r="T2" s="62"/>
      <c r="U2" s="62"/>
      <c r="X2" s="243" t="s">
        <v>260</v>
      </c>
      <c r="Y2" s="62"/>
      <c r="Z2" s="62"/>
      <c r="AA2" s="62"/>
      <c r="AB2" s="62"/>
      <c r="AC2" s="62"/>
      <c r="AD2" s="62"/>
      <c r="AE2" s="62"/>
      <c r="AF2" s="62"/>
    </row>
    <row r="3" spans="2:36" s="30" customFormat="1" x14ac:dyDescent="0.3">
      <c r="B3" s="239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234</v>
      </c>
      <c r="H3" s="30" t="s">
        <v>236</v>
      </c>
      <c r="I3" s="30" t="s">
        <v>238</v>
      </c>
      <c r="J3" s="30" t="s">
        <v>89</v>
      </c>
      <c r="M3" s="243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234</v>
      </c>
      <c r="S3" s="30" t="s">
        <v>236</v>
      </c>
      <c r="T3" s="30" t="s">
        <v>238</v>
      </c>
      <c r="U3" s="30" t="s">
        <v>89</v>
      </c>
      <c r="X3" s="243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234</v>
      </c>
      <c r="AD3" s="30" t="s">
        <v>236</v>
      </c>
      <c r="AE3" s="30" t="s">
        <v>238</v>
      </c>
      <c r="AF3" s="30" t="s">
        <v>89</v>
      </c>
      <c r="AH3" s="239" t="s">
        <v>89</v>
      </c>
      <c r="AI3" s="239"/>
      <c r="AJ3" s="239"/>
    </row>
    <row r="4" spans="2:36" x14ac:dyDescent="0.3">
      <c r="B4" t="s">
        <v>231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262</v>
      </c>
      <c r="M4" s="30" t="s">
        <v>26</v>
      </c>
      <c r="N4" s="61">
        <f>IFERROR(ESS전력량!$G28*C4,0)</f>
        <v>4227.8866331317313</v>
      </c>
      <c r="O4" s="61">
        <f>IFERROR(ESS전력량!$G28*D4,0)</f>
        <v>943.51190125699929</v>
      </c>
      <c r="P4" s="61">
        <f>IFERROR(ESS전력량!$G28*E4,0)</f>
        <v>30408.465686975487</v>
      </c>
      <c r="Q4" s="61">
        <f>IFERROR(ESS전력량!$G28*F4,0)</f>
        <v>33140.238581017991</v>
      </c>
      <c r="R4" s="61">
        <f>IFERROR(ESS전력량!$G28*G4,0)</f>
        <v>17558.73619908424</v>
      </c>
      <c r="S4" s="61">
        <f>IFERROR(ESS전력량!$G28*H4,0)</f>
        <v>9917.8955608269334</v>
      </c>
      <c r="T4" s="61">
        <f>IFERROR(ESS전력량!$G28*I4,0)</f>
        <v>255.26543770661416</v>
      </c>
      <c r="U4" s="16">
        <f>SUM(N4:T4)</f>
        <v>96451.999999999985</v>
      </c>
      <c r="W4" s="30" t="s">
        <v>258</v>
      </c>
      <c r="X4" s="30" t="s">
        <v>26</v>
      </c>
      <c r="Y4" s="61">
        <f>'본전력량 라인별'!D4-'라인별전력(본+ESS)'!N4</f>
        <v>245902.11336686826</v>
      </c>
      <c r="Z4" s="61">
        <f>'본전력량 라인별'!E4-'라인별전력(본+ESS)'!O4</f>
        <v>54876.488098743001</v>
      </c>
      <c r="AA4" s="61">
        <f>'본전력량 라인별'!F4-'라인별전력(본+ESS)'!P4</f>
        <v>1768615.5343130245</v>
      </c>
      <c r="AB4" s="61">
        <f>'본전력량 라인별'!G4-'라인별전력(본+ESS)'!Q4</f>
        <v>1927500.7614189819</v>
      </c>
      <c r="AC4" s="61">
        <f>'본전력량 라인별'!H4-'라인별전력(본+ESS)'!R4</f>
        <v>1021250.2638009158</v>
      </c>
      <c r="AD4" s="61">
        <f>'본전력량 라인별'!I4-'라인별전력(본+ESS)'!S4</f>
        <v>576844.10443917301</v>
      </c>
      <c r="AE4" s="61">
        <f>'본전력량 라인별'!J4-'라인별전력(본+ESS)'!T4</f>
        <v>14846.734562293386</v>
      </c>
      <c r="AF4" s="16">
        <f>SUM(Y4:AE4)</f>
        <v>5609836</v>
      </c>
      <c r="AH4" s="16">
        <f>AF4+U4</f>
        <v>5706288</v>
      </c>
      <c r="AI4">
        <f>'본전력량 라인별'!K4</f>
        <v>5706288</v>
      </c>
      <c r="AJ4" t="b">
        <f>AH4=AI4</f>
        <v>1</v>
      </c>
    </row>
    <row r="5" spans="2:36" x14ac:dyDescent="0.3">
      <c r="B5" s="30" t="s">
        <v>188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16" si="0">SUM(C5:I5)</f>
        <v>0.99999999999999989</v>
      </c>
      <c r="L5" s="30" t="s">
        <v>262</v>
      </c>
      <c r="M5" s="30" t="s">
        <v>27</v>
      </c>
      <c r="N5" s="61">
        <f>IFERROR(ESS전력량!$G29*C5,0)</f>
        <v>9931.1282494035531</v>
      </c>
      <c r="O5" s="61">
        <f>IFERROR(ESS전력량!$G29*D5,0)</f>
        <v>2656.7617543420374</v>
      </c>
      <c r="P5" s="61">
        <f>IFERROR(ESS전력량!$G29*E5,0)</f>
        <v>80476.693975906062</v>
      </c>
      <c r="Q5" s="61">
        <f>IFERROR(ESS전력량!$G29*F5,0)</f>
        <v>73656.098520796178</v>
      </c>
      <c r="R5" s="61">
        <f>IFERROR(ESS전력량!$G29*G5,0)</f>
        <v>34909.011452557177</v>
      </c>
      <c r="S5" s="61">
        <f>IFERROR(ESS전력량!$G29*H5,0)</f>
        <v>21311.275176897831</v>
      </c>
      <c r="T5" s="61">
        <f>IFERROR(ESS전력량!$G29*I5,0)</f>
        <v>586.03087009714113</v>
      </c>
      <c r="U5" s="16">
        <f t="shared" ref="U5:U15" si="1">SUM(N5:T5)</f>
        <v>223526.99999999997</v>
      </c>
      <c r="W5" s="30" t="s">
        <v>258</v>
      </c>
      <c r="X5" s="30" t="s">
        <v>27</v>
      </c>
      <c r="Y5" s="61">
        <f>'본전력량 라인별'!D5-'라인별전력(본+ESS)'!N5</f>
        <v>251975.87175059645</v>
      </c>
      <c r="Z5" s="61">
        <f>'본전력량 라인별'!E5-'라인별전력(본+ESS)'!O5</f>
        <v>67408.238245657965</v>
      </c>
      <c r="AA5" s="61">
        <f>'본전력량 라인별'!F5-'라인별전력(본+ESS)'!P5</f>
        <v>2041881.3060240939</v>
      </c>
      <c r="AB5" s="61">
        <f>'본전력량 라인별'!G5-'라인별전력(본+ESS)'!Q5</f>
        <v>1868826.9014792037</v>
      </c>
      <c r="AC5" s="61">
        <f>'본전력량 라인별'!H5-'라인별전력(본+ESS)'!R5</f>
        <v>885722.98854744283</v>
      </c>
      <c r="AD5" s="61">
        <f>'본전력량 라인별'!I5-'라인별전력(본+ESS)'!S5</f>
        <v>540716.72482310212</v>
      </c>
      <c r="AE5" s="61">
        <f>'본전력량 라인별'!J5-'라인별전력(본+ESS)'!T5</f>
        <v>14868.969129902858</v>
      </c>
      <c r="AF5" s="16">
        <f t="shared" ref="AF5:AF6" si="2">SUM(Y5:AE5)</f>
        <v>5671401</v>
      </c>
      <c r="AH5" s="16">
        <f t="shared" ref="AH5:AH16" si="3">AF5+U5</f>
        <v>5894928</v>
      </c>
      <c r="AI5" s="30">
        <f>'본전력량 라인별'!K5</f>
        <v>5894928</v>
      </c>
      <c r="AJ5" s="30" t="b">
        <f t="shared" ref="AJ5:AJ16" si="4">AH5=AI5</f>
        <v>1</v>
      </c>
    </row>
    <row r="6" spans="2:36" x14ac:dyDescent="0.3">
      <c r="B6" s="30" t="s">
        <v>189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262</v>
      </c>
      <c r="M6" s="30" t="s">
        <v>29</v>
      </c>
      <c r="N6" s="61">
        <f>IFERROR(ESS전력량!$G30*C6,0)</f>
        <v>10982.372274143301</v>
      </c>
      <c r="O6" s="61">
        <f>IFERROR(ESS전력량!$G30*D6,0)</f>
        <v>2412.3995236135952</v>
      </c>
      <c r="P6" s="61">
        <f>IFERROR(ESS전력량!$G30*E6,0)</f>
        <v>80880.925431497759</v>
      </c>
      <c r="Q6" s="61">
        <f>IFERROR(ESS전력량!$G30*F6,0)</f>
        <v>90694.61092655336</v>
      </c>
      <c r="R6" s="61">
        <f>IFERROR(ESS전력량!$G30*G6,0)</f>
        <v>33329.094257577533</v>
      </c>
      <c r="S6" s="61">
        <f>IFERROR(ESS전력량!$G30*H6,0)</f>
        <v>24167.632787462248</v>
      </c>
      <c r="T6" s="61">
        <f>IFERROR(ESS전력량!$G30*I6,0)</f>
        <v>659.96479915218902</v>
      </c>
      <c r="U6" s="16">
        <f t="shared" si="1"/>
        <v>243126.99999999997</v>
      </c>
      <c r="W6" s="30" t="s">
        <v>258</v>
      </c>
      <c r="X6" s="30" t="s">
        <v>29</v>
      </c>
      <c r="Y6" s="61">
        <f>'본전력량 라인별'!D6-'라인별전력(본+ESS)'!N6</f>
        <v>247233.6277258567</v>
      </c>
      <c r="Z6" s="61">
        <f>'본전력량 라인별'!E6-'라인별전력(본+ESS)'!O6</f>
        <v>54307.600476386404</v>
      </c>
      <c r="AA6" s="61">
        <f>'본전력량 라인별'!F6-'라인별전력(본+ESS)'!P6</f>
        <v>1820780.0745685021</v>
      </c>
      <c r="AB6" s="61">
        <f>'본전력량 라인별'!G6-'라인별전력(본+ESS)'!Q6</f>
        <v>2041704.3890734466</v>
      </c>
      <c r="AC6" s="61">
        <f>'본전력량 라인별'!H6-'라인별전력(본+ESS)'!R6</f>
        <v>750299.90574242244</v>
      </c>
      <c r="AD6" s="61">
        <f>'본전력량 라인별'!I6-'라인별전력(본+ESS)'!S6</f>
        <v>544058.36721253779</v>
      </c>
      <c r="AE6" s="61">
        <f>'본전력량 라인별'!J6-'라인별전력(본+ESS)'!T6</f>
        <v>14857.035200847811</v>
      </c>
      <c r="AF6" s="16">
        <f t="shared" si="2"/>
        <v>5473241</v>
      </c>
      <c r="AH6" s="16">
        <f t="shared" si="3"/>
        <v>5716368</v>
      </c>
      <c r="AI6" s="30">
        <f>'본전력량 라인별'!K6</f>
        <v>5716368</v>
      </c>
      <c r="AJ6" s="30" t="b">
        <f t="shared" si="4"/>
        <v>1</v>
      </c>
    </row>
    <row r="7" spans="2:36" x14ac:dyDescent="0.3">
      <c r="B7" s="30" t="s">
        <v>207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262</v>
      </c>
      <c r="M7" s="30" t="s">
        <v>31</v>
      </c>
      <c r="N7" s="61">
        <f>IFERROR(ESS전력량!$G$31*C7,0)</f>
        <v>9941.8339423652105</v>
      </c>
      <c r="O7" s="61">
        <f>IFERROR(ESS전력량!$G$31*D7,0)</f>
        <v>2211.9867015397017</v>
      </c>
      <c r="P7" s="61">
        <f>IFERROR(ESS전력량!$G$31*E7,0)</f>
        <v>76938.872997888975</v>
      </c>
      <c r="Q7" s="61">
        <f>IFERROR(ESS전력량!$G$31*F7,0)</f>
        <v>73733.98175505214</v>
      </c>
      <c r="R7" s="61">
        <f>IFERROR(ESS전력량!$G$31*G7,0)</f>
        <v>29702.646168192496</v>
      </c>
      <c r="S7" s="61">
        <f>IFERROR(ESS전력량!$G$31*H7,0)</f>
        <v>22537.287733967943</v>
      </c>
      <c r="T7" s="61">
        <f>IFERROR(ESS전력량!$G$31*I7,0)</f>
        <v>804.39070099352386</v>
      </c>
      <c r="U7" s="16">
        <f t="shared" si="1"/>
        <v>215871</v>
      </c>
      <c r="W7" s="30" t="s">
        <v>258</v>
      </c>
      <c r="X7" s="30" t="s">
        <v>31</v>
      </c>
      <c r="Y7" s="61">
        <f>'본전력량 라인별'!D7-'라인별전력(본+ESS)'!N7</f>
        <v>245046.16605763478</v>
      </c>
      <c r="Z7" s="61">
        <f>'본전력량 라인별'!E7-'라인별전력(본+ESS)'!O7</f>
        <v>54521.013298460297</v>
      </c>
      <c r="AA7" s="61">
        <f>'본전력량 라인별'!F7-'라인별전력(본+ESS)'!P7</f>
        <v>1896388.1270021109</v>
      </c>
      <c r="AB7" s="61">
        <f>'본전력량 라인별'!G7-'라인별전력(본+ESS)'!Q7</f>
        <v>1817394.0182449478</v>
      </c>
      <c r="AC7" s="61">
        <f>'본전력량 라인별'!H7-'라인별전력(본+ESS)'!R7</f>
        <v>732110.3538318075</v>
      </c>
      <c r="AD7" s="61">
        <f>'본전력량 라인별'!I7-'라인별전력(본+ESS)'!S7</f>
        <v>555498.712266032</v>
      </c>
      <c r="AE7" s="61">
        <f>'본전력량 라인별'!J7-'라인별전력(본+ESS)'!T7</f>
        <v>19826.609299006475</v>
      </c>
      <c r="AF7" s="16">
        <f t="shared" ref="AF7:AF15" si="5">SUM(Y7:AE7)</f>
        <v>5320785</v>
      </c>
      <c r="AH7" s="16">
        <f t="shared" si="3"/>
        <v>5536656</v>
      </c>
      <c r="AI7" s="30">
        <f>'본전력량 라인별'!K7</f>
        <v>5536656</v>
      </c>
      <c r="AJ7" s="30" t="b">
        <f t="shared" si="4"/>
        <v>1</v>
      </c>
    </row>
    <row r="8" spans="2:36" x14ac:dyDescent="0.3">
      <c r="B8" s="30" t="s">
        <v>208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262</v>
      </c>
      <c r="M8" s="30" t="s">
        <v>33</v>
      </c>
      <c r="N8" s="61">
        <f>IFERROR(ESS전력량!$G$32*C8,0)</f>
        <v>10846.915904381738</v>
      </c>
      <c r="O8" s="61">
        <f>IFERROR(ESS전력량!$G$32*D8,0)</f>
        <v>2781.3535435831559</v>
      </c>
      <c r="P8" s="61">
        <f>IFERROR(ESS전력량!$G$32*E8,0)</f>
        <v>80905.088630531071</v>
      </c>
      <c r="Q8" s="61">
        <f>IFERROR(ESS전력량!$G$32*F8,0)</f>
        <v>74273.476781203397</v>
      </c>
      <c r="R8" s="61">
        <f>IFERROR(ESS전력량!$G$32*G8,0)</f>
        <v>28215.503901950477</v>
      </c>
      <c r="S8" s="61">
        <f>IFERROR(ESS전력량!$G$32*H8,0)</f>
        <v>21880.220523426076</v>
      </c>
      <c r="T8" s="61">
        <f>IFERROR(ESS전력량!$G$32*I8,0)</f>
        <v>719.44071492411638</v>
      </c>
      <c r="U8" s="16">
        <f t="shared" si="1"/>
        <v>219622.00000000006</v>
      </c>
      <c r="W8" s="30" t="s">
        <v>258</v>
      </c>
      <c r="X8" s="30" t="s">
        <v>33</v>
      </c>
      <c r="Y8" s="61">
        <f>'본전력량 라인별'!D8-'라인별전력(본+ESS)'!N8</f>
        <v>264125.08409561828</v>
      </c>
      <c r="Z8" s="61">
        <f>'본전력량 라인별'!E8-'라인별전력(본+ESS)'!O8</f>
        <v>67726.646456416842</v>
      </c>
      <c r="AA8" s="61">
        <f>'본전력량 라인별'!F8-'라인별전력(본+ESS)'!P8</f>
        <v>1970058.911369469</v>
      </c>
      <c r="AB8" s="61">
        <f>'본전력량 라인별'!G8-'라인별전력(본+ESS)'!Q8</f>
        <v>1808577.5232187966</v>
      </c>
      <c r="AC8" s="61">
        <f>'본전력량 라인별'!H8-'라인별전력(본+ESS)'!R8</f>
        <v>687054.49609804957</v>
      </c>
      <c r="AD8" s="61">
        <f>'본전력량 라인별'!I8-'라인별전력(본+ESS)'!S8</f>
        <v>532788.77947657392</v>
      </c>
      <c r="AE8" s="61">
        <f>'본전력량 라인별'!J8-'라인별전력(본+ESS)'!T8</f>
        <v>17518.559285075884</v>
      </c>
      <c r="AF8" s="16">
        <f t="shared" si="5"/>
        <v>5347850.0000000009</v>
      </c>
      <c r="AH8" s="16">
        <f t="shared" si="3"/>
        <v>5567472.0000000009</v>
      </c>
      <c r="AI8" s="30">
        <f>'본전력량 라인별'!K8</f>
        <v>5567472</v>
      </c>
      <c r="AJ8" s="30" t="b">
        <f t="shared" si="4"/>
        <v>1</v>
      </c>
    </row>
    <row r="9" spans="2:36" x14ac:dyDescent="0.3">
      <c r="B9" s="30" t="s">
        <v>209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262</v>
      </c>
      <c r="M9" s="30" t="s">
        <v>35</v>
      </c>
      <c r="N9" s="61">
        <f>IFERROR(ESS전력량!$G$33*C9,0)</f>
        <v>9744.0989670973449</v>
      </c>
      <c r="O9" s="61">
        <f>IFERROR(ESS전력량!$G$33*D9,0)</f>
        <v>1958.1007681678411</v>
      </c>
      <c r="P9" s="61">
        <f>IFERROR(ESS전력량!$G$33*E9,0)</f>
        <v>57824.021641207888</v>
      </c>
      <c r="Q9" s="61">
        <f>IFERROR(ESS전력량!$G$33*F9,0)</f>
        <v>55765.237805075703</v>
      </c>
      <c r="R9" s="61">
        <f>IFERROR(ESS전력량!$G$33*G9,0)</f>
        <v>25669.201859238878</v>
      </c>
      <c r="S9" s="61">
        <f>IFERROR(ESS전력량!$G$33*H9,0)</f>
        <v>17711.839647121251</v>
      </c>
      <c r="T9" s="61">
        <f>IFERROR(ESS전력량!$G$33*I9,0)</f>
        <v>622.49931209113038</v>
      </c>
      <c r="U9" s="16">
        <f t="shared" si="1"/>
        <v>169295.00000000003</v>
      </c>
      <c r="W9" s="30" t="s">
        <v>258</v>
      </c>
      <c r="X9" s="30" t="s">
        <v>35</v>
      </c>
      <c r="Y9" s="61">
        <f>'본전력량 라인별'!D9-'라인별전력(본+ESS)'!N9</f>
        <v>316984.90103290265</v>
      </c>
      <c r="Z9" s="61">
        <f>'본전력량 라인별'!E9-'라인별전력(본+ESS)'!O9</f>
        <v>63698.899231832162</v>
      </c>
      <c r="AA9" s="61">
        <f>'본전력량 라인별'!F9-'라인별전력(본+ESS)'!P9</f>
        <v>1881070.9783587921</v>
      </c>
      <c r="AB9" s="61">
        <f>'본전력량 라인별'!G9-'라인별전력(본+ESS)'!Q9</f>
        <v>1814096.7621949243</v>
      </c>
      <c r="AC9" s="61">
        <f>'본전력량 라인별'!H9-'라인별전력(본+ESS)'!R9</f>
        <v>835043.79814076109</v>
      </c>
      <c r="AD9" s="61">
        <f>'본전력량 라인별'!I9-'라인별전력(본+ESS)'!S9</f>
        <v>576183.16035287874</v>
      </c>
      <c r="AE9" s="61">
        <f>'본전력량 라인별'!J9-'라인별전력(본+ESS)'!T9</f>
        <v>20250.500687908869</v>
      </c>
      <c r="AF9" s="16">
        <f t="shared" si="5"/>
        <v>5507329.0000000009</v>
      </c>
      <c r="AH9" s="16">
        <f t="shared" si="3"/>
        <v>5676624.0000000009</v>
      </c>
      <c r="AI9" s="30">
        <f>'본전력량 라인별'!K9</f>
        <v>5676624</v>
      </c>
      <c r="AJ9" s="30" t="b">
        <f t="shared" si="4"/>
        <v>1</v>
      </c>
    </row>
    <row r="10" spans="2:36" x14ac:dyDescent="0.3">
      <c r="B10" s="30" t="s">
        <v>210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262</v>
      </c>
      <c r="M10" s="30" t="s">
        <v>37</v>
      </c>
      <c r="N10" s="61">
        <f>IFERROR(ESS전력량!$G$34*C10,0)</f>
        <v>9585.8689664533613</v>
      </c>
      <c r="O10" s="61">
        <f>IFERROR(ESS전력량!$G$34*D10,0)</f>
        <v>2394.5625877448119</v>
      </c>
      <c r="P10" s="61">
        <f>IFERROR(ESS전력량!$G$34*E10,0)</f>
        <v>70503.715157068058</v>
      </c>
      <c r="Q10" s="61">
        <f>IFERROR(ESS전력량!$G$34*F10,0)</f>
        <v>68544.080280201655</v>
      </c>
      <c r="R10" s="61">
        <f>IFERROR(ESS전력량!$G$34*G10,0)</f>
        <v>25603.627070001934</v>
      </c>
      <c r="S10" s="61">
        <f>IFERROR(ESS전력량!$G$34*H10,0)</f>
        <v>19287.85833042466</v>
      </c>
      <c r="T10" s="61">
        <f>IFERROR(ESS전력량!$G$34*I10,0)</f>
        <v>526.28760810548761</v>
      </c>
      <c r="U10" s="16">
        <f t="shared" si="1"/>
        <v>196445.99999999997</v>
      </c>
      <c r="W10" s="30" t="s">
        <v>258</v>
      </c>
      <c r="X10" s="30" t="s">
        <v>37</v>
      </c>
      <c r="Y10" s="61">
        <f>'본전력량 라인별'!D10-'라인별전력(본+ESS)'!N10</f>
        <v>292386.13103354664</v>
      </c>
      <c r="Z10" s="61">
        <f>'본전력량 라인별'!E10-'라인별전력(본+ESS)'!O10</f>
        <v>73038.437412255182</v>
      </c>
      <c r="AA10" s="61">
        <f>'본전력량 라인별'!F10-'라인별전력(본+ESS)'!P10</f>
        <v>2150489.2848429321</v>
      </c>
      <c r="AB10" s="61">
        <f>'본전력량 라인별'!G10-'라인별전력(본+ESS)'!Q10</f>
        <v>2090716.9197197983</v>
      </c>
      <c r="AC10" s="61">
        <f>'본전력량 라인별'!H10-'라인별전력(본+ESS)'!R10</f>
        <v>780956.37292999809</v>
      </c>
      <c r="AD10" s="61">
        <f>'본전력량 라인별'!I10-'라인별전력(본+ESS)'!S10</f>
        <v>588314.14166957536</v>
      </c>
      <c r="AE10" s="61">
        <f>'본전력량 라인별'!J10-'라인별전력(본+ESS)'!T10</f>
        <v>16052.712391894513</v>
      </c>
      <c r="AF10" s="16">
        <f t="shared" si="5"/>
        <v>5991953.9999999991</v>
      </c>
      <c r="AH10" s="16">
        <f t="shared" si="3"/>
        <v>6188399.9999999991</v>
      </c>
      <c r="AI10" s="30">
        <f>'본전력량 라인별'!K10</f>
        <v>6188400</v>
      </c>
      <c r="AJ10" s="30" t="b">
        <f t="shared" si="4"/>
        <v>1</v>
      </c>
    </row>
    <row r="11" spans="2:36" x14ac:dyDescent="0.3">
      <c r="B11" s="30" t="s">
        <v>211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262</v>
      </c>
      <c r="M11" s="30" t="s">
        <v>39</v>
      </c>
      <c r="N11" s="61">
        <f>IFERROR(ESS전력량!$G$35*C11,0)</f>
        <v>10407.53015331917</v>
      </c>
      <c r="O11" s="61">
        <f>IFERROR(ESS전력량!$G$35*D11,0)</f>
        <v>1935.3470266620554</v>
      </c>
      <c r="P11" s="61">
        <f>IFERROR(ESS전력량!$G$35*E11,0)</f>
        <v>64491.319664706949</v>
      </c>
      <c r="Q11" s="61">
        <f>IFERROR(ESS전력량!$G$35*F11,0)</f>
        <v>64392.938614692954</v>
      </c>
      <c r="R11" s="61">
        <f>IFERROR(ESS전력량!$G$35*G11,0)</f>
        <v>23304.98957561385</v>
      </c>
      <c r="S11" s="61">
        <f>IFERROR(ESS전력량!$G$35*H11,0)</f>
        <v>16751.595523936565</v>
      </c>
      <c r="T11" s="61">
        <f>IFERROR(ESS전력량!$G$35*I11,0)</f>
        <v>492.27944106845837</v>
      </c>
      <c r="U11" s="16">
        <f t="shared" si="1"/>
        <v>181776</v>
      </c>
      <c r="W11" s="30" t="s">
        <v>258</v>
      </c>
      <c r="X11" s="30" t="s">
        <v>39</v>
      </c>
      <c r="Y11" s="61">
        <f>'본전력량 라인별'!D11-'라인별전력(본+ESS)'!N11</f>
        <v>323353.46984668082</v>
      </c>
      <c r="Z11" s="61">
        <f>'본전력량 라인별'!E11-'라인별전력(본+ESS)'!O11</f>
        <v>60129.652973337943</v>
      </c>
      <c r="AA11" s="61">
        <f>'본전력량 라인별'!F11-'라인별전력(본+ESS)'!P11</f>
        <v>2003692.6803352931</v>
      </c>
      <c r="AB11" s="61">
        <f>'본전력량 라인별'!G11-'라인별전력(본+ESS)'!Q11</f>
        <v>2000636.061385307</v>
      </c>
      <c r="AC11" s="61">
        <f>'본전력량 라인별'!H11-'라인별전력(본+ESS)'!R11</f>
        <v>724067.01042438613</v>
      </c>
      <c r="AD11" s="61">
        <f>'본전력량 라인별'!I11-'라인별전력(본+ESS)'!S11</f>
        <v>520458.40447606344</v>
      </c>
      <c r="AE11" s="61">
        <f>'본전력량 라인별'!J11-'라인별전력(본+ESS)'!T11</f>
        <v>15294.720558931542</v>
      </c>
      <c r="AF11" s="16">
        <f t="shared" si="5"/>
        <v>5647631.9999999991</v>
      </c>
      <c r="AH11" s="16">
        <f t="shared" si="3"/>
        <v>5829407.9999999991</v>
      </c>
      <c r="AI11" s="30">
        <f>'본전력량 라인별'!K11</f>
        <v>5829408</v>
      </c>
      <c r="AJ11" s="30" t="b">
        <f t="shared" si="4"/>
        <v>1</v>
      </c>
    </row>
    <row r="12" spans="2:36" x14ac:dyDescent="0.3">
      <c r="B12" s="30" t="s">
        <v>212</v>
      </c>
      <c r="C12" s="59" t="e">
        <f>'본전력량 라인별'!P12/'본전력량 라인별'!$W$12</f>
        <v>#DIV/0!</v>
      </c>
      <c r="D12" s="59" t="e">
        <f>'본전력량 라인별'!Q12/'본전력량 라인별'!$W$12</f>
        <v>#DIV/0!</v>
      </c>
      <c r="E12" s="59" t="e">
        <f>'본전력량 라인별'!R12/'본전력량 라인별'!$W$12</f>
        <v>#DIV/0!</v>
      </c>
      <c r="F12" s="59" t="e">
        <f>'본전력량 라인별'!S12/'본전력량 라인별'!$W$12</f>
        <v>#DIV/0!</v>
      </c>
      <c r="G12" s="59" t="e">
        <f>'본전력량 라인별'!T12/'본전력량 라인별'!$W$12</f>
        <v>#DIV/0!</v>
      </c>
      <c r="H12" s="59" t="e">
        <f>'본전력량 라인별'!U12/'본전력량 라인별'!$W$12</f>
        <v>#DIV/0!</v>
      </c>
      <c r="I12" s="59" t="e">
        <f>'본전력량 라인별'!V12/'본전력량 라인별'!$W$12</f>
        <v>#DIV/0!</v>
      </c>
      <c r="J12" s="60" t="e">
        <f t="shared" si="0"/>
        <v>#DIV/0!</v>
      </c>
      <c r="L12" s="30" t="s">
        <v>262</v>
      </c>
      <c r="M12" s="30" t="s">
        <v>41</v>
      </c>
      <c r="N12" s="61">
        <f>IFERROR(ESS전력량!$G$36*C12,0)</f>
        <v>0</v>
      </c>
      <c r="O12" s="61">
        <f>IFERROR(ESS전력량!$G$36*D12,0)</f>
        <v>0</v>
      </c>
      <c r="P12" s="61">
        <f>IFERROR(ESS전력량!$G$36*E12,0)</f>
        <v>0</v>
      </c>
      <c r="Q12" s="61">
        <f>IFERROR(ESS전력량!$G$36*F12,0)</f>
        <v>0</v>
      </c>
      <c r="R12" s="61">
        <f>IFERROR(ESS전력량!$G$36*G12,0)</f>
        <v>0</v>
      </c>
      <c r="S12" s="61">
        <f>IFERROR(ESS전력량!$G$36*H12,0)</f>
        <v>0</v>
      </c>
      <c r="T12" s="61">
        <f>IFERROR(ESS전력량!$G$36*I12,0)</f>
        <v>0</v>
      </c>
      <c r="U12" s="16">
        <f t="shared" si="1"/>
        <v>0</v>
      </c>
      <c r="W12" s="30" t="s">
        <v>258</v>
      </c>
      <c r="X12" s="30" t="s">
        <v>41</v>
      </c>
      <c r="Y12" s="61">
        <f>'본전력량 라인별'!D12-'라인별전력(본+ESS)'!N12</f>
        <v>0</v>
      </c>
      <c r="Z12" s="61">
        <f>'본전력량 라인별'!E12-'라인별전력(본+ESS)'!O12</f>
        <v>0</v>
      </c>
      <c r="AA12" s="61">
        <f>'본전력량 라인별'!F12-'라인별전력(본+ESS)'!P12</f>
        <v>0</v>
      </c>
      <c r="AB12" s="61">
        <f>'본전력량 라인별'!G12-'라인별전력(본+ESS)'!Q12</f>
        <v>0</v>
      </c>
      <c r="AC12" s="61">
        <f>'본전력량 라인별'!H12-'라인별전력(본+ESS)'!R12</f>
        <v>0</v>
      </c>
      <c r="AD12" s="61">
        <f>'본전력량 라인별'!I12-'라인별전력(본+ESS)'!S12</f>
        <v>0</v>
      </c>
      <c r="AE12" s="61">
        <f>'본전력량 라인별'!J12-'라인별전력(본+ESS)'!T12</f>
        <v>0</v>
      </c>
      <c r="AF12" s="16">
        <f t="shared" si="5"/>
        <v>0</v>
      </c>
      <c r="AH12" s="16">
        <f t="shared" si="3"/>
        <v>0</v>
      </c>
      <c r="AI12" s="30">
        <f>'본전력량 라인별'!K12</f>
        <v>0</v>
      </c>
      <c r="AJ12" s="30" t="b">
        <f t="shared" si="4"/>
        <v>1</v>
      </c>
    </row>
    <row r="13" spans="2:36" x14ac:dyDescent="0.3">
      <c r="B13" s="30" t="s">
        <v>213</v>
      </c>
      <c r="C13" s="59" t="e">
        <f>'본전력량 라인별'!P13/'본전력량 라인별'!$W$13</f>
        <v>#DIV/0!</v>
      </c>
      <c r="D13" s="59" t="e">
        <f>'본전력량 라인별'!Q13/'본전력량 라인별'!$W$13</f>
        <v>#DIV/0!</v>
      </c>
      <c r="E13" s="59" t="e">
        <f>'본전력량 라인별'!R13/'본전력량 라인별'!$W$13</f>
        <v>#DIV/0!</v>
      </c>
      <c r="F13" s="59" t="e">
        <f>'본전력량 라인별'!S13/'본전력량 라인별'!$W$13</f>
        <v>#DIV/0!</v>
      </c>
      <c r="G13" s="59" t="e">
        <f>'본전력량 라인별'!T13/'본전력량 라인별'!$W$13</f>
        <v>#DIV/0!</v>
      </c>
      <c r="H13" s="59" t="e">
        <f>'본전력량 라인별'!U13/'본전력량 라인별'!$W$13</f>
        <v>#DIV/0!</v>
      </c>
      <c r="I13" s="59" t="e">
        <f>'본전력량 라인별'!V13/'본전력량 라인별'!$W$13</f>
        <v>#DIV/0!</v>
      </c>
      <c r="J13" s="60" t="e">
        <f t="shared" si="0"/>
        <v>#DIV/0!</v>
      </c>
      <c r="L13" s="30" t="s">
        <v>262</v>
      </c>
      <c r="M13" s="30" t="s">
        <v>43</v>
      </c>
      <c r="N13" s="61">
        <f>IFERROR(ESS전력량!$G$37*C13,0)</f>
        <v>0</v>
      </c>
      <c r="O13" s="61">
        <f>IFERROR(ESS전력량!$G$37*D13,0)</f>
        <v>0</v>
      </c>
      <c r="P13" s="61">
        <f>IFERROR(ESS전력량!$G$37*E13,0)</f>
        <v>0</v>
      </c>
      <c r="Q13" s="61">
        <f>IFERROR(ESS전력량!$G$37*F13,0)</f>
        <v>0</v>
      </c>
      <c r="R13" s="61">
        <f>IFERROR(ESS전력량!$G$37*G13,0)</f>
        <v>0</v>
      </c>
      <c r="S13" s="61">
        <f>IFERROR(ESS전력량!$G$37*H13,0)</f>
        <v>0</v>
      </c>
      <c r="T13" s="61">
        <f>IFERROR(ESS전력량!$G$37*I13,0)</f>
        <v>0</v>
      </c>
      <c r="U13" s="16">
        <f t="shared" si="1"/>
        <v>0</v>
      </c>
      <c r="W13" s="30" t="s">
        <v>258</v>
      </c>
      <c r="X13" s="30" t="s">
        <v>43</v>
      </c>
      <c r="Y13" s="61">
        <f>'본전력량 라인별'!D13-'라인별전력(본+ESS)'!N13</f>
        <v>0</v>
      </c>
      <c r="Z13" s="61">
        <f>'본전력량 라인별'!E13-'라인별전력(본+ESS)'!O13</f>
        <v>0</v>
      </c>
      <c r="AA13" s="61">
        <f>'본전력량 라인별'!F13-'라인별전력(본+ESS)'!P13</f>
        <v>0</v>
      </c>
      <c r="AB13" s="61">
        <f>'본전력량 라인별'!G13-'라인별전력(본+ESS)'!Q13</f>
        <v>0</v>
      </c>
      <c r="AC13" s="61">
        <f>'본전력량 라인별'!H13-'라인별전력(본+ESS)'!R13</f>
        <v>0</v>
      </c>
      <c r="AD13" s="61">
        <f>'본전력량 라인별'!I13-'라인별전력(본+ESS)'!S13</f>
        <v>0</v>
      </c>
      <c r="AE13" s="61">
        <f>'본전력량 라인별'!J13-'라인별전력(본+ESS)'!T13</f>
        <v>0</v>
      </c>
      <c r="AF13" s="16">
        <f t="shared" si="5"/>
        <v>0</v>
      </c>
      <c r="AH13" s="16">
        <f t="shared" si="3"/>
        <v>0</v>
      </c>
      <c r="AI13" s="30">
        <f>'본전력량 라인별'!K13</f>
        <v>0</v>
      </c>
      <c r="AJ13" s="30" t="b">
        <f t="shared" si="4"/>
        <v>1</v>
      </c>
    </row>
    <row r="14" spans="2:36" x14ac:dyDescent="0.3">
      <c r="B14" s="30" t="s">
        <v>214</v>
      </c>
      <c r="C14" s="59" t="e">
        <f>'본전력량 라인별'!P14/'본전력량 라인별'!$W$14</f>
        <v>#DIV/0!</v>
      </c>
      <c r="D14" s="59" t="e">
        <f>'본전력량 라인별'!Q14/'본전력량 라인별'!$W$14</f>
        <v>#DIV/0!</v>
      </c>
      <c r="E14" s="59" t="e">
        <f>'본전력량 라인별'!R14/'본전력량 라인별'!$W$14</f>
        <v>#DIV/0!</v>
      </c>
      <c r="F14" s="59" t="e">
        <f>'본전력량 라인별'!S14/'본전력량 라인별'!$W$14</f>
        <v>#DIV/0!</v>
      </c>
      <c r="G14" s="59" t="e">
        <f>'본전력량 라인별'!T14/'본전력량 라인별'!$W$14</f>
        <v>#DIV/0!</v>
      </c>
      <c r="H14" s="59" t="e">
        <f>'본전력량 라인별'!U14/'본전력량 라인별'!$W$14</f>
        <v>#DIV/0!</v>
      </c>
      <c r="I14" s="59" t="e">
        <f>'본전력량 라인별'!V14/'본전력량 라인별'!$W$14</f>
        <v>#DIV/0!</v>
      </c>
      <c r="J14" s="60" t="e">
        <f t="shared" si="0"/>
        <v>#DIV/0!</v>
      </c>
      <c r="L14" s="30" t="s">
        <v>262</v>
      </c>
      <c r="M14" s="30" t="s">
        <v>45</v>
      </c>
      <c r="N14" s="61">
        <f>IFERROR(ESS전력량!$G$38*C14,0)</f>
        <v>0</v>
      </c>
      <c r="O14" s="61">
        <f>IFERROR(ESS전력량!$G$38*D14,0)</f>
        <v>0</v>
      </c>
      <c r="P14" s="61">
        <f>IFERROR(ESS전력량!$G$38*E14,0)</f>
        <v>0</v>
      </c>
      <c r="Q14" s="61">
        <f>IFERROR(ESS전력량!$G$38*F14,0)</f>
        <v>0</v>
      </c>
      <c r="R14" s="61">
        <f>IFERROR(ESS전력량!$G$38*G14,0)</f>
        <v>0</v>
      </c>
      <c r="S14" s="61">
        <f>IFERROR(ESS전력량!$G$38*H14,0)</f>
        <v>0</v>
      </c>
      <c r="T14" s="61">
        <f>IFERROR(ESS전력량!$G$38*I14,0)</f>
        <v>0</v>
      </c>
      <c r="U14" s="16">
        <f t="shared" si="1"/>
        <v>0</v>
      </c>
      <c r="W14" s="30" t="s">
        <v>258</v>
      </c>
      <c r="X14" s="30" t="s">
        <v>45</v>
      </c>
      <c r="Y14" s="61">
        <f>'본전력량 라인별'!D14-'라인별전력(본+ESS)'!N14</f>
        <v>0</v>
      </c>
      <c r="Z14" s="61">
        <f>'본전력량 라인별'!E14-'라인별전력(본+ESS)'!O14</f>
        <v>0</v>
      </c>
      <c r="AA14" s="61">
        <f>'본전력량 라인별'!F14-'라인별전력(본+ESS)'!P14</f>
        <v>0</v>
      </c>
      <c r="AB14" s="61">
        <f>'본전력량 라인별'!G14-'라인별전력(본+ESS)'!Q14</f>
        <v>0</v>
      </c>
      <c r="AC14" s="61">
        <f>'본전력량 라인별'!H14-'라인별전력(본+ESS)'!R14</f>
        <v>0</v>
      </c>
      <c r="AD14" s="61">
        <f>'본전력량 라인별'!I14-'라인별전력(본+ESS)'!S14</f>
        <v>0</v>
      </c>
      <c r="AE14" s="61">
        <f>'본전력량 라인별'!J14-'라인별전력(본+ESS)'!T14</f>
        <v>0</v>
      </c>
      <c r="AF14" s="16">
        <f t="shared" si="5"/>
        <v>0</v>
      </c>
      <c r="AH14" s="16">
        <f t="shared" si="3"/>
        <v>0</v>
      </c>
      <c r="AI14" s="30">
        <f>'본전력량 라인별'!K14</f>
        <v>0</v>
      </c>
      <c r="AJ14" s="30" t="b">
        <f t="shared" si="4"/>
        <v>1</v>
      </c>
    </row>
    <row r="15" spans="2:36" x14ac:dyDescent="0.3">
      <c r="B15" s="30" t="s">
        <v>215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262</v>
      </c>
      <c r="M15" s="30" t="s">
        <v>47</v>
      </c>
      <c r="N15" s="61">
        <f>IFERROR(ESS전력량!$G$39*C15,0)</f>
        <v>0</v>
      </c>
      <c r="O15" s="61">
        <f>IFERROR(ESS전력량!$G$39*D15,0)</f>
        <v>0</v>
      </c>
      <c r="P15" s="61">
        <f>IFERROR(ESS전력량!$G$39*E15,0)</f>
        <v>0</v>
      </c>
      <c r="Q15" s="61">
        <f>IFERROR(ESS전력량!$G$39*F15,0)</f>
        <v>0</v>
      </c>
      <c r="R15" s="61">
        <f>IFERROR(ESS전력량!$G$39*G15,0)</f>
        <v>0</v>
      </c>
      <c r="S15" s="61">
        <f>IFERROR(ESS전력량!$G$39*H15,0)</f>
        <v>0</v>
      </c>
      <c r="T15" s="61">
        <f>IFERROR(ESS전력량!$G$39*I15,0)</f>
        <v>0</v>
      </c>
      <c r="U15" s="16">
        <f t="shared" si="1"/>
        <v>0</v>
      </c>
      <c r="W15" s="30" t="s">
        <v>258</v>
      </c>
      <c r="X15" s="30" t="s">
        <v>47</v>
      </c>
      <c r="Y15" s="61">
        <f>'본전력량 라인별'!D15-'라인별전력(본+ESS)'!N15</f>
        <v>0</v>
      </c>
      <c r="Z15" s="61">
        <f>'본전력량 라인별'!E15-'라인별전력(본+ESS)'!O15</f>
        <v>0</v>
      </c>
      <c r="AA15" s="61">
        <f>'본전력량 라인별'!F15-'라인별전력(본+ESS)'!P15</f>
        <v>0</v>
      </c>
      <c r="AB15" s="61">
        <f>'본전력량 라인별'!G15-'라인별전력(본+ESS)'!Q15</f>
        <v>0</v>
      </c>
      <c r="AC15" s="61">
        <f>'본전력량 라인별'!H15-'라인별전력(본+ESS)'!R15</f>
        <v>0</v>
      </c>
      <c r="AD15" s="61">
        <f>'본전력량 라인별'!I15-'라인별전력(본+ESS)'!S15</f>
        <v>0</v>
      </c>
      <c r="AE15" s="61">
        <f>'본전력량 라인별'!J15-'라인별전력(본+ESS)'!T15</f>
        <v>0</v>
      </c>
      <c r="AF15" s="16">
        <f t="shared" si="5"/>
        <v>0</v>
      </c>
      <c r="AH15" s="16">
        <f t="shared" si="3"/>
        <v>0</v>
      </c>
      <c r="AI15" s="30">
        <f>'본전력량 라인별'!K15</f>
        <v>0</v>
      </c>
      <c r="AJ15" s="30" t="b">
        <f t="shared" si="4"/>
        <v>1</v>
      </c>
    </row>
    <row r="16" spans="2:36" x14ac:dyDescent="0.3">
      <c r="B16" t="s">
        <v>239</v>
      </c>
      <c r="C16" s="59">
        <f>'본전력량 라인별'!P16/'본전력량 라인별'!$W$16</f>
        <v>4.9237049027000879E-2</v>
      </c>
      <c r="D16" s="59">
        <f>'본전력량 라인별'!Q16/'본전력량 라인별'!$W$16</f>
        <v>1.1140343384217131E-2</v>
      </c>
      <c r="E16" s="59">
        <f>'본전력량 라인별'!R16/'본전력량 라인별'!$W$16</f>
        <v>0.34832708393561301</v>
      </c>
      <c r="F16" s="59">
        <f>'본전력량 라인별'!S16/'본전력량 라인별'!$W$16</f>
        <v>0.34438486838199417</v>
      </c>
      <c r="G16" s="59">
        <f>'본전력량 라인별'!T16/'본전력량 라인별'!$W$16</f>
        <v>0.14456430721187793</v>
      </c>
      <c r="H16" s="59">
        <f>'본전력량 라인별'!U16/'본전력량 라인별'!$W$16</f>
        <v>9.9368669855142838E-2</v>
      </c>
      <c r="I16" s="59">
        <f>'본전력량 라인별'!V16/'본전력량 라인별'!$W$16</f>
        <v>2.9776782041540401E-3</v>
      </c>
      <c r="J16" s="60">
        <f t="shared" si="0"/>
        <v>1</v>
      </c>
      <c r="L16" s="38" t="s">
        <v>239</v>
      </c>
      <c r="M16" s="38"/>
      <c r="N16" s="194">
        <f>SUM(N4:N15)</f>
        <v>75667.635090295415</v>
      </c>
      <c r="O16" s="194">
        <f t="shared" ref="O16" si="6">SUM(O4:O15)</f>
        <v>17294.023806910198</v>
      </c>
      <c r="P16" s="194">
        <f t="shared" ref="P16" si="7">SUM(P4:P15)</f>
        <v>542429.10318578233</v>
      </c>
      <c r="Q16" s="194">
        <f t="shared" ref="Q16" si="8">SUM(Q4:Q15)</f>
        <v>534200.66326459346</v>
      </c>
      <c r="R16" s="194">
        <f t="shared" ref="R16" si="9">SUM(R4:R15)</f>
        <v>218292.81048421658</v>
      </c>
      <c r="S16" s="194">
        <f t="shared" ref="S16" si="10">SUM(S4:S15)</f>
        <v>153565.60528406349</v>
      </c>
      <c r="T16" s="194">
        <f t="shared" ref="T16" si="11">SUM(T4:T15)</f>
        <v>4666.1588841386611</v>
      </c>
      <c r="U16" s="194">
        <f t="shared" ref="U16" si="12">SUM(U4:U15)</f>
        <v>1546116</v>
      </c>
      <c r="W16" s="38" t="s">
        <v>259</v>
      </c>
      <c r="X16" s="38"/>
      <c r="Y16" s="194">
        <f>SUM(Y4:Y15)</f>
        <v>2187007.3649097048</v>
      </c>
      <c r="Z16" s="194">
        <f t="shared" ref="Z16:AF16" si="13">SUM(Z4:Z15)</f>
        <v>495706.97619308974</v>
      </c>
      <c r="AA16" s="194">
        <f t="shared" si="13"/>
        <v>15532976.896814218</v>
      </c>
      <c r="AB16" s="194">
        <f t="shared" si="13"/>
        <v>15369453.336735407</v>
      </c>
      <c r="AC16" s="194">
        <f t="shared" si="13"/>
        <v>6416505.1895157835</v>
      </c>
      <c r="AD16" s="194">
        <f t="shared" si="13"/>
        <v>4434862.3947159369</v>
      </c>
      <c r="AE16" s="194">
        <f t="shared" si="13"/>
        <v>133515.84111586132</v>
      </c>
      <c r="AF16" s="194">
        <f t="shared" si="13"/>
        <v>44570028</v>
      </c>
      <c r="AH16" s="16">
        <f t="shared" si="3"/>
        <v>46116144</v>
      </c>
      <c r="AI16" s="30">
        <f>'본전력량 라인별'!K16</f>
        <v>46116144</v>
      </c>
      <c r="AJ16" s="30" t="b">
        <f t="shared" si="4"/>
        <v>1</v>
      </c>
    </row>
    <row r="17" spans="12:32" x14ac:dyDescent="0.3">
      <c r="L17" s="30" t="s">
        <v>412</v>
      </c>
      <c r="M17" t="s">
        <v>424</v>
      </c>
      <c r="N17" s="16">
        <f>SUM(N4:N6)</f>
        <v>25141.387156678586</v>
      </c>
      <c r="O17" s="16">
        <f t="shared" ref="O17:T17" si="14">SUM(O4:O6)</f>
        <v>6012.673179212632</v>
      </c>
      <c r="P17" s="16">
        <f t="shared" si="14"/>
        <v>191766.08509437932</v>
      </c>
      <c r="Q17" s="16">
        <f t="shared" si="14"/>
        <v>197490.94802836754</v>
      </c>
      <c r="R17" s="16">
        <f t="shared" si="14"/>
        <v>85796.841909218958</v>
      </c>
      <c r="S17" s="16">
        <f t="shared" si="14"/>
        <v>55396.803525187017</v>
      </c>
      <c r="T17" s="16">
        <f t="shared" si="14"/>
        <v>1501.2611069559443</v>
      </c>
      <c r="U17" s="16">
        <f t="shared" ref="U17" si="15">SUM(U4:U6)</f>
        <v>563105.99999999988</v>
      </c>
      <c r="W17" s="30" t="s">
        <v>412</v>
      </c>
      <c r="X17" s="30" t="s">
        <v>424</v>
      </c>
      <c r="Y17" s="16">
        <f>SUM(Y4:Y6)</f>
        <v>745111.6128433214</v>
      </c>
      <c r="Z17" s="16">
        <f t="shared" ref="Z17:AE17" si="16">SUM(Z4:Z6)</f>
        <v>176592.32682078736</v>
      </c>
      <c r="AA17" s="16">
        <f t="shared" si="16"/>
        <v>5631276.9149056207</v>
      </c>
      <c r="AB17" s="16">
        <f t="shared" si="16"/>
        <v>5838032.0519716321</v>
      </c>
      <c r="AC17" s="16">
        <f t="shared" si="16"/>
        <v>2657273.1580907814</v>
      </c>
      <c r="AD17" s="16">
        <f t="shared" si="16"/>
        <v>1661619.1964748129</v>
      </c>
      <c r="AE17" s="16">
        <f t="shared" si="16"/>
        <v>44572.73889304405</v>
      </c>
      <c r="AF17" s="16">
        <f t="shared" ref="AF17" si="17">SUM(AF4:AF6)</f>
        <v>16754478</v>
      </c>
    </row>
    <row r="18" spans="12:32" x14ac:dyDescent="0.3">
      <c r="L18" s="30" t="s">
        <v>413</v>
      </c>
      <c r="M18" s="30" t="s">
        <v>417</v>
      </c>
      <c r="N18" s="16">
        <f>SUM(N7:N9)</f>
        <v>30532.848813844292</v>
      </c>
      <c r="O18" s="16">
        <f t="shared" ref="O18:T18" si="18">SUM(O7:O9)</f>
        <v>6951.4410132906987</v>
      </c>
      <c r="P18" s="16">
        <f t="shared" si="18"/>
        <v>215667.98326962793</v>
      </c>
      <c r="Q18" s="16">
        <f t="shared" si="18"/>
        <v>203772.69634133123</v>
      </c>
      <c r="R18" s="16">
        <f t="shared" si="18"/>
        <v>83587.351929381854</v>
      </c>
      <c r="S18" s="16">
        <f t="shared" si="18"/>
        <v>62129.347904515264</v>
      </c>
      <c r="T18" s="16">
        <f t="shared" si="18"/>
        <v>2146.3307280087706</v>
      </c>
      <c r="U18" s="16">
        <f t="shared" ref="U18" si="19">SUM(U7:U9)</f>
        <v>604788.00000000012</v>
      </c>
      <c r="W18" s="30" t="s">
        <v>413</v>
      </c>
      <c r="X18" s="30" t="s">
        <v>417</v>
      </c>
      <c r="Y18" s="16">
        <f>SUM(Y7:Y9)</f>
        <v>826156.15118615574</v>
      </c>
      <c r="Z18" s="16">
        <f t="shared" ref="Z18:AE18" si="20">SUM(Z7:Z9)</f>
        <v>185946.55898670931</v>
      </c>
      <c r="AA18" s="16">
        <f t="shared" si="20"/>
        <v>5747518.0167303719</v>
      </c>
      <c r="AB18" s="16">
        <f t="shared" si="20"/>
        <v>5440068.3036586689</v>
      </c>
      <c r="AC18" s="16">
        <f t="shared" si="20"/>
        <v>2254208.648070618</v>
      </c>
      <c r="AD18" s="16">
        <f t="shared" si="20"/>
        <v>1664470.6520954845</v>
      </c>
      <c r="AE18" s="16">
        <f t="shared" si="20"/>
        <v>57595.669271991232</v>
      </c>
      <c r="AF18" s="16">
        <f t="shared" ref="AF18" si="21">SUM(AF7:AF9)</f>
        <v>16175964</v>
      </c>
    </row>
    <row r="19" spans="12:32" x14ac:dyDescent="0.3">
      <c r="L19" s="30" t="s">
        <v>414</v>
      </c>
      <c r="M19" s="30" t="s">
        <v>419</v>
      </c>
      <c r="N19" s="16">
        <f>SUM(N10:N12)</f>
        <v>19993.399119772534</v>
      </c>
      <c r="O19" s="16">
        <f t="shared" ref="O19:T19" si="22">SUM(O10:O12)</f>
        <v>4329.9096144068671</v>
      </c>
      <c r="P19" s="16">
        <f t="shared" si="22"/>
        <v>134995.03482177501</v>
      </c>
      <c r="Q19" s="16">
        <f t="shared" si="22"/>
        <v>132937.0188948946</v>
      </c>
      <c r="R19" s="16">
        <f t="shared" si="22"/>
        <v>48908.616645615781</v>
      </c>
      <c r="S19" s="16">
        <f t="shared" si="22"/>
        <v>36039.453854361229</v>
      </c>
      <c r="T19" s="16">
        <f t="shared" si="22"/>
        <v>1018.567049173946</v>
      </c>
      <c r="U19" s="16">
        <f t="shared" ref="U19" si="23">SUM(U10:U12)</f>
        <v>378222</v>
      </c>
      <c r="W19" s="30" t="s">
        <v>414</v>
      </c>
      <c r="X19" s="30" t="s">
        <v>419</v>
      </c>
      <c r="Y19" s="16">
        <f>SUM(Y10:Y12)</f>
        <v>615739.60088022752</v>
      </c>
      <c r="Z19" s="16">
        <f t="shared" ref="Z19:AE19" si="24">SUM(Z10:Z12)</f>
        <v>133168.09038559312</v>
      </c>
      <c r="AA19" s="16">
        <f t="shared" si="24"/>
        <v>4154181.9651782252</v>
      </c>
      <c r="AB19" s="16">
        <f t="shared" si="24"/>
        <v>4091352.981105105</v>
      </c>
      <c r="AC19" s="16">
        <f t="shared" si="24"/>
        <v>1505023.3833543842</v>
      </c>
      <c r="AD19" s="16">
        <f t="shared" si="24"/>
        <v>1108772.5461456389</v>
      </c>
      <c r="AE19" s="16">
        <f t="shared" si="24"/>
        <v>31347.432950826056</v>
      </c>
      <c r="AF19" s="16">
        <f t="shared" ref="AF19" si="25">SUM(AF10:AF12)</f>
        <v>11639585.999999998</v>
      </c>
    </row>
    <row r="20" spans="12:32" x14ac:dyDescent="0.3">
      <c r="L20" s="30" t="s">
        <v>415</v>
      </c>
      <c r="M20" s="30" t="s">
        <v>421</v>
      </c>
      <c r="N20" s="16">
        <f>SUM(N13:N15)</f>
        <v>0</v>
      </c>
      <c r="O20" s="16">
        <f t="shared" ref="O20:T20" si="26">SUM(O13:O15)</f>
        <v>0</v>
      </c>
      <c r="P20" s="16">
        <f t="shared" si="26"/>
        <v>0</v>
      </c>
      <c r="Q20" s="16">
        <f t="shared" si="26"/>
        <v>0</v>
      </c>
      <c r="R20" s="16">
        <f t="shared" si="26"/>
        <v>0</v>
      </c>
      <c r="S20" s="16">
        <f t="shared" si="26"/>
        <v>0</v>
      </c>
      <c r="T20" s="16">
        <f t="shared" si="26"/>
        <v>0</v>
      </c>
      <c r="U20" s="16">
        <f t="shared" ref="U20" si="27">SUM(U13:U15)</f>
        <v>0</v>
      </c>
      <c r="W20" s="30" t="s">
        <v>415</v>
      </c>
      <c r="X20" s="30" t="s">
        <v>421</v>
      </c>
      <c r="Y20" s="16">
        <f>SUM(Y13:Y15)</f>
        <v>0</v>
      </c>
      <c r="Z20" s="16">
        <f t="shared" ref="Z20:AE20" si="28">SUM(Z13:Z15)</f>
        <v>0</v>
      </c>
      <c r="AA20" s="16">
        <f t="shared" si="28"/>
        <v>0</v>
      </c>
      <c r="AB20" s="16">
        <f t="shared" si="28"/>
        <v>0</v>
      </c>
      <c r="AC20" s="16">
        <f t="shared" si="28"/>
        <v>0</v>
      </c>
      <c r="AD20" s="16">
        <f t="shared" si="28"/>
        <v>0</v>
      </c>
      <c r="AE20" s="16">
        <f t="shared" si="28"/>
        <v>0</v>
      </c>
      <c r="AF20" s="16">
        <f t="shared" ref="AF20" si="29">SUM(AF13:AF15)</f>
        <v>0</v>
      </c>
    </row>
  </sheetData>
  <mergeCells count="5">
    <mergeCell ref="AH3:AJ3"/>
    <mergeCell ref="C2:J2"/>
    <mergeCell ref="B2:B3"/>
    <mergeCell ref="M2:M3"/>
    <mergeCell ref="X2:X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0"/>
  <sheetViews>
    <sheetView topLeftCell="O1" workbookViewId="0">
      <selection activeCell="N6" sqref="N6:N8"/>
    </sheetView>
  </sheetViews>
  <sheetFormatPr defaultRowHeight="16.5" x14ac:dyDescent="0.3"/>
  <cols>
    <col min="1" max="2" width="9" style="30"/>
    <col min="3" max="10" width="12.625" style="30" customWidth="1"/>
    <col min="11" max="13" width="9" style="30"/>
    <col min="14" max="20" width="9.5" style="30" customWidth="1"/>
    <col min="21" max="21" width="11" style="30" bestFit="1" customWidth="1"/>
    <col min="22" max="24" width="9" style="30"/>
    <col min="25" max="25" width="10.5" style="30" bestFit="1" customWidth="1"/>
    <col min="26" max="26" width="9" style="30"/>
    <col min="27" max="30" width="10.5" style="30" bestFit="1" customWidth="1"/>
    <col min="31" max="31" width="9" style="30"/>
    <col min="32" max="32" width="11.625" style="30" bestFit="1" customWidth="1"/>
    <col min="33" max="33" width="9" style="30"/>
    <col min="34" max="34" width="11.625" style="30" bestFit="1" customWidth="1"/>
    <col min="35" max="35" width="13" style="30" bestFit="1" customWidth="1"/>
    <col min="36" max="37" width="9" style="30"/>
    <col min="38" max="38" width="10.875" style="30" bestFit="1" customWidth="1"/>
    <col min="39" max="16384" width="9" style="30"/>
  </cols>
  <sheetData>
    <row r="2" spans="2:38" x14ac:dyDescent="0.3">
      <c r="B2" s="239" t="s">
        <v>230</v>
      </c>
      <c r="C2" s="239" t="s">
        <v>240</v>
      </c>
      <c r="D2" s="239"/>
      <c r="E2" s="239"/>
      <c r="F2" s="239"/>
      <c r="G2" s="239"/>
      <c r="H2" s="239"/>
      <c r="I2" s="239"/>
      <c r="J2" s="239"/>
      <c r="M2" s="244" t="s">
        <v>263</v>
      </c>
      <c r="N2" s="62"/>
      <c r="O2" s="62"/>
      <c r="P2" s="62"/>
      <c r="Q2" s="62"/>
      <c r="R2" s="62"/>
      <c r="S2" s="62"/>
      <c r="T2" s="62"/>
      <c r="U2" s="62"/>
      <c r="X2" s="244" t="s">
        <v>264</v>
      </c>
      <c r="Y2" s="62"/>
      <c r="Z2" s="62"/>
      <c r="AA2" s="62"/>
      <c r="AB2" s="62"/>
      <c r="AC2" s="62"/>
      <c r="AD2" s="62"/>
      <c r="AE2" s="62"/>
      <c r="AF2" s="62"/>
    </row>
    <row r="3" spans="2:38" x14ac:dyDescent="0.3">
      <c r="B3" s="239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234</v>
      </c>
      <c r="H3" s="30" t="s">
        <v>236</v>
      </c>
      <c r="I3" s="30" t="s">
        <v>238</v>
      </c>
      <c r="J3" s="30" t="s">
        <v>89</v>
      </c>
      <c r="M3" s="243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234</v>
      </c>
      <c r="S3" s="30" t="s">
        <v>236</v>
      </c>
      <c r="T3" s="30" t="s">
        <v>238</v>
      </c>
      <c r="U3" s="30" t="s">
        <v>89</v>
      </c>
      <c r="X3" s="243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234</v>
      </c>
      <c r="AD3" s="30" t="s">
        <v>236</v>
      </c>
      <c r="AE3" s="30" t="s">
        <v>238</v>
      </c>
      <c r="AF3" s="30" t="s">
        <v>89</v>
      </c>
      <c r="AH3" s="239" t="s">
        <v>89</v>
      </c>
      <c r="AI3" s="239"/>
      <c r="AJ3" s="239"/>
    </row>
    <row r="4" spans="2:38" x14ac:dyDescent="0.3">
      <c r="B4" s="30" t="s">
        <v>231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255</v>
      </c>
      <c r="M4" s="30" t="s">
        <v>26</v>
      </c>
      <c r="N4" s="61">
        <f>IFERROR(ESS전력량!$N$28*C4,0)</f>
        <v>114317.93064773457</v>
      </c>
      <c r="O4" s="61">
        <f>IFERROR(ESS전력량!$N$28*D4,0)</f>
        <v>25511.641501445425</v>
      </c>
      <c r="P4" s="61">
        <f>IFERROR(ESS전력량!$N$28*E4,0)</f>
        <v>822215.25153164368</v>
      </c>
      <c r="Q4" s="61">
        <f>IFERROR(ESS전력량!$N$28*F4,0)</f>
        <v>896079.72599490243</v>
      </c>
      <c r="R4" s="61">
        <f>IFERROR(ESS전력량!$N$28*G4,0)</f>
        <v>474771.09990102152</v>
      </c>
      <c r="S4" s="61">
        <f>IFERROR(ESS전력량!$N$28*H4,0)</f>
        <v>268170.22197547689</v>
      </c>
      <c r="T4" s="61">
        <f>IFERROR(ESS전력량!$N$28*I4,0)</f>
        <v>6902.1284477755062</v>
      </c>
      <c r="U4" s="16">
        <f>SUM(N4:T4)</f>
        <v>2607968.0000000005</v>
      </c>
      <c r="W4" s="30" t="s">
        <v>255</v>
      </c>
      <c r="X4" s="30" t="s">
        <v>26</v>
      </c>
      <c r="Y4" s="61">
        <f>IFERROR((총전력량!$AG$28*C4)-N4,0)</f>
        <v>26445153.315182831</v>
      </c>
      <c r="Z4" s="61">
        <f>IFERROR((총전력량!$AG$28*D4)-O4,0)</f>
        <v>5901604.9976152629</v>
      </c>
      <c r="AA4" s="61">
        <f>IFERROR((총전력량!$AG$28*E4)-P4,0)</f>
        <v>190202956.45341814</v>
      </c>
      <c r="AB4" s="61">
        <f>IFERROR((총전력량!$AG$28*F4)-Q4,0)</f>
        <v>207290016.55552462</v>
      </c>
      <c r="AC4" s="61">
        <f>IFERROR((총전력량!$AG$28*G4)-R4,0)</f>
        <v>109828742.13485692</v>
      </c>
      <c r="AD4" s="61">
        <f>IFERROR((총전력량!$AG$28*H4)-S4,0)</f>
        <v>62035785.589586653</v>
      </c>
      <c r="AE4" s="61">
        <f>IFERROR((총전력량!$AG$28*I4)-T4,0)</f>
        <v>1596668.5538155804</v>
      </c>
      <c r="AF4" s="16">
        <f>SUM(Y4:AE4)</f>
        <v>603300927.60000002</v>
      </c>
      <c r="AH4" s="16">
        <f>AF4+U4</f>
        <v>605908895.60000002</v>
      </c>
      <c r="AI4" s="54">
        <f>총전력량!AG28</f>
        <v>605908895.60000002</v>
      </c>
      <c r="AJ4" s="30" t="b">
        <f>AH4=AI4</f>
        <v>1</v>
      </c>
      <c r="AL4" s="54">
        <f>AI4-AH4</f>
        <v>0</v>
      </c>
    </row>
    <row r="5" spans="2:38" x14ac:dyDescent="0.3">
      <c r="B5" s="30" t="s">
        <v>188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20" si="0">SUM(C5:I5)</f>
        <v>0.99999999999999989</v>
      </c>
      <c r="L5" s="30" t="s">
        <v>255</v>
      </c>
      <c r="M5" s="30" t="s">
        <v>27</v>
      </c>
      <c r="N5" s="61">
        <f>IFERROR(ESS전력량!$N$29*C5,0)</f>
        <v>262692.37516302144</v>
      </c>
      <c r="O5" s="61">
        <f>IFERROR(ESS전력량!$N$29*D5,0)</f>
        <v>70275.102482167713</v>
      </c>
      <c r="P5" s="61">
        <f>IFERROR(ESS전력량!$N$29*E5,0)</f>
        <v>2128722.2715171413</v>
      </c>
      <c r="Q5" s="61">
        <f>IFERROR(ESS전력량!$N$29*F5,0)</f>
        <v>1948307.8840343764</v>
      </c>
      <c r="R5" s="61">
        <f>IFERROR(ESS전력량!$N$29*G5,0)</f>
        <v>923392.68034486589</v>
      </c>
      <c r="S5" s="61">
        <f>IFERROR(ESS전력량!$N$29*H5,0)</f>
        <v>563713.34186609229</v>
      </c>
      <c r="T5" s="61">
        <f>IFERROR(ESS전력량!$N$29*I5,0)</f>
        <v>15501.34459233429</v>
      </c>
      <c r="U5" s="16">
        <f t="shared" ref="U5:U15" si="1">SUM(N5:T5)</f>
        <v>5912605</v>
      </c>
      <c r="W5" s="30" t="s">
        <v>255</v>
      </c>
      <c r="X5" s="30" t="s">
        <v>27</v>
      </c>
      <c r="Y5" s="61">
        <f>IFERROR((총전력량!$AG$29*C5)-N5,0)</f>
        <v>25198433.738132067</v>
      </c>
      <c r="Z5" s="61">
        <f>IFERROR((총전력량!$AG$29*D5)-O5,0)</f>
        <v>6741050.2959532319</v>
      </c>
      <c r="AA5" s="61">
        <f>IFERROR((총전력량!$AG$29*E5)-P5,0)</f>
        <v>204194990.70889479</v>
      </c>
      <c r="AB5" s="61">
        <f>IFERROR((총전력량!$AG$29*F5)-Q5,0)</f>
        <v>186888968.84370404</v>
      </c>
      <c r="AC5" s="61">
        <f>IFERROR((총전력량!$AG$29*G5)-R5,0)</f>
        <v>88575274.61734128</v>
      </c>
      <c r="AD5" s="61">
        <f>IFERROR((총전력량!$AG$29*H5)-S5,0)</f>
        <v>54073489.127724305</v>
      </c>
      <c r="AE5" s="61">
        <f>IFERROR((총전력량!$AG$29*I5)-T5,0)</f>
        <v>1486946.8682502992</v>
      </c>
      <c r="AF5" s="16">
        <f t="shared" ref="AF5:AF15" si="2">SUM(Y5:AE5)</f>
        <v>567159154.19999993</v>
      </c>
      <c r="AH5" s="16">
        <f t="shared" ref="AH5:AH15" si="3">AF5+U5</f>
        <v>573071759.19999993</v>
      </c>
      <c r="AI5" s="54">
        <f>총전력량!AG29</f>
        <v>573071759.20000005</v>
      </c>
      <c r="AJ5" s="30" t="b">
        <f t="shared" ref="AJ5:AJ16" si="4">AH5=AI5</f>
        <v>1</v>
      </c>
    </row>
    <row r="6" spans="2:38" x14ac:dyDescent="0.3">
      <c r="B6" s="30" t="s">
        <v>189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255</v>
      </c>
      <c r="M6" s="30" t="s">
        <v>29</v>
      </c>
      <c r="N6" s="61">
        <f>IFERROR(ESS전력량!$N$30*C6,0)</f>
        <v>257393.70093457942</v>
      </c>
      <c r="O6" s="61">
        <f>IFERROR(ESS전력량!$N$30*D6,0)</f>
        <v>56539.372916509223</v>
      </c>
      <c r="P6" s="61">
        <f>IFERROR(ESS전력량!$N$30*E6,0)</f>
        <v>1895605.0853276064</v>
      </c>
      <c r="Q6" s="61">
        <f>IFERROR(ESS전력량!$N$30*F6,0)</f>
        <v>2125608.2910400452</v>
      </c>
      <c r="R6" s="61">
        <f>IFERROR(ESS전력량!$N$30*G6,0)</f>
        <v>781133.50245400565</v>
      </c>
      <c r="S6" s="61">
        <f>IFERROR(ESS전력량!$N$30*H6,0)</f>
        <v>566416.46182751004</v>
      </c>
      <c r="T6" s="61">
        <f>IFERROR(ESS전력량!$N$30*I6,0)</f>
        <v>15467.585499743895</v>
      </c>
      <c r="U6" s="16">
        <f t="shared" si="1"/>
        <v>5698164</v>
      </c>
      <c r="W6" s="30" t="s">
        <v>255</v>
      </c>
      <c r="X6" s="30" t="s">
        <v>29</v>
      </c>
      <c r="Y6" s="61">
        <f>IFERROR((총전력량!$AG$30*C6)-N6,0)</f>
        <v>18792011.270249221</v>
      </c>
      <c r="Z6" s="61">
        <f>IFERROR((총전력량!$AG$30*D6)-O6,0)</f>
        <v>4127873.0955809699</v>
      </c>
      <c r="AA6" s="61">
        <f>IFERROR((총전력량!$AG$30*E6)-P6,0)</f>
        <v>138395897.01720035</v>
      </c>
      <c r="AB6" s="61">
        <f>IFERROR((총전력량!$AG$30*F6)-Q6,0)</f>
        <v>155188160.45740068</v>
      </c>
      <c r="AC6" s="61">
        <f>IFERROR((총전력량!$AG$30*G6)-R6,0)</f>
        <v>57029637.976322636</v>
      </c>
      <c r="AD6" s="61">
        <f>IFERROR((총전력량!$AG$30*H6)-S6,0)</f>
        <v>41353399.46420297</v>
      </c>
      <c r="AE6" s="61">
        <f>IFERROR((총전력량!$AG$30*I6)-T6,0)</f>
        <v>1129270.2190431932</v>
      </c>
      <c r="AF6" s="16">
        <f t="shared" si="2"/>
        <v>416016249.50000006</v>
      </c>
      <c r="AH6" s="16">
        <f t="shared" si="3"/>
        <v>421714413.50000006</v>
      </c>
      <c r="AI6" s="54">
        <f>총전력량!AG30</f>
        <v>421714413.5</v>
      </c>
      <c r="AJ6" s="30" t="b">
        <f t="shared" si="4"/>
        <v>1</v>
      </c>
    </row>
    <row r="7" spans="2:38" x14ac:dyDescent="0.3">
      <c r="B7" s="30" t="s">
        <v>207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255</v>
      </c>
      <c r="M7" s="30" t="s">
        <v>31</v>
      </c>
      <c r="N7" s="61">
        <f>IFERROR(ESS전력량!$N$31*C7,0)</f>
        <v>233146.83106192618</v>
      </c>
      <c r="O7" s="61">
        <f>IFERROR(ESS전력량!$N$31*D7,0)</f>
        <v>51873.496661161531</v>
      </c>
      <c r="P7" s="61">
        <f>IFERROR(ESS전력량!$N$31*E7,0)</f>
        <v>1804300.3462866393</v>
      </c>
      <c r="Q7" s="61">
        <f>IFERROR(ESS전력량!$N$31*F7,0)</f>
        <v>1729142.1570131863</v>
      </c>
      <c r="R7" s="61">
        <f>IFERROR(ESS전력량!$N$31*G7,0)</f>
        <v>696559.39421376365</v>
      </c>
      <c r="S7" s="61">
        <f>IFERROR(ESS전력량!$N$31*H7,0)</f>
        <v>528523.93696845183</v>
      </c>
      <c r="T7" s="61">
        <f>IFERROR(ESS전력량!$N$31*I7,0)</f>
        <v>18863.837794871128</v>
      </c>
      <c r="U7" s="16">
        <f t="shared" si="1"/>
        <v>5062410.0000000009</v>
      </c>
      <c r="W7" s="30" t="s">
        <v>255</v>
      </c>
      <c r="X7" s="30" t="s">
        <v>31</v>
      </c>
      <c r="Y7" s="61">
        <f>IFERROR((총전력량!$AG$31*C7)-N7,0)</f>
        <v>18773263.138693463</v>
      </c>
      <c r="Z7" s="61">
        <f>IFERROR((총전력량!$AG$31*D7)-O7,0)</f>
        <v>4176916.3162482004</v>
      </c>
      <c r="AA7" s="61">
        <f>IFERROR((총전력량!$AG$31*E7)-P7,0)</f>
        <v>145284433.10935637</v>
      </c>
      <c r="AB7" s="61">
        <f>IFERROR((총전력량!$AG$31*F7)-Q7,0)</f>
        <v>139232605.34986389</v>
      </c>
      <c r="AC7" s="61">
        <f>IFERROR((총전력량!$AG$31*G7)-R7,0)</f>
        <v>56087799.863042511</v>
      </c>
      <c r="AD7" s="61">
        <f>IFERROR((총전력량!$AG$31*H7)-S7,0)</f>
        <v>42557382.82443808</v>
      </c>
      <c r="AE7" s="61">
        <f>IFERROR((총전력량!$AG$31*I7)-T7,0)</f>
        <v>1518938.8983575103</v>
      </c>
      <c r="AF7" s="16">
        <f t="shared" si="2"/>
        <v>407631339.50000006</v>
      </c>
      <c r="AH7" s="16">
        <f t="shared" si="3"/>
        <v>412693749.50000006</v>
      </c>
      <c r="AI7" s="54">
        <f>총전력량!AG31</f>
        <v>412693749.5</v>
      </c>
      <c r="AJ7" s="30" t="b">
        <f t="shared" si="4"/>
        <v>1</v>
      </c>
    </row>
    <row r="8" spans="2:38" x14ac:dyDescent="0.3">
      <c r="B8" s="30" t="s">
        <v>208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255</v>
      </c>
      <c r="M8" s="30" t="s">
        <v>33</v>
      </c>
      <c r="N8" s="61">
        <f>IFERROR(ESS전력량!$N$32*C8,0)</f>
        <v>254613.54858219315</v>
      </c>
      <c r="O8" s="61">
        <f>IFERROR(ESS전력량!$N$32*D8,0)</f>
        <v>65287.709597461821</v>
      </c>
      <c r="P8" s="61">
        <f>IFERROR(ESS전력량!$N$32*E8,0)</f>
        <v>1899114.1718223284</v>
      </c>
      <c r="Q8" s="61">
        <f>IFERROR(ESS전력량!$N$32*F8,0)</f>
        <v>1743447.9676531828</v>
      </c>
      <c r="R8" s="61">
        <f>IFERROR(ESS전력량!$N$32*G8,0)</f>
        <v>662312.64599444775</v>
      </c>
      <c r="S8" s="61">
        <f>IFERROR(ESS전력량!$N$32*H8,0)</f>
        <v>513602.26633452321</v>
      </c>
      <c r="T8" s="61">
        <f>IFERROR(ESS전력량!$N$32*I8,0)</f>
        <v>16887.690015863576</v>
      </c>
      <c r="U8" s="16">
        <f t="shared" si="1"/>
        <v>5155266.0000000009</v>
      </c>
      <c r="W8" s="30" t="s">
        <v>255</v>
      </c>
      <c r="X8" s="30" t="s">
        <v>33</v>
      </c>
      <c r="Y8" s="61">
        <f>IFERROR((총전력량!$AG$32*C8)-N8,0)</f>
        <v>20219928.89039119</v>
      </c>
      <c r="Z8" s="61">
        <f>IFERROR((총전력량!$AG$32*D8)-O8,0)</f>
        <v>5184770.6173854126</v>
      </c>
      <c r="AA8" s="61">
        <f>IFERROR((총전력량!$AG$32*E8)-P8,0)</f>
        <v>150816614.91625428</v>
      </c>
      <c r="AB8" s="61">
        <f>IFERROR((총전력량!$AG$32*F8)-Q8,0)</f>
        <v>138454509.29986304</v>
      </c>
      <c r="AC8" s="61">
        <f>IFERROR((총전력량!$AG$32*G8)-R8,0)</f>
        <v>52597022.742061391</v>
      </c>
      <c r="AD8" s="61">
        <f>IFERROR((총전력량!$AG$32*H8)-S8,0)</f>
        <v>40787308.299406447</v>
      </c>
      <c r="AE8" s="61">
        <f>IFERROR((총전력량!$AG$32*I8)-T8,0)</f>
        <v>1341122.2346382705</v>
      </c>
      <c r="AF8" s="16">
        <f t="shared" si="2"/>
        <v>409401277.00000006</v>
      </c>
      <c r="AH8" s="16">
        <f t="shared" si="3"/>
        <v>414556543.00000006</v>
      </c>
      <c r="AI8" s="54">
        <f>총전력량!AG32</f>
        <v>414556543</v>
      </c>
      <c r="AJ8" s="30" t="b">
        <f t="shared" si="4"/>
        <v>1</v>
      </c>
    </row>
    <row r="9" spans="2:38" x14ac:dyDescent="0.3">
      <c r="B9" s="30" t="s">
        <v>209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255</v>
      </c>
      <c r="M9" s="30" t="s">
        <v>35</v>
      </c>
      <c r="N9" s="61">
        <f>IFERROR(ESS전력량!$N$33*C9,0)</f>
        <v>232019.89203477278</v>
      </c>
      <c r="O9" s="61">
        <f>IFERROR(ESS전력량!$N$33*D9,0)</f>
        <v>46624.970698429221</v>
      </c>
      <c r="P9" s="61">
        <f>IFERROR(ESS전력량!$N$33*E9,0)</f>
        <v>1376866.481294164</v>
      </c>
      <c r="Q9" s="61">
        <f>IFERROR(ESS전력량!$N$33*F9,0)</f>
        <v>1327844.1135005597</v>
      </c>
      <c r="R9" s="61">
        <f>IFERROR(ESS전력량!$N$33*G9,0)</f>
        <v>611217.66764788388</v>
      </c>
      <c r="S9" s="61">
        <f>IFERROR(ESS전력량!$N$33*H9,0)</f>
        <v>421742.34236933797</v>
      </c>
      <c r="T9" s="61">
        <f>IFERROR(ESS전력량!$N$33*I9,0)</f>
        <v>14822.53245485345</v>
      </c>
      <c r="U9" s="16">
        <f t="shared" si="1"/>
        <v>4031138.0000000009</v>
      </c>
      <c r="W9" s="30" t="s">
        <v>255</v>
      </c>
      <c r="X9" s="30" t="s">
        <v>35</v>
      </c>
      <c r="Y9" s="61">
        <f>IFERROR((총전력량!$AG$33*C9)-N9,0)</f>
        <v>32464843.575235598</v>
      </c>
      <c r="Z9" s="61">
        <f>IFERROR((총전력량!$AG$33*D9)-O9,0)</f>
        <v>6523890.5472708084</v>
      </c>
      <c r="AA9" s="61">
        <f>IFERROR((총전력량!$AG$33*E9)-P9,0)</f>
        <v>192654838.97605184</v>
      </c>
      <c r="AB9" s="61">
        <f>IFERROR((총전력량!$AG$33*F9)-Q9,0)</f>
        <v>185795498.21802533</v>
      </c>
      <c r="AC9" s="61">
        <f>IFERROR((총전력량!$AG$33*G9)-R9,0)</f>
        <v>85523210.085948184</v>
      </c>
      <c r="AD9" s="61">
        <f>IFERROR((총전력량!$AG$33*H9)-S9,0)</f>
        <v>59011316.029842921</v>
      </c>
      <c r="AE9" s="61">
        <f>IFERROR((총전력량!$AG$33*I9)-T9,0)</f>
        <v>2074008.3676254409</v>
      </c>
      <c r="AF9" s="16">
        <f t="shared" si="2"/>
        <v>564047605.80000019</v>
      </c>
      <c r="AH9" s="16">
        <f t="shared" si="3"/>
        <v>568078743.80000019</v>
      </c>
      <c r="AI9" s="54">
        <f>총전력량!AG33</f>
        <v>568078743.79999995</v>
      </c>
      <c r="AJ9" s="30" t="b">
        <f t="shared" si="4"/>
        <v>1</v>
      </c>
    </row>
    <row r="10" spans="2:38" x14ac:dyDescent="0.3">
      <c r="B10" s="30" t="s">
        <v>210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255</v>
      </c>
      <c r="M10" s="30" t="s">
        <v>37</v>
      </c>
      <c r="N10" s="61">
        <f>IFERROR(ESS전력량!$N$34*C10,0)</f>
        <v>226544.77762523424</v>
      </c>
      <c r="O10" s="61">
        <f>IFERROR(ESS전력량!$N$34*D10,0)</f>
        <v>56591.181336694441</v>
      </c>
      <c r="P10" s="61">
        <f>IFERROR(ESS전력량!$N$34*E10,0)</f>
        <v>1666228.5420244327</v>
      </c>
      <c r="Q10" s="61">
        <f>IFERROR(ESS전력량!$N$34*F10,0)</f>
        <v>1619916.0951341216</v>
      </c>
      <c r="R10" s="61">
        <f>IFERROR(ESS전력량!$N$34*G10,0)</f>
        <v>605095.69046603306</v>
      </c>
      <c r="S10" s="61">
        <f>IFERROR(ESS전력량!$N$34*H10,0)</f>
        <v>455833.85206127586</v>
      </c>
      <c r="T10" s="61">
        <f>IFERROR(ESS전력량!$N$34*I10,0)</f>
        <v>12437.861352207354</v>
      </c>
      <c r="U10" s="16">
        <f t="shared" si="1"/>
        <v>4642648</v>
      </c>
      <c r="W10" s="30" t="s">
        <v>255</v>
      </c>
      <c r="X10" s="30" t="s">
        <v>37</v>
      </c>
      <c r="Y10" s="61">
        <f>IFERROR((총전력량!$AG$34*C10)-N10,0)</f>
        <v>30776540.82593238</v>
      </c>
      <c r="Z10" s="61">
        <f>IFERROR((총전력량!$AG$34*D10)-O10,0)</f>
        <v>7688020.0949841617</v>
      </c>
      <c r="AA10" s="61">
        <f>IFERROR((총전력량!$AG$34*E10)-P10,0)</f>
        <v>226360330.55584639</v>
      </c>
      <c r="AB10" s="61">
        <f>IFERROR((총전력량!$AG$34*F10)-Q10,0)</f>
        <v>220068696.1716437</v>
      </c>
      <c r="AC10" s="61">
        <f>IFERROR((총전력량!$AG$34*G10)-R10,0)</f>
        <v>82203405.509663224</v>
      </c>
      <c r="AD10" s="61">
        <f>IFERROR((총전력량!$AG$34*H10)-S10,0)</f>
        <v>61925899.61624974</v>
      </c>
      <c r="AE10" s="61">
        <f>IFERROR((총전력량!$AG$34*I10)-T10,0)</f>
        <v>1689707.2256803047</v>
      </c>
      <c r="AF10" s="16">
        <f t="shared" si="2"/>
        <v>630712600</v>
      </c>
      <c r="AH10" s="16">
        <f t="shared" si="3"/>
        <v>635355248</v>
      </c>
      <c r="AI10" s="54">
        <f>총전력량!AG34</f>
        <v>635355248</v>
      </c>
      <c r="AJ10" s="30" t="b">
        <f t="shared" si="4"/>
        <v>1</v>
      </c>
    </row>
    <row r="11" spans="2:38" x14ac:dyDescent="0.3">
      <c r="B11" s="30" t="s">
        <v>211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255</v>
      </c>
      <c r="M11" s="30" t="s">
        <v>39</v>
      </c>
      <c r="N11" s="61">
        <f>IFERROR(ESS전력량!$N$35*C11,0)</f>
        <v>246442.77473184242</v>
      </c>
      <c r="O11" s="61">
        <f>IFERROR(ESS전력량!$N$35*D11,0)</f>
        <v>45827.615610367291</v>
      </c>
      <c r="P11" s="61">
        <f>IFERROR(ESS전력량!$N$35*E11,0)</f>
        <v>1527107.7316283232</v>
      </c>
      <c r="Q11" s="61">
        <f>IFERROR(ESS전력량!$N$35*F11,0)</f>
        <v>1524778.1396320176</v>
      </c>
      <c r="R11" s="61">
        <f>IFERROR(ESS전력량!$N$35*G11,0)</f>
        <v>551845.270828187</v>
      </c>
      <c r="S11" s="61">
        <f>IFERROR(ESS전력량!$N$35*H11,0)</f>
        <v>396665.64701595774</v>
      </c>
      <c r="T11" s="61">
        <f>IFERROR(ESS전력량!$N$35*I11,0)</f>
        <v>11656.820553304899</v>
      </c>
      <c r="U11" s="16">
        <f t="shared" si="1"/>
        <v>4304324</v>
      </c>
      <c r="W11" s="30" t="s">
        <v>255</v>
      </c>
      <c r="X11" s="30" t="s">
        <v>39</v>
      </c>
      <c r="Y11" s="61">
        <f>IFERROR((총전력량!$AG$35*C11)-N11,0)</f>
        <v>33320051.004869547</v>
      </c>
      <c r="Z11" s="61">
        <f>IFERROR((총전력량!$AG$35*D11)-O11,0)</f>
        <v>6196077.3296377594</v>
      </c>
      <c r="AA11" s="61">
        <f>IFERROR((총전력량!$AG$35*E11)-P11,0)</f>
        <v>206471086.69813165</v>
      </c>
      <c r="AB11" s="61">
        <f>IFERROR((총전력량!$AG$35*F11)-Q11,0)</f>
        <v>206156116.52210641</v>
      </c>
      <c r="AC11" s="61">
        <f>IFERROR((총전력량!$AG$35*G11)-R11,0)</f>
        <v>74611692.677129328</v>
      </c>
      <c r="AD11" s="61">
        <f>IFERROR((총전력량!$AG$35*H11)-S11,0)</f>
        <v>53630785.50317733</v>
      </c>
      <c r="AE11" s="61">
        <f>IFERROR((총전력량!$AG$35*I11)-T11,0)</f>
        <v>1576048.8649478983</v>
      </c>
      <c r="AF11" s="16">
        <f t="shared" si="2"/>
        <v>581961858.5999999</v>
      </c>
      <c r="AH11" s="16">
        <f t="shared" si="3"/>
        <v>586266182.5999999</v>
      </c>
      <c r="AI11" s="54">
        <f>총전력량!AG35</f>
        <v>586266182.5999999</v>
      </c>
      <c r="AJ11" s="30" t="b">
        <f t="shared" si="4"/>
        <v>1</v>
      </c>
    </row>
    <row r="12" spans="2:38" x14ac:dyDescent="0.3">
      <c r="B12" s="30" t="s">
        <v>212</v>
      </c>
      <c r="C12" s="59" t="e">
        <f>'본전력량 라인별'!P12/'본전력량 라인별'!$W$12</f>
        <v>#DIV/0!</v>
      </c>
      <c r="D12" s="59" t="e">
        <f>'본전력량 라인별'!Q12/'본전력량 라인별'!$W$12</f>
        <v>#DIV/0!</v>
      </c>
      <c r="E12" s="59" t="e">
        <f>'본전력량 라인별'!R12/'본전력량 라인별'!$W$12</f>
        <v>#DIV/0!</v>
      </c>
      <c r="F12" s="59" t="e">
        <f>'본전력량 라인별'!S12/'본전력량 라인별'!$W$12</f>
        <v>#DIV/0!</v>
      </c>
      <c r="G12" s="59" t="e">
        <f>'본전력량 라인별'!T12/'본전력량 라인별'!$W$12</f>
        <v>#DIV/0!</v>
      </c>
      <c r="H12" s="59" t="e">
        <f>'본전력량 라인별'!U12/'본전력량 라인별'!$W$12</f>
        <v>#DIV/0!</v>
      </c>
      <c r="I12" s="59" t="e">
        <f>'본전력량 라인별'!V12/'본전력량 라인별'!$W$12</f>
        <v>#DIV/0!</v>
      </c>
      <c r="J12" s="60" t="e">
        <f t="shared" si="0"/>
        <v>#DIV/0!</v>
      </c>
      <c r="L12" s="30" t="s">
        <v>255</v>
      </c>
      <c r="M12" s="30" t="s">
        <v>41</v>
      </c>
      <c r="N12" s="61">
        <f>IFERROR(ESS전력량!$N$36*C12,0)</f>
        <v>0</v>
      </c>
      <c r="O12" s="61">
        <f>IFERROR(ESS전력량!$N$36*D12,0)</f>
        <v>0</v>
      </c>
      <c r="P12" s="61">
        <f>IFERROR(ESS전력량!$N$36*E12,0)</f>
        <v>0</v>
      </c>
      <c r="Q12" s="61">
        <f>IFERROR(ESS전력량!$N$36*F12,0)</f>
        <v>0</v>
      </c>
      <c r="R12" s="61">
        <f>IFERROR(ESS전력량!$N$36*G12,0)</f>
        <v>0</v>
      </c>
      <c r="S12" s="61">
        <f>IFERROR(ESS전력량!$N$36*H12,0)</f>
        <v>0</v>
      </c>
      <c r="T12" s="61">
        <f>IFERROR(ESS전력량!$N$36*I12,0)</f>
        <v>0</v>
      </c>
      <c r="U12" s="16">
        <f t="shared" si="1"/>
        <v>0</v>
      </c>
      <c r="W12" s="30" t="s">
        <v>255</v>
      </c>
      <c r="X12" s="30" t="s">
        <v>41</v>
      </c>
      <c r="Y12" s="61">
        <f>IFERROR((총전력량!$AG$36*C12)-N12,0)</f>
        <v>0</v>
      </c>
      <c r="Z12" s="61">
        <f>IFERROR((총전력량!$AG$36*D12)-O12,0)</f>
        <v>0</v>
      </c>
      <c r="AA12" s="61">
        <f>IFERROR((총전력량!$AG$36*E12)-P12,0)</f>
        <v>0</v>
      </c>
      <c r="AB12" s="61">
        <f>IFERROR((총전력량!$AG$36*F12)-Q12,0)</f>
        <v>0</v>
      </c>
      <c r="AC12" s="61">
        <f>IFERROR((총전력량!$AG$36*G12)-R12,0)</f>
        <v>0</v>
      </c>
      <c r="AD12" s="61">
        <f>IFERROR((총전력량!$AG$36*H12)-S12,0)</f>
        <v>0</v>
      </c>
      <c r="AE12" s="61">
        <f>IFERROR((총전력량!$AG$36*I12)-T12,0)</f>
        <v>0</v>
      </c>
      <c r="AF12" s="16">
        <f t="shared" si="2"/>
        <v>0</v>
      </c>
      <c r="AH12" s="16">
        <f t="shared" si="3"/>
        <v>0</v>
      </c>
      <c r="AI12" s="54">
        <f>총전력량!AG36</f>
        <v>0</v>
      </c>
      <c r="AJ12" s="30" t="b">
        <f t="shared" si="4"/>
        <v>1</v>
      </c>
    </row>
    <row r="13" spans="2:38" x14ac:dyDescent="0.3">
      <c r="B13" s="30" t="s">
        <v>213</v>
      </c>
      <c r="C13" s="59" t="e">
        <f>'본전력량 라인별'!P13/'본전력량 라인별'!$W$13</f>
        <v>#DIV/0!</v>
      </c>
      <c r="D13" s="59" t="e">
        <f>'본전력량 라인별'!Q13/'본전력량 라인별'!$W$13</f>
        <v>#DIV/0!</v>
      </c>
      <c r="E13" s="59" t="e">
        <f>'본전력량 라인별'!R13/'본전력량 라인별'!$W$13</f>
        <v>#DIV/0!</v>
      </c>
      <c r="F13" s="59" t="e">
        <f>'본전력량 라인별'!S13/'본전력량 라인별'!$W$13</f>
        <v>#DIV/0!</v>
      </c>
      <c r="G13" s="59" t="e">
        <f>'본전력량 라인별'!T13/'본전력량 라인별'!$W$13</f>
        <v>#DIV/0!</v>
      </c>
      <c r="H13" s="59" t="e">
        <f>'본전력량 라인별'!U13/'본전력량 라인별'!$W$13</f>
        <v>#DIV/0!</v>
      </c>
      <c r="I13" s="59" t="e">
        <f>'본전력량 라인별'!V13/'본전력량 라인별'!$W$13</f>
        <v>#DIV/0!</v>
      </c>
      <c r="J13" s="60" t="e">
        <f t="shared" si="0"/>
        <v>#DIV/0!</v>
      </c>
      <c r="L13" s="30" t="s">
        <v>255</v>
      </c>
      <c r="M13" s="30" t="s">
        <v>43</v>
      </c>
      <c r="N13" s="61">
        <f>IFERROR(ESS전력량!$N$37*C13,0)</f>
        <v>0</v>
      </c>
      <c r="O13" s="61">
        <f>IFERROR(ESS전력량!$N$37*D13,0)</f>
        <v>0</v>
      </c>
      <c r="P13" s="61">
        <f>IFERROR(ESS전력량!$N$37*E13,0)</f>
        <v>0</v>
      </c>
      <c r="Q13" s="61">
        <f>IFERROR(ESS전력량!$N$37*F13,0)</f>
        <v>0</v>
      </c>
      <c r="R13" s="61">
        <f>IFERROR(ESS전력량!$N$37*G13,0)</f>
        <v>0</v>
      </c>
      <c r="S13" s="61">
        <f>IFERROR(ESS전력량!$N$37*H13,0)</f>
        <v>0</v>
      </c>
      <c r="T13" s="61">
        <f>IFERROR(ESS전력량!$N$37*I13,0)</f>
        <v>0</v>
      </c>
      <c r="U13" s="16">
        <f t="shared" si="1"/>
        <v>0</v>
      </c>
      <c r="W13" s="30" t="s">
        <v>255</v>
      </c>
      <c r="X13" s="30" t="s">
        <v>43</v>
      </c>
      <c r="Y13" s="61">
        <f>IFERROR((총전력량!$AG$37*C13)-N13,0)</f>
        <v>0</v>
      </c>
      <c r="Z13" s="61">
        <f>IFERROR((총전력량!$AG$37*D13)-O13,0)</f>
        <v>0</v>
      </c>
      <c r="AA13" s="61">
        <f>IFERROR((총전력량!$AG$37*E13)-P13,0)</f>
        <v>0</v>
      </c>
      <c r="AB13" s="61">
        <f>IFERROR((총전력량!$AG$37*F13)-Q13,0)</f>
        <v>0</v>
      </c>
      <c r="AC13" s="61">
        <f>IFERROR((총전력량!$AG$37*G13)-R13,0)</f>
        <v>0</v>
      </c>
      <c r="AD13" s="61">
        <f>IFERROR((총전력량!$AG$37*H13)-S13,0)</f>
        <v>0</v>
      </c>
      <c r="AE13" s="61">
        <f>IFERROR((총전력량!$AG$37*I13)-T13,0)</f>
        <v>0</v>
      </c>
      <c r="AF13" s="16">
        <f t="shared" si="2"/>
        <v>0</v>
      </c>
      <c r="AH13" s="16">
        <f t="shared" si="3"/>
        <v>0</v>
      </c>
      <c r="AI13" s="54">
        <f>총전력량!AG37</f>
        <v>0</v>
      </c>
      <c r="AJ13" s="30" t="b">
        <f t="shared" si="4"/>
        <v>1</v>
      </c>
    </row>
    <row r="14" spans="2:38" x14ac:dyDescent="0.3">
      <c r="B14" s="30" t="s">
        <v>214</v>
      </c>
      <c r="C14" s="59" t="e">
        <f>'본전력량 라인별'!P14/'본전력량 라인별'!$W$14</f>
        <v>#DIV/0!</v>
      </c>
      <c r="D14" s="59" t="e">
        <f>'본전력량 라인별'!Q14/'본전력량 라인별'!$W$14</f>
        <v>#DIV/0!</v>
      </c>
      <c r="E14" s="59" t="e">
        <f>'본전력량 라인별'!R14/'본전력량 라인별'!$W$14</f>
        <v>#DIV/0!</v>
      </c>
      <c r="F14" s="59" t="e">
        <f>'본전력량 라인별'!S14/'본전력량 라인별'!$W$14</f>
        <v>#DIV/0!</v>
      </c>
      <c r="G14" s="59" t="e">
        <f>'본전력량 라인별'!T14/'본전력량 라인별'!$W$14</f>
        <v>#DIV/0!</v>
      </c>
      <c r="H14" s="59" t="e">
        <f>'본전력량 라인별'!U14/'본전력량 라인별'!$W$14</f>
        <v>#DIV/0!</v>
      </c>
      <c r="I14" s="59" t="e">
        <f>'본전력량 라인별'!V14/'본전력량 라인별'!$W$14</f>
        <v>#DIV/0!</v>
      </c>
      <c r="J14" s="60" t="e">
        <f t="shared" si="0"/>
        <v>#DIV/0!</v>
      </c>
      <c r="L14" s="30" t="s">
        <v>255</v>
      </c>
      <c r="M14" s="30" t="s">
        <v>45</v>
      </c>
      <c r="N14" s="61">
        <f>IFERROR(ESS전력량!$N$38*C14,0)</f>
        <v>0</v>
      </c>
      <c r="O14" s="61">
        <f>IFERROR(ESS전력량!$N$38*D14,0)</f>
        <v>0</v>
      </c>
      <c r="P14" s="61">
        <f>IFERROR(ESS전력량!$N$38*E14,0)</f>
        <v>0</v>
      </c>
      <c r="Q14" s="61">
        <f>IFERROR(ESS전력량!$N$38*F14,0)</f>
        <v>0</v>
      </c>
      <c r="R14" s="61">
        <f>IFERROR(ESS전력량!$N$38*G14,0)</f>
        <v>0</v>
      </c>
      <c r="S14" s="61">
        <f>IFERROR(ESS전력량!$N$38*H14,0)</f>
        <v>0</v>
      </c>
      <c r="T14" s="61">
        <f>IFERROR(ESS전력량!$N$38*I14,0)</f>
        <v>0</v>
      </c>
      <c r="U14" s="16">
        <f t="shared" si="1"/>
        <v>0</v>
      </c>
      <c r="W14" s="30" t="s">
        <v>255</v>
      </c>
      <c r="X14" s="30" t="s">
        <v>45</v>
      </c>
      <c r="Y14" s="61">
        <f>IFERROR((총전력량!$AG$38*C14)-N14,0)</f>
        <v>0</v>
      </c>
      <c r="Z14" s="61">
        <f>IFERROR((총전력량!$AG$38*D14)-O14,0)</f>
        <v>0</v>
      </c>
      <c r="AA14" s="61">
        <f>IFERROR((총전력량!$AG$38*E14)-P14,0)</f>
        <v>0</v>
      </c>
      <c r="AB14" s="61">
        <f>IFERROR((총전력량!$AG$38*F14)-Q14,0)</f>
        <v>0</v>
      </c>
      <c r="AC14" s="61">
        <f>IFERROR((총전력량!$AG$38*G14)-R14,0)</f>
        <v>0</v>
      </c>
      <c r="AD14" s="61">
        <f>IFERROR((총전력량!$AG$38*H14)-S14,0)</f>
        <v>0</v>
      </c>
      <c r="AE14" s="61">
        <f>IFERROR((총전력량!$AG$38*I14)-T14,0)</f>
        <v>0</v>
      </c>
      <c r="AF14" s="16">
        <f t="shared" si="2"/>
        <v>0</v>
      </c>
      <c r="AH14" s="16">
        <f t="shared" si="3"/>
        <v>0</v>
      </c>
      <c r="AI14" s="54">
        <f>총전력량!AG38</f>
        <v>0</v>
      </c>
      <c r="AJ14" s="30" t="b">
        <f t="shared" si="4"/>
        <v>1</v>
      </c>
    </row>
    <row r="15" spans="2:38" x14ac:dyDescent="0.3">
      <c r="B15" s="30" t="s">
        <v>215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255</v>
      </c>
      <c r="M15" s="30" t="s">
        <v>47</v>
      </c>
      <c r="N15" s="61">
        <f>IFERROR(ESS전력량!$N$39*C15,0)</f>
        <v>0</v>
      </c>
      <c r="O15" s="61">
        <f>IFERROR(ESS전력량!$N$39*D15,0)</f>
        <v>0</v>
      </c>
      <c r="P15" s="61">
        <f>IFERROR(ESS전력량!$N$39*E15,0)</f>
        <v>0</v>
      </c>
      <c r="Q15" s="61">
        <f>IFERROR(ESS전력량!$N$39*F15,0)</f>
        <v>0</v>
      </c>
      <c r="R15" s="61">
        <f>IFERROR(ESS전력량!$N$39*G15,0)</f>
        <v>0</v>
      </c>
      <c r="S15" s="61">
        <f>IFERROR(ESS전력량!$N$39*H15,0)</f>
        <v>0</v>
      </c>
      <c r="T15" s="61">
        <f>IFERROR(ESS전력량!$N$39*I15,0)</f>
        <v>0</v>
      </c>
      <c r="U15" s="16">
        <f t="shared" si="1"/>
        <v>0</v>
      </c>
      <c r="W15" s="30" t="s">
        <v>255</v>
      </c>
      <c r="X15" s="30" t="s">
        <v>47</v>
      </c>
      <c r="Y15" s="61">
        <f>IFERROR((총전력량!$AG$39*C15)-N15,0)</f>
        <v>0</v>
      </c>
      <c r="Z15" s="61">
        <f>IFERROR((총전력량!$AG$39*D15)-O15,0)</f>
        <v>0</v>
      </c>
      <c r="AA15" s="61">
        <f>IFERROR((총전력량!$AG$39*E15)-P15,0)</f>
        <v>0</v>
      </c>
      <c r="AB15" s="61">
        <f>IFERROR((총전력량!$AG$39*F15)-Q15,0)</f>
        <v>0</v>
      </c>
      <c r="AC15" s="61">
        <f>IFERROR((총전력량!$AG$39*G15)-R15,0)</f>
        <v>0</v>
      </c>
      <c r="AD15" s="61">
        <f>IFERROR((총전력량!$AG$39*H15)-S15,0)</f>
        <v>0</v>
      </c>
      <c r="AE15" s="61">
        <f>IFERROR((총전력량!$AG$39*I15)-T15,0)</f>
        <v>0</v>
      </c>
      <c r="AF15" s="16">
        <f t="shared" si="2"/>
        <v>0</v>
      </c>
      <c r="AH15" s="16">
        <f t="shared" si="3"/>
        <v>0</v>
      </c>
      <c r="AI15" s="54">
        <f>총전력량!AG39</f>
        <v>0</v>
      </c>
      <c r="AJ15" s="30" t="b">
        <f t="shared" si="4"/>
        <v>1</v>
      </c>
    </row>
    <row r="16" spans="2:38" x14ac:dyDescent="0.3">
      <c r="B16" s="38" t="s">
        <v>239</v>
      </c>
      <c r="C16" s="195">
        <f>'본전력량 라인별'!P16/'본전력량 라인별'!$W$16</f>
        <v>4.9237049027000879E-2</v>
      </c>
      <c r="D16" s="195">
        <f>'본전력량 라인별'!Q16/'본전력량 라인별'!$W$16</f>
        <v>1.1140343384217131E-2</v>
      </c>
      <c r="E16" s="195">
        <f>'본전력량 라인별'!R16/'본전력량 라인별'!$W$16</f>
        <v>0.34832708393561301</v>
      </c>
      <c r="F16" s="195">
        <f>'본전력량 라인별'!S16/'본전력량 라인별'!$W$16</f>
        <v>0.34438486838199417</v>
      </c>
      <c r="G16" s="195">
        <f>'본전력량 라인별'!T16/'본전력량 라인별'!$W$16</f>
        <v>0.14456430721187793</v>
      </c>
      <c r="H16" s="195">
        <f>'본전력량 라인별'!U16/'본전력량 라인별'!$W$16</f>
        <v>9.9368669855142838E-2</v>
      </c>
      <c r="I16" s="195">
        <f>'본전력량 라인별'!V16/'본전력량 라인별'!$W$16</f>
        <v>2.9776782041540401E-3</v>
      </c>
      <c r="J16" s="196">
        <f t="shared" si="0"/>
        <v>1</v>
      </c>
      <c r="L16" s="38" t="s">
        <v>239</v>
      </c>
      <c r="M16" s="38" t="s">
        <v>239</v>
      </c>
      <c r="N16" s="194">
        <f>SUM(N4:N15)</f>
        <v>1827171.8307813043</v>
      </c>
      <c r="O16" s="194">
        <f t="shared" ref="O16:U16" si="5">SUM(O4:O15)</f>
        <v>418531.09080423665</v>
      </c>
      <c r="P16" s="194">
        <f t="shared" si="5"/>
        <v>13120159.881432278</v>
      </c>
      <c r="Q16" s="194">
        <f t="shared" si="5"/>
        <v>12915124.374002393</v>
      </c>
      <c r="R16" s="194">
        <f t="shared" si="5"/>
        <v>5306327.9518502075</v>
      </c>
      <c r="S16" s="194">
        <f t="shared" si="5"/>
        <v>3714668.0704186256</v>
      </c>
      <c r="T16" s="194">
        <f t="shared" si="5"/>
        <v>112539.80071095411</v>
      </c>
      <c r="U16" s="194">
        <f t="shared" si="5"/>
        <v>37414523</v>
      </c>
      <c r="W16" s="38" t="s">
        <v>239</v>
      </c>
      <c r="X16" s="38" t="s">
        <v>239</v>
      </c>
      <c r="Y16" s="194">
        <f>SUM(Y4:Y15)</f>
        <v>205990225.7586863</v>
      </c>
      <c r="Z16" s="194">
        <f t="shared" ref="Z16:AF16" si="6">SUM(Z4:Z15)</f>
        <v>46540203.294675805</v>
      </c>
      <c r="AA16" s="194">
        <f t="shared" si="6"/>
        <v>1454381148.4351537</v>
      </c>
      <c r="AB16" s="194">
        <f t="shared" si="6"/>
        <v>1439074571.4181316</v>
      </c>
      <c r="AC16" s="194">
        <f t="shared" si="6"/>
        <v>606456785.60636544</v>
      </c>
      <c r="AD16" s="194">
        <f t="shared" si="6"/>
        <v>415375366.45462847</v>
      </c>
      <c r="AE16" s="194">
        <f t="shared" si="6"/>
        <v>12412711.232358498</v>
      </c>
      <c r="AF16" s="194">
        <f t="shared" si="6"/>
        <v>4180231012.2000003</v>
      </c>
      <c r="AH16" s="16">
        <f>SUM(AH4:AH15)</f>
        <v>4217645535.2000003</v>
      </c>
      <c r="AI16" s="16">
        <f>SUM(AI4:AI15)</f>
        <v>4217645535.2000003</v>
      </c>
      <c r="AJ16" s="30" t="b">
        <f t="shared" si="4"/>
        <v>1</v>
      </c>
    </row>
    <row r="17" spans="2:32" x14ac:dyDescent="0.3">
      <c r="B17" s="30" t="s">
        <v>436</v>
      </c>
      <c r="C17" s="59">
        <f>'본전력량 라인별'!P17/'본전력량 라인별'!$W$16</f>
        <v>1.6750565087849039E-2</v>
      </c>
      <c r="D17" s="59">
        <f>'본전력량 라인별'!Q17/'본전력량 라인별'!$W$16</f>
        <v>3.9917447732980491E-3</v>
      </c>
      <c r="E17" s="59">
        <f>'본전력량 라인별'!R17/'본전력량 라인별'!$W$16</f>
        <v>0.1268641845075891</v>
      </c>
      <c r="F17" s="59">
        <f>'본전력량 라인별'!S17/'본전력량 라인별'!$W$16</f>
        <v>0.13075157594619186</v>
      </c>
      <c r="G17" s="59">
        <f>'본전력량 라인별'!T17/'본전력량 라인별'!$W$16</f>
        <v>6.0279694696630699E-2</v>
      </c>
      <c r="H17" s="59">
        <f>'본전력량 라인별'!U17/'본전력량 라인별'!$W$16</f>
        <v>3.7373818293558E-2</v>
      </c>
      <c r="I17" s="59">
        <f>'본전력량 라인별'!V17/'본전력량 라인별'!$W$16</f>
        <v>1.0016362298143247E-3</v>
      </c>
      <c r="J17" s="60">
        <f t="shared" si="0"/>
        <v>0.37701321953493105</v>
      </c>
      <c r="L17" s="30" t="s">
        <v>436</v>
      </c>
      <c r="M17" s="30" t="s">
        <v>416</v>
      </c>
      <c r="N17" s="16">
        <f>SUM(N4:N6)</f>
        <v>634404.00674533541</v>
      </c>
      <c r="O17" s="16">
        <f t="shared" ref="O17:T17" si="7">SUM(O4:O6)</f>
        <v>152326.11690012238</v>
      </c>
      <c r="P17" s="16">
        <f t="shared" si="7"/>
        <v>4846542.6083763912</v>
      </c>
      <c r="Q17" s="16">
        <f t="shared" si="7"/>
        <v>4969995.9010693245</v>
      </c>
      <c r="R17" s="16">
        <f t="shared" si="7"/>
        <v>2179297.2826998932</v>
      </c>
      <c r="S17" s="16">
        <f t="shared" si="7"/>
        <v>1398300.0256690793</v>
      </c>
      <c r="T17" s="16">
        <f t="shared" si="7"/>
        <v>37871.058539853693</v>
      </c>
      <c r="U17" s="61">
        <f>SUM(N17:T17)</f>
        <v>14218737.000000002</v>
      </c>
      <c r="W17" s="30" t="s">
        <v>436</v>
      </c>
      <c r="X17" s="30" t="s">
        <v>416</v>
      </c>
      <c r="Y17" s="16">
        <f>SUM(Y4:Y6)</f>
        <v>70435598.323564112</v>
      </c>
      <c r="Z17" s="16">
        <f t="shared" ref="Z17:AE17" si="8">SUM(Z4:Z6)</f>
        <v>16770528.389149465</v>
      </c>
      <c r="AA17" s="16">
        <f t="shared" si="8"/>
        <v>532793844.17951328</v>
      </c>
      <c r="AB17" s="16">
        <f t="shared" si="8"/>
        <v>549367145.85662937</v>
      </c>
      <c r="AC17" s="16">
        <f t="shared" si="8"/>
        <v>255433654.72852087</v>
      </c>
      <c r="AD17" s="16">
        <f t="shared" si="8"/>
        <v>157462674.18151394</v>
      </c>
      <c r="AE17" s="16">
        <f t="shared" si="8"/>
        <v>4212885.6411090726</v>
      </c>
      <c r="AF17" s="61">
        <f>SUM(Y17:AE17)</f>
        <v>1586476331.3</v>
      </c>
    </row>
    <row r="18" spans="2:32" x14ac:dyDescent="0.3">
      <c r="B18" s="30" t="s">
        <v>437</v>
      </c>
      <c r="C18" s="59">
        <f>'본전력량 라인별'!P18/'본전력량 라인별'!$W$16</f>
        <v>1.7544339928141632E-2</v>
      </c>
      <c r="D18" s="59">
        <f>'본전력량 라인별'!Q18/'본전력량 라인별'!$W$16</f>
        <v>3.9138498541157413E-3</v>
      </c>
      <c r="E18" s="59">
        <f>'본전력량 라인별'!R18/'본전력량 라인별'!$W$16</f>
        <v>0.1205960811483115</v>
      </c>
      <c r="F18" s="59">
        <f>'본전력량 라인별'!S18/'본전력량 라인별'!$W$16</f>
        <v>0.11430079648840007</v>
      </c>
      <c r="G18" s="59">
        <f>'본전력량 라인별'!T18/'본전력량 라인별'!$W$16</f>
        <v>4.7740858924114518E-2</v>
      </c>
      <c r="H18" s="59">
        <f>'본전력량 라인별'!U18/'본전력량 라인별'!$W$16</f>
        <v>3.5068356082579549E-2</v>
      </c>
      <c r="I18" s="59">
        <f>'본전력량 라인별'!V18/'본전력량 라인별'!$W$16</f>
        <v>1.2149579293472084E-3</v>
      </c>
      <c r="J18" s="60">
        <f t="shared" si="0"/>
        <v>0.34037924035501022</v>
      </c>
      <c r="L18" s="30" t="s">
        <v>437</v>
      </c>
      <c r="M18" s="30" t="s">
        <v>418</v>
      </c>
      <c r="N18" s="16">
        <f>SUM(N7:N9)</f>
        <v>719780.27167889208</v>
      </c>
      <c r="O18" s="16">
        <f t="shared" ref="O18:T18" si="9">SUM(O7:O9)</f>
        <v>163786.17695705258</v>
      </c>
      <c r="P18" s="16">
        <f t="shared" si="9"/>
        <v>5080280.9994031321</v>
      </c>
      <c r="Q18" s="16">
        <f t="shared" si="9"/>
        <v>4800434.2381669283</v>
      </c>
      <c r="R18" s="16">
        <f t="shared" si="9"/>
        <v>1970089.7078560954</v>
      </c>
      <c r="S18" s="16">
        <f t="shared" si="9"/>
        <v>1463868.5456723131</v>
      </c>
      <c r="T18" s="16">
        <f t="shared" si="9"/>
        <v>50574.060265588152</v>
      </c>
      <c r="U18" s="61">
        <f t="shared" ref="U18:U20" si="10">SUM(N18:T18)</f>
        <v>14248814.000000002</v>
      </c>
      <c r="W18" s="30" t="s">
        <v>437</v>
      </c>
      <c r="X18" s="30" t="s">
        <v>418</v>
      </c>
      <c r="Y18" s="16">
        <f>SUM(Y7:Y9)</f>
        <v>71458035.604320258</v>
      </c>
      <c r="Z18" s="16">
        <f t="shared" ref="Z18:AE18" si="11">SUM(Z7:Z9)</f>
        <v>15885577.480904421</v>
      </c>
      <c r="AA18" s="16">
        <f t="shared" si="11"/>
        <v>488755887.00166249</v>
      </c>
      <c r="AB18" s="16">
        <f t="shared" si="11"/>
        <v>463482612.86775225</v>
      </c>
      <c r="AC18" s="16">
        <f t="shared" si="11"/>
        <v>194208032.69105208</v>
      </c>
      <c r="AD18" s="16">
        <f t="shared" si="11"/>
        <v>142356007.15368745</v>
      </c>
      <c r="AE18" s="16">
        <f t="shared" si="11"/>
        <v>4934069.500621222</v>
      </c>
      <c r="AF18" s="61">
        <f t="shared" ref="AF18:AF20" si="12">SUM(Y18:AE18)</f>
        <v>1381080222.3000002</v>
      </c>
    </row>
    <row r="19" spans="2:32" x14ac:dyDescent="0.3">
      <c r="B19" s="30" t="s">
        <v>438</v>
      </c>
      <c r="C19" s="59">
        <f>'본전력량 라인별'!P19/'본전력량 라인별'!$W$16</f>
        <v>1.4942144011010204E-2</v>
      </c>
      <c r="D19" s="59">
        <f>'본전력량 라인별'!Q19/'본전력량 라인별'!$W$16</f>
        <v>3.2347487568033404E-3</v>
      </c>
      <c r="E19" s="59">
        <f>'본전력량 라인별'!R19/'본전력량 라인별'!$W$16</f>
        <v>0.10086681827971243</v>
      </c>
      <c r="F19" s="59">
        <f>'본전력량 라인별'!S19/'본전력량 라인별'!$W$16</f>
        <v>9.9332495947402275E-2</v>
      </c>
      <c r="G19" s="59">
        <f>'본전력량 라인별'!T19/'본전력량 라인별'!$W$16</f>
        <v>3.6543753591132738E-2</v>
      </c>
      <c r="H19" s="59">
        <f>'본전력량 라인별'!U19/'본전력량 라인별'!$W$16</f>
        <v>2.6926495479005275E-2</v>
      </c>
      <c r="I19" s="59">
        <f>'본전력량 라인별'!V19/'본전력량 라인별'!$W$16</f>
        <v>7.610840449925071E-4</v>
      </c>
      <c r="J19" s="60">
        <f t="shared" si="0"/>
        <v>0.28260754011005884</v>
      </c>
      <c r="L19" s="30" t="s">
        <v>438</v>
      </c>
      <c r="M19" s="30" t="s">
        <v>420</v>
      </c>
      <c r="N19" s="16">
        <f>SUM(N10:N12)</f>
        <v>472987.55235707667</v>
      </c>
      <c r="O19" s="16">
        <f t="shared" ref="O19:T19" si="13">SUM(O10:O12)</f>
        <v>102418.79694706172</v>
      </c>
      <c r="P19" s="16">
        <f t="shared" si="13"/>
        <v>3193336.2736527557</v>
      </c>
      <c r="Q19" s="16">
        <f t="shared" si="13"/>
        <v>3144694.2347661392</v>
      </c>
      <c r="R19" s="16">
        <f t="shared" si="13"/>
        <v>1156940.9612942201</v>
      </c>
      <c r="S19" s="16">
        <f t="shared" si="13"/>
        <v>852499.4990772336</v>
      </c>
      <c r="T19" s="16">
        <f t="shared" si="13"/>
        <v>24094.681905512254</v>
      </c>
      <c r="U19" s="61">
        <f t="shared" si="10"/>
        <v>8946971.9999999981</v>
      </c>
      <c r="W19" s="30" t="s">
        <v>438</v>
      </c>
      <c r="X19" s="30" t="s">
        <v>420</v>
      </c>
      <c r="Y19" s="16">
        <f>SUM(Y10:Y12)</f>
        <v>64096591.830801927</v>
      </c>
      <c r="Z19" s="16">
        <f t="shared" ref="Z19:AE19" si="14">SUM(Z10:Z12)</f>
        <v>13884097.424621921</v>
      </c>
      <c r="AA19" s="16">
        <f t="shared" si="14"/>
        <v>432831417.25397801</v>
      </c>
      <c r="AB19" s="16">
        <f t="shared" si="14"/>
        <v>426224812.69375014</v>
      </c>
      <c r="AC19" s="16">
        <f t="shared" si="14"/>
        <v>156815098.18679255</v>
      </c>
      <c r="AD19" s="16">
        <f t="shared" si="14"/>
        <v>115556685.11942707</v>
      </c>
      <c r="AE19" s="16">
        <f t="shared" si="14"/>
        <v>3265756.090628203</v>
      </c>
      <c r="AF19" s="61">
        <f t="shared" si="12"/>
        <v>1212674458.5999997</v>
      </c>
    </row>
    <row r="20" spans="2:32" x14ac:dyDescent="0.3">
      <c r="B20" s="30" t="s">
        <v>439</v>
      </c>
      <c r="C20" s="59">
        <f>'본전력량 라인별'!P20/'본전력량 라인별'!$W$16</f>
        <v>0</v>
      </c>
      <c r="D20" s="59">
        <f>'본전력량 라인별'!Q20/'본전력량 라인별'!$W$16</f>
        <v>0</v>
      </c>
      <c r="E20" s="59">
        <f>'본전력량 라인별'!R20/'본전력량 라인별'!$W$16</f>
        <v>0</v>
      </c>
      <c r="F20" s="59">
        <f>'본전력량 라인별'!S20/'본전력량 라인별'!$W$16</f>
        <v>0</v>
      </c>
      <c r="G20" s="59">
        <f>'본전력량 라인별'!T20/'본전력량 라인별'!$W$16</f>
        <v>0</v>
      </c>
      <c r="H20" s="59">
        <f>'본전력량 라인별'!U20/'본전력량 라인별'!$W$16</f>
        <v>0</v>
      </c>
      <c r="I20" s="59">
        <f>'본전력량 라인별'!V20/'본전력량 라인별'!$W$16</f>
        <v>0</v>
      </c>
      <c r="J20" s="60">
        <f t="shared" si="0"/>
        <v>0</v>
      </c>
      <c r="L20" s="30" t="s">
        <v>439</v>
      </c>
      <c r="M20" s="30" t="s">
        <v>422</v>
      </c>
      <c r="N20" s="16">
        <f>SUM(N13:N15)</f>
        <v>0</v>
      </c>
      <c r="O20" s="16">
        <f t="shared" ref="O20:T20" si="15">SUM(O13:O15)</f>
        <v>0</v>
      </c>
      <c r="P20" s="16">
        <f t="shared" si="15"/>
        <v>0</v>
      </c>
      <c r="Q20" s="16">
        <f t="shared" si="15"/>
        <v>0</v>
      </c>
      <c r="R20" s="16">
        <f t="shared" si="15"/>
        <v>0</v>
      </c>
      <c r="S20" s="16">
        <f t="shared" si="15"/>
        <v>0</v>
      </c>
      <c r="T20" s="16">
        <f t="shared" si="15"/>
        <v>0</v>
      </c>
      <c r="U20" s="61">
        <f t="shared" si="10"/>
        <v>0</v>
      </c>
      <c r="W20" s="30" t="s">
        <v>439</v>
      </c>
      <c r="X20" s="30" t="s">
        <v>422</v>
      </c>
      <c r="Y20" s="16">
        <f>SUM(Y13:Y15)</f>
        <v>0</v>
      </c>
      <c r="Z20" s="16">
        <f t="shared" ref="Z20:AE20" si="16">SUM(Z13:Z15)</f>
        <v>0</v>
      </c>
      <c r="AA20" s="16">
        <f t="shared" si="16"/>
        <v>0</v>
      </c>
      <c r="AB20" s="16">
        <f t="shared" si="16"/>
        <v>0</v>
      </c>
      <c r="AC20" s="16">
        <f t="shared" si="16"/>
        <v>0</v>
      </c>
      <c r="AD20" s="16">
        <f t="shared" si="16"/>
        <v>0</v>
      </c>
      <c r="AE20" s="16">
        <f t="shared" si="16"/>
        <v>0</v>
      </c>
      <c r="AF20" s="61">
        <f t="shared" si="12"/>
        <v>0</v>
      </c>
    </row>
  </sheetData>
  <mergeCells count="5">
    <mergeCell ref="AH3:AJ3"/>
    <mergeCell ref="B2:B3"/>
    <mergeCell ref="C2:J2"/>
    <mergeCell ref="M2:M3"/>
    <mergeCell ref="X2:X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13" workbookViewId="0">
      <selection activeCell="L30" sqref="L30"/>
    </sheetView>
  </sheetViews>
  <sheetFormatPr defaultRowHeight="16.5" x14ac:dyDescent="0.3"/>
  <cols>
    <col min="2" max="2" width="9" style="30"/>
    <col min="4" max="8" width="10.875" bestFit="1" customWidth="1"/>
    <col min="9" max="9" width="9.75" bestFit="1" customWidth="1"/>
    <col min="10" max="10" width="11.875" bestFit="1" customWidth="1"/>
  </cols>
  <sheetData>
    <row r="3" spans="2:10" x14ac:dyDescent="0.3">
      <c r="B3" s="30" t="s">
        <v>252</v>
      </c>
      <c r="C3" t="s">
        <v>253</v>
      </c>
      <c r="D3" t="s">
        <v>256</v>
      </c>
      <c r="E3" t="s">
        <v>232</v>
      </c>
      <c r="F3" t="s">
        <v>233</v>
      </c>
      <c r="G3" t="s">
        <v>123</v>
      </c>
      <c r="H3" t="s">
        <v>235</v>
      </c>
      <c r="I3" t="s">
        <v>237</v>
      </c>
      <c r="J3" t="s">
        <v>89</v>
      </c>
    </row>
    <row r="4" spans="2:10" x14ac:dyDescent="0.3">
      <c r="B4" s="30" t="s">
        <v>254</v>
      </c>
      <c r="C4" t="s">
        <v>26</v>
      </c>
      <c r="D4" s="190">
        <v>24321.200000000001</v>
      </c>
      <c r="E4" s="190">
        <v>24447.85</v>
      </c>
      <c r="F4" s="190">
        <v>25093.45</v>
      </c>
      <c r="G4" s="190">
        <v>10515.025</v>
      </c>
      <c r="H4" s="190">
        <v>3854.22</v>
      </c>
      <c r="I4" s="190">
        <v>2175.6770000000001</v>
      </c>
      <c r="J4" s="190">
        <f>SUM(D4:I4)</f>
        <v>90407.421999999991</v>
      </c>
    </row>
    <row r="5" spans="2:10" x14ac:dyDescent="0.3">
      <c r="B5" s="30" t="s">
        <v>254</v>
      </c>
      <c r="C5" s="30" t="s">
        <v>27</v>
      </c>
      <c r="D5" s="190">
        <v>20140.96</v>
      </c>
      <c r="E5" s="190">
        <v>19502.189999999999</v>
      </c>
      <c r="F5" s="190">
        <v>24088.48</v>
      </c>
      <c r="G5" s="190">
        <v>12236.65</v>
      </c>
      <c r="H5" s="190">
        <v>3861.06</v>
      </c>
      <c r="I5" s="190">
        <v>1176.0889999999999</v>
      </c>
      <c r="J5" s="190">
        <f t="shared" ref="J5:J31" si="0">SUM(D5:I5)</f>
        <v>81005.428999999975</v>
      </c>
    </row>
    <row r="6" spans="2:10" x14ac:dyDescent="0.3">
      <c r="B6" s="30" t="s">
        <v>254</v>
      </c>
      <c r="C6" s="30" t="s">
        <v>29</v>
      </c>
      <c r="D6" s="190">
        <v>22769.03</v>
      </c>
      <c r="E6" s="190">
        <v>24777.67</v>
      </c>
      <c r="F6" s="190">
        <v>26374.12</v>
      </c>
      <c r="G6" s="190">
        <v>11682.86</v>
      </c>
      <c r="H6" s="190">
        <v>4785.4160000000002</v>
      </c>
      <c r="I6" s="190">
        <v>1829.607</v>
      </c>
      <c r="J6" s="190">
        <f t="shared" si="0"/>
        <v>92218.702999999994</v>
      </c>
    </row>
    <row r="7" spans="2:10" x14ac:dyDescent="0.3">
      <c r="B7" s="30" t="s">
        <v>254</v>
      </c>
      <c r="C7" s="30" t="s">
        <v>31</v>
      </c>
      <c r="D7" s="190">
        <v>29313.01</v>
      </c>
      <c r="E7" s="190">
        <v>27470.080000000002</v>
      </c>
      <c r="F7" s="190">
        <v>25326.11</v>
      </c>
      <c r="G7" s="190">
        <v>11416.999</v>
      </c>
      <c r="H7" s="190">
        <v>4077.13</v>
      </c>
      <c r="I7" s="190">
        <v>1986.5920000000001</v>
      </c>
      <c r="J7" s="190">
        <f t="shared" si="0"/>
        <v>99589.921000000002</v>
      </c>
    </row>
    <row r="8" spans="2:10" x14ac:dyDescent="0.3">
      <c r="B8" s="30" t="s">
        <v>254</v>
      </c>
      <c r="C8" s="30" t="s">
        <v>33</v>
      </c>
      <c r="D8" s="190">
        <v>23944.98</v>
      </c>
      <c r="E8" s="190">
        <v>24134.27</v>
      </c>
      <c r="F8" s="190">
        <v>23376.31</v>
      </c>
      <c r="G8" s="190">
        <v>11742.414000000001</v>
      </c>
      <c r="H8" s="190">
        <v>3747.15</v>
      </c>
      <c r="I8" s="190">
        <v>2543.683</v>
      </c>
      <c r="J8" s="190">
        <f t="shared" si="0"/>
        <v>89488.807000000001</v>
      </c>
    </row>
    <row r="9" spans="2:10" x14ac:dyDescent="0.3">
      <c r="B9" s="30" t="s">
        <v>254</v>
      </c>
      <c r="C9" s="30" t="s">
        <v>35</v>
      </c>
      <c r="D9" s="190">
        <v>12694.75</v>
      </c>
      <c r="E9" s="190">
        <v>10125.719999999999</v>
      </c>
      <c r="F9" s="190">
        <v>7511.18</v>
      </c>
      <c r="G9" s="190">
        <v>9807.0499999999993</v>
      </c>
      <c r="H9" s="190">
        <v>3570.49</v>
      </c>
      <c r="I9" s="190">
        <v>1634.8989999999999</v>
      </c>
      <c r="J9" s="190">
        <f t="shared" si="0"/>
        <v>45344.088999999993</v>
      </c>
    </row>
    <row r="10" spans="2:10" x14ac:dyDescent="0.3">
      <c r="B10" s="30" t="s">
        <v>254</v>
      </c>
      <c r="C10" s="30" t="s">
        <v>37</v>
      </c>
      <c r="D10" s="190">
        <v>31487.17</v>
      </c>
      <c r="E10" s="190">
        <v>29355.279999999999</v>
      </c>
      <c r="F10" s="190">
        <v>28877.759999999998</v>
      </c>
      <c r="G10" s="190">
        <v>15195.275</v>
      </c>
      <c r="H10" s="190">
        <v>4744.08</v>
      </c>
      <c r="I10" s="190">
        <v>2045.5329999999999</v>
      </c>
      <c r="J10" s="190">
        <f t="shared" si="0"/>
        <v>111705.09799999998</v>
      </c>
    </row>
    <row r="11" spans="2:10" x14ac:dyDescent="0.3">
      <c r="B11" s="30" t="s">
        <v>254</v>
      </c>
      <c r="C11" s="30" t="s">
        <v>39</v>
      </c>
      <c r="D11" s="190">
        <v>25526.69</v>
      </c>
      <c r="E11" s="190">
        <v>23863.57</v>
      </c>
      <c r="F11" s="190">
        <v>25471.11</v>
      </c>
      <c r="G11" s="190">
        <v>14506.19</v>
      </c>
      <c r="H11" s="190">
        <v>5166.473</v>
      </c>
      <c r="I11" s="190">
        <v>1877.4250000000002</v>
      </c>
      <c r="J11" s="190">
        <f t="shared" si="0"/>
        <v>96411.457999999999</v>
      </c>
    </row>
    <row r="12" spans="2:10" x14ac:dyDescent="0.3">
      <c r="B12" s="30" t="s">
        <v>254</v>
      </c>
      <c r="C12" s="30" t="s">
        <v>41</v>
      </c>
      <c r="D12" s="190">
        <v>27311.536</v>
      </c>
      <c r="E12" s="190">
        <v>26868.626</v>
      </c>
      <c r="F12" s="190">
        <v>25751.96</v>
      </c>
      <c r="G12" s="190">
        <v>12934.13</v>
      </c>
      <c r="H12" s="190">
        <v>4169.9459999999999</v>
      </c>
      <c r="I12" s="190">
        <v>1961.779</v>
      </c>
      <c r="J12" s="190">
        <f t="shared" si="0"/>
        <v>98997.976999999999</v>
      </c>
    </row>
    <row r="13" spans="2:10" x14ac:dyDescent="0.3">
      <c r="B13" s="30" t="s">
        <v>254</v>
      </c>
      <c r="C13" s="30" t="s">
        <v>43</v>
      </c>
      <c r="D13" s="190">
        <v>29289.213</v>
      </c>
      <c r="E13" s="190">
        <v>27209.233</v>
      </c>
      <c r="F13" s="190">
        <v>27795.19</v>
      </c>
      <c r="G13" s="190">
        <v>13924.514999999999</v>
      </c>
      <c r="H13" s="190">
        <v>4349.66</v>
      </c>
      <c r="I13" s="190">
        <v>2016.9090000000001</v>
      </c>
      <c r="J13" s="190">
        <f t="shared" si="0"/>
        <v>104584.72</v>
      </c>
    </row>
    <row r="14" spans="2:10" x14ac:dyDescent="0.3">
      <c r="B14" s="30" t="s">
        <v>254</v>
      </c>
      <c r="C14" s="30" t="s">
        <v>45</v>
      </c>
      <c r="D14" s="190">
        <v>28110.080000000002</v>
      </c>
      <c r="E14" s="190">
        <v>27071.87</v>
      </c>
      <c r="F14" s="190">
        <v>27531.01</v>
      </c>
      <c r="G14" s="190">
        <v>13924.96</v>
      </c>
      <c r="H14" s="190">
        <v>4495.68</v>
      </c>
      <c r="I14" s="190">
        <v>2417.797</v>
      </c>
      <c r="J14" s="190">
        <f t="shared" si="0"/>
        <v>103551.39699999998</v>
      </c>
    </row>
    <row r="15" spans="2:10" x14ac:dyDescent="0.3">
      <c r="B15" s="30" t="s">
        <v>254</v>
      </c>
      <c r="C15" s="30" t="s">
        <v>47</v>
      </c>
      <c r="D15" s="190">
        <v>27222.560000000001</v>
      </c>
      <c r="E15" s="190">
        <v>26078.67</v>
      </c>
      <c r="F15" s="190">
        <v>24778.2</v>
      </c>
      <c r="G15" s="190">
        <v>13622.65</v>
      </c>
      <c r="H15" s="190">
        <v>5916.52</v>
      </c>
      <c r="I15" s="190">
        <v>1964.0479999999998</v>
      </c>
      <c r="J15" s="190">
        <f t="shared" si="0"/>
        <v>99582.647999999986</v>
      </c>
    </row>
    <row r="16" spans="2:10" s="30" customFormat="1" x14ac:dyDescent="0.3">
      <c r="B16" s="30" t="s">
        <v>440</v>
      </c>
      <c r="C16" s="30" t="s">
        <v>424</v>
      </c>
      <c r="D16" s="190">
        <f>SUM(D4:D6)</f>
        <v>67231.19</v>
      </c>
      <c r="E16" s="190">
        <f t="shared" ref="E16:I16" si="1">SUM(E4:E6)</f>
        <v>68727.709999999992</v>
      </c>
      <c r="F16" s="190">
        <f t="shared" si="1"/>
        <v>75556.05</v>
      </c>
      <c r="G16" s="190">
        <f t="shared" si="1"/>
        <v>34434.535000000003</v>
      </c>
      <c r="H16" s="190">
        <f t="shared" si="1"/>
        <v>12500.696</v>
      </c>
      <c r="I16" s="190">
        <f t="shared" si="1"/>
        <v>5181.3729999999996</v>
      </c>
      <c r="J16" s="190">
        <f>SUM(D16:I16)</f>
        <v>263631.554</v>
      </c>
    </row>
    <row r="17" spans="2:10" s="30" customFormat="1" x14ac:dyDescent="0.3">
      <c r="B17" s="30" t="s">
        <v>441</v>
      </c>
      <c r="C17" s="30" t="s">
        <v>417</v>
      </c>
      <c r="D17" s="190">
        <f>SUM(D7:D9)</f>
        <v>65952.739999999991</v>
      </c>
      <c r="E17" s="190">
        <f t="shared" ref="E17:I17" si="2">SUM(E7:E9)</f>
        <v>61730.070000000007</v>
      </c>
      <c r="F17" s="190">
        <f t="shared" si="2"/>
        <v>56213.599999999999</v>
      </c>
      <c r="G17" s="190">
        <f t="shared" si="2"/>
        <v>32966.463000000003</v>
      </c>
      <c r="H17" s="190">
        <f t="shared" si="2"/>
        <v>11394.77</v>
      </c>
      <c r="I17" s="190">
        <f t="shared" si="2"/>
        <v>6165.1739999999991</v>
      </c>
      <c r="J17" s="190">
        <f t="shared" ref="J17:J19" si="3">SUM(D17:I17)</f>
        <v>234422.81700000001</v>
      </c>
    </row>
    <row r="18" spans="2:10" s="30" customFormat="1" x14ac:dyDescent="0.3">
      <c r="B18" s="30" t="s">
        <v>442</v>
      </c>
      <c r="C18" s="30" t="s">
        <v>419</v>
      </c>
      <c r="D18" s="190">
        <f>SUM(D10:D12)</f>
        <v>84325.396000000008</v>
      </c>
      <c r="E18" s="190">
        <f t="shared" ref="E18:I18" si="4">SUM(E10:E12)</f>
        <v>80087.475999999995</v>
      </c>
      <c r="F18" s="190">
        <f t="shared" si="4"/>
        <v>80100.829999999987</v>
      </c>
      <c r="G18" s="190">
        <f t="shared" si="4"/>
        <v>42635.595000000001</v>
      </c>
      <c r="H18" s="190">
        <f t="shared" si="4"/>
        <v>14080.499</v>
      </c>
      <c r="I18" s="190">
        <f t="shared" si="4"/>
        <v>5884.7370000000001</v>
      </c>
      <c r="J18" s="190">
        <f t="shared" si="3"/>
        <v>307114.53300000005</v>
      </c>
    </row>
    <row r="19" spans="2:10" s="30" customFormat="1" x14ac:dyDescent="0.3">
      <c r="B19" s="30" t="s">
        <v>443</v>
      </c>
      <c r="C19" s="30" t="s">
        <v>421</v>
      </c>
      <c r="D19" s="190">
        <f>SUM(D13:D15)</f>
        <v>84621.853000000003</v>
      </c>
      <c r="E19" s="190">
        <f t="shared" ref="E19:I19" si="5">SUM(E13:E15)</f>
        <v>80359.773000000001</v>
      </c>
      <c r="F19" s="190">
        <f t="shared" si="5"/>
        <v>80104.399999999994</v>
      </c>
      <c r="G19" s="190">
        <f t="shared" si="5"/>
        <v>41472.125</v>
      </c>
      <c r="H19" s="190">
        <f t="shared" si="5"/>
        <v>14761.86</v>
      </c>
      <c r="I19" s="190">
        <f t="shared" si="5"/>
        <v>6398.7539999999999</v>
      </c>
      <c r="J19" s="190">
        <f t="shared" si="3"/>
        <v>307718.76499999996</v>
      </c>
    </row>
    <row r="20" spans="2:10" x14ac:dyDescent="0.3">
      <c r="B20" s="30" t="s">
        <v>255</v>
      </c>
      <c r="C20" s="30" t="s">
        <v>26</v>
      </c>
      <c r="D20" s="190">
        <v>26245.87</v>
      </c>
      <c r="E20" s="190">
        <v>22650.43</v>
      </c>
      <c r="F20" s="190">
        <v>24738.14</v>
      </c>
      <c r="G20" s="190">
        <v>13714.31</v>
      </c>
      <c r="H20" s="190">
        <v>5146.8100000000004</v>
      </c>
      <c r="I20" s="190">
        <v>2103.4609999999998</v>
      </c>
      <c r="J20" s="190">
        <f t="shared" si="0"/>
        <v>94599.020999999993</v>
      </c>
    </row>
    <row r="21" spans="2:10" x14ac:dyDescent="0.3">
      <c r="B21" s="30" t="s">
        <v>255</v>
      </c>
      <c r="C21" s="30" t="s">
        <v>27</v>
      </c>
      <c r="D21" s="190">
        <v>28930.16</v>
      </c>
      <c r="E21" s="190">
        <v>27040.54</v>
      </c>
      <c r="F21" s="190">
        <v>24620.85</v>
      </c>
      <c r="G21" s="190">
        <v>11408.93</v>
      </c>
      <c r="H21" s="190">
        <v>5270.54</v>
      </c>
      <c r="I21" s="190">
        <v>2169.0450000000001</v>
      </c>
      <c r="J21" s="190">
        <f t="shared" si="0"/>
        <v>99440.064999999973</v>
      </c>
    </row>
    <row r="22" spans="2:10" x14ac:dyDescent="0.3">
      <c r="B22" s="30" t="s">
        <v>255</v>
      </c>
      <c r="C22" s="30" t="s">
        <v>29</v>
      </c>
      <c r="D22" s="190">
        <v>23803.14</v>
      </c>
      <c r="E22" s="190">
        <v>21718.05</v>
      </c>
      <c r="F22" s="190">
        <v>26927.78</v>
      </c>
      <c r="G22" s="190">
        <v>13299.08</v>
      </c>
      <c r="H22" s="190">
        <v>4212.8040000000001</v>
      </c>
      <c r="I22" s="190">
        <v>1830.972</v>
      </c>
      <c r="J22" s="190">
        <f t="shared" si="0"/>
        <v>91791.826000000001</v>
      </c>
    </row>
    <row r="23" spans="2:10" x14ac:dyDescent="0.3">
      <c r="B23" s="30" t="s">
        <v>23</v>
      </c>
      <c r="C23" s="30" t="s">
        <v>31</v>
      </c>
      <c r="D23" s="190">
        <v>25935.35</v>
      </c>
      <c r="E23" s="190">
        <v>26465.74</v>
      </c>
      <c r="F23" s="190">
        <v>24694.04</v>
      </c>
      <c r="G23" s="190">
        <v>12905.32</v>
      </c>
      <c r="H23" s="190">
        <v>4553.6120000000001</v>
      </c>
      <c r="I23" s="190">
        <f>1957.589+311.386</f>
        <v>2268.9749999999999</v>
      </c>
      <c r="J23" s="190">
        <f t="shared" si="0"/>
        <v>96823.037000000011</v>
      </c>
    </row>
    <row r="24" spans="2:10" x14ac:dyDescent="0.3">
      <c r="B24" s="30" t="s">
        <v>23</v>
      </c>
      <c r="C24" s="30" t="s">
        <v>33</v>
      </c>
      <c r="D24" s="190">
        <v>25439.66</v>
      </c>
      <c r="E24" s="190">
        <v>24555.22</v>
      </c>
      <c r="F24" s="190">
        <v>22811.49</v>
      </c>
      <c r="G24" s="190">
        <v>12638.958000000001</v>
      </c>
      <c r="H24" s="190">
        <v>4030.74</v>
      </c>
      <c r="I24" s="190">
        <f>1540.978+399.817</f>
        <v>1940.7950000000001</v>
      </c>
      <c r="J24" s="190">
        <f t="shared" si="0"/>
        <v>91416.863000000012</v>
      </c>
    </row>
    <row r="25" spans="2:10" x14ac:dyDescent="0.3">
      <c r="B25" s="30" t="s">
        <v>23</v>
      </c>
      <c r="C25" s="30" t="s">
        <v>35</v>
      </c>
      <c r="D25" s="190">
        <v>29493.7</v>
      </c>
      <c r="E25" s="190">
        <v>26319.439999999999</v>
      </c>
      <c r="F25" s="190">
        <v>24990.17</v>
      </c>
      <c r="G25" s="190">
        <v>13592.15</v>
      </c>
      <c r="H25" s="190">
        <v>5254.96</v>
      </c>
      <c r="I25" s="190">
        <f>2096.136+338.033+123.765</f>
        <v>2557.9339999999997</v>
      </c>
      <c r="J25" s="190">
        <f t="shared" si="0"/>
        <v>102208.35399999999</v>
      </c>
    </row>
    <row r="26" spans="2:10" x14ac:dyDescent="0.3">
      <c r="B26" s="30" t="s">
        <v>23</v>
      </c>
      <c r="C26" s="30" t="s">
        <v>37</v>
      </c>
      <c r="D26" s="190">
        <v>32433.26</v>
      </c>
      <c r="E26" s="190">
        <v>31018.73</v>
      </c>
      <c r="F26" s="190">
        <v>30848.92</v>
      </c>
      <c r="G26" s="190">
        <v>15058.49</v>
      </c>
      <c r="H26" s="190">
        <v>4973.76</v>
      </c>
      <c r="I26" s="190">
        <f>1391.4+297.242+40.532</f>
        <v>1729.174</v>
      </c>
      <c r="J26" s="190">
        <f t="shared" si="0"/>
        <v>116062.334</v>
      </c>
    </row>
    <row r="27" spans="2:10" x14ac:dyDescent="0.3">
      <c r="B27" s="30" t="s">
        <v>23</v>
      </c>
      <c r="C27" s="30" t="s">
        <v>39</v>
      </c>
      <c r="D27" s="190">
        <v>28571.633000000002</v>
      </c>
      <c r="E27" s="190">
        <v>28360.402999999998</v>
      </c>
      <c r="F27" s="190">
        <v>27730.79</v>
      </c>
      <c r="G27" s="190">
        <v>12414.97</v>
      </c>
      <c r="H27" s="190">
        <v>4617.4399999999996</v>
      </c>
      <c r="I27" s="190">
        <f>1672.156+150.73+98.785</f>
        <v>1921.671</v>
      </c>
      <c r="J27" s="190">
        <f t="shared" si="0"/>
        <v>103616.90700000001</v>
      </c>
    </row>
    <row r="28" spans="2:10" x14ac:dyDescent="0.3">
      <c r="B28" s="30" t="s">
        <v>23</v>
      </c>
      <c r="C28" s="30" t="s">
        <v>41</v>
      </c>
      <c r="D28" s="190"/>
      <c r="E28" s="190"/>
      <c r="F28" s="190"/>
      <c r="G28" s="190"/>
      <c r="H28" s="190"/>
      <c r="I28" s="190"/>
      <c r="J28" s="190">
        <f t="shared" si="0"/>
        <v>0</v>
      </c>
    </row>
    <row r="29" spans="2:10" x14ac:dyDescent="0.3">
      <c r="B29" s="30" t="s">
        <v>23</v>
      </c>
      <c r="C29" s="30" t="s">
        <v>43</v>
      </c>
      <c r="D29" s="190"/>
      <c r="E29" s="190"/>
      <c r="F29" s="190"/>
      <c r="G29" s="190"/>
      <c r="H29" s="190"/>
      <c r="I29" s="190"/>
      <c r="J29" s="190">
        <f t="shared" si="0"/>
        <v>0</v>
      </c>
    </row>
    <row r="30" spans="2:10" x14ac:dyDescent="0.3">
      <c r="B30" s="30" t="s">
        <v>23</v>
      </c>
      <c r="C30" s="30" t="s">
        <v>45</v>
      </c>
      <c r="D30" s="190"/>
      <c r="E30" s="190"/>
      <c r="F30" s="190"/>
      <c r="G30" s="190"/>
      <c r="H30" s="190"/>
      <c r="I30" s="190"/>
      <c r="J30" s="190">
        <f t="shared" si="0"/>
        <v>0</v>
      </c>
    </row>
    <row r="31" spans="2:10" x14ac:dyDescent="0.3">
      <c r="B31" s="30" t="s">
        <v>23</v>
      </c>
      <c r="C31" s="30" t="s">
        <v>47</v>
      </c>
      <c r="D31" s="190"/>
      <c r="E31" s="190"/>
      <c r="F31" s="190"/>
      <c r="G31" s="190"/>
      <c r="H31" s="190"/>
      <c r="I31" s="190"/>
      <c r="J31" s="190">
        <f t="shared" si="0"/>
        <v>0</v>
      </c>
    </row>
    <row r="32" spans="2:10" x14ac:dyDescent="0.3">
      <c r="B32" s="30" t="s">
        <v>444</v>
      </c>
      <c r="C32" t="s">
        <v>424</v>
      </c>
      <c r="D32" s="190">
        <f>SUM(D20:D27)</f>
        <v>220852.77300000002</v>
      </c>
      <c r="E32" s="190">
        <f>SUM(E20:E27)</f>
        <v>208128.55300000001</v>
      </c>
      <c r="F32" s="190">
        <f>SUM(F20:F27)</f>
        <v>207362.18000000002</v>
      </c>
      <c r="G32" s="190">
        <f>SUM(G20:G27)</f>
        <v>105032.208</v>
      </c>
      <c r="H32" s="190">
        <f>SUM(H20:H27)</f>
        <v>38060.666000000005</v>
      </c>
      <c r="I32" s="190">
        <f t="shared" ref="I32" si="6">SUM(I20:I22)</f>
        <v>6103.4779999999992</v>
      </c>
      <c r="J32" s="190">
        <f>SUM(D32:I32)</f>
        <v>785539.85800000001</v>
      </c>
    </row>
    <row r="33" spans="2:10" x14ac:dyDescent="0.3">
      <c r="B33" s="30" t="s">
        <v>445</v>
      </c>
      <c r="C33" s="30" t="s">
        <v>417</v>
      </c>
      <c r="D33" s="190">
        <f>SUM(D23:D25)</f>
        <v>80868.709999999992</v>
      </c>
      <c r="E33" s="190">
        <f t="shared" ref="E33:I33" si="7">SUM(E23:E25)</f>
        <v>77340.400000000009</v>
      </c>
      <c r="F33" s="190">
        <f t="shared" si="7"/>
        <v>72495.7</v>
      </c>
      <c r="G33" s="190">
        <f t="shared" si="7"/>
        <v>39136.428</v>
      </c>
      <c r="H33" s="190">
        <f t="shared" si="7"/>
        <v>13839.311999999998</v>
      </c>
      <c r="I33" s="190">
        <f t="shared" si="7"/>
        <v>6767.7039999999997</v>
      </c>
      <c r="J33" s="190">
        <f t="shared" ref="J33:J35" si="8">SUM(D33:I33)</f>
        <v>290448.25400000002</v>
      </c>
    </row>
    <row r="34" spans="2:10" x14ac:dyDescent="0.3">
      <c r="B34" s="30" t="s">
        <v>446</v>
      </c>
      <c r="C34" s="30" t="s">
        <v>419</v>
      </c>
      <c r="D34" s="190">
        <f>SUM(D26:D28)</f>
        <v>61004.892999999996</v>
      </c>
      <c r="E34" s="190">
        <f t="shared" ref="E34:I34" si="9">SUM(E26:E28)</f>
        <v>59379.133000000002</v>
      </c>
      <c r="F34" s="190">
        <f t="shared" si="9"/>
        <v>58579.71</v>
      </c>
      <c r="G34" s="190">
        <f t="shared" si="9"/>
        <v>27473.46</v>
      </c>
      <c r="H34" s="190">
        <f t="shared" si="9"/>
        <v>9591.2000000000007</v>
      </c>
      <c r="I34" s="190">
        <f t="shared" si="9"/>
        <v>3650.8450000000003</v>
      </c>
      <c r="J34" s="190">
        <f t="shared" si="8"/>
        <v>219679.24100000001</v>
      </c>
    </row>
    <row r="35" spans="2:10" x14ac:dyDescent="0.3">
      <c r="B35" s="30" t="s">
        <v>447</v>
      </c>
      <c r="C35" s="30" t="s">
        <v>421</v>
      </c>
      <c r="D35" s="190">
        <f>SUM(D29:D31)</f>
        <v>0</v>
      </c>
      <c r="E35" s="190">
        <f t="shared" ref="E35:I35" si="10">SUM(E29:E31)</f>
        <v>0</v>
      </c>
      <c r="F35" s="190">
        <f t="shared" si="10"/>
        <v>0</v>
      </c>
      <c r="G35" s="190">
        <f t="shared" si="10"/>
        <v>0</v>
      </c>
      <c r="H35" s="190">
        <f t="shared" si="10"/>
        <v>0</v>
      </c>
      <c r="I35" s="190">
        <f t="shared" si="10"/>
        <v>0</v>
      </c>
      <c r="J35" s="190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9" workbookViewId="0">
      <selection activeCell="F48" sqref="F48"/>
    </sheetView>
  </sheetViews>
  <sheetFormatPr defaultRowHeight="16.5" x14ac:dyDescent="0.3"/>
  <cols>
    <col min="5" max="6" width="10.5" bestFit="1" customWidth="1"/>
  </cols>
  <sheetData>
    <row r="1" spans="2:6" x14ac:dyDescent="0.3">
      <c r="B1" t="s">
        <v>281</v>
      </c>
      <c r="C1" t="s">
        <v>282</v>
      </c>
      <c r="D1" t="s">
        <v>280</v>
      </c>
      <c r="E1" t="s">
        <v>448</v>
      </c>
      <c r="F1" t="s">
        <v>449</v>
      </c>
    </row>
    <row r="2" spans="2:6" x14ac:dyDescent="0.3">
      <c r="B2" t="s">
        <v>265</v>
      </c>
      <c r="C2" t="s">
        <v>266</v>
      </c>
      <c r="D2">
        <v>61458368.461838938</v>
      </c>
    </row>
    <row r="3" spans="2:6" x14ac:dyDescent="0.3">
      <c r="B3" s="30" t="s">
        <v>265</v>
      </c>
      <c r="C3" s="30" t="s">
        <v>39</v>
      </c>
      <c r="D3">
        <v>96163005.369512632</v>
      </c>
      <c r="F3">
        <f>SUM($D$2:D3)</f>
        <v>157621373.83135158</v>
      </c>
    </row>
    <row r="4" spans="2:6" x14ac:dyDescent="0.3">
      <c r="B4" s="30" t="s">
        <v>265</v>
      </c>
      <c r="C4" s="30" t="s">
        <v>41</v>
      </c>
      <c r="D4">
        <v>80411300.851317897</v>
      </c>
      <c r="F4" s="30">
        <f>SUM($D$2:D4)</f>
        <v>238032674.68266946</v>
      </c>
    </row>
    <row r="5" spans="2:6" s="30" customFormat="1" x14ac:dyDescent="0.3">
      <c r="B5" s="30" t="s">
        <v>472</v>
      </c>
      <c r="C5" s="30" t="s">
        <v>476</v>
      </c>
      <c r="E5" s="30">
        <v>238032674.68266946</v>
      </c>
    </row>
    <row r="6" spans="2:6" x14ac:dyDescent="0.3">
      <c r="B6" s="30" t="s">
        <v>265</v>
      </c>
      <c r="C6" s="30" t="s">
        <v>43</v>
      </c>
      <c r="D6">
        <v>82369214.018832326</v>
      </c>
      <c r="F6" s="30">
        <f>SUM($D$2:D6)</f>
        <v>320401888.70150179</v>
      </c>
    </row>
    <row r="7" spans="2:6" x14ac:dyDescent="0.3">
      <c r="B7" s="30" t="s">
        <v>265</v>
      </c>
      <c r="C7" s="30" t="s">
        <v>45</v>
      </c>
      <c r="D7">
        <v>91927660.129653051</v>
      </c>
      <c r="F7" s="30">
        <f>SUM($D$2:D7)</f>
        <v>412329548.83115482</v>
      </c>
    </row>
    <row r="8" spans="2:6" x14ac:dyDescent="0.3">
      <c r="B8" s="30" t="s">
        <v>265</v>
      </c>
      <c r="C8" s="30" t="s">
        <v>47</v>
      </c>
      <c r="D8">
        <v>90576392.618969217</v>
      </c>
      <c r="F8" s="30">
        <f>SUM($D$2:D8)</f>
        <v>502905941.45012403</v>
      </c>
    </row>
    <row r="9" spans="2:6" s="30" customFormat="1" x14ac:dyDescent="0.3">
      <c r="B9" s="30" t="s">
        <v>471</v>
      </c>
      <c r="C9" s="30" t="s">
        <v>477</v>
      </c>
      <c r="E9" s="30">
        <v>264873266.76745456</v>
      </c>
    </row>
    <row r="10" spans="2:6" x14ac:dyDescent="0.3">
      <c r="B10" t="s">
        <v>22</v>
      </c>
      <c r="C10" t="s">
        <v>257</v>
      </c>
      <c r="D10">
        <v>91927660.129653051</v>
      </c>
      <c r="E10" s="30"/>
      <c r="F10">
        <f>D10</f>
        <v>91927660.129653051</v>
      </c>
    </row>
    <row r="11" spans="2:6" x14ac:dyDescent="0.3">
      <c r="B11" s="30" t="s">
        <v>22</v>
      </c>
      <c r="C11" s="30" t="s">
        <v>27</v>
      </c>
      <c r="D11">
        <v>87148375.203054741</v>
      </c>
      <c r="E11" s="30"/>
      <c r="F11">
        <f>SUM($D$10:D11)</f>
        <v>179076035.33270779</v>
      </c>
    </row>
    <row r="12" spans="2:6" x14ac:dyDescent="0.3">
      <c r="B12" s="30" t="s">
        <v>22</v>
      </c>
      <c r="C12" s="30" t="s">
        <v>29</v>
      </c>
      <c r="D12">
        <v>82158099.18181181</v>
      </c>
      <c r="E12" s="30"/>
      <c r="F12" s="30">
        <f>SUM($D$10:D12)</f>
        <v>261234134.5145196</v>
      </c>
    </row>
    <row r="13" spans="2:6" s="30" customFormat="1" x14ac:dyDescent="0.3">
      <c r="B13" s="30" t="s">
        <v>470</v>
      </c>
      <c r="C13" s="30" t="s">
        <v>478</v>
      </c>
      <c r="E13" s="30">
        <v>261234134.5145196</v>
      </c>
    </row>
    <row r="14" spans="2:6" x14ac:dyDescent="0.3">
      <c r="B14" s="30" t="s">
        <v>22</v>
      </c>
      <c r="C14" s="30" t="s">
        <v>31</v>
      </c>
      <c r="D14">
        <v>82951480.128996968</v>
      </c>
      <c r="E14" s="30"/>
      <c r="F14" s="30">
        <f>SUM($D$10:D14)</f>
        <v>344185614.64351654</v>
      </c>
    </row>
    <row r="15" spans="2:6" x14ac:dyDescent="0.3">
      <c r="B15" s="30" t="s">
        <v>22</v>
      </c>
      <c r="C15" s="30" t="s">
        <v>33</v>
      </c>
      <c r="D15">
        <v>82951480.128996968</v>
      </c>
      <c r="E15" s="30"/>
      <c r="F15" s="30">
        <f>SUM($D$10:D15)</f>
        <v>427137094.77251351</v>
      </c>
    </row>
    <row r="16" spans="2:6" x14ac:dyDescent="0.3">
      <c r="B16" s="30" t="s">
        <v>22</v>
      </c>
      <c r="C16" s="30" t="s">
        <v>35</v>
      </c>
      <c r="D16">
        <v>93308866.782540292</v>
      </c>
      <c r="E16" s="30"/>
      <c r="F16" s="30">
        <f>SUM($D$10:D16)</f>
        <v>520445961.55505383</v>
      </c>
    </row>
    <row r="17" spans="2:6" s="30" customFormat="1" x14ac:dyDescent="0.3">
      <c r="B17" s="30" t="s">
        <v>469</v>
      </c>
      <c r="C17" s="30" t="s">
        <v>479</v>
      </c>
      <c r="E17" s="30">
        <v>259211827.04053423</v>
      </c>
    </row>
    <row r="18" spans="2:6" x14ac:dyDescent="0.3">
      <c r="B18" s="30" t="s">
        <v>22</v>
      </c>
      <c r="C18" s="30" t="s">
        <v>37</v>
      </c>
      <c r="D18">
        <v>96237939.564841717</v>
      </c>
      <c r="E18" s="30"/>
      <c r="F18" s="30">
        <f>SUM($D$10:D18)</f>
        <v>616683901.11989558</v>
      </c>
    </row>
    <row r="19" spans="2:6" x14ac:dyDescent="0.3">
      <c r="B19" s="30" t="s">
        <v>22</v>
      </c>
      <c r="C19" s="30" t="s">
        <v>39</v>
      </c>
      <c r="D19">
        <v>93706715.377502024</v>
      </c>
      <c r="E19" s="30"/>
      <c r="F19" s="30">
        <f>SUM($D$10:D19)</f>
        <v>710390616.49739766</v>
      </c>
    </row>
    <row r="20" spans="2:6" x14ac:dyDescent="0.3">
      <c r="B20" s="30" t="s">
        <v>22</v>
      </c>
      <c r="C20" s="30" t="s">
        <v>41</v>
      </c>
      <c r="D20">
        <v>79233983.630010471</v>
      </c>
      <c r="E20" s="30"/>
      <c r="F20" s="30">
        <f>SUM($D$10:D20)</f>
        <v>789624600.12740815</v>
      </c>
    </row>
    <row r="21" spans="2:6" s="30" customFormat="1" x14ac:dyDescent="0.3">
      <c r="B21" s="30" t="s">
        <v>468</v>
      </c>
      <c r="C21" s="30" t="s">
        <v>476</v>
      </c>
      <c r="E21" s="30">
        <v>269178638.5723542</v>
      </c>
    </row>
    <row r="22" spans="2:6" x14ac:dyDescent="0.3">
      <c r="B22" s="30" t="s">
        <v>22</v>
      </c>
      <c r="C22" s="30" t="s">
        <v>43</v>
      </c>
      <c r="D22">
        <v>80738645.867612094</v>
      </c>
      <c r="E22" s="30"/>
      <c r="F22" s="30">
        <f>SUM($D$10:D22)</f>
        <v>870363245.99502027</v>
      </c>
    </row>
    <row r="23" spans="2:6" x14ac:dyDescent="0.3">
      <c r="B23" s="30" t="s">
        <v>22</v>
      </c>
      <c r="C23" s="30" t="s">
        <v>45</v>
      </c>
      <c r="D23">
        <v>89719932.788909882</v>
      </c>
      <c r="E23" s="30"/>
      <c r="F23" s="30">
        <f>SUM($D$10:D23)</f>
        <v>960083178.78393018</v>
      </c>
    </row>
    <row r="24" spans="2:6" x14ac:dyDescent="0.3">
      <c r="B24" s="30" t="s">
        <v>22</v>
      </c>
      <c r="C24" s="30" t="s">
        <v>47</v>
      </c>
      <c r="D24">
        <v>89170814.847689271</v>
      </c>
      <c r="E24" s="30"/>
      <c r="F24" s="30">
        <f>SUM($D$10:D24)</f>
        <v>1049253993.6316195</v>
      </c>
    </row>
    <row r="25" spans="2:6" s="30" customFormat="1" x14ac:dyDescent="0.3">
      <c r="B25" s="30" t="s">
        <v>467</v>
      </c>
      <c r="C25" s="30" t="s">
        <v>477</v>
      </c>
      <c r="E25" s="30">
        <v>259629393.50421125</v>
      </c>
    </row>
    <row r="26" spans="2:6" x14ac:dyDescent="0.3">
      <c r="B26" t="s">
        <v>24</v>
      </c>
      <c r="C26" s="30" t="s">
        <v>257</v>
      </c>
      <c r="D26">
        <v>87684966.508183554</v>
      </c>
      <c r="E26" s="30"/>
      <c r="F26">
        <f>D26</f>
        <v>87684966.508183554</v>
      </c>
    </row>
    <row r="27" spans="2:6" x14ac:dyDescent="0.3">
      <c r="B27" s="30" t="s">
        <v>24</v>
      </c>
      <c r="C27" s="30" t="s">
        <v>27</v>
      </c>
      <c r="D27">
        <v>88783202.390624762</v>
      </c>
      <c r="E27" s="30"/>
      <c r="F27">
        <f>SUM($D$26:D27)</f>
        <v>176468168.8988083</v>
      </c>
    </row>
    <row r="28" spans="2:6" x14ac:dyDescent="0.3">
      <c r="B28" s="30" t="s">
        <v>24</v>
      </c>
      <c r="C28" s="30" t="s">
        <v>29</v>
      </c>
      <c r="D28">
        <v>81309183.729026437</v>
      </c>
      <c r="E28" s="30"/>
      <c r="F28" s="30">
        <f>SUM($D$26:D28)</f>
        <v>257777352.62783474</v>
      </c>
    </row>
    <row r="29" spans="2:6" s="30" customFormat="1" x14ac:dyDescent="0.3">
      <c r="B29" s="30" t="s">
        <v>466</v>
      </c>
      <c r="C29" s="30" t="s">
        <v>478</v>
      </c>
      <c r="E29" s="30">
        <v>257777352.62783474</v>
      </c>
    </row>
    <row r="30" spans="2:6" x14ac:dyDescent="0.3">
      <c r="B30" s="30" t="s">
        <v>24</v>
      </c>
      <c r="C30" s="30" t="s">
        <v>31</v>
      </c>
      <c r="D30">
        <v>80168108.006197751</v>
      </c>
      <c r="E30" s="30"/>
      <c r="F30" s="30">
        <f>SUM($D$26:D30)</f>
        <v>337945460.63403249</v>
      </c>
    </row>
    <row r="31" spans="2:6" x14ac:dyDescent="0.3">
      <c r="B31" s="30" t="s">
        <v>24</v>
      </c>
      <c r="C31" s="30" t="s">
        <v>33</v>
      </c>
      <c r="D31">
        <v>80531694.520970702</v>
      </c>
      <c r="E31" s="30"/>
      <c r="F31" s="30">
        <f>SUM($D$26:D31)</f>
        <v>418477155.15500319</v>
      </c>
    </row>
    <row r="32" spans="2:6" x14ac:dyDescent="0.3">
      <c r="B32" s="30" t="s">
        <v>24</v>
      </c>
      <c r="C32" s="30" t="s">
        <v>35</v>
      </c>
      <c r="D32">
        <v>93691643.019776657</v>
      </c>
      <c r="E32" s="30"/>
      <c r="F32" s="30">
        <f>SUM($D$26:D32)</f>
        <v>512168798.17477983</v>
      </c>
    </row>
    <row r="33" spans="2:6" s="30" customFormat="1" x14ac:dyDescent="0.3">
      <c r="B33" s="30" t="s">
        <v>473</v>
      </c>
      <c r="C33" s="30" t="s">
        <v>479</v>
      </c>
      <c r="E33" s="30">
        <f>SUM(D30:D32)</f>
        <v>254391445.5469451</v>
      </c>
    </row>
    <row r="34" spans="2:6" x14ac:dyDescent="0.3">
      <c r="B34" s="30" t="s">
        <v>24</v>
      </c>
      <c r="C34" s="30" t="s">
        <v>37</v>
      </c>
      <c r="D34">
        <v>93993497.284405008</v>
      </c>
      <c r="E34" s="30"/>
      <c r="F34" s="30">
        <f>SUM($D$26:D34)</f>
        <v>606162295.45918489</v>
      </c>
    </row>
    <row r="35" spans="2:6" x14ac:dyDescent="0.3">
      <c r="B35" s="30" t="s">
        <v>24</v>
      </c>
      <c r="C35" s="30" t="s">
        <v>39</v>
      </c>
      <c r="D35">
        <v>90697852.311950475</v>
      </c>
      <c r="E35" s="30"/>
      <c r="F35" s="30">
        <f>SUM($D$26:D35)</f>
        <v>696860147.77113533</v>
      </c>
    </row>
    <row r="36" spans="2:6" x14ac:dyDescent="0.3">
      <c r="B36" s="30" t="s">
        <v>24</v>
      </c>
      <c r="C36" s="30" t="s">
        <v>41</v>
      </c>
      <c r="D36">
        <v>78622451.260332763</v>
      </c>
      <c r="E36" s="30"/>
      <c r="F36" s="30">
        <f>SUM($D$26:D36)</f>
        <v>775482599.03146815</v>
      </c>
    </row>
    <row r="37" spans="2:6" s="30" customFormat="1" x14ac:dyDescent="0.3">
      <c r="B37" s="30" t="s">
        <v>474</v>
      </c>
      <c r="C37" s="30" t="s">
        <v>476</v>
      </c>
      <c r="E37" s="30">
        <f>SUM(D34:D36)</f>
        <v>263313800.85668826</v>
      </c>
    </row>
    <row r="38" spans="2:6" x14ac:dyDescent="0.3">
      <c r="B38" s="30" t="s">
        <v>24</v>
      </c>
      <c r="C38" s="30" t="s">
        <v>43</v>
      </c>
      <c r="D38">
        <v>77511645.910847336</v>
      </c>
      <c r="E38" s="30"/>
      <c r="F38" s="30">
        <f>SUM($D$26:D38)</f>
        <v>852994244.94231546</v>
      </c>
    </row>
    <row r="39" spans="2:6" x14ac:dyDescent="0.3">
      <c r="B39" s="30" t="s">
        <v>24</v>
      </c>
      <c r="C39" s="30" t="s">
        <v>45</v>
      </c>
      <c r="D39">
        <v>86833497.595077351</v>
      </c>
      <c r="E39" s="30"/>
      <c r="F39" s="30">
        <f>SUM($D$26:D39)</f>
        <v>939827742.53739285</v>
      </c>
    </row>
    <row r="40" spans="2:6" x14ac:dyDescent="0.3">
      <c r="B40" s="30" t="s">
        <v>24</v>
      </c>
      <c r="C40" s="30" t="s">
        <v>47</v>
      </c>
      <c r="D40">
        <v>87745492.237219498</v>
      </c>
      <c r="E40" s="30"/>
      <c r="F40" s="30">
        <f>SUM($D$26:D40)</f>
        <v>1027573234.7746123</v>
      </c>
    </row>
    <row r="41" spans="2:6" s="30" customFormat="1" x14ac:dyDescent="0.3">
      <c r="B41" s="30" t="s">
        <v>475</v>
      </c>
      <c r="C41" s="30" t="s">
        <v>477</v>
      </c>
      <c r="E41" s="30">
        <f>SUM(D38:D40)</f>
        <v>252090635.74314421</v>
      </c>
    </row>
    <row r="42" spans="2:6" x14ac:dyDescent="0.3">
      <c r="B42" s="30" t="s">
        <v>267</v>
      </c>
      <c r="C42" s="30" t="s">
        <v>257</v>
      </c>
      <c r="D42">
        <v>32280236.854854833</v>
      </c>
      <c r="E42" s="30"/>
      <c r="F42">
        <f>D42</f>
        <v>32280236.854854833</v>
      </c>
    </row>
    <row r="43" spans="2:6" x14ac:dyDescent="0.3">
      <c r="B43" s="30" t="s">
        <v>267</v>
      </c>
      <c r="C43" s="30" t="s">
        <v>27</v>
      </c>
      <c r="D43">
        <v>30481420.830717389</v>
      </c>
      <c r="E43" s="30"/>
      <c r="F43">
        <f>SUM($D$42:D43)</f>
        <v>62761657.685572222</v>
      </c>
    </row>
    <row r="44" spans="2:6" x14ac:dyDescent="0.3">
      <c r="B44" s="30" t="s">
        <v>267</v>
      </c>
      <c r="C44" s="30" t="s">
        <v>29</v>
      </c>
      <c r="D44">
        <v>25517527.526836798</v>
      </c>
      <c r="E44" s="30"/>
      <c r="F44" s="30">
        <f>SUM($D$42:D44)</f>
        <v>88279185.212409019</v>
      </c>
    </row>
    <row r="45" spans="2:6" x14ac:dyDescent="0.3">
      <c r="B45" s="30" t="s">
        <v>267</v>
      </c>
      <c r="C45" s="30" t="s">
        <v>31</v>
      </c>
      <c r="D45">
        <v>25517527.526836798</v>
      </c>
      <c r="E45" s="30"/>
      <c r="F45" s="30">
        <f>SUM($D$42:D45)</f>
        <v>113796712.73924582</v>
      </c>
    </row>
    <row r="46" spans="2:6" x14ac:dyDescent="0.3">
      <c r="B46" s="30" t="s">
        <v>267</v>
      </c>
      <c r="C46" s="30" t="s">
        <v>33</v>
      </c>
      <c r="D46">
        <v>24691590.152112465</v>
      </c>
      <c r="E46" s="30"/>
      <c r="F46" s="30">
        <f>SUM($D$42:D46)</f>
        <v>138488302.89135829</v>
      </c>
    </row>
    <row r="47" spans="2:6" x14ac:dyDescent="0.3">
      <c r="B47" s="30" t="s">
        <v>267</v>
      </c>
      <c r="C47" s="30" t="s">
        <v>35</v>
      </c>
      <c r="D47">
        <v>38129934.018283963</v>
      </c>
      <c r="E47" s="30"/>
      <c r="F47" s="30">
        <f>SUM($D$42:D47)</f>
        <v>176618236.90964225</v>
      </c>
    </row>
    <row r="48" spans="2:6" x14ac:dyDescent="0.3">
      <c r="B48" s="30" t="s">
        <v>267</v>
      </c>
      <c r="C48" s="30" t="s">
        <v>37</v>
      </c>
      <c r="D48">
        <v>37951029.019384742</v>
      </c>
      <c r="E48" s="30"/>
      <c r="F48" s="30">
        <f>SUM($D$42:D48)</f>
        <v>214569265.92902699</v>
      </c>
    </row>
    <row r="49" spans="2:6" x14ac:dyDescent="0.3">
      <c r="B49" s="30" t="s">
        <v>267</v>
      </c>
      <c r="C49" s="30" t="s">
        <v>39</v>
      </c>
      <c r="D49">
        <v>37257154.190651797</v>
      </c>
      <c r="E49" s="30"/>
      <c r="F49" s="30">
        <f>SUM($D$42:D49)</f>
        <v>251826420.1196788</v>
      </c>
    </row>
    <row r="50" spans="2:6" x14ac:dyDescent="0.3">
      <c r="B50" s="30" t="s">
        <v>267</v>
      </c>
      <c r="C50" s="30" t="s">
        <v>41</v>
      </c>
      <c r="D50">
        <v>24014955.01574412</v>
      </c>
      <c r="E50" s="30"/>
      <c r="F50" s="30">
        <f>SUM($D$42:D50)</f>
        <v>275841375.13542295</v>
      </c>
    </row>
    <row r="51" spans="2:6" x14ac:dyDescent="0.3">
      <c r="B51" s="30" t="s">
        <v>267</v>
      </c>
      <c r="C51" s="30" t="s">
        <v>43</v>
      </c>
      <c r="D51">
        <v>24624218.800737809</v>
      </c>
      <c r="E51" s="30"/>
      <c r="F51" s="30">
        <f>SUM($D$42:D51)</f>
        <v>300465593.93616074</v>
      </c>
    </row>
    <row r="52" spans="2:6" x14ac:dyDescent="0.3">
      <c r="B52" s="30" t="s">
        <v>267</v>
      </c>
      <c r="C52" s="30" t="s">
        <v>45</v>
      </c>
      <c r="D52">
        <v>32530532.563430198</v>
      </c>
      <c r="E52" s="30"/>
      <c r="F52" s="30">
        <f>SUM($D$42:D52)</f>
        <v>332996126.49959093</v>
      </c>
    </row>
    <row r="53" spans="2:6" x14ac:dyDescent="0.3">
      <c r="B53" s="30" t="s">
        <v>267</v>
      </c>
      <c r="C53" s="30" t="s">
        <v>47</v>
      </c>
      <c r="D53">
        <v>32899508.958965022</v>
      </c>
      <c r="E53" s="30"/>
      <c r="F53" s="30">
        <f>SUM($D$42:D53)</f>
        <v>365895635.45855594</v>
      </c>
    </row>
    <row r="54" spans="2:6" x14ac:dyDescent="0.3">
      <c r="B54" s="30" t="s">
        <v>268</v>
      </c>
      <c r="C54" s="30" t="s">
        <v>257</v>
      </c>
      <c r="D54">
        <v>31283608.608352803</v>
      </c>
      <c r="E54" s="30"/>
      <c r="F54">
        <f>D54</f>
        <v>31283608.608352803</v>
      </c>
    </row>
    <row r="55" spans="2:6" x14ac:dyDescent="0.3">
      <c r="B55" s="30" t="s">
        <v>268</v>
      </c>
      <c r="C55" s="30" t="s">
        <v>27</v>
      </c>
      <c r="D55">
        <v>30036684.653275404</v>
      </c>
      <c r="E55" s="30"/>
      <c r="F55">
        <f>SUM($D$54:D55)</f>
        <v>61320293.261628211</v>
      </c>
    </row>
    <row r="56" spans="2:6" x14ac:dyDescent="0.3">
      <c r="B56" s="30" t="s">
        <v>268</v>
      </c>
      <c r="C56" s="30" t="s">
        <v>29</v>
      </c>
      <c r="D56">
        <v>24624218.800737809</v>
      </c>
      <c r="E56" s="30"/>
      <c r="F56" s="30">
        <f>SUM($D$54:D56)</f>
        <v>85944512.062366024</v>
      </c>
    </row>
    <row r="57" spans="2:6" x14ac:dyDescent="0.3">
      <c r="B57" s="30" t="s">
        <v>268</v>
      </c>
      <c r="C57" s="30" t="s">
        <v>31</v>
      </c>
      <c r="D57">
        <v>24731849.382923022</v>
      </c>
      <c r="E57" s="30"/>
      <c r="F57" s="30">
        <f>SUM($D$54:D57)</f>
        <v>110676361.44528905</v>
      </c>
    </row>
    <row r="58" spans="2:6" x14ac:dyDescent="0.3">
      <c r="B58" s="30" t="s">
        <v>268</v>
      </c>
      <c r="C58" s="30" t="s">
        <v>33</v>
      </c>
      <c r="D58">
        <v>24319586.908240963</v>
      </c>
      <c r="E58" s="30"/>
      <c r="F58" s="30">
        <f>SUM($D$54:D58)</f>
        <v>134995948.35353002</v>
      </c>
    </row>
    <row r="59" spans="2:6" x14ac:dyDescent="0.3">
      <c r="B59" s="30" t="s">
        <v>268</v>
      </c>
      <c r="C59" s="30" t="s">
        <v>35</v>
      </c>
      <c r="D59">
        <v>35598072.348101668</v>
      </c>
      <c r="E59" s="30"/>
      <c r="F59" s="30">
        <f>SUM($D$54:D59)</f>
        <v>170594020.7016317</v>
      </c>
    </row>
    <row r="60" spans="2:6" x14ac:dyDescent="0.3">
      <c r="B60" s="30" t="s">
        <v>268</v>
      </c>
      <c r="C60" s="30" t="s">
        <v>37</v>
      </c>
      <c r="D60">
        <v>36288029.316066682</v>
      </c>
      <c r="E60" s="30"/>
      <c r="F60" s="30">
        <f>SUM($D$54:D60)</f>
        <v>206882050.01769838</v>
      </c>
    </row>
    <row r="61" spans="2:6" x14ac:dyDescent="0.3">
      <c r="B61" s="30" t="s">
        <v>268</v>
      </c>
      <c r="C61" s="30" t="s">
        <v>39</v>
      </c>
      <c r="D61">
        <v>36424321.160293773</v>
      </c>
      <c r="E61" s="30"/>
      <c r="F61" s="30">
        <f>SUM($D$54:D61)</f>
        <v>243306371.17799217</v>
      </c>
    </row>
    <row r="62" spans="2:6" x14ac:dyDescent="0.3">
      <c r="B62" s="30" t="s">
        <v>268</v>
      </c>
      <c r="C62" s="30" t="s">
        <v>41</v>
      </c>
      <c r="D62">
        <v>23964766.385103222</v>
      </c>
      <c r="E62" s="30"/>
      <c r="F62" s="30">
        <f>SUM($D$54:D62)</f>
        <v>267271137.56309539</v>
      </c>
    </row>
    <row r="63" spans="2:6" x14ac:dyDescent="0.3">
      <c r="B63" s="30" t="s">
        <v>268</v>
      </c>
      <c r="C63" s="30" t="s">
        <v>43</v>
      </c>
      <c r="D63">
        <v>23772093.222982317</v>
      </c>
      <c r="E63" s="30"/>
      <c r="F63" s="30">
        <f>SUM($D$54:D63)</f>
        <v>291043230.78607774</v>
      </c>
    </row>
    <row r="64" spans="2:6" x14ac:dyDescent="0.3">
      <c r="B64" s="30" t="s">
        <v>268</v>
      </c>
      <c r="C64" s="30" t="s">
        <v>45</v>
      </c>
      <c r="D64">
        <v>31799761.325240009</v>
      </c>
      <c r="E64" s="30"/>
      <c r="F64" s="30">
        <f>SUM($D$54:D64)</f>
        <v>322842992.11131775</v>
      </c>
    </row>
    <row r="65" spans="2:6" x14ac:dyDescent="0.3">
      <c r="B65" s="30" t="s">
        <v>268</v>
      </c>
      <c r="C65" s="30" t="s">
        <v>47</v>
      </c>
      <c r="D65">
        <v>32048037.721698649</v>
      </c>
      <c r="E65" s="30"/>
      <c r="F65" s="30">
        <f>SUM($D$54:D65)</f>
        <v>354891029.8330164</v>
      </c>
    </row>
    <row r="66" spans="2:6" x14ac:dyDescent="0.3">
      <c r="B66" s="30" t="s">
        <v>269</v>
      </c>
      <c r="C66" s="30" t="s">
        <v>257</v>
      </c>
      <c r="D66">
        <v>30333192.277756479</v>
      </c>
      <c r="E66" s="30"/>
      <c r="F66">
        <f>D66</f>
        <v>30333192.277756479</v>
      </c>
    </row>
    <row r="67" spans="2:6" x14ac:dyDescent="0.3">
      <c r="B67" s="30" t="s">
        <v>269</v>
      </c>
      <c r="C67" s="30" t="s">
        <v>27</v>
      </c>
      <c r="D67">
        <v>30581468.674215116</v>
      </c>
      <c r="E67" s="30"/>
      <c r="F67">
        <f>SUM($D$66:D67)</f>
        <v>60914660.951971591</v>
      </c>
    </row>
    <row r="68" spans="2:6" x14ac:dyDescent="0.3">
      <c r="B68" s="30" t="s">
        <v>269</v>
      </c>
      <c r="C68" s="30" t="s">
        <v>29</v>
      </c>
      <c r="D68">
        <v>24366872.330760173</v>
      </c>
      <c r="E68" s="30"/>
      <c r="F68" s="30">
        <f>SUM($D$66:D68)</f>
        <v>85281533.282731771</v>
      </c>
    </row>
    <row r="69" spans="2:6" x14ac:dyDescent="0.3">
      <c r="B69" s="30" t="s">
        <v>269</v>
      </c>
      <c r="C69" s="30" t="s">
        <v>31</v>
      </c>
      <c r="D69">
        <v>23876809.614750344</v>
      </c>
      <c r="E69" s="30"/>
      <c r="F69" s="30">
        <f>SUM($D$66:D69)</f>
        <v>109158342.89748211</v>
      </c>
    </row>
    <row r="70" spans="2:6" x14ac:dyDescent="0.3">
      <c r="B70" s="30" t="s">
        <v>269</v>
      </c>
      <c r="C70" s="30" t="s">
        <v>33</v>
      </c>
      <c r="D70">
        <v>24262155.93899215</v>
      </c>
      <c r="E70" s="30"/>
      <c r="F70" s="30">
        <f>SUM($D$66:D70)</f>
        <v>133420498.83647427</v>
      </c>
    </row>
    <row r="71" spans="2:6" x14ac:dyDescent="0.3">
      <c r="B71" s="30" t="s">
        <v>269</v>
      </c>
      <c r="C71" s="30" t="s">
        <v>35</v>
      </c>
      <c r="D71">
        <v>35613554.907333493</v>
      </c>
      <c r="E71" s="30"/>
      <c r="F71" s="30">
        <f>SUM($D$66:D71)</f>
        <v>169034053.74380776</v>
      </c>
    </row>
    <row r="72" spans="2:6" x14ac:dyDescent="0.3">
      <c r="B72" s="30" t="s">
        <v>269</v>
      </c>
      <c r="C72" s="30" t="s">
        <v>37</v>
      </c>
      <c r="D72">
        <v>35487976.363637432</v>
      </c>
      <c r="E72" s="30"/>
      <c r="F72" s="30">
        <f>SUM($D$66:D72)</f>
        <v>204522030.10744518</v>
      </c>
    </row>
    <row r="73" spans="2:6" x14ac:dyDescent="0.3">
      <c r="B73" s="30" t="s">
        <v>269</v>
      </c>
      <c r="C73" s="30" t="s">
        <v>39</v>
      </c>
      <c r="D73">
        <v>35631434.927209854</v>
      </c>
      <c r="E73" s="30"/>
      <c r="F73" s="30">
        <f>SUM($D$66:D73)</f>
        <v>240153465.03465503</v>
      </c>
    </row>
    <row r="74" spans="2:6" x14ac:dyDescent="0.3">
      <c r="B74" s="30" t="s">
        <v>269</v>
      </c>
      <c r="C74" s="30" t="s">
        <v>41</v>
      </c>
      <c r="D74">
        <v>22960179.166902564</v>
      </c>
      <c r="E74" s="30"/>
      <c r="F74" s="30">
        <f>SUM($D$66:D74)</f>
        <v>263113644.20155761</v>
      </c>
    </row>
    <row r="75" spans="2:6" x14ac:dyDescent="0.3">
      <c r="B75" s="30" t="s">
        <v>269</v>
      </c>
      <c r="C75" s="30" t="s">
        <v>43</v>
      </c>
      <c r="D75">
        <v>23250650.257739492</v>
      </c>
      <c r="E75" s="30"/>
      <c r="F75" s="30">
        <f>SUM($D$66:D75)</f>
        <v>286364294.45929712</v>
      </c>
    </row>
    <row r="76" spans="2:6" x14ac:dyDescent="0.3">
      <c r="B76" s="30" t="s">
        <v>269</v>
      </c>
      <c r="C76" s="30" t="s">
        <v>45</v>
      </c>
      <c r="D76">
        <v>31103846.207263455</v>
      </c>
      <c r="E76" s="30"/>
      <c r="F76" s="30">
        <f>SUM($D$66:D76)</f>
        <v>317468140.66656059</v>
      </c>
    </row>
    <row r="77" spans="2:6" x14ac:dyDescent="0.3">
      <c r="B77" s="30" t="s">
        <v>269</v>
      </c>
      <c r="C77" s="30" t="s">
        <v>47</v>
      </c>
      <c r="D77">
        <v>30750686.232743204</v>
      </c>
      <c r="E77" s="30"/>
      <c r="F77" s="30">
        <f>SUM($D$66:D77)</f>
        <v>348218826.89930379</v>
      </c>
    </row>
    <row r="78" spans="2:6" x14ac:dyDescent="0.3">
      <c r="B78" s="30" t="s">
        <v>270</v>
      </c>
      <c r="C78" s="30" t="s">
        <v>257</v>
      </c>
      <c r="D78">
        <v>31103846.207263455</v>
      </c>
      <c r="E78" s="30"/>
      <c r="F78">
        <f>D78</f>
        <v>31103846.207263455</v>
      </c>
    </row>
    <row r="79" spans="2:6" x14ac:dyDescent="0.3">
      <c r="B79" s="30" t="s">
        <v>270</v>
      </c>
      <c r="C79" s="30" t="s">
        <v>27</v>
      </c>
      <c r="D79">
        <v>29075019.234034795</v>
      </c>
      <c r="E79" s="30"/>
      <c r="F79">
        <f>SUM($D$78:D79)</f>
        <v>60178865.441298246</v>
      </c>
    </row>
    <row r="80" spans="2:6" x14ac:dyDescent="0.3">
      <c r="B80" s="30" t="s">
        <v>270</v>
      </c>
      <c r="C80" s="30" t="s">
        <v>29</v>
      </c>
      <c r="D80">
        <v>23352564.631745603</v>
      </c>
      <c r="E80" s="30"/>
      <c r="F80" s="30">
        <f>SUM($D$78:D80)</f>
        <v>83531430.073043853</v>
      </c>
    </row>
    <row r="81" spans="2:6" x14ac:dyDescent="0.3">
      <c r="B81" s="30" t="s">
        <v>270</v>
      </c>
      <c r="C81" s="30" t="s">
        <v>31</v>
      </c>
      <c r="D81">
        <v>23541121.348576415</v>
      </c>
      <c r="E81" s="30"/>
      <c r="F81" s="30">
        <f>SUM($D$78:D81)</f>
        <v>107072551.42162026</v>
      </c>
    </row>
    <row r="82" spans="2:6" x14ac:dyDescent="0.3">
      <c r="B82" s="30" t="s">
        <v>270</v>
      </c>
      <c r="C82" s="30" t="s">
        <v>33</v>
      </c>
      <c r="D82">
        <v>23541121.348576415</v>
      </c>
      <c r="E82" s="30"/>
      <c r="F82" s="30">
        <f>SUM($D$78:D82)</f>
        <v>130613672.77019668</v>
      </c>
    </row>
    <row r="83" spans="2:6" x14ac:dyDescent="0.3">
      <c r="B83" s="30" t="s">
        <v>270</v>
      </c>
      <c r="C83" s="30" t="s">
        <v>35</v>
      </c>
      <c r="D83">
        <v>33541424.81962949</v>
      </c>
      <c r="E83" s="30"/>
      <c r="F83" s="30">
        <f>SUM($D$78:D83)</f>
        <v>164155097.58982617</v>
      </c>
    </row>
    <row r="84" spans="2:6" x14ac:dyDescent="0.3">
      <c r="B84" s="30" t="s">
        <v>270</v>
      </c>
      <c r="C84" s="30" t="s">
        <v>37</v>
      </c>
      <c r="D84">
        <v>36002981.953812569</v>
      </c>
      <c r="E84" s="30"/>
      <c r="F84" s="30">
        <f>SUM($D$78:D84)</f>
        <v>200158079.54363874</v>
      </c>
    </row>
    <row r="85" spans="2:6" x14ac:dyDescent="0.3">
      <c r="B85" s="30" t="s">
        <v>270</v>
      </c>
      <c r="C85" s="30" t="s">
        <v>39</v>
      </c>
      <c r="D85">
        <v>34395921.577141017</v>
      </c>
      <c r="E85" s="30"/>
      <c r="F85" s="30">
        <f>SUM($D$78:D85)</f>
        <v>234554001.12077975</v>
      </c>
    </row>
    <row r="86" spans="2:6" x14ac:dyDescent="0.3">
      <c r="B86" s="30" t="s">
        <v>270</v>
      </c>
      <c r="C86" s="30" t="s">
        <v>41</v>
      </c>
      <c r="D86">
        <v>22195251.559502631</v>
      </c>
      <c r="E86" s="30"/>
      <c r="F86" s="30">
        <f>SUM($D$78:D86)</f>
        <v>256749252.68028238</v>
      </c>
    </row>
    <row r="87" spans="2:6" x14ac:dyDescent="0.3">
      <c r="B87" s="30" t="s">
        <v>270</v>
      </c>
      <c r="C87" s="30" t="s">
        <v>43</v>
      </c>
      <c r="D87">
        <v>23047383.547853865</v>
      </c>
      <c r="E87" s="30"/>
      <c r="F87" s="30">
        <f>SUM($D$78:D87)</f>
        <v>279796636.22813624</v>
      </c>
    </row>
    <row r="88" spans="2:6" x14ac:dyDescent="0.3">
      <c r="B88" s="30" t="s">
        <v>270</v>
      </c>
      <c r="C88" s="30" t="s">
        <v>45</v>
      </c>
      <c r="D88">
        <v>30107391.787512749</v>
      </c>
      <c r="E88" s="30"/>
      <c r="F88" s="30">
        <f>SUM($D$78:D88)</f>
        <v>309904028.01564896</v>
      </c>
    </row>
    <row r="89" spans="2:6" x14ac:dyDescent="0.3">
      <c r="B89" s="30" t="s">
        <v>270</v>
      </c>
      <c r="C89" s="30" t="s">
        <v>47</v>
      </c>
      <c r="D89">
        <v>29870557.768098917</v>
      </c>
      <c r="E89" s="30"/>
      <c r="F89" s="30">
        <f>SUM($D$78:D89)</f>
        <v>339774585.78374785</v>
      </c>
    </row>
    <row r="90" spans="2:6" x14ac:dyDescent="0.3">
      <c r="B90" s="30" t="s">
        <v>271</v>
      </c>
      <c r="C90" s="30" t="s">
        <v>257</v>
      </c>
      <c r="D90">
        <v>28705020.437870812</v>
      </c>
      <c r="E90" s="30"/>
      <c r="F90">
        <f>D90</f>
        <v>28705020.437870812</v>
      </c>
    </row>
    <row r="91" spans="2:6" x14ac:dyDescent="0.3">
      <c r="B91" s="30" t="s">
        <v>271</v>
      </c>
      <c r="C91" s="30" t="s">
        <v>27</v>
      </c>
      <c r="D91">
        <v>29287789.102984864</v>
      </c>
      <c r="E91" s="30"/>
      <c r="F91">
        <f>SUM($D$90:D91)</f>
        <v>57992809.540855676</v>
      </c>
    </row>
    <row r="92" spans="2:6" x14ac:dyDescent="0.3">
      <c r="B92" s="30" t="s">
        <v>271</v>
      </c>
      <c r="C92" s="30" t="s">
        <v>29</v>
      </c>
      <c r="D92">
        <v>23047383.547853865</v>
      </c>
      <c r="E92" s="30"/>
      <c r="F92" s="30">
        <f>SUM($D$90:D92)</f>
        <v>81040193.088709533</v>
      </c>
    </row>
    <row r="93" spans="2:6" x14ac:dyDescent="0.3">
      <c r="B93" s="30" t="s">
        <v>271</v>
      </c>
      <c r="C93" s="30" t="s">
        <v>31</v>
      </c>
      <c r="D93">
        <v>23331427.543970939</v>
      </c>
      <c r="E93" s="30"/>
      <c r="F93" s="30">
        <f>SUM($D$90:D93)</f>
        <v>104371620.63268048</v>
      </c>
    </row>
    <row r="94" spans="2:6" x14ac:dyDescent="0.3">
      <c r="B94" s="30" t="s">
        <v>271</v>
      </c>
      <c r="C94" s="30" t="s">
        <v>33</v>
      </c>
      <c r="D94">
        <v>23146728.524440564</v>
      </c>
      <c r="E94" s="30"/>
      <c r="F94" s="30">
        <f>SUM($D$90:D94)</f>
        <v>127518349.15712103</v>
      </c>
    </row>
    <row r="95" spans="2:6" x14ac:dyDescent="0.3">
      <c r="B95" s="30" t="s">
        <v>271</v>
      </c>
      <c r="C95" s="30" t="s">
        <v>35</v>
      </c>
      <c r="D95">
        <v>33337508.826218724</v>
      </c>
      <c r="E95" s="30"/>
      <c r="F95" s="30">
        <f>SUM($D$90:D95)</f>
        <v>160855857.98333976</v>
      </c>
    </row>
    <row r="96" spans="2:6" x14ac:dyDescent="0.3">
      <c r="B96" s="30" t="s">
        <v>271</v>
      </c>
      <c r="C96" s="30" t="s">
        <v>37</v>
      </c>
      <c r="D96">
        <v>35290074.025834166</v>
      </c>
      <c r="E96" s="30"/>
      <c r="F96" s="30">
        <f>SUM($D$90:D96)</f>
        <v>196145932.00917393</v>
      </c>
    </row>
    <row r="97" spans="2:6" x14ac:dyDescent="0.3">
      <c r="B97" s="30" t="s">
        <v>271</v>
      </c>
      <c r="C97" s="30" t="s">
        <v>39</v>
      </c>
      <c r="D97">
        <v>32982176.911214709</v>
      </c>
      <c r="E97" s="30"/>
      <c r="F97" s="30">
        <f>SUM($D$90:D97)</f>
        <v>229128108.92038864</v>
      </c>
    </row>
    <row r="98" spans="2:6" x14ac:dyDescent="0.3">
      <c r="B98" s="30" t="s">
        <v>271</v>
      </c>
      <c r="C98" s="30" t="s">
        <v>41</v>
      </c>
      <c r="D98">
        <v>22884659.590783842</v>
      </c>
      <c r="E98" s="30"/>
      <c r="F98" s="30">
        <f>SUM($D$90:D98)</f>
        <v>252012768.51117247</v>
      </c>
    </row>
    <row r="99" spans="2:6" x14ac:dyDescent="0.3">
      <c r="B99" s="30" t="s">
        <v>271</v>
      </c>
      <c r="C99" s="30" t="s">
        <v>43</v>
      </c>
      <c r="D99">
        <v>22049865.633256685</v>
      </c>
      <c r="E99" s="30"/>
      <c r="F99" s="30">
        <f>SUM($D$90:D99)</f>
        <v>274062634.14442915</v>
      </c>
    </row>
    <row r="100" spans="2:6" x14ac:dyDescent="0.3">
      <c r="B100" s="30" t="s">
        <v>271</v>
      </c>
      <c r="C100" s="30" t="s">
        <v>45</v>
      </c>
      <c r="D100">
        <v>28961643.838621773</v>
      </c>
      <c r="E100" s="30"/>
      <c r="F100" s="30">
        <f>SUM($D$90:D100)</f>
        <v>303024277.98305094</v>
      </c>
    </row>
    <row r="101" spans="2:6" x14ac:dyDescent="0.3">
      <c r="B101" s="30" t="s">
        <v>271</v>
      </c>
      <c r="C101" s="30" t="s">
        <v>47</v>
      </c>
      <c r="D101">
        <v>29872518.899589807</v>
      </c>
      <c r="E101" s="30"/>
      <c r="F101" s="30">
        <f>SUM($D$90:D101)</f>
        <v>332896796.88264072</v>
      </c>
    </row>
    <row r="102" spans="2:6" x14ac:dyDescent="0.3">
      <c r="B102" s="30" t="s">
        <v>272</v>
      </c>
      <c r="C102" s="30" t="s">
        <v>257</v>
      </c>
      <c r="D102">
        <v>29533016.558814723</v>
      </c>
      <c r="E102" s="30"/>
      <c r="F102">
        <f>D102</f>
        <v>29533016.558814723</v>
      </c>
    </row>
    <row r="103" spans="2:6" x14ac:dyDescent="0.3">
      <c r="B103" s="30" t="s">
        <v>272</v>
      </c>
      <c r="C103" s="30" t="s">
        <v>27</v>
      </c>
      <c r="D103">
        <v>27015655.298625037</v>
      </c>
      <c r="E103" s="30"/>
      <c r="F103">
        <f>SUM($D$102:D103)</f>
        <v>56548671.857439756</v>
      </c>
    </row>
    <row r="104" spans="2:6" x14ac:dyDescent="0.3">
      <c r="B104" s="30" t="s">
        <v>272</v>
      </c>
      <c r="C104" s="30" t="s">
        <v>29</v>
      </c>
      <c r="D104">
        <v>22884659.590783842</v>
      </c>
      <c r="E104" s="30"/>
      <c r="F104" s="30">
        <f>SUM($D$102:D104)</f>
        <v>79433331.448223591</v>
      </c>
    </row>
    <row r="105" spans="2:6" x14ac:dyDescent="0.3">
      <c r="B105" s="30" t="s">
        <v>272</v>
      </c>
      <c r="C105" s="30" t="s">
        <v>31</v>
      </c>
      <c r="D105">
        <v>6509822.0531104989</v>
      </c>
      <c r="E105" s="30"/>
      <c r="F105" s="30">
        <f>SUM($D$102:D105)</f>
        <v>85943153.501334086</v>
      </c>
    </row>
    <row r="106" spans="2:6" x14ac:dyDescent="0.3">
      <c r="B106" s="30" t="s">
        <v>272</v>
      </c>
      <c r="C106" s="30" t="s">
        <v>33</v>
      </c>
      <c r="D106">
        <v>6050292.6725702295</v>
      </c>
      <c r="E106" s="30"/>
      <c r="F106" s="30">
        <f>SUM($D$102:D106)</f>
        <v>91993446.173904315</v>
      </c>
    </row>
    <row r="107" spans="2:6" x14ac:dyDescent="0.3">
      <c r="B107" s="30" t="s">
        <v>272</v>
      </c>
      <c r="C107" s="30" t="s">
        <v>35</v>
      </c>
      <c r="D107">
        <v>16815596.336334337</v>
      </c>
      <c r="E107" s="30"/>
      <c r="F107" s="30">
        <f>SUM($D$102:D107)</f>
        <v>108809042.51023865</v>
      </c>
    </row>
    <row r="108" spans="2:6" x14ac:dyDescent="0.3">
      <c r="B108" s="30" t="s">
        <v>272</v>
      </c>
      <c r="C108" s="30" t="s">
        <v>37</v>
      </c>
      <c r="D108">
        <v>18398910.636653438</v>
      </c>
      <c r="E108" s="30"/>
      <c r="F108" s="30">
        <f>SUM($D$102:D108)</f>
        <v>127207953.14689209</v>
      </c>
    </row>
    <row r="109" spans="2:6" x14ac:dyDescent="0.3">
      <c r="B109" s="30" t="s">
        <v>272</v>
      </c>
      <c r="C109" s="30" t="s">
        <v>39</v>
      </c>
      <c r="D109">
        <v>16735642.288080463</v>
      </c>
      <c r="E109" s="30"/>
      <c r="F109" s="30">
        <f>SUM($D$102:D109)</f>
        <v>143943595.43497255</v>
      </c>
    </row>
    <row r="110" spans="2:6" x14ac:dyDescent="0.3">
      <c r="B110" s="30" t="s">
        <v>272</v>
      </c>
      <c r="C110" s="30" t="s">
        <v>41</v>
      </c>
      <c r="D110">
        <v>5726856.7660434395</v>
      </c>
      <c r="E110" s="30"/>
      <c r="F110" s="30">
        <f>SUM($D$102:D110)</f>
        <v>149670452.20101601</v>
      </c>
    </row>
    <row r="111" spans="2:6" x14ac:dyDescent="0.3">
      <c r="B111" s="30" t="s">
        <v>272</v>
      </c>
      <c r="C111" s="30" t="s">
        <v>43</v>
      </c>
      <c r="D111">
        <v>6093560.8991022548</v>
      </c>
      <c r="E111" s="30"/>
      <c r="F111" s="30">
        <f>SUM($D$102:D111)</f>
        <v>155764013.10011825</v>
      </c>
    </row>
    <row r="112" spans="2:6" x14ac:dyDescent="0.3">
      <c r="B112" s="30" t="s">
        <v>272</v>
      </c>
      <c r="C112" s="30" t="s">
        <v>45</v>
      </c>
      <c r="D112">
        <v>12652073.699910445</v>
      </c>
      <c r="E112" s="30"/>
      <c r="F112" s="30">
        <f>SUM($D$102:D112)</f>
        <v>168416086.80002868</v>
      </c>
    </row>
    <row r="113" spans="2:6" x14ac:dyDescent="0.3">
      <c r="B113" s="30" t="s">
        <v>272</v>
      </c>
      <c r="C113" s="30" t="s">
        <v>47</v>
      </c>
      <c r="D113">
        <v>13211384.41173126</v>
      </c>
      <c r="E113" s="30"/>
      <c r="F113" s="30">
        <f>SUM($D$102:D113)</f>
        <v>181627471.21175995</v>
      </c>
    </row>
    <row r="114" spans="2:6" x14ac:dyDescent="0.3">
      <c r="B114" s="30" t="s">
        <v>273</v>
      </c>
      <c r="C114" s="30" t="s">
        <v>257</v>
      </c>
      <c r="D114">
        <v>12319400.176007949</v>
      </c>
      <c r="E114" s="30"/>
      <c r="F114">
        <f>D114</f>
        <v>12319400.176007949</v>
      </c>
    </row>
    <row r="115" spans="2:6" x14ac:dyDescent="0.3">
      <c r="B115" s="30" t="s">
        <v>273</v>
      </c>
      <c r="C115" s="30" t="s">
        <v>27</v>
      </c>
      <c r="D115">
        <v>10747504.376529671</v>
      </c>
      <c r="E115" s="30"/>
      <c r="F115">
        <f>SUM($D$114:D115)</f>
        <v>23066904.55253762</v>
      </c>
    </row>
    <row r="116" spans="2:6" x14ac:dyDescent="0.3">
      <c r="B116" s="30" t="s">
        <v>273</v>
      </c>
      <c r="C116" s="30" t="s">
        <v>29</v>
      </c>
      <c r="D116">
        <v>6365722.3324473742</v>
      </c>
      <c r="E116" s="30"/>
      <c r="F116" s="30">
        <f>SUM($D$114:D116)</f>
        <v>29432626.884984992</v>
      </c>
    </row>
    <row r="117" spans="2:6" x14ac:dyDescent="0.3">
      <c r="B117" s="30" t="s">
        <v>273</v>
      </c>
      <c r="C117" s="30" t="s">
        <v>31</v>
      </c>
      <c r="D117">
        <v>6365722.3324473742</v>
      </c>
      <c r="E117" s="30"/>
      <c r="F117" s="30">
        <f>SUM($D$114:D117)</f>
        <v>35798349.217432365</v>
      </c>
    </row>
    <row r="118" spans="2:6" x14ac:dyDescent="0.3">
      <c r="B118" s="30" t="s">
        <v>273</v>
      </c>
      <c r="C118" s="30" t="s">
        <v>33</v>
      </c>
      <c r="D118">
        <v>5371619.2987806043</v>
      </c>
      <c r="E118" s="30"/>
      <c r="F118" s="30">
        <f>SUM($D$114:D118)</f>
        <v>41169968.51621297</v>
      </c>
    </row>
    <row r="119" spans="2:6" x14ac:dyDescent="0.3">
      <c r="B119" s="30" t="s">
        <v>273</v>
      </c>
      <c r="C119" s="30" t="s">
        <v>35</v>
      </c>
      <c r="D119">
        <v>17481067.969342526</v>
      </c>
      <c r="E119" s="30"/>
      <c r="F119" s="30">
        <f>SUM($D$114:D119)</f>
        <v>58651036.4855555</v>
      </c>
    </row>
    <row r="120" spans="2:6" x14ac:dyDescent="0.3">
      <c r="B120" s="30" t="s">
        <v>273</v>
      </c>
      <c r="C120" s="30" t="s">
        <v>37</v>
      </c>
      <c r="D120">
        <v>17541241.671574771</v>
      </c>
      <c r="E120" s="30"/>
      <c r="F120" s="30">
        <f>SUM($D$114:D120)</f>
        <v>76192278.157130271</v>
      </c>
    </row>
    <row r="121" spans="2:6" x14ac:dyDescent="0.3">
      <c r="B121" s="30" t="s">
        <v>273</v>
      </c>
      <c r="C121" s="30" t="s">
        <v>39</v>
      </c>
      <c r="D121">
        <v>17108802.631712276</v>
      </c>
      <c r="E121" s="30"/>
      <c r="F121" s="30">
        <f>SUM($D$114:D121)</f>
        <v>93301080.788842544</v>
      </c>
    </row>
    <row r="122" spans="2:6" x14ac:dyDescent="0.3">
      <c r="B122" s="30" t="s">
        <v>273</v>
      </c>
      <c r="C122" s="30" t="s">
        <v>41</v>
      </c>
      <c r="D122">
        <v>5423447.9692407036</v>
      </c>
      <c r="E122" s="30"/>
      <c r="F122" s="30">
        <f>SUM($D$114:D122)</f>
        <v>98724528.758083254</v>
      </c>
    </row>
    <row r="123" spans="2:6" x14ac:dyDescent="0.3">
      <c r="B123" s="30" t="s">
        <v>273</v>
      </c>
      <c r="C123" s="30" t="s">
        <v>43</v>
      </c>
      <c r="D123">
        <v>5955564.3976030657</v>
      </c>
      <c r="E123" s="30"/>
      <c r="F123" s="30">
        <f>SUM($D$114:D123)</f>
        <v>104680093.15568632</v>
      </c>
    </row>
    <row r="124" spans="2:6" x14ac:dyDescent="0.3">
      <c r="B124" s="30" t="s">
        <v>273</v>
      </c>
      <c r="C124" s="30" t="s">
        <v>45</v>
      </c>
      <c r="D124">
        <v>12925087.461546062</v>
      </c>
      <c r="E124" s="30"/>
      <c r="F124" s="30">
        <f>SUM($D$114:D124)</f>
        <v>117605180.61723238</v>
      </c>
    </row>
    <row r="125" spans="2:6" x14ac:dyDescent="0.3">
      <c r="B125" s="30" t="s">
        <v>273</v>
      </c>
      <c r="C125" s="30" t="s">
        <v>47</v>
      </c>
      <c r="D125">
        <v>13250932.16857597</v>
      </c>
      <c r="E125" s="30"/>
      <c r="F125" s="30">
        <f>SUM($D$114:D125)</f>
        <v>130856112.78580835</v>
      </c>
    </row>
    <row r="126" spans="2:6" x14ac:dyDescent="0.3">
      <c r="B126" s="30" t="s">
        <v>274</v>
      </c>
      <c r="C126" s="30" t="s">
        <v>257</v>
      </c>
      <c r="D126">
        <v>10736092.647751337</v>
      </c>
      <c r="E126" s="30"/>
      <c r="F126">
        <f>D126</f>
        <v>10736092.647751337</v>
      </c>
    </row>
    <row r="127" spans="2:6" x14ac:dyDescent="0.3">
      <c r="B127" s="30" t="s">
        <v>274</v>
      </c>
      <c r="C127" s="30" t="s">
        <v>27</v>
      </c>
      <c r="D127">
        <v>12377838.758097379</v>
      </c>
      <c r="E127" s="30"/>
      <c r="F127">
        <f>SUM($D$126:D127)</f>
        <v>23113931.405848715</v>
      </c>
    </row>
    <row r="128" spans="2:6" x14ac:dyDescent="0.3">
      <c r="B128" s="30" t="s">
        <v>274</v>
      </c>
      <c r="C128" s="30" t="s">
        <v>29</v>
      </c>
      <c r="D128">
        <v>6221622.6117842486</v>
      </c>
      <c r="E128" s="30"/>
      <c r="F128" s="30">
        <f>SUM($D$126:D128)</f>
        <v>29335554.017632965</v>
      </c>
    </row>
    <row r="129" spans="2:6" x14ac:dyDescent="0.3">
      <c r="B129" s="30" t="s">
        <v>274</v>
      </c>
      <c r="C129" s="30" t="s">
        <v>31</v>
      </c>
      <c r="D129">
        <v>5515533.4441902675</v>
      </c>
      <c r="E129" s="30"/>
      <c r="F129" s="30">
        <f>SUM($D$126:D129)</f>
        <v>34851087.461823232</v>
      </c>
    </row>
    <row r="130" spans="2:6" x14ac:dyDescent="0.3">
      <c r="B130" s="30" t="s">
        <v>274</v>
      </c>
      <c r="C130" s="30" t="s">
        <v>33</v>
      </c>
      <c r="D130">
        <v>5955564.3976030657</v>
      </c>
      <c r="E130" s="30"/>
      <c r="F130" s="30">
        <f>SUM($D$126:D130)</f>
        <v>40806651.859426297</v>
      </c>
    </row>
    <row r="131" spans="2:6" x14ac:dyDescent="0.3">
      <c r="B131" s="30" t="s">
        <v>274</v>
      </c>
      <c r="C131" s="30" t="s">
        <v>35</v>
      </c>
      <c r="D131">
        <v>16379194.903878108</v>
      </c>
      <c r="E131" s="30"/>
      <c r="F131" s="30">
        <f>SUM($D$126:D131)</f>
        <v>57185846.763304405</v>
      </c>
    </row>
    <row r="132" spans="2:6" x14ac:dyDescent="0.3">
      <c r="B132" s="30" t="s">
        <v>274</v>
      </c>
      <c r="C132" s="30" t="s">
        <v>37</v>
      </c>
      <c r="D132">
        <v>16461082.752950709</v>
      </c>
      <c r="E132" s="30"/>
      <c r="F132" s="30">
        <f>SUM($D$126:D132)</f>
        <v>73646929.516255111</v>
      </c>
    </row>
    <row r="133" spans="2:6" x14ac:dyDescent="0.3">
      <c r="B133" s="30" t="s">
        <v>274</v>
      </c>
      <c r="C133" s="30" t="s">
        <v>39</v>
      </c>
      <c r="D133">
        <v>16760914.925231319</v>
      </c>
      <c r="E133" s="30"/>
      <c r="F133" s="30">
        <f>SUM($D$126:D133)</f>
        <v>90407844.441486433</v>
      </c>
    </row>
    <row r="134" spans="2:6" x14ac:dyDescent="0.3">
      <c r="B134" s="30" t="s">
        <v>274</v>
      </c>
      <c r="C134" s="30" t="s">
        <v>41</v>
      </c>
      <c r="D134">
        <v>5916618.1896084733</v>
      </c>
      <c r="E134" s="30"/>
      <c r="F134" s="30">
        <f>SUM($D$126:D134)</f>
        <v>96324462.631094903</v>
      </c>
    </row>
    <row r="135" spans="2:6" x14ac:dyDescent="0.3">
      <c r="B135" s="30" t="s">
        <v>274</v>
      </c>
      <c r="C135" s="30" t="s">
        <v>43</v>
      </c>
      <c r="D135">
        <v>5045729.6920403158</v>
      </c>
      <c r="E135" s="30"/>
      <c r="F135" s="30">
        <f>SUM($D$126:D135)</f>
        <v>101370192.32313521</v>
      </c>
    </row>
    <row r="136" spans="2:6" x14ac:dyDescent="0.3">
      <c r="B136" s="30" t="s">
        <v>274</v>
      </c>
      <c r="C136" s="30" t="s">
        <v>45</v>
      </c>
      <c r="D136">
        <v>12657666.778679002</v>
      </c>
      <c r="E136" s="30"/>
      <c r="F136" s="30">
        <f>SUM($D$126:D136)</f>
        <v>114027859.10181421</v>
      </c>
    </row>
    <row r="137" spans="2:6" x14ac:dyDescent="0.3">
      <c r="B137" s="30" t="s">
        <v>274</v>
      </c>
      <c r="C137" s="30" t="s">
        <v>47</v>
      </c>
      <c r="D137">
        <v>11802229.834513098</v>
      </c>
      <c r="E137" s="30"/>
      <c r="F137" s="30">
        <f>SUM($D$126:D137)</f>
        <v>125830088.93632731</v>
      </c>
    </row>
    <row r="138" spans="2:6" x14ac:dyDescent="0.3">
      <c r="B138" s="30" t="s">
        <v>275</v>
      </c>
      <c r="C138" s="30" t="s">
        <v>257</v>
      </c>
      <c r="D138">
        <v>12657666.778679002</v>
      </c>
      <c r="E138" s="30"/>
      <c r="F138">
        <f>D138</f>
        <v>12657666.778679002</v>
      </c>
    </row>
    <row r="139" spans="2:6" x14ac:dyDescent="0.3">
      <c r="B139" s="30" t="s">
        <v>275</v>
      </c>
      <c r="C139" s="30" t="s">
        <v>27</v>
      </c>
      <c r="D139">
        <v>9977764.3527885694</v>
      </c>
      <c r="E139" s="30"/>
      <c r="F139">
        <f>SUM($D$138:D139)</f>
        <v>22635431.131467573</v>
      </c>
    </row>
    <row r="140" spans="2:6" x14ac:dyDescent="0.3">
      <c r="B140" s="30" t="s">
        <v>275</v>
      </c>
      <c r="C140" s="30" t="s">
        <v>29</v>
      </c>
      <c r="D140">
        <v>5916618.1896084733</v>
      </c>
      <c r="E140" s="30"/>
      <c r="F140" s="30">
        <f>SUM($D$138:D140)</f>
        <v>28552049.321076047</v>
      </c>
    </row>
    <row r="141" spans="2:6" x14ac:dyDescent="0.3">
      <c r="B141" s="30" t="s">
        <v>275</v>
      </c>
      <c r="C141" s="30" t="s">
        <v>31</v>
      </c>
      <c r="D141">
        <v>5826817.542924162</v>
      </c>
      <c r="E141" s="30"/>
      <c r="F141" s="30">
        <f>SUM($D$138:D141)</f>
        <v>34378866.864000209</v>
      </c>
    </row>
    <row r="142" spans="2:6" x14ac:dyDescent="0.3">
      <c r="B142" s="30" t="s">
        <v>275</v>
      </c>
      <c r="C142" s="30" t="s">
        <v>33</v>
      </c>
      <c r="D142">
        <v>6257742.130162417</v>
      </c>
      <c r="E142" s="30"/>
      <c r="F142" s="30">
        <f>SUM($D$138:D142)</f>
        <v>40636608.994162627</v>
      </c>
    </row>
    <row r="143" spans="2:6" x14ac:dyDescent="0.3">
      <c r="B143" s="30" t="s">
        <v>275</v>
      </c>
      <c r="C143" s="30" t="s">
        <v>35</v>
      </c>
      <c r="D143">
        <v>15589962.506042166</v>
      </c>
      <c r="E143" s="30"/>
      <c r="F143" s="30">
        <f>SUM($D$138:D143)</f>
        <v>56226571.500204794</v>
      </c>
    </row>
    <row r="144" spans="2:6" x14ac:dyDescent="0.3">
      <c r="B144" s="30" t="s">
        <v>275</v>
      </c>
      <c r="C144" s="30" t="s">
        <v>37</v>
      </c>
      <c r="D144">
        <v>16584747.020207021</v>
      </c>
      <c r="E144" s="30"/>
      <c r="F144" s="30">
        <f>SUM($D$138:D144)</f>
        <v>72811318.520411819</v>
      </c>
    </row>
    <row r="145" spans="2:6" x14ac:dyDescent="0.3">
      <c r="B145" s="30" t="s">
        <v>275</v>
      </c>
      <c r="C145" s="30" t="s">
        <v>39</v>
      </c>
      <c r="D145">
        <v>16433849.497747961</v>
      </c>
      <c r="E145" s="30"/>
      <c r="F145" s="30">
        <f>SUM($D$138:D145)</f>
        <v>89245168.018159777</v>
      </c>
    </row>
    <row r="146" spans="2:6" x14ac:dyDescent="0.3">
      <c r="B146" s="30" t="s">
        <v>275</v>
      </c>
      <c r="C146" s="30" t="s">
        <v>41</v>
      </c>
      <c r="D146">
        <v>4940348.0796485888</v>
      </c>
      <c r="E146" s="30"/>
      <c r="F146" s="30">
        <f>SUM($D$138:D146)</f>
        <v>94185516.097808361</v>
      </c>
    </row>
    <row r="147" spans="2:6" x14ac:dyDescent="0.3">
      <c r="B147" s="30" t="s">
        <v>275</v>
      </c>
      <c r="C147" s="30" t="s">
        <v>43</v>
      </c>
      <c r="D147">
        <v>5705320.7655404629</v>
      </c>
      <c r="E147" s="30"/>
      <c r="F147" s="30">
        <f>SUM($D$138:D147)</f>
        <v>99890836.863348827</v>
      </c>
    </row>
    <row r="148" spans="2:6" x14ac:dyDescent="0.3">
      <c r="B148" s="30" t="s">
        <v>275</v>
      </c>
      <c r="C148" s="30" t="s">
        <v>45</v>
      </c>
      <c r="D148">
        <v>12405977.697749065</v>
      </c>
      <c r="E148" s="30"/>
      <c r="F148" s="30">
        <f>SUM($D$138:D148)</f>
        <v>112296814.56109789</v>
      </c>
    </row>
    <row r="149" spans="2:6" x14ac:dyDescent="0.3">
      <c r="B149" s="30" t="s">
        <v>275</v>
      </c>
      <c r="C149" s="30" t="s">
        <v>47</v>
      </c>
      <c r="D149">
        <v>11567134.644497383</v>
      </c>
      <c r="E149" s="30"/>
      <c r="F149" s="30">
        <f>SUM($D$138:D149)</f>
        <v>123863949.20559527</v>
      </c>
    </row>
    <row r="150" spans="2:6" x14ac:dyDescent="0.3">
      <c r="B150" s="30" t="s">
        <v>276</v>
      </c>
      <c r="C150" s="30" t="s">
        <v>257</v>
      </c>
      <c r="D150">
        <v>12405977.697749065</v>
      </c>
      <c r="E150" s="30"/>
      <c r="F150">
        <f>D150</f>
        <v>12405977.697749065</v>
      </c>
    </row>
    <row r="151" spans="2:6" x14ac:dyDescent="0.3">
      <c r="B151" s="30" t="s">
        <v>276</v>
      </c>
      <c r="C151" s="30" t="s">
        <v>27</v>
      </c>
      <c r="D151">
        <v>10092550.768849591</v>
      </c>
      <c r="E151" s="30"/>
      <c r="F151">
        <f>SUM($D$150:D151)</f>
        <v>22498528.466598656</v>
      </c>
    </row>
    <row r="152" spans="2:6" x14ac:dyDescent="0.3">
      <c r="B152" s="30" t="s">
        <v>276</v>
      </c>
      <c r="C152" s="30" t="s">
        <v>29</v>
      </c>
      <c r="D152">
        <v>5537957.861317507</v>
      </c>
      <c r="E152" s="30"/>
      <c r="F152" s="30">
        <f>SUM($D$150:D152)</f>
        <v>28036486.327916164</v>
      </c>
    </row>
    <row r="153" spans="2:6" x14ac:dyDescent="0.3">
      <c r="B153" s="30" t="s">
        <v>276</v>
      </c>
      <c r="C153" s="30" t="s">
        <v>31</v>
      </c>
      <c r="D153">
        <v>5960311.6608377565</v>
      </c>
      <c r="E153" s="30"/>
      <c r="F153" s="30">
        <f>SUM($D$150:D153)</f>
        <v>33996797.988753922</v>
      </c>
    </row>
    <row r="154" spans="2:6" x14ac:dyDescent="0.3">
      <c r="B154" s="30" t="s">
        <v>276</v>
      </c>
      <c r="C154" s="30" t="s">
        <v>33</v>
      </c>
      <c r="D154">
        <v>5705320.7655404629</v>
      </c>
      <c r="E154" s="30"/>
      <c r="F154" s="30">
        <f>SUM($D$150:D154)</f>
        <v>39702118.754294388</v>
      </c>
    </row>
    <row r="155" spans="2:6" x14ac:dyDescent="0.3">
      <c r="B155" s="30" t="s">
        <v>276</v>
      </c>
      <c r="C155" s="30" t="s">
        <v>35</v>
      </c>
      <c r="D155">
        <v>13883490.78146462</v>
      </c>
      <c r="E155" s="30"/>
      <c r="F155" s="30">
        <f>SUM($D$150:D155)</f>
        <v>53585609.535759009</v>
      </c>
    </row>
    <row r="156" spans="2:6" x14ac:dyDescent="0.3">
      <c r="B156" s="30" t="s">
        <v>276</v>
      </c>
      <c r="C156" s="30" t="s">
        <v>37</v>
      </c>
      <c r="D156">
        <v>16933229.79464969</v>
      </c>
      <c r="E156" s="30"/>
      <c r="F156" s="30">
        <f>SUM($D$150:D156)</f>
        <v>70518839.330408692</v>
      </c>
    </row>
    <row r="157" spans="2:6" x14ac:dyDescent="0.3">
      <c r="B157" s="30" t="s">
        <v>276</v>
      </c>
      <c r="C157" s="30" t="s">
        <v>39</v>
      </c>
      <c r="D157">
        <v>15647509.989784013</v>
      </c>
      <c r="E157" s="30"/>
      <c r="F157" s="30">
        <f>SUM($D$150:D157)</f>
        <v>86166349.32019271</v>
      </c>
    </row>
    <row r="158" spans="2:6" x14ac:dyDescent="0.3">
      <c r="B158" s="30" t="s">
        <v>276</v>
      </c>
      <c r="C158" s="30" t="s">
        <v>41</v>
      </c>
      <c r="D158">
        <v>4828688.0166293848</v>
      </c>
      <c r="E158" s="30"/>
      <c r="F158" s="30">
        <f>SUM($D$150:D158)</f>
        <v>90995037.336822093</v>
      </c>
    </row>
    <row r="159" spans="2:6" x14ac:dyDescent="0.3">
      <c r="B159" s="30" t="s">
        <v>276</v>
      </c>
      <c r="C159" s="30" t="s">
        <v>43</v>
      </c>
      <c r="D159">
        <v>5576573.9108615573</v>
      </c>
      <c r="E159" s="30"/>
      <c r="F159" s="30">
        <f>SUM($D$150:D159)</f>
        <v>96571611.247683644</v>
      </c>
    </row>
    <row r="160" spans="2:6" x14ac:dyDescent="0.3">
      <c r="B160" s="30" t="s">
        <v>276</v>
      </c>
      <c r="C160" s="30" t="s">
        <v>45</v>
      </c>
      <c r="D160">
        <v>11831480.540030947</v>
      </c>
      <c r="E160" s="30"/>
      <c r="F160" s="30">
        <f>SUM($D$150:D160)</f>
        <v>108403091.78771459</v>
      </c>
    </row>
    <row r="161" spans="2:6" x14ac:dyDescent="0.3">
      <c r="B161" s="30" t="s">
        <v>276</v>
      </c>
      <c r="C161" s="30" t="s">
        <v>47</v>
      </c>
      <c r="D161">
        <v>11624446.902794078</v>
      </c>
      <c r="E161" s="30"/>
      <c r="F161" s="30">
        <f>SUM($D$150:D161)</f>
        <v>120027538.69050866</v>
      </c>
    </row>
    <row r="162" spans="2:6" x14ac:dyDescent="0.3">
      <c r="B162" s="30" t="s">
        <v>277</v>
      </c>
      <c r="C162" s="30" t="s">
        <v>257</v>
      </c>
      <c r="D162">
        <v>10596226.678618209</v>
      </c>
      <c r="E162" s="30"/>
      <c r="F162">
        <f>D162</f>
        <v>10596226.678618209</v>
      </c>
    </row>
    <row r="163" spans="2:6" x14ac:dyDescent="0.3">
      <c r="B163" s="30" t="s">
        <v>277</v>
      </c>
      <c r="C163" s="30" t="s">
        <v>27</v>
      </c>
      <c r="D163">
        <v>11110336.790706147</v>
      </c>
      <c r="E163" s="30"/>
      <c r="F163">
        <f>SUM($D$162:D163)</f>
        <v>21706563.469324358</v>
      </c>
    </row>
    <row r="164" spans="2:6" x14ac:dyDescent="0.3">
      <c r="B164" s="30" t="s">
        <v>277</v>
      </c>
      <c r="C164" s="30" t="s">
        <v>29</v>
      </c>
      <c r="D164">
        <v>5576573.9108615573</v>
      </c>
      <c r="E164" s="30"/>
      <c r="F164" s="30">
        <f>SUM($D$162:D164)</f>
        <v>27283137.380185917</v>
      </c>
    </row>
    <row r="165" spans="2:6" x14ac:dyDescent="0.3">
      <c r="B165" s="30" t="s">
        <v>277</v>
      </c>
      <c r="C165" s="30" t="s">
        <v>31</v>
      </c>
      <c r="D165">
        <v>5825869.2089389497</v>
      </c>
      <c r="E165" s="30"/>
      <c r="F165" s="30">
        <f>SUM($D$162:D165)</f>
        <v>33109006.589124866</v>
      </c>
    </row>
    <row r="166" spans="2:6" x14ac:dyDescent="0.3">
      <c r="B166" s="30" t="s">
        <v>277</v>
      </c>
      <c r="C166" s="30" t="s">
        <v>33</v>
      </c>
      <c r="D166">
        <v>5412621.7755932529</v>
      </c>
      <c r="E166" s="30"/>
      <c r="F166" s="30">
        <f>SUM($D$162:D166)</f>
        <v>38521628.364718117</v>
      </c>
    </row>
    <row r="167" spans="2:6" x14ac:dyDescent="0.3">
      <c r="B167" s="30" t="s">
        <v>277</v>
      </c>
      <c r="C167" s="30" t="s">
        <v>35</v>
      </c>
      <c r="D167">
        <v>14713671.868405551</v>
      </c>
      <c r="E167" s="30"/>
      <c r="F167" s="30">
        <f>SUM($D$162:D167)</f>
        <v>53235300.233123668</v>
      </c>
    </row>
    <row r="168" spans="2:6" x14ac:dyDescent="0.3">
      <c r="B168" s="30" t="s">
        <v>277</v>
      </c>
      <c r="C168" s="30" t="s">
        <v>37</v>
      </c>
      <c r="D168">
        <v>16594687.880857253</v>
      </c>
      <c r="E168" s="30"/>
      <c r="F168" s="30">
        <f>SUM($D$162:D168)</f>
        <v>69829988.113980919</v>
      </c>
    </row>
    <row r="169" spans="2:6" x14ac:dyDescent="0.3">
      <c r="B169" s="30" t="s">
        <v>277</v>
      </c>
      <c r="C169" s="30" t="s">
        <v>39</v>
      </c>
      <c r="D169">
        <v>14676118.5475013</v>
      </c>
      <c r="E169" s="30"/>
      <c r="F169" s="30">
        <f>SUM($D$162:D169)</f>
        <v>84506106.661482215</v>
      </c>
    </row>
    <row r="170" spans="2:6" x14ac:dyDescent="0.3">
      <c r="B170" s="30" t="s">
        <v>277</v>
      </c>
      <c r="C170" s="30" t="s">
        <v>41</v>
      </c>
      <c r="D170">
        <v>5462327.2107730601</v>
      </c>
      <c r="E170" s="30"/>
      <c r="F170" s="30">
        <f>SUM($D$162:D170)</f>
        <v>89968433.872255281</v>
      </c>
    </row>
    <row r="171" spans="2:6" x14ac:dyDescent="0.3">
      <c r="B171" s="30" t="s">
        <v>277</v>
      </c>
      <c r="C171" s="30" t="s">
        <v>43</v>
      </c>
      <c r="D171">
        <v>4973832.306834437</v>
      </c>
      <c r="E171" s="30"/>
      <c r="F171" s="30">
        <f>SUM($D$162:D171)</f>
        <v>94942266.179089725</v>
      </c>
    </row>
    <row r="172" spans="2:6" x14ac:dyDescent="0.3">
      <c r="B172" s="30" t="s">
        <v>277</v>
      </c>
      <c r="C172" s="30" t="s">
        <v>45</v>
      </c>
      <c r="D172">
        <v>11096944.26446593</v>
      </c>
      <c r="E172" s="30"/>
      <c r="F172" s="30">
        <f>SUM($D$162:D172)</f>
        <v>106039210.44355565</v>
      </c>
    </row>
    <row r="173" spans="2:6" x14ac:dyDescent="0.3">
      <c r="B173" s="30" t="s">
        <v>277</v>
      </c>
      <c r="C173" s="30" t="s">
        <v>47</v>
      </c>
      <c r="D173">
        <v>11902599.535889186</v>
      </c>
      <c r="E173" s="30"/>
      <c r="F173" s="30">
        <f>SUM($D$162:D173)</f>
        <v>117941809.97944483</v>
      </c>
    </row>
    <row r="174" spans="2:6" x14ac:dyDescent="0.3">
      <c r="B174" s="30" t="s">
        <v>278</v>
      </c>
      <c r="C174" s="30" t="s">
        <v>257</v>
      </c>
      <c r="D174">
        <v>11601118.285185339</v>
      </c>
      <c r="E174" s="30"/>
      <c r="F174">
        <f>D174</f>
        <v>11601118.285185339</v>
      </c>
    </row>
    <row r="175" spans="2:6" x14ac:dyDescent="0.3">
      <c r="B175" s="30" t="s">
        <v>278</v>
      </c>
      <c r="C175" s="30" t="s">
        <v>27</v>
      </c>
      <c r="D175">
        <v>9381729.4322921541</v>
      </c>
      <c r="E175" s="30"/>
      <c r="F175">
        <f>SUM($D$174:D175)</f>
        <v>20982847.717477493</v>
      </c>
    </row>
    <row r="176" spans="2:6" x14ac:dyDescent="0.3">
      <c r="B176" s="30" t="s">
        <v>278</v>
      </c>
      <c r="C176" s="30" t="s">
        <v>29</v>
      </c>
      <c r="D176">
        <v>5706574.6627423698</v>
      </c>
      <c r="E176" s="30"/>
      <c r="F176" s="30">
        <f>SUM($D$174:D176)</f>
        <v>26689422.380219862</v>
      </c>
    </row>
    <row r="177" spans="2:6" x14ac:dyDescent="0.3">
      <c r="B177" s="30" t="s">
        <v>278</v>
      </c>
      <c r="C177" s="30" t="s">
        <v>31</v>
      </c>
      <c r="D177">
        <v>5462327.2107730601</v>
      </c>
      <c r="E177" s="30"/>
      <c r="F177" s="30">
        <f>SUM($D$174:D177)</f>
        <v>32151749.59099292</v>
      </c>
    </row>
    <row r="178" spans="2:6" x14ac:dyDescent="0.3">
      <c r="B178" s="30" t="s">
        <v>278</v>
      </c>
      <c r="C178" s="30" t="s">
        <v>33</v>
      </c>
      <c r="D178">
        <v>5057114.9866888234</v>
      </c>
      <c r="E178" s="30"/>
      <c r="F178" s="30">
        <f>SUM($D$174:D178)</f>
        <v>37208864.577681743</v>
      </c>
    </row>
    <row r="179" spans="2:6" x14ac:dyDescent="0.3">
      <c r="B179" s="30" t="s">
        <v>278</v>
      </c>
      <c r="C179" s="30" t="s">
        <v>35</v>
      </c>
      <c r="D179">
        <v>15779718.642781233</v>
      </c>
      <c r="E179" s="30"/>
      <c r="F179" s="30">
        <f>SUM($D$174:D179)</f>
        <v>52988583.220462978</v>
      </c>
    </row>
    <row r="180" spans="2:6" x14ac:dyDescent="0.3">
      <c r="B180" s="30" t="s">
        <v>278</v>
      </c>
      <c r="C180" s="30" t="s">
        <v>37</v>
      </c>
      <c r="D180">
        <v>15841713.994452093</v>
      </c>
      <c r="E180" s="30"/>
      <c r="F180" s="30">
        <f>SUM($D$174:D180)</f>
        <v>68830297.214915067</v>
      </c>
    </row>
    <row r="181" spans="2:6" x14ac:dyDescent="0.3">
      <c r="B181" s="30" t="s">
        <v>278</v>
      </c>
      <c r="C181" s="30" t="s">
        <v>39</v>
      </c>
      <c r="D181">
        <v>15459763.91960131</v>
      </c>
      <c r="E181" s="30"/>
      <c r="F181" s="30">
        <f>SUM($D$174:D181)</f>
        <v>84290061.134516373</v>
      </c>
    </row>
    <row r="182" spans="2:6" x14ac:dyDescent="0.3">
      <c r="B182" s="30" t="s">
        <v>278</v>
      </c>
      <c r="C182" s="30" t="s">
        <v>41</v>
      </c>
      <c r="D182">
        <v>5024555.8774263356</v>
      </c>
      <c r="E182" s="30"/>
      <c r="F182" s="30">
        <f>SUM($D$174:D182)</f>
        <v>89314617.011942714</v>
      </c>
    </row>
    <row r="183" spans="2:6" x14ac:dyDescent="0.3">
      <c r="B183" s="30" t="s">
        <v>278</v>
      </c>
      <c r="C183" s="30" t="s">
        <v>43</v>
      </c>
      <c r="D183">
        <v>5344829.5724395392</v>
      </c>
      <c r="E183" s="30"/>
      <c r="F183" s="30">
        <f>SUM($D$174:D183)</f>
        <v>94659446.584382251</v>
      </c>
    </row>
    <row r="184" spans="2:6" x14ac:dyDescent="0.3">
      <c r="B184" s="30" t="s">
        <v>278</v>
      </c>
      <c r="C184" s="30" t="s">
        <v>45</v>
      </c>
      <c r="D184">
        <v>11657199.785721317</v>
      </c>
      <c r="E184" s="30"/>
      <c r="F184" s="30">
        <f>SUM($D$174:D184)</f>
        <v>106316646.37010357</v>
      </c>
    </row>
    <row r="185" spans="2:6" x14ac:dyDescent="0.3">
      <c r="B185" s="30" t="s">
        <v>278</v>
      </c>
      <c r="C185" s="30" t="s">
        <v>47</v>
      </c>
      <c r="D185">
        <v>11952777.414096609</v>
      </c>
      <c r="E185" s="30"/>
      <c r="F185" s="30">
        <f>SUM($D$174:D185)</f>
        <v>118269423.78420018</v>
      </c>
    </row>
    <row r="186" spans="2:6" x14ac:dyDescent="0.3">
      <c r="B186" s="30" t="s">
        <v>279</v>
      </c>
      <c r="C186" s="30" t="s">
        <v>257</v>
      </c>
      <c r="D186">
        <v>10669545.147319589</v>
      </c>
      <c r="E186" s="30"/>
      <c r="F186">
        <f>D186</f>
        <v>10669545.147319589</v>
      </c>
    </row>
    <row r="187" spans="2:6" x14ac:dyDescent="0.3">
      <c r="B187" s="30" t="s">
        <v>279</v>
      </c>
      <c r="C187" s="30" t="s">
        <v>27</v>
      </c>
      <c r="D187">
        <v>9681890.5089178588</v>
      </c>
      <c r="E187" s="30"/>
      <c r="F187">
        <f>SUM($D$186:D187)</f>
        <v>20351435.656237446</v>
      </c>
    </row>
    <row r="188" spans="2:6" x14ac:dyDescent="0.3">
      <c r="B188" s="30" t="s">
        <v>279</v>
      </c>
      <c r="C188" s="30" t="s">
        <v>29</v>
      </c>
      <c r="D188">
        <v>5583872.7955211112</v>
      </c>
      <c r="E188" s="30"/>
      <c r="F188" s="30">
        <f>SUM($D$186:D188)</f>
        <v>25935308.451758556</v>
      </c>
    </row>
    <row r="189" spans="2:6" x14ac:dyDescent="0.3">
      <c r="B189" s="30" t="s">
        <v>279</v>
      </c>
      <c r="C189" s="30" t="s">
        <v>31</v>
      </c>
      <c r="D189">
        <v>5426060.0443711737</v>
      </c>
      <c r="E189" s="30"/>
      <c r="F189" s="30">
        <f>SUM($D$186:D189)</f>
        <v>31361368.496129729</v>
      </c>
    </row>
    <row r="190" spans="2:6" x14ac:dyDescent="0.3">
      <c r="B190" s="30" t="s">
        <v>279</v>
      </c>
      <c r="C190" s="30" t="s">
        <v>33</v>
      </c>
      <c r="D190">
        <v>5105786.3493579691</v>
      </c>
      <c r="E190" s="30"/>
      <c r="F190" s="30">
        <f>SUM($D$186:D190)</f>
        <v>36467154.845487699</v>
      </c>
    </row>
    <row r="191" spans="2:6" x14ac:dyDescent="0.3">
      <c r="B191" s="30" t="s">
        <v>279</v>
      </c>
      <c r="C191" s="30" t="s">
        <v>35</v>
      </c>
      <c r="D191">
        <v>2552893.1746789846</v>
      </c>
      <c r="E191" s="30"/>
      <c r="F191" s="30">
        <f>SUM($D$186:D191)</f>
        <v>39020048.02016668</v>
      </c>
    </row>
    <row r="192" spans="2:6" x14ac:dyDescent="0.3">
      <c r="B192" s="30" t="s">
        <v>279</v>
      </c>
      <c r="C192" s="30" t="s">
        <v>37</v>
      </c>
      <c r="D192">
        <v>5091743.8500066176</v>
      </c>
      <c r="F192" s="30">
        <f>SUM($D$186:D192)</f>
        <v>44111791.870173298</v>
      </c>
    </row>
    <row r="193" spans="2:6" x14ac:dyDescent="0.3">
      <c r="B193" s="30" t="s">
        <v>279</v>
      </c>
      <c r="C193" s="30" t="s">
        <v>39</v>
      </c>
      <c r="F193" s="30">
        <f>SUM($D$186:D193)</f>
        <v>44111791.870173298</v>
      </c>
    </row>
    <row r="194" spans="2:6" x14ac:dyDescent="0.3">
      <c r="B194" s="30" t="s">
        <v>279</v>
      </c>
      <c r="C194" s="30" t="s">
        <v>41</v>
      </c>
      <c r="F194" s="30">
        <f>SUM($D$186:D194)</f>
        <v>44111791.870173298</v>
      </c>
    </row>
    <row r="195" spans="2:6" x14ac:dyDescent="0.3">
      <c r="B195" s="30" t="s">
        <v>279</v>
      </c>
      <c r="C195" s="30" t="s">
        <v>43</v>
      </c>
      <c r="F195" s="30">
        <f>SUM($D$186:D195)</f>
        <v>44111791.870173298</v>
      </c>
    </row>
    <row r="196" spans="2:6" x14ac:dyDescent="0.3">
      <c r="B196" s="30" t="s">
        <v>279</v>
      </c>
      <c r="C196" s="30" t="s">
        <v>45</v>
      </c>
      <c r="F196" s="30">
        <f>SUM($D$186:D196)</f>
        <v>44111791.870173298</v>
      </c>
    </row>
    <row r="197" spans="2:6" x14ac:dyDescent="0.3">
      <c r="B197" s="30" t="s">
        <v>279</v>
      </c>
      <c r="C197" s="30" t="s">
        <v>47</v>
      </c>
      <c r="F197" s="30">
        <f>SUM($D$186:D197)</f>
        <v>44111791.870173298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10" workbookViewId="0">
      <selection activeCell="V22" sqref="V22"/>
    </sheetView>
  </sheetViews>
  <sheetFormatPr defaultRowHeight="16.5" x14ac:dyDescent="0.3"/>
  <cols>
    <col min="4" max="5" width="9.375" bestFit="1" customWidth="1"/>
    <col min="6" max="7" width="10.875" bestFit="1" customWidth="1"/>
    <col min="8" max="8" width="9.375" bestFit="1" customWidth="1"/>
    <col min="9" max="9" width="9.125" bestFit="1" customWidth="1"/>
    <col min="10" max="10" width="10.875" bestFit="1" customWidth="1"/>
    <col min="11" max="12" width="10.875" style="30" customWidth="1"/>
    <col min="14" max="14" width="21.75" bestFit="1" customWidth="1"/>
  </cols>
  <sheetData>
    <row r="1" spans="2:26" s="30" customFormat="1" x14ac:dyDescent="0.3">
      <c r="N1" s="85" t="s">
        <v>299</v>
      </c>
      <c r="O1" s="30" t="s">
        <v>295</v>
      </c>
      <c r="P1" s="30" t="s">
        <v>298</v>
      </c>
      <c r="Q1" s="30" t="s">
        <v>284</v>
      </c>
      <c r="R1" s="30" t="s">
        <v>31</v>
      </c>
      <c r="S1" s="30" t="s">
        <v>33</v>
      </c>
      <c r="T1" s="30" t="s">
        <v>35</v>
      </c>
      <c r="U1" s="30" t="s">
        <v>37</v>
      </c>
      <c r="V1" s="30" t="s">
        <v>39</v>
      </c>
      <c r="W1" s="30" t="s">
        <v>41</v>
      </c>
      <c r="X1" s="30" t="s">
        <v>43</v>
      </c>
      <c r="Y1" s="30" t="s">
        <v>45</v>
      </c>
      <c r="Z1" s="30" t="s">
        <v>47</v>
      </c>
    </row>
    <row r="2" spans="2:26" s="30" customFormat="1" x14ac:dyDescent="0.3">
      <c r="N2" s="85" t="s">
        <v>296</v>
      </c>
      <c r="O2" s="30">
        <v>1369115</v>
      </c>
      <c r="P2" s="30">
        <v>2379175</v>
      </c>
      <c r="Q2" s="30">
        <v>3351514</v>
      </c>
      <c r="R2" s="30">
        <v>4368485</v>
      </c>
      <c r="S2" s="30">
        <v>5348531</v>
      </c>
      <c r="T2" s="30">
        <v>6311386</v>
      </c>
      <c r="U2" s="30">
        <v>7457585</v>
      </c>
      <c r="V2" s="30">
        <v>8372606</v>
      </c>
    </row>
    <row r="3" spans="2:26" x14ac:dyDescent="0.3">
      <c r="N3" s="85" t="s">
        <v>297</v>
      </c>
      <c r="O3">
        <v>1230311</v>
      </c>
      <c r="P3">
        <v>1966129</v>
      </c>
      <c r="Q3">
        <v>2827567</v>
      </c>
      <c r="R3">
        <v>3569349</v>
      </c>
      <c r="S3">
        <v>4225586</v>
      </c>
      <c r="T3">
        <v>4829507</v>
      </c>
      <c r="U3">
        <v>5301181</v>
      </c>
      <c r="V3">
        <v>5755573</v>
      </c>
    </row>
    <row r="4" spans="2:26" s="30" customFormat="1" x14ac:dyDescent="0.3">
      <c r="N4" s="85"/>
      <c r="P4" s="30">
        <f t="shared" ref="P4:V5" si="0">P2-O2</f>
        <v>1010060</v>
      </c>
      <c r="Q4" s="30">
        <f t="shared" si="0"/>
        <v>972339</v>
      </c>
      <c r="R4" s="30">
        <f t="shared" si="0"/>
        <v>1016971</v>
      </c>
      <c r="S4" s="30">
        <f t="shared" si="0"/>
        <v>980046</v>
      </c>
      <c r="T4" s="30">
        <f t="shared" si="0"/>
        <v>962855</v>
      </c>
      <c r="U4" s="30">
        <f t="shared" si="0"/>
        <v>1146199</v>
      </c>
      <c r="V4" s="30">
        <f t="shared" si="0"/>
        <v>915021</v>
      </c>
    </row>
    <row r="5" spans="2:26" s="30" customFormat="1" x14ac:dyDescent="0.3">
      <c r="N5" s="85"/>
      <c r="P5" s="30">
        <f t="shared" si="0"/>
        <v>735818</v>
      </c>
      <c r="Q5" s="30">
        <f t="shared" si="0"/>
        <v>861438</v>
      </c>
      <c r="R5" s="30">
        <f t="shared" si="0"/>
        <v>741782</v>
      </c>
      <c r="S5" s="30">
        <f t="shared" si="0"/>
        <v>656237</v>
      </c>
      <c r="T5" s="30">
        <f t="shared" si="0"/>
        <v>603921</v>
      </c>
      <c r="U5" s="30">
        <f t="shared" si="0"/>
        <v>471674</v>
      </c>
      <c r="V5" s="30">
        <f t="shared" si="0"/>
        <v>454392</v>
      </c>
    </row>
    <row r="6" spans="2:26" s="30" customFormat="1" x14ac:dyDescent="0.3">
      <c r="N6" s="85"/>
      <c r="P6" s="30">
        <f t="shared" ref="P6:U6" si="1">SUM(P4:P5)</f>
        <v>1745878</v>
      </c>
      <c r="Q6" s="30">
        <f t="shared" si="1"/>
        <v>1833777</v>
      </c>
      <c r="R6" s="30">
        <f t="shared" si="1"/>
        <v>1758753</v>
      </c>
      <c r="S6" s="30">
        <f t="shared" si="1"/>
        <v>1636283</v>
      </c>
      <c r="T6" s="30">
        <f t="shared" si="1"/>
        <v>1566776</v>
      </c>
      <c r="U6" s="30">
        <f t="shared" si="1"/>
        <v>1617873</v>
      </c>
      <c r="V6" s="30">
        <f t="shared" ref="V6" si="2">SUM(V4:V5)</f>
        <v>1369413</v>
      </c>
    </row>
    <row r="7" spans="2:26" x14ac:dyDescent="0.3">
      <c r="B7" t="s">
        <v>96</v>
      </c>
      <c r="C7" t="s">
        <v>286</v>
      </c>
      <c r="D7" t="s">
        <v>287</v>
      </c>
      <c r="E7" t="s">
        <v>291</v>
      </c>
      <c r="F7" s="30" t="s">
        <v>288</v>
      </c>
      <c r="G7" s="30" t="s">
        <v>289</v>
      </c>
      <c r="H7" t="s">
        <v>292</v>
      </c>
      <c r="I7" t="s">
        <v>293</v>
      </c>
      <c r="J7" t="s">
        <v>89</v>
      </c>
      <c r="K7" s="30" t="s">
        <v>322</v>
      </c>
      <c r="L7" s="30" t="s">
        <v>323</v>
      </c>
      <c r="N7" s="85"/>
    </row>
    <row r="8" spans="2:26" x14ac:dyDescent="0.3">
      <c r="B8" t="s">
        <v>294</v>
      </c>
      <c r="C8" t="s">
        <v>295</v>
      </c>
      <c r="D8" s="47">
        <v>119107.09999999999</v>
      </c>
      <c r="E8" s="47">
        <v>71426</v>
      </c>
      <c r="F8" s="47">
        <v>496756</v>
      </c>
      <c r="G8" s="47">
        <v>250358</v>
      </c>
      <c r="H8" s="47">
        <v>253152.9</v>
      </c>
      <c r="I8" s="47">
        <v>5269.0273999999999</v>
      </c>
      <c r="J8" s="47">
        <f>SUM(D8:I8)</f>
        <v>1196069.0274</v>
      </c>
      <c r="K8" s="47"/>
      <c r="L8" s="47"/>
      <c r="M8" s="30"/>
      <c r="N8" s="85"/>
      <c r="O8" s="30"/>
      <c r="P8" s="30"/>
      <c r="Q8" s="30"/>
      <c r="R8" s="30"/>
    </row>
    <row r="9" spans="2:26" x14ac:dyDescent="0.3">
      <c r="B9" s="30" t="s">
        <v>294</v>
      </c>
      <c r="C9" s="30" t="s">
        <v>27</v>
      </c>
      <c r="D9" s="47">
        <v>104842.5</v>
      </c>
      <c r="E9" s="47">
        <v>63849</v>
      </c>
      <c r="F9" s="47">
        <v>485293</v>
      </c>
      <c r="G9" s="47">
        <v>262795</v>
      </c>
      <c r="H9" s="47">
        <v>245829.5</v>
      </c>
      <c r="I9" s="47">
        <v>4599.1680999999999</v>
      </c>
      <c r="J9" s="47">
        <f t="shared" ref="J9:J23" si="3">SUM(D9:I9)</f>
        <v>1167208.1680999999</v>
      </c>
      <c r="K9" s="47"/>
      <c r="L9" s="47"/>
      <c r="N9" s="85" t="s">
        <v>300</v>
      </c>
      <c r="O9">
        <v>312211</v>
      </c>
      <c r="P9">
        <v>250151</v>
      </c>
      <c r="Q9">
        <v>310094</v>
      </c>
      <c r="R9">
        <v>290000</v>
      </c>
      <c r="S9">
        <v>286188</v>
      </c>
      <c r="T9">
        <v>339008</v>
      </c>
      <c r="U9">
        <v>339789</v>
      </c>
      <c r="V9">
        <v>283486</v>
      </c>
    </row>
    <row r="10" spans="2:26" x14ac:dyDescent="0.3">
      <c r="B10" s="30" t="s">
        <v>294</v>
      </c>
      <c r="C10" s="30" t="s">
        <v>29</v>
      </c>
      <c r="D10" s="47">
        <v>115831.09999999999</v>
      </c>
      <c r="E10" s="47">
        <v>71862</v>
      </c>
      <c r="F10" s="47">
        <v>506713</v>
      </c>
      <c r="G10" s="47">
        <v>230148</v>
      </c>
      <c r="H10" s="47">
        <v>270766.90000000002</v>
      </c>
      <c r="I10" s="47">
        <v>3921.3224</v>
      </c>
      <c r="J10" s="47">
        <f t="shared" si="3"/>
        <v>1199242.3223999999</v>
      </c>
      <c r="K10" s="47"/>
      <c r="L10" s="47"/>
      <c r="N10" s="85" t="s">
        <v>301</v>
      </c>
      <c r="O10">
        <v>27824</v>
      </c>
      <c r="P10">
        <v>22750</v>
      </c>
      <c r="Q10">
        <v>27189</v>
      </c>
      <c r="R10">
        <v>25334</v>
      </c>
      <c r="S10">
        <v>24812</v>
      </c>
      <c r="T10">
        <v>28080</v>
      </c>
      <c r="U10">
        <v>26816</v>
      </c>
      <c r="V10">
        <v>22658</v>
      </c>
    </row>
    <row r="11" spans="2:26" x14ac:dyDescent="0.3">
      <c r="B11" s="30" t="s">
        <v>294</v>
      </c>
      <c r="C11" s="30" t="s">
        <v>31</v>
      </c>
      <c r="D11" s="47">
        <v>137597.59999999998</v>
      </c>
      <c r="E11" s="47">
        <v>100482</v>
      </c>
      <c r="F11" s="47">
        <v>541101</v>
      </c>
      <c r="G11" s="47">
        <v>319100</v>
      </c>
      <c r="H11" s="47">
        <v>278627.40000000002</v>
      </c>
      <c r="I11" s="47">
        <v>3005.8813</v>
      </c>
      <c r="J11" s="47">
        <f t="shared" si="3"/>
        <v>1379913.8813</v>
      </c>
      <c r="K11" s="47"/>
      <c r="L11" s="47"/>
      <c r="N11" s="85" t="s">
        <v>302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6" x14ac:dyDescent="0.3">
      <c r="B12" s="30" t="s">
        <v>294</v>
      </c>
      <c r="C12" s="30" t="s">
        <v>33</v>
      </c>
      <c r="D12" s="47">
        <v>103632.9</v>
      </c>
      <c r="E12" s="47">
        <v>69567</v>
      </c>
      <c r="F12" s="47">
        <v>468677</v>
      </c>
      <c r="G12" s="47">
        <v>278943</v>
      </c>
      <c r="H12" s="47">
        <v>249485.1</v>
      </c>
      <c r="I12" s="47">
        <v>1669.1576</v>
      </c>
      <c r="J12" s="47">
        <f t="shared" si="3"/>
        <v>1171974.1576</v>
      </c>
      <c r="K12" s="47"/>
      <c r="L12" s="47"/>
      <c r="N12" s="85" t="s">
        <v>303</v>
      </c>
      <c r="O12">
        <v>1575.3173999999999</v>
      </c>
      <c r="P12">
        <v>1451.5282</v>
      </c>
      <c r="Q12">
        <v>1607.2629999999999</v>
      </c>
      <c r="R12">
        <v>1376.6557</v>
      </c>
      <c r="S12">
        <v>1212.9345000000001</v>
      </c>
      <c r="T12">
        <v>1185.9803999999999</v>
      </c>
      <c r="U12">
        <v>1065.1860999999999</v>
      </c>
      <c r="V12">
        <v>445.24180000000001</v>
      </c>
    </row>
    <row r="13" spans="2:26" x14ac:dyDescent="0.3">
      <c r="B13" s="30" t="s">
        <v>294</v>
      </c>
      <c r="C13" s="30" t="s">
        <v>35</v>
      </c>
      <c r="D13" s="47">
        <v>47287.1</v>
      </c>
      <c r="E13" s="47">
        <v>19794</v>
      </c>
      <c r="F13" s="47">
        <v>102907</v>
      </c>
      <c r="G13" s="47">
        <v>203675</v>
      </c>
      <c r="H13" s="47">
        <v>187759.9</v>
      </c>
      <c r="I13" s="47">
        <v>1652.1865</v>
      </c>
      <c r="J13" s="47">
        <f t="shared" si="3"/>
        <v>563075.18649999995</v>
      </c>
      <c r="K13" s="47"/>
      <c r="L13" s="47"/>
      <c r="N13" s="85" t="s">
        <v>304</v>
      </c>
      <c r="O13">
        <v>334.43049999999999</v>
      </c>
      <c r="P13">
        <v>291.50360000000001</v>
      </c>
      <c r="Q13">
        <v>301.48660000000001</v>
      </c>
      <c r="R13">
        <v>293.50020000000001</v>
      </c>
      <c r="S13">
        <v>281.5206</v>
      </c>
      <c r="T13">
        <v>336.4271</v>
      </c>
      <c r="U13">
        <v>347.40839999999997</v>
      </c>
      <c r="V13">
        <v>297.49340000000001</v>
      </c>
    </row>
    <row r="14" spans="2:26" x14ac:dyDescent="0.3">
      <c r="B14" s="30" t="s">
        <v>294</v>
      </c>
      <c r="C14" s="30" t="s">
        <v>37</v>
      </c>
      <c r="D14" s="47">
        <v>93102.799999999988</v>
      </c>
      <c r="E14" s="47">
        <v>103665</v>
      </c>
      <c r="F14" s="47">
        <v>589049</v>
      </c>
      <c r="G14" s="47">
        <v>369383</v>
      </c>
      <c r="H14" s="47">
        <v>291626.2</v>
      </c>
      <c r="I14" s="47">
        <v>4561.2327000000005</v>
      </c>
      <c r="J14" s="47">
        <f t="shared" si="3"/>
        <v>1451387.2327000001</v>
      </c>
      <c r="K14" s="47"/>
      <c r="L14" s="47"/>
      <c r="N14" s="85" t="s">
        <v>305</v>
      </c>
      <c r="O14">
        <v>3416.1826000000001</v>
      </c>
      <c r="P14">
        <v>2881.0938000000001</v>
      </c>
      <c r="Q14">
        <v>2590.5884999999998</v>
      </c>
      <c r="R14">
        <v>1531.3922</v>
      </c>
      <c r="S14">
        <v>99.83</v>
      </c>
      <c r="T14">
        <v>1441.5452</v>
      </c>
      <c r="U14">
        <v>2202.2498000000001</v>
      </c>
      <c r="V14">
        <v>4356.5811999999996</v>
      </c>
    </row>
    <row r="15" spans="2:26" x14ac:dyDescent="0.3">
      <c r="B15" s="30" t="s">
        <v>294</v>
      </c>
      <c r="C15" s="30" t="s">
        <v>39</v>
      </c>
      <c r="D15" s="47">
        <v>72793.7</v>
      </c>
      <c r="E15" s="47">
        <v>61689</v>
      </c>
      <c r="F15" s="47">
        <v>475328</v>
      </c>
      <c r="G15" s="47">
        <v>324211</v>
      </c>
      <c r="H15" s="47">
        <v>251396.3</v>
      </c>
      <c r="I15" s="47">
        <v>3779.5637999999999</v>
      </c>
      <c r="J15" s="47">
        <f t="shared" si="3"/>
        <v>1189197.5637999999</v>
      </c>
      <c r="K15" s="47"/>
      <c r="L15" s="47"/>
      <c r="N15" s="85" t="s">
        <v>233</v>
      </c>
      <c r="O15">
        <v>490891</v>
      </c>
      <c r="P15">
        <v>455700</v>
      </c>
      <c r="Q15">
        <v>554211</v>
      </c>
      <c r="R15">
        <v>468487</v>
      </c>
      <c r="S15">
        <v>442310</v>
      </c>
      <c r="T15">
        <v>530122</v>
      </c>
      <c r="U15">
        <v>595238</v>
      </c>
      <c r="V15">
        <v>557203</v>
      </c>
    </row>
    <row r="16" spans="2:26" x14ac:dyDescent="0.3">
      <c r="B16" s="30" t="s">
        <v>294</v>
      </c>
      <c r="C16" s="30" t="s">
        <v>41</v>
      </c>
      <c r="D16" s="47">
        <v>81928.7</v>
      </c>
      <c r="E16" s="47">
        <v>95605</v>
      </c>
      <c r="F16" s="47">
        <v>520136</v>
      </c>
      <c r="G16" s="47">
        <v>335526</v>
      </c>
      <c r="H16" s="47">
        <v>261090.3</v>
      </c>
      <c r="I16" s="47">
        <v>2574.6157000000003</v>
      </c>
      <c r="J16" s="47">
        <f t="shared" si="3"/>
        <v>1296860.6157</v>
      </c>
      <c r="K16" s="47"/>
      <c r="L16" s="47"/>
      <c r="N16" s="85" t="s">
        <v>306</v>
      </c>
      <c r="O16">
        <v>195951</v>
      </c>
      <c r="P16">
        <v>190433</v>
      </c>
      <c r="Q16">
        <v>165839</v>
      </c>
      <c r="R16">
        <v>144944</v>
      </c>
      <c r="S16">
        <v>126568</v>
      </c>
      <c r="T16">
        <v>119893</v>
      </c>
      <c r="U16">
        <v>117884</v>
      </c>
      <c r="V16">
        <v>108762</v>
      </c>
    </row>
    <row r="17" spans="2:26" x14ac:dyDescent="0.3">
      <c r="B17" s="30" t="s">
        <v>294</v>
      </c>
      <c r="C17" s="30" t="s">
        <v>43</v>
      </c>
      <c r="D17" s="47">
        <v>100772</v>
      </c>
      <c r="E17" s="47">
        <v>75198</v>
      </c>
      <c r="F17" s="47">
        <v>538481</v>
      </c>
      <c r="G17" s="47">
        <v>327801</v>
      </c>
      <c r="H17" s="47">
        <v>287294</v>
      </c>
      <c r="I17" s="47">
        <v>1563.3379</v>
      </c>
      <c r="J17" s="47">
        <f t="shared" si="3"/>
        <v>1331109.3378999999</v>
      </c>
      <c r="K17" s="47"/>
      <c r="L17" s="47"/>
      <c r="N17" s="85" t="s">
        <v>290</v>
      </c>
      <c r="O17">
        <v>65995</v>
      </c>
      <c r="P17">
        <v>82002</v>
      </c>
      <c r="Q17">
        <v>73822</v>
      </c>
      <c r="R17">
        <v>68605</v>
      </c>
      <c r="S17">
        <v>80383</v>
      </c>
      <c r="T17">
        <v>87794</v>
      </c>
      <c r="U17">
        <v>94492</v>
      </c>
      <c r="V17">
        <v>82216</v>
      </c>
    </row>
    <row r="18" spans="2:26" x14ac:dyDescent="0.3">
      <c r="B18" s="30" t="s">
        <v>294</v>
      </c>
      <c r="C18" s="30" t="s">
        <v>45</v>
      </c>
      <c r="D18" s="47">
        <v>125520.49999999999</v>
      </c>
      <c r="E18" s="47">
        <v>76321</v>
      </c>
      <c r="F18" s="47">
        <v>521487</v>
      </c>
      <c r="G18" s="47">
        <v>329867</v>
      </c>
      <c r="H18" s="47">
        <v>280627.5</v>
      </c>
      <c r="I18" s="47">
        <v>3037.8269</v>
      </c>
      <c r="J18" s="47">
        <f t="shared" si="3"/>
        <v>1336860.8269</v>
      </c>
      <c r="K18" s="47"/>
      <c r="L18" s="47"/>
      <c r="N18" s="85" t="s">
        <v>307</v>
      </c>
      <c r="O18">
        <v>122665</v>
      </c>
      <c r="P18">
        <v>105290</v>
      </c>
      <c r="Q18">
        <v>96924</v>
      </c>
      <c r="R18">
        <v>105822</v>
      </c>
      <c r="S18">
        <v>91761</v>
      </c>
      <c r="T18">
        <v>131951</v>
      </c>
      <c r="U18">
        <v>120276</v>
      </c>
      <c r="V18">
        <v>87456</v>
      </c>
    </row>
    <row r="19" spans="2:26" x14ac:dyDescent="0.3">
      <c r="B19" s="30" t="s">
        <v>294</v>
      </c>
      <c r="C19" s="30" t="s">
        <v>47</v>
      </c>
      <c r="D19" s="47">
        <v>150738</v>
      </c>
      <c r="E19" s="47">
        <v>85780</v>
      </c>
      <c r="F19" s="47">
        <v>528923</v>
      </c>
      <c r="G19" s="47">
        <v>366794</v>
      </c>
      <c r="H19" s="47">
        <v>324055</v>
      </c>
      <c r="I19" s="47">
        <v>5129.2654000000002</v>
      </c>
      <c r="J19" s="47">
        <f t="shared" si="3"/>
        <v>1461419.2653999999</v>
      </c>
      <c r="K19" s="47"/>
      <c r="L19" s="47"/>
      <c r="N19" s="85" t="s">
        <v>308</v>
      </c>
      <c r="O19">
        <v>23871</v>
      </c>
      <c r="P19">
        <v>22532</v>
      </c>
      <c r="Q19">
        <v>25261</v>
      </c>
      <c r="R19">
        <v>24451</v>
      </c>
      <c r="S19">
        <v>20607</v>
      </c>
      <c r="T19">
        <v>23114</v>
      </c>
      <c r="U19">
        <v>30798</v>
      </c>
      <c r="V19">
        <v>22819</v>
      </c>
    </row>
    <row r="20" spans="2:26" x14ac:dyDescent="0.3">
      <c r="B20" s="30" t="s">
        <v>450</v>
      </c>
      <c r="C20" s="30" t="s">
        <v>416</v>
      </c>
      <c r="D20" s="47">
        <f>SUM(D8:D10)</f>
        <v>339780.69999999995</v>
      </c>
      <c r="E20" s="47">
        <f t="shared" ref="E20:I20" si="4">SUM(E8:E10)</f>
        <v>207137</v>
      </c>
      <c r="F20" s="47">
        <f t="shared" si="4"/>
        <v>1488762</v>
      </c>
      <c r="G20" s="47">
        <f t="shared" si="4"/>
        <v>743301</v>
      </c>
      <c r="H20" s="47">
        <f t="shared" si="4"/>
        <v>769749.3</v>
      </c>
      <c r="I20" s="47">
        <f t="shared" si="4"/>
        <v>13789.517899999999</v>
      </c>
      <c r="J20" s="47">
        <f t="shared" si="3"/>
        <v>3562519.5178999999</v>
      </c>
      <c r="K20" s="47"/>
      <c r="L20" s="47"/>
      <c r="N20" s="85" t="s">
        <v>309</v>
      </c>
      <c r="O20">
        <v>13965</v>
      </c>
      <c r="P20">
        <v>12953</v>
      </c>
      <c r="Q20">
        <v>11997</v>
      </c>
      <c r="R20">
        <v>12566</v>
      </c>
      <c r="S20">
        <v>10392</v>
      </c>
      <c r="T20">
        <v>14368</v>
      </c>
      <c r="U20">
        <v>13046</v>
      </c>
      <c r="V20">
        <v>11197</v>
      </c>
    </row>
    <row r="21" spans="2:26" x14ac:dyDescent="0.3">
      <c r="B21" s="30" t="s">
        <v>451</v>
      </c>
      <c r="C21" s="30" t="s">
        <v>417</v>
      </c>
      <c r="D21" s="47">
        <f>SUM(D11:D13)</f>
        <v>288517.59999999998</v>
      </c>
      <c r="E21" s="47">
        <f t="shared" ref="E21:I21" si="5">SUM(E11:E13)</f>
        <v>189843</v>
      </c>
      <c r="F21" s="47">
        <f t="shared" si="5"/>
        <v>1112685</v>
      </c>
      <c r="G21" s="47">
        <f t="shared" si="5"/>
        <v>801718</v>
      </c>
      <c r="H21" s="47">
        <f t="shared" si="5"/>
        <v>715872.4</v>
      </c>
      <c r="I21" s="47">
        <f t="shared" si="5"/>
        <v>6327.2253999999994</v>
      </c>
      <c r="J21" s="47">
        <f t="shared" si="3"/>
        <v>3114963.2253999999</v>
      </c>
      <c r="K21" s="47"/>
      <c r="L21" s="47"/>
      <c r="N21" s="85" t="s">
        <v>310</v>
      </c>
      <c r="O21">
        <v>80214</v>
      </c>
      <c r="P21">
        <v>78173</v>
      </c>
      <c r="Q21">
        <v>73250</v>
      </c>
      <c r="R21">
        <v>80907</v>
      </c>
      <c r="S21">
        <v>63401</v>
      </c>
      <c r="T21">
        <v>87624</v>
      </c>
      <c r="U21">
        <v>82589</v>
      </c>
      <c r="V21">
        <v>70422</v>
      </c>
    </row>
    <row r="22" spans="2:26" x14ac:dyDescent="0.3">
      <c r="B22" s="30" t="s">
        <v>452</v>
      </c>
      <c r="C22" s="30" t="s">
        <v>419</v>
      </c>
      <c r="D22" s="47">
        <f>SUM(D14:D16)</f>
        <v>247825.2</v>
      </c>
      <c r="E22" s="47">
        <f t="shared" ref="E22:I22" si="6">SUM(E14:E16)</f>
        <v>260959</v>
      </c>
      <c r="F22" s="47">
        <f t="shared" si="6"/>
        <v>1584513</v>
      </c>
      <c r="G22" s="47">
        <f t="shared" si="6"/>
        <v>1029120</v>
      </c>
      <c r="H22" s="47">
        <f t="shared" si="6"/>
        <v>804112.8</v>
      </c>
      <c r="I22" s="47">
        <f t="shared" si="6"/>
        <v>10915.412200000001</v>
      </c>
      <c r="J22" s="47">
        <f t="shared" si="3"/>
        <v>3937445.4122000001</v>
      </c>
      <c r="K22" s="47"/>
      <c r="L22" s="47"/>
      <c r="O22">
        <f>SUM(O9:O21)</f>
        <v>1338912.9305</v>
      </c>
      <c r="P22" s="30">
        <f t="shared" ref="P22:Z22" si="7">SUM(P9:P21)</f>
        <v>1224608.1255999999</v>
      </c>
      <c r="Q22" s="30">
        <f t="shared" si="7"/>
        <v>1343086.3381000001</v>
      </c>
      <c r="R22" s="30">
        <f t="shared" si="7"/>
        <v>1224317.5481</v>
      </c>
      <c r="S22" s="30">
        <f t="shared" si="7"/>
        <v>1148016.2851</v>
      </c>
      <c r="T22" s="30">
        <f t="shared" si="7"/>
        <v>1364917.9527</v>
      </c>
      <c r="U22" s="30">
        <f t="shared" si="7"/>
        <v>1424542.8443</v>
      </c>
      <c r="V22" s="30">
        <f t="shared" si="7"/>
        <v>1251318.3163999999</v>
      </c>
      <c r="W22" s="30">
        <f t="shared" si="7"/>
        <v>0</v>
      </c>
      <c r="X22" s="30">
        <f t="shared" si="7"/>
        <v>0</v>
      </c>
      <c r="Y22" s="30">
        <f t="shared" si="7"/>
        <v>0</v>
      </c>
      <c r="Z22" s="30">
        <f t="shared" si="7"/>
        <v>0</v>
      </c>
    </row>
    <row r="23" spans="2:26" x14ac:dyDescent="0.3">
      <c r="B23" s="30" t="s">
        <v>453</v>
      </c>
      <c r="C23" s="30" t="s">
        <v>421</v>
      </c>
      <c r="D23" s="54">
        <f>SUM(D17:D19)</f>
        <v>377030.5</v>
      </c>
      <c r="E23" s="54">
        <f t="shared" ref="E23:I23" si="8">SUM(E17:E19)</f>
        <v>237299</v>
      </c>
      <c r="F23" s="54">
        <f t="shared" si="8"/>
        <v>1588891</v>
      </c>
      <c r="G23" s="54">
        <f t="shared" si="8"/>
        <v>1024462</v>
      </c>
      <c r="H23" s="54">
        <f t="shared" si="8"/>
        <v>891976.5</v>
      </c>
      <c r="I23" s="54">
        <f t="shared" si="8"/>
        <v>9730.4302000000007</v>
      </c>
      <c r="J23" s="47">
        <f t="shared" si="3"/>
        <v>4129389.4301999998</v>
      </c>
      <c r="K23" s="47"/>
      <c r="L23" s="47"/>
    </row>
    <row r="24" spans="2:26" x14ac:dyDescent="0.3">
      <c r="B24" s="30" t="s">
        <v>23</v>
      </c>
      <c r="C24" s="30" t="s">
        <v>26</v>
      </c>
      <c r="D24" s="47">
        <v>137165.69999999998</v>
      </c>
      <c r="E24" s="47">
        <v>65995</v>
      </c>
      <c r="F24" s="47">
        <v>490891</v>
      </c>
      <c r="G24" s="47">
        <v>340035</v>
      </c>
      <c r="H24" s="47">
        <v>299500.3</v>
      </c>
      <c r="I24" s="47">
        <v>5325.9305000000004</v>
      </c>
      <c r="J24" s="47">
        <f t="shared" ref="J24:J39" si="9">SUM(D24:I24)</f>
        <v>1338912.9305</v>
      </c>
      <c r="K24" s="47"/>
      <c r="L24" s="47"/>
      <c r="X24" s="30"/>
    </row>
    <row r="25" spans="2:26" x14ac:dyDescent="0.3">
      <c r="B25" s="30" t="s">
        <v>23</v>
      </c>
      <c r="C25" s="30" t="s">
        <v>27</v>
      </c>
      <c r="D25" s="47">
        <v>110165.4905</v>
      </c>
      <c r="E25" s="47">
        <v>82002</v>
      </c>
      <c r="F25" s="47">
        <v>455700</v>
      </c>
      <c r="G25" s="47">
        <v>272901</v>
      </c>
      <c r="H25" s="47">
        <v>299215.50949999999</v>
      </c>
      <c r="I25" s="47">
        <v>4624.1256000000003</v>
      </c>
      <c r="J25" s="47">
        <f t="shared" si="9"/>
        <v>1224608.1255999999</v>
      </c>
      <c r="K25" s="47">
        <f>$P$4</f>
        <v>1010060</v>
      </c>
      <c r="L25" s="47">
        <f>$P$5</f>
        <v>735818</v>
      </c>
      <c r="O25">
        <v>27824</v>
      </c>
      <c r="P25">
        <v>22750</v>
      </c>
      <c r="Q25">
        <v>27189</v>
      </c>
      <c r="R25">
        <v>25334</v>
      </c>
    </row>
    <row r="26" spans="2:26" x14ac:dyDescent="0.3">
      <c r="B26" s="30" t="s">
        <v>23</v>
      </c>
      <c r="C26" s="30" t="s">
        <v>29</v>
      </c>
      <c r="D26" s="47">
        <f>($Q$4/$Q$6)*$Q$16</f>
        <v>87934.207605941177</v>
      </c>
      <c r="E26" s="47">
        <f>$Q$17</f>
        <v>73822</v>
      </c>
      <c r="F26" s="47">
        <f>$Q$15</f>
        <v>554211</v>
      </c>
      <c r="G26" s="47">
        <f>$Q$9+$Q$10</f>
        <v>337283</v>
      </c>
      <c r="H26" s="47">
        <f>($Q$5/$Q$6)*$Q$16+$Q$18+$Q$19+$Q$20+$Q$21</f>
        <v>285336.79239405884</v>
      </c>
      <c r="I26" s="47">
        <f>$Q$11+$Q$12+$Q$13+$Q$14</f>
        <v>4499.3380999999999</v>
      </c>
      <c r="J26" s="47">
        <f t="shared" si="9"/>
        <v>1343086.3381000001</v>
      </c>
      <c r="K26" s="47">
        <f>$Q$4</f>
        <v>972339</v>
      </c>
      <c r="L26" s="47">
        <f>$Q$5</f>
        <v>861438</v>
      </c>
      <c r="O26">
        <f>O25*0.75</f>
        <v>20868</v>
      </c>
      <c r="P26" s="30">
        <f t="shared" ref="P26:R26" si="10">P25*0.75</f>
        <v>17062.5</v>
      </c>
      <c r="Q26" s="30">
        <f t="shared" si="10"/>
        <v>20391.75</v>
      </c>
      <c r="R26" s="30">
        <f t="shared" si="10"/>
        <v>19000.5</v>
      </c>
    </row>
    <row r="27" spans="2:26" x14ac:dyDescent="0.3">
      <c r="B27" s="30" t="s">
        <v>23</v>
      </c>
      <c r="C27" s="30" t="s">
        <v>31</v>
      </c>
      <c r="D27" s="47">
        <f>IFERROR(($R$4/$R$6)*$R$16,0)</f>
        <v>83811.566845372829</v>
      </c>
      <c r="E27" s="47">
        <f>$R$17</f>
        <v>68605</v>
      </c>
      <c r="F27" s="47">
        <f>$R$15</f>
        <v>468487</v>
      </c>
      <c r="G27" s="47">
        <f>$R$9+$R$10</f>
        <v>315334</v>
      </c>
      <c r="H27" s="47">
        <f>IFERROR(($R$5/$R$6)*$R$16+$R$18+$R$19+$R$20+$R$21,0)</f>
        <v>284878.43315462716</v>
      </c>
      <c r="I27" s="47">
        <f>$R$11+$R$12+$R$13+$R$14</f>
        <v>3201.5481</v>
      </c>
      <c r="J27" s="47">
        <f t="shared" si="9"/>
        <v>1224317.5481</v>
      </c>
      <c r="K27" s="47">
        <f>$R$4</f>
        <v>1016971</v>
      </c>
      <c r="L27" s="47">
        <f>$R$5</f>
        <v>741782</v>
      </c>
      <c r="M27" s="47"/>
      <c r="V27" s="30"/>
      <c r="X27" s="30"/>
    </row>
    <row r="28" spans="2:26" x14ac:dyDescent="0.3">
      <c r="B28" s="30" t="s">
        <v>23</v>
      </c>
      <c r="C28" s="30" t="s">
        <v>33</v>
      </c>
      <c r="D28" s="30">
        <f>IFERROR(($S$4/$S$6)*$S$16,0)</f>
        <v>75807.462479289956</v>
      </c>
      <c r="E28" s="30">
        <f>$S$17</f>
        <v>80383</v>
      </c>
      <c r="F28" s="30">
        <f>$S$15</f>
        <v>442310</v>
      </c>
      <c r="G28" s="30">
        <f>$S$9+$S$10</f>
        <v>311000</v>
      </c>
      <c r="H28" s="30">
        <f>IFERROR(($S$5/$S$6)*$S$16+$S$18+$S$19+$S$20+$S$21,0)</f>
        <v>236921.53752071006</v>
      </c>
      <c r="I28" s="30">
        <f>$S$11+$S$12+$S$13+$S$14</f>
        <v>1594.2851000000001</v>
      </c>
      <c r="J28" s="47">
        <f t="shared" si="9"/>
        <v>1148016.2851</v>
      </c>
      <c r="K28" s="47">
        <f>$S$4</f>
        <v>980046</v>
      </c>
      <c r="L28" s="47">
        <f>$S$5</f>
        <v>656237</v>
      </c>
      <c r="O28">
        <v>490891</v>
      </c>
      <c r="P28">
        <v>455700</v>
      </c>
      <c r="Q28">
        <v>554211</v>
      </c>
      <c r="R28">
        <v>468487</v>
      </c>
    </row>
    <row r="29" spans="2:26" x14ac:dyDescent="0.3">
      <c r="B29" s="30" t="s">
        <v>23</v>
      </c>
      <c r="C29" s="30" t="s">
        <v>35</v>
      </c>
      <c r="D29" s="30">
        <f>IFERROR(($T$4/$T$6)*$T$16,0)</f>
        <v>73679.692894836277</v>
      </c>
      <c r="E29" s="30">
        <f>$T$17</f>
        <v>87794</v>
      </c>
      <c r="F29" s="30">
        <f>$T$15</f>
        <v>530122</v>
      </c>
      <c r="G29" s="30">
        <f>$T$9+$T$10</f>
        <v>367088</v>
      </c>
      <c r="H29" s="30">
        <f>IFERROR(($T$5/$T$6)*$T$16+$T$18+$T$19+$T$20+$T$21,0)</f>
        <v>303270.30710516369</v>
      </c>
      <c r="I29" s="30">
        <f>$T$11+$T$12+$T$13+$T$14</f>
        <v>2963.9526999999998</v>
      </c>
      <c r="J29" s="47">
        <f t="shared" si="9"/>
        <v>1364917.9527</v>
      </c>
      <c r="K29" s="47">
        <f>$T$4</f>
        <v>962855</v>
      </c>
      <c r="L29" s="47">
        <f>$T$5</f>
        <v>603921</v>
      </c>
      <c r="O29">
        <f>O28-O26</f>
        <v>470023</v>
      </c>
      <c r="P29" s="30">
        <f t="shared" ref="P29:R29" si="11">P28-P26</f>
        <v>438637.5</v>
      </c>
      <c r="Q29" s="30">
        <f t="shared" si="11"/>
        <v>533819.25</v>
      </c>
      <c r="R29" s="30">
        <f t="shared" si="11"/>
        <v>449486.5</v>
      </c>
    </row>
    <row r="30" spans="2:26" x14ac:dyDescent="0.3">
      <c r="B30" s="30" t="s">
        <v>23</v>
      </c>
      <c r="C30" s="30" t="s">
        <v>37</v>
      </c>
      <c r="D30" s="30">
        <f>IFERROR(($U$4/$U$6)*$U$16,0)</f>
        <v>83516.149237919162</v>
      </c>
      <c r="E30" s="30">
        <f>$U$17</f>
        <v>94492</v>
      </c>
      <c r="F30" s="30">
        <f>$U$15</f>
        <v>595238</v>
      </c>
      <c r="G30" s="30">
        <f>$U$9+$U$10</f>
        <v>366605</v>
      </c>
      <c r="H30" s="30">
        <f>IFERROR(($U$5/$U$6)*$U$16+$U$18+$U$19+$U$20+$U$21,0)</f>
        <v>281076.85076208087</v>
      </c>
      <c r="I30" s="30">
        <f>$U$11+$U$12+$U$13+$U$14</f>
        <v>3614.8442999999997</v>
      </c>
      <c r="J30" s="30">
        <f t="shared" si="9"/>
        <v>1424542.8443</v>
      </c>
      <c r="K30" s="47">
        <f>$U$4</f>
        <v>1146199</v>
      </c>
      <c r="L30" s="47">
        <f>$U$5</f>
        <v>471674</v>
      </c>
      <c r="O30">
        <f>O26/O29</f>
        <v>4.4397827340364196E-2</v>
      </c>
      <c r="P30" s="30">
        <f t="shared" ref="P30:R30" si="12">P26/P29</f>
        <v>3.8898862956313583E-2</v>
      </c>
      <c r="Q30" s="30">
        <f t="shared" si="12"/>
        <v>3.8199727716825498E-2</v>
      </c>
      <c r="R30" s="30">
        <f t="shared" si="12"/>
        <v>4.2271569891420543E-2</v>
      </c>
      <c r="V30" s="30"/>
    </row>
    <row r="31" spans="2:26" x14ac:dyDescent="0.3">
      <c r="B31" s="30" t="s">
        <v>23</v>
      </c>
      <c r="C31" s="30" t="s">
        <v>39</v>
      </c>
      <c r="D31" s="30">
        <f>IFERROR(($V$4/$V$6)*$V$16,0)</f>
        <v>72673.119067804975</v>
      </c>
      <c r="E31" s="30">
        <f>$V$17</f>
        <v>82216</v>
      </c>
      <c r="F31" s="30">
        <f>$V$15</f>
        <v>557203</v>
      </c>
      <c r="G31" s="30">
        <f>$V$9+$V$10</f>
        <v>306144</v>
      </c>
      <c r="H31" s="30">
        <f>IFERROR(($V$5/$V$6)*$V$16+$V$18+$V$19+$V$20+$V$21,0)</f>
        <v>227982.88093219502</v>
      </c>
      <c r="I31" s="30">
        <f>$V$11+$V$12+$V$13+$V$14</f>
        <v>5099.3163999999997</v>
      </c>
      <c r="J31" s="30">
        <f t="shared" si="9"/>
        <v>1251318.3163999999</v>
      </c>
      <c r="K31" s="47">
        <f>$V$4</f>
        <v>915021</v>
      </c>
      <c r="L31" s="47">
        <f>$V$5</f>
        <v>454392</v>
      </c>
    </row>
    <row r="32" spans="2:26" x14ac:dyDescent="0.3">
      <c r="B32" s="30" t="s">
        <v>23</v>
      </c>
      <c r="C32" s="30" t="s">
        <v>41</v>
      </c>
      <c r="D32" s="30">
        <f>IFERROR(($W$4/$W$6)*$W$16,0)</f>
        <v>0</v>
      </c>
      <c r="E32" s="30">
        <f>$W$17</f>
        <v>0</v>
      </c>
      <c r="F32" s="30">
        <f>$W$15</f>
        <v>0</v>
      </c>
      <c r="G32" s="30">
        <f>$W$9+$W$10</f>
        <v>0</v>
      </c>
      <c r="H32" s="30">
        <f>IFERROR(($W$5/$W$6)*$W$16+$W$18+$W$19+$W$20+$W$21,0)</f>
        <v>0</v>
      </c>
      <c r="I32" s="30">
        <f>$W$11+$W$12+$W$13+$W$14</f>
        <v>0</v>
      </c>
      <c r="J32" s="30">
        <f t="shared" si="9"/>
        <v>0</v>
      </c>
      <c r="K32" s="47">
        <f>$W$4</f>
        <v>0</v>
      </c>
      <c r="L32" s="47">
        <f>$W$5</f>
        <v>0</v>
      </c>
    </row>
    <row r="33" spans="2:12" x14ac:dyDescent="0.3">
      <c r="B33" s="30" t="s">
        <v>23</v>
      </c>
      <c r="C33" s="30" t="s">
        <v>43</v>
      </c>
      <c r="D33" s="30">
        <f>IFERROR(($X$4/$X$6)*$X$16,0)</f>
        <v>0</v>
      </c>
      <c r="E33" s="30">
        <f>$X$17</f>
        <v>0</v>
      </c>
      <c r="F33" s="30">
        <f>$X$15</f>
        <v>0</v>
      </c>
      <c r="G33" s="30">
        <f>$X$9+$X$10</f>
        <v>0</v>
      </c>
      <c r="H33" s="30">
        <f>IFERROR(($X$5/$X$6)*$X$16+$X$18+$X$19+$X$20+$X$21,0)</f>
        <v>0</v>
      </c>
      <c r="I33" s="30">
        <f>$X$11+$X$12+$X$13+$X$14</f>
        <v>0</v>
      </c>
      <c r="J33" s="30">
        <f t="shared" si="9"/>
        <v>0</v>
      </c>
      <c r="K33" s="47">
        <f>$X$4</f>
        <v>0</v>
      </c>
      <c r="L33" s="47">
        <f>$X$5</f>
        <v>0</v>
      </c>
    </row>
    <row r="34" spans="2:12" x14ac:dyDescent="0.3">
      <c r="B34" s="30" t="s">
        <v>23</v>
      </c>
      <c r="C34" s="30" t="s">
        <v>45</v>
      </c>
      <c r="D34" s="30">
        <f>IFERROR(($Y$4/$Y$6)*$Y$16,0)</f>
        <v>0</v>
      </c>
      <c r="E34" s="30">
        <f>$Y$17</f>
        <v>0</v>
      </c>
      <c r="F34" s="30">
        <f>$Y$15</f>
        <v>0</v>
      </c>
      <c r="G34" s="30">
        <f>$Y$9+$Y$10</f>
        <v>0</v>
      </c>
      <c r="H34" s="30">
        <f>IFERROR(($Y$5/$Y$6)*$Y$16+$Y$18+$Y$19+$Y$20+$Y$21,0)</f>
        <v>0</v>
      </c>
      <c r="I34" s="30">
        <f>$Y$11+$Y$12+$Y$13+$Y$14</f>
        <v>0</v>
      </c>
      <c r="J34" s="30">
        <f t="shared" si="9"/>
        <v>0</v>
      </c>
      <c r="K34" s="47">
        <f>$Y$4</f>
        <v>0</v>
      </c>
      <c r="L34" s="47">
        <f>$Y$5</f>
        <v>0</v>
      </c>
    </row>
    <row r="35" spans="2:12" x14ac:dyDescent="0.3">
      <c r="B35" s="30" t="s">
        <v>23</v>
      </c>
      <c r="C35" s="30" t="s">
        <v>47</v>
      </c>
      <c r="D35" s="30">
        <f>IFERROR(($Z$4/$Z$6)*$Z$16,0)</f>
        <v>0</v>
      </c>
      <c r="E35" s="30">
        <f>$Z$17</f>
        <v>0</v>
      </c>
      <c r="F35" s="30">
        <f>$Z$15</f>
        <v>0</v>
      </c>
      <c r="G35" s="30">
        <f>$Z$9+$Z$10</f>
        <v>0</v>
      </c>
      <c r="H35" s="30">
        <f>IFERROR(($Z$5/$Z$6)*$Z$16+$Z$18+$Z$19+$Z$20+$Z$21,0)</f>
        <v>0</v>
      </c>
      <c r="I35" s="30">
        <f>$Z$11+$Z$12+$Z$13+$Z$14</f>
        <v>0</v>
      </c>
      <c r="J35" s="30">
        <f t="shared" si="9"/>
        <v>0</v>
      </c>
      <c r="K35" s="47">
        <f>$Z$4</f>
        <v>0</v>
      </c>
      <c r="L35" s="47">
        <f>$Z$5</f>
        <v>0</v>
      </c>
    </row>
    <row r="36" spans="2:12" x14ac:dyDescent="0.3">
      <c r="B36" s="30" t="s">
        <v>412</v>
      </c>
      <c r="C36" s="30" t="s">
        <v>416</v>
      </c>
      <c r="D36" s="47">
        <f>SUM(D24:D26)</f>
        <v>335265.39810594113</v>
      </c>
      <c r="E36" s="47">
        <f t="shared" ref="E36:I36" si="13">SUM(E24:E26)</f>
        <v>221819</v>
      </c>
      <c r="F36" s="47">
        <f t="shared" si="13"/>
        <v>1500802</v>
      </c>
      <c r="G36" s="47">
        <f t="shared" si="13"/>
        <v>950219</v>
      </c>
      <c r="H36" s="47">
        <f t="shared" si="13"/>
        <v>884052.60189405875</v>
      </c>
      <c r="I36" s="47">
        <f t="shared" si="13"/>
        <v>14449.394200000002</v>
      </c>
      <c r="J36" s="47">
        <f t="shared" si="9"/>
        <v>3906607.3942</v>
      </c>
      <c r="K36" s="54">
        <f>SUM(K24:K26)</f>
        <v>1982399</v>
      </c>
      <c r="L36" s="54">
        <f>SUM(L24:L26)</f>
        <v>1597256</v>
      </c>
    </row>
    <row r="37" spans="2:12" x14ac:dyDescent="0.3">
      <c r="B37" s="30" t="s">
        <v>413</v>
      </c>
      <c r="C37" s="30" t="s">
        <v>417</v>
      </c>
      <c r="D37" s="47">
        <f>SUM(D27:D29)</f>
        <v>233298.72221949906</v>
      </c>
      <c r="E37" s="47">
        <f t="shared" ref="E37:I37" si="14">SUM(E27:E29)</f>
        <v>236782</v>
      </c>
      <c r="F37" s="47">
        <f t="shared" si="14"/>
        <v>1440919</v>
      </c>
      <c r="G37" s="47">
        <f t="shared" si="14"/>
        <v>993422</v>
      </c>
      <c r="H37" s="47">
        <f t="shared" si="14"/>
        <v>825070.27778050094</v>
      </c>
      <c r="I37" s="47">
        <f t="shared" si="14"/>
        <v>7759.7858999999999</v>
      </c>
      <c r="J37" s="47">
        <f t="shared" si="9"/>
        <v>3737251.7859</v>
      </c>
      <c r="K37" s="47">
        <f t="shared" ref="K37:L37" si="15">SUM(K27:K29)</f>
        <v>2959872</v>
      </c>
      <c r="L37" s="47">
        <f t="shared" si="15"/>
        <v>2001940</v>
      </c>
    </row>
    <row r="38" spans="2:12" x14ac:dyDescent="0.3">
      <c r="B38" s="30" t="s">
        <v>414</v>
      </c>
      <c r="C38" s="30" t="s">
        <v>419</v>
      </c>
      <c r="D38" s="47">
        <f>SUM(D30:D32)</f>
        <v>156189.26830572414</v>
      </c>
      <c r="E38" s="47">
        <f t="shared" ref="E38:I38" si="16">SUM(E30:E32)</f>
        <v>176708</v>
      </c>
      <c r="F38" s="47">
        <f t="shared" si="16"/>
        <v>1152441</v>
      </c>
      <c r="G38" s="47">
        <f t="shared" si="16"/>
        <v>672749</v>
      </c>
      <c r="H38" s="47">
        <f t="shared" si="16"/>
        <v>509059.73169427586</v>
      </c>
      <c r="I38" s="47">
        <f t="shared" si="16"/>
        <v>8714.1607000000004</v>
      </c>
      <c r="J38" s="47">
        <f t="shared" si="9"/>
        <v>2675861.1606999999</v>
      </c>
      <c r="K38" s="47">
        <f t="shared" ref="K38:L38" si="17">SUM(K30:K32)</f>
        <v>2061220</v>
      </c>
      <c r="L38" s="47">
        <f t="shared" si="17"/>
        <v>926066</v>
      </c>
    </row>
    <row r="39" spans="2:12" x14ac:dyDescent="0.3">
      <c r="B39" s="30" t="s">
        <v>415</v>
      </c>
      <c r="C39" s="30" t="s">
        <v>421</v>
      </c>
      <c r="D39" s="54">
        <f>SUM(D33:D35)</f>
        <v>0</v>
      </c>
      <c r="E39" s="54">
        <f t="shared" ref="E39:I39" si="18">SUM(E33:E35)</f>
        <v>0</v>
      </c>
      <c r="F39" s="54">
        <f t="shared" si="18"/>
        <v>0</v>
      </c>
      <c r="G39" s="54">
        <f t="shared" si="18"/>
        <v>0</v>
      </c>
      <c r="H39" s="54">
        <f t="shared" si="18"/>
        <v>0</v>
      </c>
      <c r="I39" s="54">
        <f t="shared" si="18"/>
        <v>0</v>
      </c>
      <c r="J39" s="47">
        <f t="shared" si="9"/>
        <v>0</v>
      </c>
      <c r="K39" s="54">
        <f t="shared" ref="K39:L39" si="19">SUM(K33:K35)</f>
        <v>0</v>
      </c>
      <c r="L39" s="54">
        <f t="shared" si="1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0" workbookViewId="0">
      <selection activeCell="M32" sqref="M32"/>
    </sheetView>
  </sheetViews>
  <sheetFormatPr defaultRowHeight="16.5" x14ac:dyDescent="0.3"/>
  <cols>
    <col min="1" max="3" width="9" style="30"/>
    <col min="4" max="8" width="15.625" style="30" bestFit="1" customWidth="1"/>
    <col min="9" max="9" width="13.5" style="30" bestFit="1" customWidth="1"/>
    <col min="10" max="10" width="15.625" style="30" bestFit="1" customWidth="1"/>
    <col min="11" max="11" width="14.375" style="30" customWidth="1"/>
    <col min="12" max="14" width="13" style="30" customWidth="1"/>
    <col min="15" max="15" width="9.375" style="30" bestFit="1" customWidth="1"/>
    <col min="16" max="16" width="13" style="30" bestFit="1" customWidth="1"/>
    <col min="17" max="16384" width="9" style="30"/>
  </cols>
  <sheetData>
    <row r="2" spans="2:14" x14ac:dyDescent="0.3">
      <c r="B2" s="30" t="s">
        <v>318</v>
      </c>
    </row>
    <row r="3" spans="2:14" x14ac:dyDescent="0.3">
      <c r="B3" s="30" t="s">
        <v>313</v>
      </c>
    </row>
    <row r="4" spans="2:14" x14ac:dyDescent="0.3">
      <c r="L4" s="30">
        <v>0.28948742151260376</v>
      </c>
    </row>
    <row r="7" spans="2:14" x14ac:dyDescent="0.3">
      <c r="B7" s="30" t="s">
        <v>96</v>
      </c>
      <c r="C7" s="30" t="s">
        <v>286</v>
      </c>
      <c r="D7" s="30" t="s">
        <v>287</v>
      </c>
      <c r="E7" s="30" t="s">
        <v>291</v>
      </c>
      <c r="F7" s="30" t="s">
        <v>288</v>
      </c>
      <c r="G7" s="30" t="s">
        <v>289</v>
      </c>
      <c r="H7" s="30" t="s">
        <v>292</v>
      </c>
      <c r="I7" s="30" t="s">
        <v>293</v>
      </c>
      <c r="J7" s="30" t="s">
        <v>89</v>
      </c>
      <c r="K7" s="30" t="s">
        <v>316</v>
      </c>
      <c r="L7" s="30" t="s">
        <v>319</v>
      </c>
      <c r="N7" s="30" t="s">
        <v>317</v>
      </c>
    </row>
    <row r="8" spans="2:14" x14ac:dyDescent="0.3">
      <c r="B8" s="30" t="s">
        <v>294</v>
      </c>
      <c r="C8" s="30" t="s">
        <v>295</v>
      </c>
      <c r="D8" s="47">
        <f>(LNG사용량!D8/LNG사용량!$J8)*$K8</f>
        <v>72333869.793106973</v>
      </c>
      <c r="E8" s="47">
        <f>(LNG사용량!E8/LNG사용량!$J8)*$K8</f>
        <v>43377086.536759436</v>
      </c>
      <c r="F8" s="47">
        <f>(LNG사용량!F8/LNG사용량!$J8)*$K8</f>
        <v>301680452.49145228</v>
      </c>
      <c r="G8" s="47">
        <f>(LNG사용량!G8/LNG사용량!$J8)*$K8</f>
        <v>152042682.37294567</v>
      </c>
      <c r="H8" s="47">
        <f>(LNG사용량!H8/LNG사용량!$J8)*$K8</f>
        <v>153740028.14565572</v>
      </c>
      <c r="I8" s="47">
        <f>(LNG사용량!I8/LNG사용량!$J8)*$K8</f>
        <v>3199886.0008170209</v>
      </c>
      <c r="J8" s="47">
        <f>SUM(D8:I8)</f>
        <v>726374005.34073722</v>
      </c>
      <c r="K8" s="47">
        <f>((LNG사용량!J8-999999)*SUMIFS(LNG요금적용DB!G:G,LNG요금적용DB!D:D,B8,LNG요금적용DB!E:E,C8,LNG요금적용DB!F:F,$B$3)*SUMIFS(LNG요금적용DB!H:H,LNG요금적용DB!D:D,B8,LNG요금적용DB!E:E,C8,LNG요금적용DB!F:F,$B$3))+(999999*SUMIFS(LNG요금적용DB!G:G,LNG요금적용DB!D:D,B8,LNG요금적용DB!E:E,C8,LNG요금적용DB!F:F,$B$2)*SUMIFS(LNG요금적용DB!H:H,LNG요금적용DB!D:D,B8,LNG요금적용DB!E:E,C8,LNG요금적용DB!F:F,$B$2))-M8</f>
        <v>726374005.3407371</v>
      </c>
      <c r="L8" s="47">
        <f>J8-K8</f>
        <v>0</v>
      </c>
      <c r="M8" s="47">
        <v>622</v>
      </c>
      <c r="N8" s="87" t="b">
        <f>J8=K8</f>
        <v>1</v>
      </c>
    </row>
    <row r="9" spans="2:14" x14ac:dyDescent="0.3">
      <c r="B9" s="30" t="s">
        <v>294</v>
      </c>
      <c r="C9" s="30" t="s">
        <v>27</v>
      </c>
      <c r="D9" s="47">
        <f>(LNG사용량!D9/LNG사용량!$J9)*$K9</f>
        <v>63543452.266957529</v>
      </c>
      <c r="E9" s="47">
        <f>(LNG사용량!E9/LNG사용량!$J9)*$K9</f>
        <v>38697912.428575926</v>
      </c>
      <c r="F9" s="47">
        <f>(LNG사용량!F9/LNG사용량!$J9)*$K9</f>
        <v>294128741.50262177</v>
      </c>
      <c r="G9" s="47">
        <f>(LNG사용량!G9/LNG사용량!$J9)*$K9</f>
        <v>159276071.61690253</v>
      </c>
      <c r="H9" s="47">
        <f>(LNG사용량!H9/LNG사용량!$J9)*$K9</f>
        <v>148993538.87078273</v>
      </c>
      <c r="I9" s="47">
        <f>(LNG사용량!I9/LNG사용량!$J9)*$K9</f>
        <v>2787486.1685868208</v>
      </c>
      <c r="J9" s="47">
        <f t="shared" ref="J9:J35" si="0">SUM(D9:I9)</f>
        <v>707427202.85442734</v>
      </c>
      <c r="K9" s="47">
        <f>((LNG사용량!J9-999999)*SUMIFS(LNG요금적용DB!G:G,LNG요금적용DB!D:D,B9,LNG요금적용DB!E:E,C9,LNG요금적용DB!F:F,$B$3)*SUMIFS(LNG요금적용DB!H:H,LNG요금적용DB!D:D,B9,LNG요금적용DB!E:E,C9,LNG요금적용DB!F:F,$B$3))+(999999*SUMIFS(LNG요금적용DB!G:G,LNG요금적용DB!D:D,B9,LNG요금적용DB!E:E,C9,LNG요금적용DB!F:F,$B$2)*SUMIFS(LNG요금적용DB!H:H,LNG요금적용DB!D:D,B9,LNG요금적용DB!E:E,C9,LNG요금적용DB!F:F,$B$2))-M9</f>
        <v>707427202.85442722</v>
      </c>
      <c r="L9" s="47">
        <f t="shared" ref="L9:L35" si="1">J9-K9</f>
        <v>0</v>
      </c>
      <c r="M9" s="30">
        <v>705</v>
      </c>
      <c r="N9" s="87" t="b">
        <f t="shared" ref="N9:N35" si="2">J9=K9</f>
        <v>1</v>
      </c>
    </row>
    <row r="10" spans="2:14" x14ac:dyDescent="0.3">
      <c r="B10" s="30" t="s">
        <v>294</v>
      </c>
      <c r="C10" s="30" t="s">
        <v>29</v>
      </c>
      <c r="D10" s="47">
        <f>(LNG사용량!D10/LNG사용량!$J10)*$K10</f>
        <v>70220971.1895639</v>
      </c>
      <c r="E10" s="47">
        <f>(LNG사용량!E10/LNG사용량!$J10)*$K10</f>
        <v>43565324.266319163</v>
      </c>
      <c r="F10" s="47">
        <f>(LNG사용량!F10/LNG사용량!$J10)*$K10</f>
        <v>307187611.74138463</v>
      </c>
      <c r="G10" s="47">
        <f>(LNG사용량!G10/LNG사용량!$J10)*$K10</f>
        <v>139523979.97891545</v>
      </c>
      <c r="H10" s="47">
        <f>(LNG사용량!H10/LNG사용량!$J10)*$K10</f>
        <v>164148615.3890236</v>
      </c>
      <c r="I10" s="47">
        <f>(LNG사용량!I10/LNG사용량!$J10)*$K10</f>
        <v>2377246.4154738374</v>
      </c>
      <c r="J10" s="47">
        <f t="shared" si="0"/>
        <v>727023748.98068058</v>
      </c>
      <c r="K10" s="47">
        <f>((LNG사용량!J10-999999)*SUMIFS(LNG요금적용DB!G:G,LNG요금적용DB!D:D,B10,LNG요금적용DB!E:E,C10,LNG요금적용DB!F:F,$B$3)*SUMIFS(LNG요금적용DB!H:H,LNG요금적용DB!D:D,B10,LNG요금적용DB!E:E,C10,LNG요금적용DB!F:F,$B$3))+(999999*SUMIFS(LNG요금적용DB!G:G,LNG요금적용DB!D:D,B10,LNG요금적용DB!E:E,C10,LNG요금적용DB!F:F,$B$2)*SUMIFS(LNG요금적용DB!H:H,LNG요금적용DB!D:D,B10,LNG요금적용DB!E:E,C10,LNG요금적용DB!F:F,$B$2))-M10</f>
        <v>727023748.98068058</v>
      </c>
      <c r="L10" s="47">
        <f t="shared" si="1"/>
        <v>0</v>
      </c>
      <c r="M10" s="30">
        <v>798</v>
      </c>
      <c r="N10" s="87" t="b">
        <f t="shared" si="2"/>
        <v>1</v>
      </c>
    </row>
    <row r="11" spans="2:14" x14ac:dyDescent="0.3">
      <c r="B11" s="30" t="s">
        <v>294</v>
      </c>
      <c r="C11" s="30" t="s">
        <v>31</v>
      </c>
      <c r="D11" s="47">
        <f>(LNG사용량!D11/LNG사용량!$J11)*$K11</f>
        <v>79675492.632058814</v>
      </c>
      <c r="E11" s="47">
        <f>(LNG사용량!E11/LNG사용량!$J11)*$K11</f>
        <v>58183811.713682041</v>
      </c>
      <c r="F11" s="47">
        <f>(LNG사용량!F11/LNG사용량!$J11)*$K11</f>
        <v>313322970.30398542</v>
      </c>
      <c r="G11" s="47">
        <f>(LNG사용량!G11/LNG사용량!$J11)*$K11</f>
        <v>184773932.82215658</v>
      </c>
      <c r="H11" s="47">
        <f>(LNG사용량!H11/LNG사용량!$J11)*$K11</f>
        <v>161338390.75528723</v>
      </c>
      <c r="I11" s="47">
        <f>(LNG사용량!I11/LNG사용량!$J11)*$K11</f>
        <v>1740546.8799673351</v>
      </c>
      <c r="J11" s="47">
        <f t="shared" si="0"/>
        <v>799035145.10713732</v>
      </c>
      <c r="K11" s="47">
        <f>((LNG사용량!J11-999999)*SUMIFS(LNG요금적용DB!G:G,LNG요금적용DB!D:D,B11,LNG요금적용DB!E:E,C11,LNG요금적용DB!F:F,$B$3)*SUMIFS(LNG요금적용DB!H:H,LNG요금적용DB!D:D,B11,LNG요금적용DB!E:E,C11,LNG요금적용DB!F:F,$B$3))+(999999*SUMIFS(LNG요금적용DB!G:G,LNG요금적용DB!D:D,B11,LNG요금적용DB!E:E,C11,LNG요금적용DB!F:F,$B$2)*SUMIFS(LNG요금적용DB!H:H,LNG요금적용DB!D:D,B11,LNG요금적용DB!E:E,C11,LNG요금적용DB!F:F,$B$2))-M11</f>
        <v>799035145.10713744</v>
      </c>
      <c r="L11" s="47">
        <f t="shared" si="1"/>
        <v>0</v>
      </c>
      <c r="M11" s="30">
        <v>509</v>
      </c>
      <c r="N11" s="87" t="b">
        <f t="shared" si="2"/>
        <v>1</v>
      </c>
    </row>
    <row r="12" spans="2:14" x14ac:dyDescent="0.3">
      <c r="B12" s="30" t="s">
        <v>294</v>
      </c>
      <c r="C12" s="30" t="s">
        <v>33</v>
      </c>
      <c r="D12" s="47">
        <f>(LNG사용량!D12/LNG사용량!$J12)*$K12</f>
        <v>60514549.468671456</v>
      </c>
      <c r="E12" s="47">
        <f>(LNG사용량!E12/LNG사용량!$J12)*$K12</f>
        <v>40622385.969002768</v>
      </c>
      <c r="F12" s="47">
        <f>(LNG사용량!F12/LNG사용량!$J12)*$K12</f>
        <v>273675420.65626389</v>
      </c>
      <c r="G12" s="47">
        <f>(LNG사용량!G12/LNG사용량!$J12)*$K12</f>
        <v>162883697.8646706</v>
      </c>
      <c r="H12" s="47">
        <f>(LNG사용량!H12/LNG사용량!$J12)*$K12</f>
        <v>145682292.26091757</v>
      </c>
      <c r="I12" s="47">
        <f>(LNG사용량!I12/LNG사용량!$J12)*$K12</f>
        <v>974674.26035755954</v>
      </c>
      <c r="J12" s="47">
        <f t="shared" si="0"/>
        <v>684353020.47988391</v>
      </c>
      <c r="K12" s="47">
        <f>((LNG사용량!J12-999999)*SUMIFS(LNG요금적용DB!G:G,LNG요금적용DB!D:D,B12,LNG요금적용DB!E:E,C12,LNG요금적용DB!F:F,$B$3)*SUMIFS(LNG요금적용DB!H:H,LNG요금적용DB!D:D,B12,LNG요금적용DB!E:E,C12,LNG요금적용DB!F:F,$B$3))+(999999*SUMIFS(LNG요금적용DB!G:G,LNG요금적용DB!D:D,B12,LNG요금적용DB!E:E,C12,LNG요금적용DB!F:F,$B$2)*SUMIFS(LNG요금적용DB!H:H,LNG요금적용DB!D:D,B12,LNG요금적용DB!E:E,C12,LNG요금적용DB!F:F,$B$2))-M12</f>
        <v>684353020.47988391</v>
      </c>
      <c r="L12" s="47">
        <f t="shared" si="1"/>
        <v>0</v>
      </c>
      <c r="M12" s="30">
        <v>673</v>
      </c>
      <c r="N12" s="87" t="b">
        <f t="shared" si="2"/>
        <v>1</v>
      </c>
    </row>
    <row r="13" spans="2:14" x14ac:dyDescent="0.3">
      <c r="B13" s="30" t="s">
        <v>294</v>
      </c>
      <c r="C13" s="30" t="s">
        <v>35</v>
      </c>
      <c r="D13" s="47">
        <f>(LNG사용량!D13/LNG사용량!$J13)*$K13</f>
        <v>27664701.889485266</v>
      </c>
      <c r="E13" s="47">
        <f>(LNG사용량!E13/LNG사용량!$J13)*$K13</f>
        <v>11580221.861786226</v>
      </c>
      <c r="F13" s="47">
        <f>(LNG사용량!F13/LNG사용량!$J13)*$K13</f>
        <v>60204399.875256896</v>
      </c>
      <c r="G13" s="47">
        <f>(LNG사용량!G13/LNG사용량!$J13)*$K13</f>
        <v>119157405.66329743</v>
      </c>
      <c r="H13" s="47">
        <f>(LNG사용량!H13/LNG사용량!$J13)*$K13</f>
        <v>109846483.71965219</v>
      </c>
      <c r="I13" s="47">
        <f>(LNG사용량!I13/LNG사용량!$J13)*$K13</f>
        <v>966590.19031262328</v>
      </c>
      <c r="J13" s="47">
        <f t="shared" si="0"/>
        <v>329419803.1997906</v>
      </c>
      <c r="K13" s="47">
        <f>((LNG사용량!J13*SUMIFS(LNG요금적용DB!G:G,LNG요금적용DB!D:D,B13,LNG요금적용DB!E:E,C13,LNG요금적용DB!F:F,$B$2)*SUMIFS(LNG요금적용DB!H:H,LNG요금적용DB!D:D,B13,LNG요금적용DB!E:E,C13,LNG요금적용DB!F:F,$B$2))-M13)</f>
        <v>329419803.1997906</v>
      </c>
      <c r="L13" s="86">
        <f t="shared" si="1"/>
        <v>0</v>
      </c>
      <c r="M13" s="30">
        <f>695-L4</f>
        <v>694.7105125784874</v>
      </c>
      <c r="N13" s="87" t="b">
        <f t="shared" si="2"/>
        <v>1</v>
      </c>
    </row>
    <row r="14" spans="2:14" x14ac:dyDescent="0.3">
      <c r="B14" s="30" t="s">
        <v>294</v>
      </c>
      <c r="C14" s="30" t="s">
        <v>37</v>
      </c>
      <c r="D14" s="47">
        <f>(LNG사용량!D14/LNG사용량!$J14)*$K14</f>
        <v>56078950.82862214</v>
      </c>
      <c r="E14" s="47">
        <f>(LNG사용량!E14/LNG사용량!$J14)*$K14</f>
        <v>62440919.474485353</v>
      </c>
      <c r="F14" s="47">
        <f>(LNG사용량!F14/LNG사용량!$J14)*$K14</f>
        <v>354804043.55883008</v>
      </c>
      <c r="G14" s="47">
        <f>(LNG사용량!G14/LNG사용량!$J14)*$K14</f>
        <v>222491816.50744051</v>
      </c>
      <c r="H14" s="47">
        <f>(LNG사용량!H14/LNG사용량!$J14)*$K14</f>
        <v>175656278.11556607</v>
      </c>
      <c r="I14" s="47">
        <f>(LNG사용량!I14/LNG사용량!$J14)*$K14</f>
        <v>2747384.0131682768</v>
      </c>
      <c r="J14" s="47">
        <f t="shared" si="0"/>
        <v>874219392.49811244</v>
      </c>
      <c r="K14" s="47">
        <f>((LNG사용량!J14-999999)*SUMIFS(LNG요금적용DB!G:G,LNG요금적용DB!D:D,B14,LNG요금적용DB!E:E,C14,LNG요금적용DB!F:F,$B$3)*SUMIFS(LNG요금적용DB!H:H,LNG요금적용DB!D:D,B14,LNG요금적용DB!E:E,C14,LNG요금적용DB!F:F,$B$3))+(999999*SUMIFS(LNG요금적용DB!G:G,LNG요금적용DB!D:D,B14,LNG요금적용DB!E:E,C14,LNG요금적용DB!F:F,$B$2)*SUMIFS(LNG요금적용DB!H:H,LNG요금적용DB!D:D,B14,LNG요금적용DB!E:E,C14,LNG요금적용DB!F:F,$B$2))-M14</f>
        <v>874219392.49811244</v>
      </c>
      <c r="L14" s="47">
        <f t="shared" si="1"/>
        <v>0</v>
      </c>
      <c r="M14" s="30">
        <v>-32400915</v>
      </c>
      <c r="N14" s="87" t="b">
        <f t="shared" si="2"/>
        <v>1</v>
      </c>
    </row>
    <row r="15" spans="2:14" x14ac:dyDescent="0.3">
      <c r="B15" s="30" t="s">
        <v>294</v>
      </c>
      <c r="C15" s="30" t="s">
        <v>39</v>
      </c>
      <c r="D15" s="47">
        <f>(LNG사용량!D15/LNG사용량!$J15)*$K15</f>
        <v>44573915.216940545</v>
      </c>
      <c r="E15" s="47">
        <f>(LNG사용량!E15/LNG사용량!$J15)*$K15</f>
        <v>37774151.551821731</v>
      </c>
      <c r="F15" s="47">
        <f>(LNG사용량!F15/LNG사용량!$J15)*$K15</f>
        <v>291058566.50009435</v>
      </c>
      <c r="G15" s="47">
        <f>(LNG사용량!G15/LNG사용량!$J15)*$K15</f>
        <v>198524784.78768784</v>
      </c>
      <c r="H15" s="47">
        <f>(LNG사용량!H15/LNG사용량!$J15)*$K15</f>
        <v>153938010.5977928</v>
      </c>
      <c r="I15" s="47">
        <f>(LNG사용량!I15/LNG사용량!$J15)*$K15</f>
        <v>2314348.0325662475</v>
      </c>
      <c r="J15" s="88">
        <f t="shared" si="0"/>
        <v>728183776.6869036</v>
      </c>
      <c r="K15" s="88">
        <f>((LNG사용량!J15-999999)*SUMIFS(LNG요금적용DB!G:G,LNG요금적용DB!D:D,B15,LNG요금적용DB!E:E,C15,LNG요금적용DB!F:F,$B$3)*SUMIFS(LNG요금적용DB!H:H,LNG요금적용DB!D:D,B15,LNG요금적용DB!E:E,C15,LNG요금적용DB!F:F,$B$3))+(999999*SUMIFS(LNG요금적용DB!G:G,LNG요금적용DB!D:D,B15,LNG요금적용DB!E:E,C15,LNG요금적용DB!F:F,$B$2)*SUMIFS(LNG요금적용DB!H:H,LNG요금적용DB!D:D,B15,LNG요금적용DB!E:E,C15,LNG요금적용DB!F:F,$B$2))-M15</f>
        <v>728183776.68690348</v>
      </c>
      <c r="L15" s="88">
        <f>J15-K15</f>
        <v>0</v>
      </c>
      <c r="M15" s="16">
        <v>954</v>
      </c>
      <c r="N15" s="87" t="b">
        <f>J15=K15</f>
        <v>0</v>
      </c>
    </row>
    <row r="16" spans="2:14" x14ac:dyDescent="0.3">
      <c r="B16" s="30" t="s">
        <v>294</v>
      </c>
      <c r="C16" s="30" t="s">
        <v>41</v>
      </c>
      <c r="D16" s="47">
        <f>(LNG사용량!D16/LNG사용량!$J16)*$K16</f>
        <v>49790328.669841073</v>
      </c>
      <c r="E16" s="47">
        <f>(LNG사용량!E16/LNG사용량!$J16)*$K16</f>
        <v>58101793.052741662</v>
      </c>
      <c r="F16" s="47">
        <f>(LNG사용량!F16/LNG사용량!$J16)*$K16</f>
        <v>316100980.40145218</v>
      </c>
      <c r="G16" s="47">
        <f>(LNG사용량!G16/LNG사용량!$J16)*$K16</f>
        <v>203908396.16980493</v>
      </c>
      <c r="H16" s="47">
        <f>(LNG사용량!H16/LNG사용량!$J16)*$K16</f>
        <v>158671770.08188102</v>
      </c>
      <c r="I16" s="47">
        <f>(LNG사용량!I16/LNG사용량!$J16)*$K16</f>
        <v>1564664.9086526814</v>
      </c>
      <c r="J16" s="47">
        <f t="shared" si="0"/>
        <v>788137933.28437352</v>
      </c>
      <c r="K16" s="47">
        <f>((LNG사용량!J16-999999)*SUMIFS(LNG요금적용DB!G:G,LNG요금적용DB!D:D,B16,LNG요금적용DB!E:E,C16,LNG요금적용DB!F:F,$B$3)*SUMIFS(LNG요금적용DB!H:H,LNG요금적용DB!D:D,B16,LNG요금적용DB!E:E,C16,LNG요금적용DB!F:F,$B$3))+(999999*SUMIFS(LNG요금적용DB!G:G,LNG요금적용DB!D:D,B16,LNG요금적용DB!E:E,C16,LNG요금적용DB!F:F,$B$2)*SUMIFS(LNG요금적용DB!H:H,LNG요금적용DB!D:D,B16,LNG요금적용DB!E:E,C16,LNG요금적용DB!F:F,$B$2))-M16</f>
        <v>788137933.28437352</v>
      </c>
      <c r="L16" s="47">
        <f t="shared" si="1"/>
        <v>0</v>
      </c>
      <c r="M16" s="30">
        <v>416754</v>
      </c>
      <c r="N16" s="87" t="b">
        <f t="shared" si="2"/>
        <v>1</v>
      </c>
    </row>
    <row r="17" spans="2:16" x14ac:dyDescent="0.3">
      <c r="B17" s="30" t="s">
        <v>294</v>
      </c>
      <c r="C17" s="30" t="s">
        <v>43</v>
      </c>
      <c r="D17" s="47">
        <f>(LNG사용량!D17/LNG사용량!$J17)*$K17</f>
        <v>61843674.599710569</v>
      </c>
      <c r="E17" s="47">
        <f>(LNG사용량!E17/LNG사용량!$J17)*$K17</f>
        <v>46148936.634670697</v>
      </c>
      <c r="F17" s="47">
        <f>(LNG사용량!F17/LNG사용량!$J17)*$K17</f>
        <v>330465245.72427607</v>
      </c>
      <c r="G17" s="47">
        <f>(LNG사용량!G17/LNG사용량!$J17)*$K17</f>
        <v>201171142.55407974</v>
      </c>
      <c r="H17" s="47">
        <f>(LNG사용량!H17/LNG사용량!$J17)*$K17</f>
        <v>176312037.57441798</v>
      </c>
      <c r="I17" s="47">
        <f>(LNG사용량!I17/LNG사용량!$J17)*$K17</f>
        <v>959418.88993961492</v>
      </c>
      <c r="J17" s="47">
        <f t="shared" si="0"/>
        <v>816900455.97709465</v>
      </c>
      <c r="K17" s="47">
        <f>((LNG사용량!J17-999999)*SUMIFS(LNG요금적용DB!G:G,LNG요금적용DB!D:D,B17,LNG요금적용DB!E:E,C17,LNG요금적용DB!F:F,$B$3)*SUMIFS(LNG요금적용DB!H:H,LNG요금적용DB!D:D,B17,LNG요금적용DB!E:E,C17,LNG요금적용DB!F:F,$B$3))+(999999*SUMIFS(LNG요금적용DB!G:G,LNG요금적용DB!D:D,B17,LNG요금적용DB!E:E,C17,LNG요금적용DB!F:F,$B$2)*SUMIFS(LNG요금적용DB!H:H,LNG요금적용DB!D:D,B17,LNG요금적용DB!E:E,C17,LNG요금적용DB!F:F,$B$2))-M17</f>
        <v>816900455.97709465</v>
      </c>
      <c r="L17" s="47">
        <f t="shared" si="1"/>
        <v>0</v>
      </c>
      <c r="M17" s="30">
        <v>466906</v>
      </c>
      <c r="N17" s="87" t="b">
        <f t="shared" si="2"/>
        <v>1</v>
      </c>
    </row>
    <row r="18" spans="2:16" x14ac:dyDescent="0.3">
      <c r="B18" s="30" t="s">
        <v>294</v>
      </c>
      <c r="C18" s="30" t="s">
        <v>45</v>
      </c>
      <c r="D18" s="47">
        <f>(LNG사용량!D18/LNG사용량!$J18)*$K18</f>
        <v>76617141.397158653</v>
      </c>
      <c r="E18" s="47">
        <f>(LNG사용량!E18/LNG사용량!$J18)*$K18</f>
        <v>46585990.723208927</v>
      </c>
      <c r="F18" s="47">
        <f>(LNG사용량!F18/LNG사용량!$J18)*$K18</f>
        <v>318313289.19005328</v>
      </c>
      <c r="G18" s="47">
        <f>(LNG사용량!G18/LNG사용량!$J18)*$K18</f>
        <v>201349314.10611445</v>
      </c>
      <c r="H18" s="47">
        <f>(LNG사용량!H18/LNG사용량!$J18)*$K18</f>
        <v>171293747.61438286</v>
      </c>
      <c r="I18" s="47">
        <f>(LNG사용량!I18/LNG사용량!$J18)*$K18</f>
        <v>1854275.7010798408</v>
      </c>
      <c r="J18" s="47">
        <f t="shared" si="0"/>
        <v>816013758.73199809</v>
      </c>
      <c r="K18" s="47">
        <f>((LNG사용량!J18-999999)*SUMIFS(LNG요금적용DB!G:G,LNG요금적용DB!D:D,B18,LNG요금적용DB!E:E,C18,LNG요금적용DB!F:F,$B$3)*SUMIFS(LNG요금적용DB!H:H,LNG요금적용DB!D:D,B18,LNG요금적용DB!E:E,C18,LNG요금적용DB!F:F,$B$3))+(999999*SUMIFS(LNG요금적용DB!G:G,LNG요금적용DB!D:D,B18,LNG요금적용DB!E:E,C18,LNG요금적용DB!F:F,$B$2)*SUMIFS(LNG요금적용DB!H:H,LNG요금적용DB!D:D,B18,LNG요금적용DB!E:E,C18,LNG요금적용DB!F:F,$B$2))-M18</f>
        <v>816013758.73199797</v>
      </c>
      <c r="L18" s="47">
        <f t="shared" si="1"/>
        <v>0</v>
      </c>
      <c r="M18" s="30">
        <v>472766</v>
      </c>
      <c r="N18" s="87" t="b">
        <f t="shared" si="2"/>
        <v>1</v>
      </c>
    </row>
    <row r="19" spans="2:16" x14ac:dyDescent="0.3">
      <c r="B19" s="30" t="s">
        <v>294</v>
      </c>
      <c r="C19" s="30" t="s">
        <v>47</v>
      </c>
      <c r="D19" s="47">
        <f>(LNG사용량!D19/LNG사용량!$J19)*$K19</f>
        <v>95739833.63875632</v>
      </c>
      <c r="E19" s="47">
        <f>(LNG사용량!E19/LNG사용량!$J19)*$K19</f>
        <v>54482366.288079426</v>
      </c>
      <c r="F19" s="47">
        <f>(LNG사용량!F19/LNG사용량!$J19)*$K19</f>
        <v>335940506.22744036</v>
      </c>
      <c r="G19" s="47">
        <f>(LNG사용량!G19/LNG사용량!$J19)*$K19</f>
        <v>232965785.2677758</v>
      </c>
      <c r="H19" s="47">
        <f>(LNG사용량!H19/LNG사용량!$J19)*$K19</f>
        <v>205820508.36422917</v>
      </c>
      <c r="I19" s="47">
        <f>(LNG사용량!I19/LNG사용량!$J19)*$K19</f>
        <v>3257805.0397711853</v>
      </c>
      <c r="J19" s="47">
        <f t="shared" si="0"/>
        <v>928206804.82605231</v>
      </c>
      <c r="K19" s="47">
        <f>((LNG사용량!J19-999999)*SUMIFS(LNG요금적용DB!G:G,LNG요금적용DB!D:D,B19,LNG요금적용DB!E:E,C19,LNG요금적용DB!F:F,$B$3)*SUMIFS(LNG요금적용DB!H:H,LNG요금적용DB!D:D,B19,LNG요금적용DB!E:E,C19,LNG요금적용DB!F:F,$B$3))+(999999*SUMIFS(LNG요금적용DB!G:G,LNG요금적용DB!D:D,B19,LNG요금적용DB!E:E,C19,LNG요금적용DB!F:F,$B$2)*SUMIFS(LNG요금적용DB!H:H,LNG요금적용DB!D:D,B19,LNG요금적용DB!E:E,C19,LNG요금적용DB!F:F,$B$2))-M19</f>
        <v>928206804.82605219</v>
      </c>
      <c r="L19" s="47">
        <f t="shared" si="1"/>
        <v>0</v>
      </c>
      <c r="M19" s="30">
        <v>648819</v>
      </c>
      <c r="N19" s="87" t="b">
        <f t="shared" si="2"/>
        <v>1</v>
      </c>
    </row>
    <row r="20" spans="2:16" x14ac:dyDescent="0.3">
      <c r="B20" s="38" t="s">
        <v>454</v>
      </c>
      <c r="C20" s="38" t="s">
        <v>424</v>
      </c>
      <c r="D20" s="193">
        <f>SUM(D8:D10)</f>
        <v>206098293.24962839</v>
      </c>
      <c r="E20" s="193">
        <f t="shared" ref="E20:I20" si="3">SUM(E8:E10)</f>
        <v>125640323.23165452</v>
      </c>
      <c r="F20" s="193">
        <f t="shared" si="3"/>
        <v>902996805.73545873</v>
      </c>
      <c r="G20" s="193">
        <f t="shared" si="3"/>
        <v>450842733.96876365</v>
      </c>
      <c r="H20" s="193">
        <f t="shared" si="3"/>
        <v>466882182.40546209</v>
      </c>
      <c r="I20" s="193">
        <f t="shared" si="3"/>
        <v>8364618.5848776791</v>
      </c>
      <c r="J20" s="193">
        <f t="shared" si="0"/>
        <v>2160824957.1758447</v>
      </c>
      <c r="K20" s="47"/>
      <c r="L20" s="47"/>
      <c r="N20" s="87"/>
    </row>
    <row r="21" spans="2:16" x14ac:dyDescent="0.3">
      <c r="B21" s="38" t="s">
        <v>455</v>
      </c>
      <c r="C21" s="38" t="s">
        <v>417</v>
      </c>
      <c r="D21" s="193">
        <f>SUM(D11:D13)</f>
        <v>167854743.99021554</v>
      </c>
      <c r="E21" s="193">
        <f t="shared" ref="E21:I21" si="4">SUM(E11:E13)</f>
        <v>110386419.54447104</v>
      </c>
      <c r="F21" s="193">
        <f t="shared" si="4"/>
        <v>647202790.8355062</v>
      </c>
      <c r="G21" s="193">
        <f t="shared" si="4"/>
        <v>466815036.3501246</v>
      </c>
      <c r="H21" s="193">
        <f t="shared" si="4"/>
        <v>416867166.73585701</v>
      </c>
      <c r="I21" s="193">
        <f t="shared" si="4"/>
        <v>3681811.3306375183</v>
      </c>
      <c r="J21" s="193">
        <f t="shared" si="0"/>
        <v>1812807968.7868118</v>
      </c>
      <c r="K21" s="47"/>
      <c r="L21" s="47"/>
      <c r="N21" s="87"/>
    </row>
    <row r="22" spans="2:16" x14ac:dyDescent="0.3">
      <c r="B22" s="38" t="s">
        <v>456</v>
      </c>
      <c r="C22" s="38" t="s">
        <v>419</v>
      </c>
      <c r="D22" s="193">
        <f>SUM(D14:D16)</f>
        <v>150443194.71540377</v>
      </c>
      <c r="E22" s="193">
        <f t="shared" ref="E22:I22" si="5">SUM(E14:E16)</f>
        <v>158316864.07904875</v>
      </c>
      <c r="F22" s="193">
        <f t="shared" si="5"/>
        <v>961963590.46037662</v>
      </c>
      <c r="G22" s="193">
        <f t="shared" si="5"/>
        <v>624924997.46493328</v>
      </c>
      <c r="H22" s="193">
        <f t="shared" si="5"/>
        <v>488266058.79523993</v>
      </c>
      <c r="I22" s="193">
        <f t="shared" si="5"/>
        <v>6626396.9543872066</v>
      </c>
      <c r="J22" s="193">
        <f t="shared" si="0"/>
        <v>2390541102.4693894</v>
      </c>
      <c r="K22" s="47"/>
      <c r="L22" s="47"/>
      <c r="N22" s="87"/>
    </row>
    <row r="23" spans="2:16" x14ac:dyDescent="0.3">
      <c r="B23" s="38" t="s">
        <v>457</v>
      </c>
      <c r="C23" s="38" t="s">
        <v>421</v>
      </c>
      <c r="D23" s="193">
        <f>SUM(D17:D19)</f>
        <v>234200649.63562554</v>
      </c>
      <c r="E23" s="193">
        <f t="shared" ref="E23:I23" si="6">SUM(E17:E19)</f>
        <v>147217293.64595905</v>
      </c>
      <c r="F23" s="193">
        <f t="shared" si="6"/>
        <v>984719041.14176965</v>
      </c>
      <c r="G23" s="193">
        <f t="shared" si="6"/>
        <v>635486241.92796993</v>
      </c>
      <c r="H23" s="193">
        <f t="shared" si="6"/>
        <v>553426293.55303001</v>
      </c>
      <c r="I23" s="193">
        <f t="shared" si="6"/>
        <v>6071499.6307906415</v>
      </c>
      <c r="J23" s="193">
        <f t="shared" si="0"/>
        <v>2561121019.5351448</v>
      </c>
      <c r="K23" s="47"/>
      <c r="L23" s="47"/>
      <c r="N23" s="87"/>
    </row>
    <row r="24" spans="2:16" x14ac:dyDescent="0.3">
      <c r="B24" s="30" t="s">
        <v>23</v>
      </c>
      <c r="C24" s="30" t="s">
        <v>295</v>
      </c>
      <c r="D24" s="197">
        <f>(LNG사용량!D24/LNG사용량!$J24)*$K24</f>
        <v>87151467.41704081</v>
      </c>
      <c r="E24" s="184">
        <f>(LNG사용량!E24/LNG사용량!$J24)*$K24</f>
        <v>41931482.084716573</v>
      </c>
      <c r="F24" s="184">
        <f>(LNG사용량!F24/LNG사용량!$J24)*$K24</f>
        <v>311899191.93951976</v>
      </c>
      <c r="G24" s="184">
        <f>(LNG사용량!G24/LNG사용량!$J24)*$K24</f>
        <v>216049269.04578531</v>
      </c>
      <c r="H24" s="184">
        <f>(LNG사용량!H24/LNG사용량!$J24)*$K24</f>
        <v>190294589.95101508</v>
      </c>
      <c r="I24" s="184">
        <f>(LNG사용량!I24/LNG사용량!$J24)*$K24</f>
        <v>3383955.7443017741</v>
      </c>
      <c r="J24" s="47">
        <f t="shared" si="0"/>
        <v>850709956.18237936</v>
      </c>
      <c r="K24" s="47">
        <f>((LNG사용량!J24-999999)*SUMIFS(LNG요금적용DB!G:G,LNG요금적용DB!D:D,B24,LNG요금적용DB!E:E,C24,LNG요금적용DB!F:F,$B$3)*SUMIFS(LNG요금적용DB!H:H,LNG요금적용DB!D:D,B24,LNG요금적용DB!E:E,C24,LNG요금적용DB!F:F,$B$3))+(999999*SUMIFS(LNG요금적용DB!G:G,LNG요금적용DB!D:D,B24,LNG요금적용DB!E:E,C24,LNG요금적용DB!F:F,$B$2)*SUMIFS(LNG요금적용DB!H:H,LNG요금적용DB!D:D,B24,LNG요금적용DB!E:E,C24,LNG요금적용DB!F:F,$B$2))-M24</f>
        <v>850709956.18237925</v>
      </c>
      <c r="L24" s="47">
        <f t="shared" si="1"/>
        <v>0</v>
      </c>
      <c r="M24" s="30">
        <v>477111</v>
      </c>
      <c r="N24" s="87" t="b">
        <f t="shared" si="2"/>
        <v>1</v>
      </c>
    </row>
    <row r="25" spans="2:16" x14ac:dyDescent="0.3">
      <c r="B25" s="30" t="s">
        <v>23</v>
      </c>
      <c r="C25" s="30" t="s">
        <v>27</v>
      </c>
      <c r="D25" s="197">
        <f>(LNG사용량!D25/LNG사용량!$J25)*$K25</f>
        <v>70595787.508956119</v>
      </c>
      <c r="E25" s="184">
        <f>(LNG사용량!E25/LNG사용량!$J25)*$K25</f>
        <v>52548177.664669141</v>
      </c>
      <c r="F25" s="184">
        <f>(LNG사용량!F25/LNG사용량!$J25)*$K25</f>
        <v>292019762.46664381</v>
      </c>
      <c r="G25" s="184">
        <f>(LNG사용량!G25/LNG사용량!$J25)*$K25</f>
        <v>174879274.07704535</v>
      </c>
      <c r="H25" s="184">
        <f>(LNG사용량!H25/LNG사용량!$J25)*$K25</f>
        <v>191742027.67286769</v>
      </c>
      <c r="I25" s="184">
        <f>(LNG사용량!I25/LNG사용량!$J25)*$K25</f>
        <v>2963212.7700854223</v>
      </c>
      <c r="J25" s="47">
        <f t="shared" si="0"/>
        <v>784748242.16026747</v>
      </c>
      <c r="K25" s="47">
        <f>((LNG사용량!J25-999999)*SUMIFS(LNG요금적용DB!G:G,LNG요금적용DB!D:D,B25,LNG요금적용DB!E:E,C25,LNG요금적용DB!F:F,$B$3)*SUMIFS(LNG요금적용DB!H:H,LNG요금적용DB!D:D,B25,LNG요금적용DB!E:E,C25,LNG요금적용DB!F:F,$B$3))+(999999*SUMIFS(LNG요금적용DB!G:G,LNG요금적용DB!D:D,B25,LNG요금적용DB!E:E,C25,LNG요금적용DB!F:F,$B$2)*SUMIFS(LNG요금적용DB!H:H,LNG요금적용DB!D:D,B25,LNG요금적용DB!E:E,C25,LNG요금적용DB!F:F,$B$2))-M25</f>
        <v>784748242.16026747</v>
      </c>
      <c r="L25" s="47">
        <f t="shared" si="1"/>
        <v>0</v>
      </c>
      <c r="M25" s="30">
        <v>318619</v>
      </c>
      <c r="N25" s="87" t="b">
        <f t="shared" si="2"/>
        <v>1</v>
      </c>
    </row>
    <row r="26" spans="2:16" x14ac:dyDescent="0.3">
      <c r="B26" s="30" t="s">
        <v>23</v>
      </c>
      <c r="C26" s="30" t="s">
        <v>29</v>
      </c>
      <c r="D26" s="197">
        <f>IFERROR((LNG사용량!D26/LNG사용량!$J26)*$K26,0)</f>
        <v>55877859.127254859</v>
      </c>
      <c r="E26" s="184">
        <f>(LNG사용량!E26/LNG사용량!$J26)*$K26</f>
        <v>46910246.06689588</v>
      </c>
      <c r="F26" s="184">
        <f>(LNG사용량!F26/LNG사용량!$J26)*$K26</f>
        <v>352173801.61713898</v>
      </c>
      <c r="G26" s="184">
        <f>(LNG사용량!G26/LNG사용량!$J26)*$K26</f>
        <v>214326738.9691534</v>
      </c>
      <c r="H26" s="184">
        <f>(LNG사용량!H26/LNG사용량!$J26)*$K26</f>
        <v>181317481.82308912</v>
      </c>
      <c r="I26" s="184">
        <f>(LNG사용량!I26/LNG사용량!$J26)*$K26</f>
        <v>2859107.8189314813</v>
      </c>
      <c r="J26" s="47">
        <f t="shared" si="0"/>
        <v>853465235.42246377</v>
      </c>
      <c r="K26" s="47">
        <f>((LNG사용량!J26-999999)*SUMIFS(LNG요금적용DB!G:G,LNG요금적용DB!D:D,B26,LNG요금적용DB!E:E,C26,LNG요금적용DB!F:F,$B$3)*SUMIFS(LNG요금적용DB!H:H,LNG요금적용DB!D:D,B26,LNG요금적용DB!E:E,C26,LNG요금적용DB!F:F,$B$3))+(999999*SUMIFS(LNG요금적용DB!G:G,LNG요금적용DB!D:D,B26,LNG요금적용DB!E:E,C26,LNG요금적용DB!F:F,$B$2)*SUMIFS(LNG요금적용DB!H:H,LNG요금적용DB!D:D,B26,LNG요금적용DB!E:E,C26,LNG요금적용DB!F:F,$B$2))-M26</f>
        <v>853465235.42246377</v>
      </c>
      <c r="L26" s="47">
        <f t="shared" si="1"/>
        <v>0</v>
      </c>
      <c r="M26" s="30">
        <v>483298</v>
      </c>
      <c r="N26" s="87" t="b">
        <f t="shared" si="2"/>
        <v>1</v>
      </c>
    </row>
    <row r="27" spans="2:16" x14ac:dyDescent="0.3">
      <c r="B27" s="30" t="s">
        <v>23</v>
      </c>
      <c r="C27" s="30" t="s">
        <v>31</v>
      </c>
      <c r="D27" s="197">
        <f>IFERROR((LNG사용량!D27/LNG사용량!$J27)*$K27,0)</f>
        <v>51603737.908289902</v>
      </c>
      <c r="E27" s="184">
        <f>IFERROR((LNG사용량!E27/LNG사용량!$J27)*$K27,0)</f>
        <v>42240881.210702293</v>
      </c>
      <c r="F27" s="184">
        <f>IFERROR((LNG사용량!F27/LNG사용량!$J27)*$K27,0)</f>
        <v>288452790.84262496</v>
      </c>
      <c r="G27" s="184">
        <f>IFERROR((LNG사용량!G27/LNG사용량!$J27)*$K27,0)</f>
        <v>194154741.42840314</v>
      </c>
      <c r="H27" s="184">
        <f>IFERROR((LNG사용량!H27/LNG사용량!$J27)*$K27,0)</f>
        <v>175402901.45580643</v>
      </c>
      <c r="I27" s="184">
        <f>IFERROR((LNG사용량!I27/LNG사용량!$J27)*$K27,0)</f>
        <v>1971229.6914576145</v>
      </c>
      <c r="J27" s="47">
        <f t="shared" si="0"/>
        <v>753826282.53728449</v>
      </c>
      <c r="K27" s="47">
        <f>((LNG사용량!J27-999999)*SUMIFS(LNG요금적용DB!G:G,LNG요금적용DB!D:D,B27,LNG요금적용DB!E:E,C27,LNG요금적용DB!F:F,$B$3)*SUMIFS(LNG요금적용DB!H:H,LNG요금적용DB!D:D,B27,LNG요금적용DB!E:E,C27,LNG요금적용DB!F:F,$B$3))+(999999*SUMIFS(LNG요금적용DB!G:G,LNG요금적용DB!D:D,B27,LNG요금적용DB!E:E,C27,LNG요금적용DB!F:F,$B$2)*SUMIFS(LNG요금적용DB!H:H,LNG요금적용DB!D:D,B27,LNG요금적용DB!E:E,C27,LNG요금적용DB!F:F,$B$2))-M27</f>
        <v>753826282.53728437</v>
      </c>
      <c r="L27" s="47">
        <f t="shared" si="1"/>
        <v>0</v>
      </c>
      <c r="M27" s="30">
        <v>318590</v>
      </c>
      <c r="N27" s="87" t="b">
        <f t="shared" si="2"/>
        <v>1</v>
      </c>
      <c r="O27" s="54">
        <f>K27-753826283</f>
        <v>-0.46271562576293945</v>
      </c>
    </row>
    <row r="28" spans="2:16" x14ac:dyDescent="0.3">
      <c r="B28" s="30" t="s">
        <v>23</v>
      </c>
      <c r="C28" s="30" t="s">
        <v>33</v>
      </c>
      <c r="D28" s="197">
        <f>IFERROR((LNG사용량!D28/LNG사용량!$J28)*$K28,0)</f>
        <v>46971352.546275847</v>
      </c>
      <c r="E28" s="184">
        <f>IFERROR((LNG사용량!E28/LNG사용량!$J28)*$K28,0)</f>
        <v>49806418.896540493</v>
      </c>
      <c r="F28" s="184">
        <f>IFERROR((LNG사용량!F28/LNG사용량!$J28)*$K28,0)</f>
        <v>274061395.34638947</v>
      </c>
      <c r="G28" s="184">
        <f>IFERROR((LNG사용량!G28/LNG사용량!$J28)*$K28,0)</f>
        <v>192699902.67623869</v>
      </c>
      <c r="H28" s="184">
        <f>IFERROR((LNG사용량!H28/LNG사용량!$J28)*$K28,0)</f>
        <v>146799862.45062912</v>
      </c>
      <c r="I28" s="184">
        <f>IFERROR((LNG사용량!I28/LNG사용량!$J28)*$K28,0)</f>
        <v>987841.10484944517</v>
      </c>
      <c r="J28" s="47">
        <f t="shared" si="0"/>
        <v>711326773.02092302</v>
      </c>
      <c r="K28" s="47">
        <f>((LNG사용량!J28-999999)*SUMIFS(LNG요금적용DB!G:G,LNG요금적용DB!D:D,B28,LNG요금적용DB!E:E,C28,LNG요금적용DB!F:F,$B$3)*SUMIFS(LNG요금적용DB!H:H,LNG요금적용DB!D:D,B28,LNG요금적용DB!E:E,C28,LNG요금적용DB!F:F,$B$3))+(999999*SUMIFS(LNG요금적용DB!G:G,LNG요금적용DB!D:D,B28,LNG요금적용DB!E:E,C28,LNG요금적용DB!F:F,$B$2)*SUMIFS(LNG요금적용DB!H:H,LNG요금적용DB!D:D,B28,LNG요금적용DB!E:E,C28,LNG요금적용DB!F:F,$B$2))-M28</f>
        <v>711326773.02092302</v>
      </c>
      <c r="L28" s="47">
        <f t="shared" si="1"/>
        <v>0</v>
      </c>
      <c r="M28" s="30">
        <v>211210</v>
      </c>
      <c r="N28" s="87" t="b">
        <f t="shared" si="2"/>
        <v>1</v>
      </c>
      <c r="O28" s="54">
        <f>K28-711326773</f>
        <v>2.0923018455505371E-2</v>
      </c>
    </row>
    <row r="29" spans="2:16" x14ac:dyDescent="0.3">
      <c r="B29" s="30" t="s">
        <v>23</v>
      </c>
      <c r="C29" s="30" t="s">
        <v>35</v>
      </c>
      <c r="D29" s="197">
        <f>IFERROR((LNG사용량!D29/LNG사용량!$J29)*$K29,0)</f>
        <v>44819953.806514353</v>
      </c>
      <c r="E29" s="184">
        <f>IFERROR((LNG사용량!E29/LNG사용량!$J29)*$K29,0)</f>
        <v>53405801.108664691</v>
      </c>
      <c r="F29" s="184">
        <f>IFERROR((LNG사용량!F29/LNG사용량!$J29)*$K29,0)</f>
        <v>322477505.24326885</v>
      </c>
      <c r="G29" s="184">
        <f>IFERROR((LNG사용량!G29/LNG사용량!$J29)*$K29,0)</f>
        <v>223302602.88148966</v>
      </c>
      <c r="H29" s="184">
        <f>IFERROR((LNG사용량!H29/LNG사용량!$J29)*$K29,0)</f>
        <v>184481783.53215519</v>
      </c>
      <c r="I29" s="184">
        <f>IFERROR((LNG사용량!I29/LNG사용량!$J29)*$K29,0)</f>
        <v>1802996.4279072566</v>
      </c>
      <c r="J29" s="47">
        <f>INT(SUM(D29:I29))</f>
        <v>830290643</v>
      </c>
      <c r="K29" s="47">
        <f>INT(((LNG사용량!J29-999999)*SUMIFS(LNG요금적용DB!G:G,LNG요금적용DB!D:D,B29,LNG요금적용DB!E:E,C29,LNG요금적용DB!F:F,$B$3)*SUMIFS(LNG요금적용DB!H:H,LNG요금적용DB!D:D,B29,LNG요금적용DB!E:E,C29,LNG요금적용DB!F:F,$B$3))+(999999*SUMIFS(LNG요금적용DB!G:G,LNG요금적용DB!D:D,B29,LNG요금적용DB!E:E,C29,LNG요금적용DB!F:F,$B$2)*SUMIFS(LNG요금적용DB!H:H,LNG요금적용DB!D:D,B29,LNG요금적용DB!E:E,C29,LNG요금적용DB!F:F,$B$2))-M29)</f>
        <v>830290643</v>
      </c>
      <c r="L29" s="47">
        <f t="shared" si="1"/>
        <v>0</v>
      </c>
      <c r="M29" s="30">
        <v>513686</v>
      </c>
      <c r="N29" s="87" t="b">
        <f t="shared" si="2"/>
        <v>1</v>
      </c>
      <c r="O29" s="54"/>
      <c r="P29" s="30">
        <f>830804330-830290644</f>
        <v>513686</v>
      </c>
    </row>
    <row r="30" spans="2:16" x14ac:dyDescent="0.3">
      <c r="B30" s="30" t="s">
        <v>23</v>
      </c>
      <c r="C30" s="30" t="s">
        <v>37</v>
      </c>
      <c r="D30" s="197">
        <f>IFERROR((LNG사용량!D30/LNG사용량!$J30)*$K30,0)</f>
        <v>42784618.61318668</v>
      </c>
      <c r="E30" s="184">
        <f>IFERROR((LNG사용량!E30/LNG사용량!$J30)*$K30,0)</f>
        <v>48407454.353291295</v>
      </c>
      <c r="F30" s="184">
        <f>IFERROR((LNG사용량!F30/LNG사용량!$J30)*$K30,0)</f>
        <v>304935405.26546592</v>
      </c>
      <c r="G30" s="184">
        <f>IFERROR((LNG사용량!G30/LNG사용량!$J30)*$K30,0)</f>
        <v>187808648.38492525</v>
      </c>
      <c r="H30" s="184">
        <f>IFERROR((LNG사용량!H30/LNG사용량!$J30)*$K30,0)</f>
        <v>143993299.14735958</v>
      </c>
      <c r="I30" s="184">
        <f>IFERROR((LNG사용량!I30/LNG사용량!$J30)*$K30,0)</f>
        <v>1851854.2357713375</v>
      </c>
      <c r="J30" s="47">
        <f t="shared" si="0"/>
        <v>729781280.00000012</v>
      </c>
      <c r="K30" s="47">
        <f>INT(((LNG사용량!J30-999999)*SUMIFS(LNG요금적용DB!G:G,LNG요금적용DB!D:D,B30,LNG요금적용DB!E:E,C30,LNG요금적용DB!F:F,$B$3)*SUMIFS(LNG요금적용DB!H:H,LNG요금적용DB!D:D,B30,LNG요금적용DB!E:E,C30,LNG요금적용DB!F:F,$B$3))+(999999*SUMIFS(LNG요금적용DB!G:G,LNG요금적용DB!D:D,B30,LNG요금적용DB!E:E,C30,LNG요금적용DB!F:F,$B$2)*SUMIFS(LNG요금적용DB!H:H,LNG요금적용DB!D:D,B30,LNG요금적용DB!E:E,C30,LNG요금적용DB!F:F,$B$2))-M30)</f>
        <v>729781280</v>
      </c>
      <c r="L30" s="47">
        <f t="shared" si="1"/>
        <v>0</v>
      </c>
      <c r="M30" s="30">
        <v>938</v>
      </c>
      <c r="N30" s="87" t="b">
        <f t="shared" si="2"/>
        <v>1</v>
      </c>
      <c r="P30" s="30">
        <f>729782218-729781280</f>
        <v>938</v>
      </c>
    </row>
    <row r="31" spans="2:16" x14ac:dyDescent="0.3">
      <c r="B31" s="30" t="s">
        <v>23</v>
      </c>
      <c r="C31" s="30" t="s">
        <v>39</v>
      </c>
      <c r="D31" s="197">
        <f>IFERROR((LNG사용량!D31/LNG사용량!$J31)*$K31,0)</f>
        <v>38380010.833816059</v>
      </c>
      <c r="E31" s="184">
        <f>IFERROR((LNG사용량!E31/LNG사용량!$J31)*$K31,0)</f>
        <v>43419781.773353413</v>
      </c>
      <c r="F31" s="184">
        <f>IFERROR((LNG사용량!F31/LNG사용량!$J31)*$K31,0)</f>
        <v>294269152.76172328</v>
      </c>
      <c r="G31" s="184">
        <f>IFERROR((LNG사용량!G31/LNG사용량!$J31)*$K31,0)</f>
        <v>161680277.21151003</v>
      </c>
      <c r="H31" s="184">
        <f>IFERROR((LNG사용량!H31/LNG사용량!$J31)*$K31,0)</f>
        <v>120401952.63861443</v>
      </c>
      <c r="I31" s="184">
        <f>IFERROR((LNG사용량!I31/LNG사용량!$J31)*$K31,0)</f>
        <v>2693042.7809828036</v>
      </c>
      <c r="J31" s="47">
        <f t="shared" si="0"/>
        <v>660844218.00000012</v>
      </c>
      <c r="K31" s="47">
        <f>INT(((LNG사용량!J31-999999)*SUMIFS(LNG요금적용DB!G:G,LNG요금적용DB!D:D,B31,LNG요금적용DB!E:E,C31,LNG요금적용DB!F:F,$B$3)*SUMIFS(LNG요금적용DB!H:H,LNG요금적용DB!D:D,B31,LNG요금적용DB!E:E,C31,LNG요금적용DB!F:F,$B$3))+(999999*SUMIFS(LNG요금적용DB!G:G,LNG요금적용DB!D:D,B31,LNG요금적용DB!E:E,C31,LNG요금적용DB!F:F,$B$2)*SUMIFS(LNG요금적용DB!H:H,LNG요금적용DB!D:D,B31,LNG요금적용DB!E:E,C31,LNG요금적용DB!F:F,$B$2))-M31)</f>
        <v>660844218</v>
      </c>
      <c r="L31" s="47">
        <f t="shared" si="1"/>
        <v>0</v>
      </c>
      <c r="M31" s="30">
        <v>1738</v>
      </c>
      <c r="N31" s="87" t="b">
        <f t="shared" si="2"/>
        <v>1</v>
      </c>
      <c r="P31" s="54">
        <f>660845956-660844218</f>
        <v>1738</v>
      </c>
    </row>
    <row r="32" spans="2:16" x14ac:dyDescent="0.3">
      <c r="B32" s="30" t="s">
        <v>23</v>
      </c>
      <c r="C32" s="30" t="s">
        <v>41</v>
      </c>
      <c r="D32" s="197">
        <f>IFERROR((LNG사용량!D32/LNG사용량!$J32)*$K32,0)</f>
        <v>0</v>
      </c>
      <c r="E32" s="184">
        <f>IFERROR((LNG사용량!E32/LNG사용량!$J32)*$K32,0)</f>
        <v>0</v>
      </c>
      <c r="F32" s="184">
        <f>IFERROR((LNG사용량!F32/LNG사용량!$J32)*$K32,0)</f>
        <v>0</v>
      </c>
      <c r="G32" s="184">
        <f>IFERROR((LNG사용량!G32/LNG사용량!$J32)*$K32,0)</f>
        <v>0</v>
      </c>
      <c r="H32" s="184">
        <f>IFERROR((LNG사용량!H32/LNG사용량!$J32)*$K32,0)</f>
        <v>0</v>
      </c>
      <c r="I32" s="184">
        <f>IFERROR((LNG사용량!I32/LNG사용량!$J32)*$K32,0)</f>
        <v>0</v>
      </c>
      <c r="J32" s="47">
        <f t="shared" si="0"/>
        <v>0</v>
      </c>
      <c r="K32" s="47">
        <f>INT(((LNG사용량!J32-999999)*SUMIFS(LNG요금적용DB!G:G,LNG요금적용DB!D:D,B32,LNG요금적용DB!E:E,C32,LNG요금적용DB!F:F,$B$3)*SUMIFS(LNG요금적용DB!H:H,LNG요금적용DB!D:D,B32,LNG요금적용DB!E:E,C32,LNG요금적용DB!F:F,$B$3))+(999999*SUMIFS(LNG요금적용DB!G:G,LNG요금적용DB!D:D,B32,LNG요금적용DB!E:E,C32,LNG요금적용DB!F:F,$B$2)*SUMIFS(LNG요금적용DB!H:H,LNG요금적용DB!D:D,B32,LNG요금적용DB!E:E,C32,LNG요금적용DB!F:F,$B$2))-M32)</f>
        <v>0</v>
      </c>
      <c r="L32" s="47">
        <f t="shared" si="1"/>
        <v>0</v>
      </c>
      <c r="N32" s="87" t="b">
        <f t="shared" si="2"/>
        <v>1</v>
      </c>
    </row>
    <row r="33" spans="2:14" x14ac:dyDescent="0.3">
      <c r="B33" s="30" t="s">
        <v>23</v>
      </c>
      <c r="C33" s="30" t="s">
        <v>43</v>
      </c>
      <c r="D33" s="197">
        <f>IFERROR((LNG사용량!D33/LNG사용량!$J33)*$K33,0)</f>
        <v>0</v>
      </c>
      <c r="E33" s="184">
        <f>IFERROR((LNG사용량!E33/LNG사용량!$J33)*$K33,0)</f>
        <v>0</v>
      </c>
      <c r="F33" s="184">
        <f>IFERROR((LNG사용량!F33/LNG사용량!$J33)*$K33,0)</f>
        <v>0</v>
      </c>
      <c r="G33" s="184">
        <f>IFERROR((LNG사용량!G33/LNG사용량!$J33)*$K33,0)</f>
        <v>0</v>
      </c>
      <c r="H33" s="184">
        <f>IFERROR((LNG사용량!H33/LNG사용량!$J33)*$K33,0)</f>
        <v>0</v>
      </c>
      <c r="I33" s="184">
        <f>IFERROR((LNG사용량!I33/LNG사용량!$J33)*$K33,0)</f>
        <v>0</v>
      </c>
      <c r="J33" s="47">
        <f t="shared" si="0"/>
        <v>0</v>
      </c>
      <c r="K33" s="47">
        <f>INT(((LNG사용량!J33-999999)*SUMIFS(LNG요금적용DB!G:G,LNG요금적용DB!D:D,B33,LNG요금적용DB!E:E,C33,LNG요금적용DB!F:F,$B$3)*SUMIFS(LNG요금적용DB!H:H,LNG요금적용DB!D:D,B33,LNG요금적용DB!E:E,C33,LNG요금적용DB!F:F,$B$3))+(999999*SUMIFS(LNG요금적용DB!G:G,LNG요금적용DB!D:D,B33,LNG요금적용DB!E:E,C33,LNG요금적용DB!F:F,$B$2)*SUMIFS(LNG요금적용DB!H:H,LNG요금적용DB!D:D,B33,LNG요금적용DB!E:E,C33,LNG요금적용DB!F:F,$B$2))-M33)</f>
        <v>0</v>
      </c>
      <c r="L33" s="47">
        <f t="shared" si="1"/>
        <v>0</v>
      </c>
      <c r="N33" s="87" t="b">
        <f t="shared" si="2"/>
        <v>1</v>
      </c>
    </row>
    <row r="34" spans="2:14" x14ac:dyDescent="0.3">
      <c r="B34" s="30" t="s">
        <v>23</v>
      </c>
      <c r="C34" s="30" t="s">
        <v>45</v>
      </c>
      <c r="D34" s="197">
        <f>IFERROR((LNG사용량!D34/LNG사용량!$J34)*$K34,0)</f>
        <v>0</v>
      </c>
      <c r="E34" s="184">
        <f>IFERROR((LNG사용량!E34/LNG사용량!$J34)*$K34,0)</f>
        <v>0</v>
      </c>
      <c r="F34" s="184">
        <f>IFERROR((LNG사용량!F34/LNG사용량!$J34)*$K34,0)</f>
        <v>0</v>
      </c>
      <c r="G34" s="184">
        <f>IFERROR((LNG사용량!G34/LNG사용량!$J34)*$K34,0)</f>
        <v>0</v>
      </c>
      <c r="H34" s="184">
        <f>IFERROR((LNG사용량!H34/LNG사용량!$J34)*$K34,0)</f>
        <v>0</v>
      </c>
      <c r="I34" s="184">
        <f>IFERROR((LNG사용량!I34/LNG사용량!$J34)*$K34,0)</f>
        <v>0</v>
      </c>
      <c r="J34" s="47">
        <f t="shared" si="0"/>
        <v>0</v>
      </c>
      <c r="K34" s="47">
        <f>INT(((LNG사용량!J34-999999)*SUMIFS(LNG요금적용DB!G:G,LNG요금적용DB!D:D,B34,LNG요금적용DB!E:E,C34,LNG요금적용DB!F:F,$B$3)*SUMIFS(LNG요금적용DB!H:H,LNG요금적용DB!D:D,B34,LNG요금적용DB!E:E,C34,LNG요금적용DB!F:F,$B$3))+(999999*SUMIFS(LNG요금적용DB!G:G,LNG요금적용DB!D:D,B34,LNG요금적용DB!E:E,C34,LNG요금적용DB!F:F,$B$2)*SUMIFS(LNG요금적용DB!H:H,LNG요금적용DB!D:D,B34,LNG요금적용DB!E:E,C34,LNG요금적용DB!F:F,$B$2))-M34)</f>
        <v>0</v>
      </c>
      <c r="L34" s="47">
        <f t="shared" si="1"/>
        <v>0</v>
      </c>
      <c r="N34" s="87" t="b">
        <f t="shared" si="2"/>
        <v>1</v>
      </c>
    </row>
    <row r="35" spans="2:14" x14ac:dyDescent="0.3">
      <c r="B35" s="30" t="s">
        <v>23</v>
      </c>
      <c r="C35" s="30" t="s">
        <v>47</v>
      </c>
      <c r="D35" s="197">
        <f>IFERROR((LNG사용량!D35/LNG사용량!$J35)*$K35,0)</f>
        <v>0</v>
      </c>
      <c r="E35" s="184">
        <f>IFERROR((LNG사용량!E35/LNG사용량!$J35)*$K35,0)</f>
        <v>0</v>
      </c>
      <c r="F35" s="184">
        <f>IFERROR((LNG사용량!F35/LNG사용량!$J35)*$K35,0)</f>
        <v>0</v>
      </c>
      <c r="G35" s="184">
        <f>IFERROR((LNG사용량!G35/LNG사용량!$J35)*$K35,0)</f>
        <v>0</v>
      </c>
      <c r="H35" s="184">
        <f>IFERROR((LNG사용량!H35/LNG사용량!$J35)*$K35,0)</f>
        <v>0</v>
      </c>
      <c r="I35" s="184">
        <f>IFERROR((LNG사용량!I35/LNG사용량!$J35)*$K35,0)</f>
        <v>0</v>
      </c>
      <c r="J35" s="47">
        <f t="shared" si="0"/>
        <v>0</v>
      </c>
      <c r="K35" s="47">
        <f>INT(((LNG사용량!J35-999999)*SUMIFS(LNG요금적용DB!G:G,LNG요금적용DB!D:D,B35,LNG요금적용DB!E:E,C35,LNG요금적용DB!F:F,$B$3)*SUMIFS(LNG요금적용DB!H:H,LNG요금적용DB!D:D,B35,LNG요금적용DB!E:E,C35,LNG요금적용DB!F:F,$B$3))+(999999*SUMIFS(LNG요금적용DB!G:G,LNG요금적용DB!D:D,B35,LNG요금적용DB!E:E,C35,LNG요금적용DB!F:F,$B$2)*SUMIFS(LNG요금적용DB!H:H,LNG요금적용DB!D:D,B35,LNG요금적용DB!E:E,C35,LNG요금적용DB!F:F,$B$2))-M35)</f>
        <v>0</v>
      </c>
      <c r="L35" s="47">
        <f t="shared" si="1"/>
        <v>0</v>
      </c>
      <c r="N35" s="87" t="b">
        <f t="shared" si="2"/>
        <v>1</v>
      </c>
    </row>
    <row r="36" spans="2:14" x14ac:dyDescent="0.3">
      <c r="B36" s="38" t="s">
        <v>412</v>
      </c>
      <c r="C36" s="38" t="s">
        <v>424</v>
      </c>
      <c r="D36" s="193">
        <f>SUM(D24:D26)</f>
        <v>213625114.0532518</v>
      </c>
      <c r="E36" s="193">
        <f t="shared" ref="E36:I36" si="7">SUM(E24:E26)</f>
        <v>141389905.81628159</v>
      </c>
      <c r="F36" s="193">
        <f t="shared" si="7"/>
        <v>956092756.02330256</v>
      </c>
      <c r="G36" s="193">
        <f t="shared" si="7"/>
        <v>605255282.09198403</v>
      </c>
      <c r="H36" s="193">
        <f t="shared" si="7"/>
        <v>563354099.44697189</v>
      </c>
      <c r="I36" s="193">
        <f t="shared" si="7"/>
        <v>9206276.3333186768</v>
      </c>
      <c r="J36" s="193">
        <f t="shared" ref="J36:J39" si="8">SUM(D36:I36)</f>
        <v>2488923433.765111</v>
      </c>
    </row>
    <row r="37" spans="2:14" x14ac:dyDescent="0.3">
      <c r="B37" s="38" t="s">
        <v>413</v>
      </c>
      <c r="C37" s="38" t="s">
        <v>417</v>
      </c>
      <c r="D37" s="193">
        <f>SUM(D27:D29)</f>
        <v>143395044.26108009</v>
      </c>
      <c r="E37" s="193">
        <f t="shared" ref="E37:I37" si="9">SUM(E27:E29)</f>
        <v>145453101.21590748</v>
      </c>
      <c r="F37" s="193">
        <f t="shared" si="9"/>
        <v>884991691.43228328</v>
      </c>
      <c r="G37" s="193">
        <f t="shared" si="9"/>
        <v>610157246.98613143</v>
      </c>
      <c r="H37" s="193">
        <f t="shared" si="9"/>
        <v>506684547.43859076</v>
      </c>
      <c r="I37" s="193">
        <f t="shared" si="9"/>
        <v>4762067.2242143163</v>
      </c>
      <c r="J37" s="193">
        <f t="shared" si="8"/>
        <v>2295443698.5582075</v>
      </c>
    </row>
    <row r="38" spans="2:14" x14ac:dyDescent="0.3">
      <c r="B38" s="38" t="s">
        <v>414</v>
      </c>
      <c r="C38" s="38" t="s">
        <v>419</v>
      </c>
      <c r="D38" s="193">
        <f>SUM(D30:D32)</f>
        <v>81164629.447002739</v>
      </c>
      <c r="E38" s="193">
        <f t="shared" ref="E38:I38" si="10">SUM(E30:E32)</f>
        <v>91827236.126644701</v>
      </c>
      <c r="F38" s="193">
        <f t="shared" si="10"/>
        <v>599204558.02718925</v>
      </c>
      <c r="G38" s="193">
        <f t="shared" si="10"/>
        <v>349488925.59643531</v>
      </c>
      <c r="H38" s="193">
        <f t="shared" si="10"/>
        <v>264395251.78597403</v>
      </c>
      <c r="I38" s="193">
        <f t="shared" si="10"/>
        <v>4544897.0167541411</v>
      </c>
      <c r="J38" s="193">
        <f t="shared" si="8"/>
        <v>1390625498.0000002</v>
      </c>
    </row>
    <row r="39" spans="2:14" x14ac:dyDescent="0.3">
      <c r="B39" s="38" t="s">
        <v>415</v>
      </c>
      <c r="C39" s="38" t="s">
        <v>421</v>
      </c>
      <c r="D39" s="193">
        <f>SUM(D33:D35)</f>
        <v>0</v>
      </c>
      <c r="E39" s="193">
        <f t="shared" ref="E39:I39" si="11">SUM(E33:E35)</f>
        <v>0</v>
      </c>
      <c r="F39" s="193">
        <f t="shared" si="11"/>
        <v>0</v>
      </c>
      <c r="G39" s="193">
        <f t="shared" si="11"/>
        <v>0</v>
      </c>
      <c r="H39" s="193">
        <f t="shared" si="11"/>
        <v>0</v>
      </c>
      <c r="I39" s="193">
        <f t="shared" si="11"/>
        <v>0</v>
      </c>
      <c r="J39" s="193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93"/>
  <sheetViews>
    <sheetView topLeftCell="A67" workbookViewId="0">
      <selection activeCell="F79" sqref="F79"/>
    </sheetView>
  </sheetViews>
  <sheetFormatPr defaultRowHeight="16.5" x14ac:dyDescent="0.3"/>
  <cols>
    <col min="1" max="1" width="9" style="30"/>
    <col min="4" max="4" width="9" style="30"/>
    <col min="6" max="12" width="9" style="30"/>
    <col min="13" max="13" width="9" style="186"/>
    <col min="14" max="14" width="9" style="30"/>
    <col min="25" max="25" width="9" style="186"/>
  </cols>
  <sheetData>
    <row r="1" spans="3:28" s="30" customFormat="1" x14ac:dyDescent="0.3">
      <c r="M1" s="187"/>
      <c r="Y1" s="187"/>
    </row>
    <row r="2" spans="3:28" x14ac:dyDescent="0.3">
      <c r="M2" s="187"/>
      <c r="T2" s="30"/>
      <c r="U2" s="30"/>
      <c r="V2" s="30"/>
      <c r="W2" s="30"/>
      <c r="Y2" s="187"/>
    </row>
    <row r="3" spans="3:28" x14ac:dyDescent="0.3">
      <c r="C3" t="s">
        <v>348</v>
      </c>
      <c r="D3" s="30" t="s">
        <v>59</v>
      </c>
      <c r="E3" t="s">
        <v>349</v>
      </c>
      <c r="F3" s="82" t="s">
        <v>350</v>
      </c>
      <c r="G3" s="82" t="s">
        <v>351</v>
      </c>
      <c r="H3" s="82" t="s">
        <v>352</v>
      </c>
      <c r="I3" s="82" t="s">
        <v>78</v>
      </c>
      <c r="J3" s="82" t="s">
        <v>87</v>
      </c>
      <c r="K3" s="82" t="s">
        <v>88</v>
      </c>
      <c r="L3" s="82" t="s">
        <v>356</v>
      </c>
      <c r="M3" s="185" t="s">
        <v>405</v>
      </c>
      <c r="O3" s="30" t="s">
        <v>348</v>
      </c>
      <c r="P3" s="30" t="s">
        <v>59</v>
      </c>
      <c r="Q3" s="30" t="s">
        <v>349</v>
      </c>
      <c r="R3" s="82" t="s">
        <v>350</v>
      </c>
      <c r="S3" s="82" t="s">
        <v>351</v>
      </c>
      <c r="T3" s="82" t="s">
        <v>352</v>
      </c>
      <c r="U3" s="82" t="s">
        <v>78</v>
      </c>
      <c r="V3" s="82" t="s">
        <v>87</v>
      </c>
      <c r="W3" s="82" t="s">
        <v>88</v>
      </c>
      <c r="X3" s="82" t="s">
        <v>356</v>
      </c>
      <c r="Y3" s="185" t="s">
        <v>405</v>
      </c>
    </row>
    <row r="4" spans="3:28" hidden="1" x14ac:dyDescent="0.3">
      <c r="C4" t="s">
        <v>22</v>
      </c>
      <c r="D4" s="30" t="s">
        <v>353</v>
      </c>
      <c r="E4" t="s">
        <v>325</v>
      </c>
      <c r="F4" s="30">
        <v>987.34999999999991</v>
      </c>
      <c r="H4" s="30">
        <v>112.84</v>
      </c>
      <c r="I4" s="30">
        <v>366.73</v>
      </c>
      <c r="J4" s="30">
        <v>705.25</v>
      </c>
      <c r="K4" s="30">
        <v>648.83000000000004</v>
      </c>
      <c r="L4" s="30">
        <f t="shared" ref="L4:L59" si="0">SUM(F4:K4)</f>
        <v>2821</v>
      </c>
      <c r="O4" s="30" t="s">
        <v>22</v>
      </c>
      <c r="P4" s="30" t="s">
        <v>353</v>
      </c>
      <c r="Q4" s="30" t="s">
        <v>325</v>
      </c>
      <c r="R4" s="30">
        <v>3945955.9999999995</v>
      </c>
      <c r="S4" s="30"/>
      <c r="T4" s="30">
        <v>450966.4</v>
      </c>
      <c r="U4" s="30">
        <v>1465640.8</v>
      </c>
      <c r="V4" s="30">
        <v>2818540</v>
      </c>
      <c r="W4" s="30">
        <v>2593056.8000000003</v>
      </c>
      <c r="X4" s="30">
        <f t="shared" ref="X4:X59" si="1">SUM(R4:W4)</f>
        <v>11274160</v>
      </c>
      <c r="Z4" s="30"/>
      <c r="AA4" s="30"/>
      <c r="AB4" s="30"/>
    </row>
    <row r="5" spans="3:28" hidden="1" x14ac:dyDescent="0.3">
      <c r="C5" s="30" t="s">
        <v>22</v>
      </c>
      <c r="D5" s="30" t="s">
        <v>353</v>
      </c>
      <c r="E5" s="30" t="s">
        <v>27</v>
      </c>
      <c r="F5" s="30">
        <v>970.19999999999993</v>
      </c>
      <c r="H5" s="30">
        <v>110.88</v>
      </c>
      <c r="I5" s="30">
        <v>360.36</v>
      </c>
      <c r="J5" s="30">
        <v>693</v>
      </c>
      <c r="K5" s="30">
        <v>637.56000000000006</v>
      </c>
      <c r="L5" s="30">
        <f t="shared" si="0"/>
        <v>2772</v>
      </c>
      <c r="O5" s="30" t="s">
        <v>22</v>
      </c>
      <c r="P5" s="30" t="s">
        <v>353</v>
      </c>
      <c r="Q5" s="30" t="s">
        <v>27</v>
      </c>
      <c r="R5" s="30">
        <v>3874268.9999999995</v>
      </c>
      <c r="S5" s="30"/>
      <c r="T5" s="30">
        <v>442773.60000000003</v>
      </c>
      <c r="U5" s="30">
        <v>1439014.2</v>
      </c>
      <c r="V5" s="30">
        <v>2767335</v>
      </c>
      <c r="W5" s="30">
        <v>2545948.2000000002</v>
      </c>
      <c r="X5" s="30">
        <f t="shared" si="1"/>
        <v>11069340</v>
      </c>
      <c r="Z5" s="30"/>
      <c r="AA5" s="30"/>
      <c r="AB5" s="30"/>
    </row>
    <row r="6" spans="3:28" hidden="1" x14ac:dyDescent="0.3">
      <c r="C6" s="30" t="s">
        <v>22</v>
      </c>
      <c r="D6" s="30" t="s">
        <v>353</v>
      </c>
      <c r="E6" s="30" t="s">
        <v>29</v>
      </c>
      <c r="F6" s="30">
        <v>923.3</v>
      </c>
      <c r="H6" s="30">
        <v>105.52</v>
      </c>
      <c r="I6" s="30">
        <v>342.94</v>
      </c>
      <c r="J6" s="30">
        <v>659.5</v>
      </c>
      <c r="K6" s="30">
        <v>606.74</v>
      </c>
      <c r="L6" s="30">
        <f t="shared" si="0"/>
        <v>2638</v>
      </c>
      <c r="O6" s="30" t="s">
        <v>22</v>
      </c>
      <c r="P6" s="30" t="s">
        <v>353</v>
      </c>
      <c r="Q6" s="30" t="s">
        <v>29</v>
      </c>
      <c r="R6" s="30">
        <v>3678226.9999999995</v>
      </c>
      <c r="S6" s="30"/>
      <c r="T6" s="30">
        <v>420368.8</v>
      </c>
      <c r="U6" s="30">
        <v>1366198.6</v>
      </c>
      <c r="V6" s="30">
        <v>2627305</v>
      </c>
      <c r="W6" s="30">
        <v>2417120.6</v>
      </c>
      <c r="X6" s="30">
        <f t="shared" si="1"/>
        <v>10509220</v>
      </c>
      <c r="Z6" s="30"/>
      <c r="AA6" s="30"/>
      <c r="AB6" s="30"/>
    </row>
    <row r="7" spans="3:28" hidden="1" x14ac:dyDescent="0.3">
      <c r="C7" s="30" t="s">
        <v>22</v>
      </c>
      <c r="D7" s="30" t="s">
        <v>353</v>
      </c>
      <c r="E7" s="30" t="s">
        <v>31</v>
      </c>
      <c r="F7" s="30">
        <v>936.59999999999991</v>
      </c>
      <c r="H7" s="30">
        <v>107.04</v>
      </c>
      <c r="I7" s="30">
        <v>347.88</v>
      </c>
      <c r="J7" s="30">
        <v>669</v>
      </c>
      <c r="K7" s="30">
        <v>615.48</v>
      </c>
      <c r="L7" s="30">
        <f t="shared" si="0"/>
        <v>2676</v>
      </c>
      <c r="O7" s="30" t="s">
        <v>22</v>
      </c>
      <c r="P7" s="30" t="s">
        <v>353</v>
      </c>
      <c r="Q7" s="30" t="s">
        <v>31</v>
      </c>
      <c r="R7" s="30">
        <v>3733820.9999999995</v>
      </c>
      <c r="S7" s="30"/>
      <c r="T7" s="30">
        <v>426722.4</v>
      </c>
      <c r="U7" s="30">
        <v>1386847.8</v>
      </c>
      <c r="V7" s="30">
        <v>2667015</v>
      </c>
      <c r="W7" s="30">
        <v>2453653.8000000003</v>
      </c>
      <c r="X7" s="30">
        <f t="shared" si="1"/>
        <v>10668060</v>
      </c>
      <c r="Z7" s="30"/>
      <c r="AA7" s="30"/>
      <c r="AB7" s="30"/>
    </row>
    <row r="8" spans="3:28" hidden="1" x14ac:dyDescent="0.3">
      <c r="C8" s="30" t="s">
        <v>22</v>
      </c>
      <c r="D8" s="30" t="s">
        <v>353</v>
      </c>
      <c r="E8" s="30" t="s">
        <v>33</v>
      </c>
      <c r="F8" s="30">
        <v>1128.05</v>
      </c>
      <c r="H8" s="30">
        <v>128.92000000000002</v>
      </c>
      <c r="I8" s="30">
        <v>418.99</v>
      </c>
      <c r="J8" s="30">
        <v>805.75</v>
      </c>
      <c r="K8" s="30">
        <v>741.29000000000008</v>
      </c>
      <c r="L8" s="30">
        <f t="shared" si="0"/>
        <v>3223</v>
      </c>
      <c r="O8" s="30" t="s">
        <v>22</v>
      </c>
      <c r="P8" s="30" t="s">
        <v>353</v>
      </c>
      <c r="Q8" s="30" t="s">
        <v>33</v>
      </c>
      <c r="R8" s="30">
        <v>4534082</v>
      </c>
      <c r="S8" s="30"/>
      <c r="T8" s="30">
        <v>518180.8</v>
      </c>
      <c r="U8" s="30">
        <v>1684087.6</v>
      </c>
      <c r="V8" s="30">
        <v>3238630</v>
      </c>
      <c r="W8" s="30">
        <v>2979539.6</v>
      </c>
      <c r="X8" s="30">
        <f t="shared" si="1"/>
        <v>12954520</v>
      </c>
      <c r="Z8" s="30"/>
      <c r="AA8" s="30"/>
      <c r="AB8" s="30"/>
    </row>
    <row r="9" spans="3:28" hidden="1" x14ac:dyDescent="0.3">
      <c r="C9" s="30" t="s">
        <v>22</v>
      </c>
      <c r="D9" s="30" t="s">
        <v>353</v>
      </c>
      <c r="E9" s="30" t="s">
        <v>35</v>
      </c>
      <c r="F9" s="30">
        <v>885.15</v>
      </c>
      <c r="H9" s="30">
        <v>101.16</v>
      </c>
      <c r="I9" s="30">
        <v>328.77000000000004</v>
      </c>
      <c r="J9" s="30">
        <v>632.25</v>
      </c>
      <c r="K9" s="30">
        <v>581.67000000000007</v>
      </c>
      <c r="L9" s="30">
        <f t="shared" si="0"/>
        <v>2529</v>
      </c>
      <c r="O9" s="30" t="s">
        <v>22</v>
      </c>
      <c r="P9" s="30" t="s">
        <v>353</v>
      </c>
      <c r="Q9" s="30" t="s">
        <v>35</v>
      </c>
      <c r="R9" s="30">
        <v>1822149</v>
      </c>
      <c r="S9" s="30"/>
      <c r="T9" s="30">
        <v>208245.6</v>
      </c>
      <c r="U9" s="30">
        <v>676798.20000000007</v>
      </c>
      <c r="V9" s="30">
        <v>1301535</v>
      </c>
      <c r="W9" s="30">
        <v>1197412.2</v>
      </c>
      <c r="X9" s="30">
        <f t="shared" si="1"/>
        <v>5206140</v>
      </c>
      <c r="Z9" s="30"/>
      <c r="AA9" s="30"/>
      <c r="AB9" s="30"/>
    </row>
    <row r="10" spans="3:28" hidden="1" x14ac:dyDescent="0.3">
      <c r="C10" s="30" t="s">
        <v>22</v>
      </c>
      <c r="D10" s="30" t="s">
        <v>353</v>
      </c>
      <c r="E10" s="30" t="s">
        <v>37</v>
      </c>
      <c r="F10" s="30">
        <v>882.69999999999993</v>
      </c>
      <c r="H10" s="30">
        <v>100.88</v>
      </c>
      <c r="I10" s="30">
        <v>327.86</v>
      </c>
      <c r="J10" s="30">
        <v>630.5</v>
      </c>
      <c r="K10" s="30">
        <v>580.06000000000006</v>
      </c>
      <c r="L10" s="30">
        <f t="shared" si="0"/>
        <v>2522</v>
      </c>
      <c r="O10" s="30" t="s">
        <v>22</v>
      </c>
      <c r="P10" s="30" t="s">
        <v>353</v>
      </c>
      <c r="Q10" s="30" t="s">
        <v>37</v>
      </c>
      <c r="R10" s="30">
        <v>3508519</v>
      </c>
      <c r="S10" s="30"/>
      <c r="T10" s="30">
        <v>400973.60000000003</v>
      </c>
      <c r="U10" s="30">
        <v>1303164.2</v>
      </c>
      <c r="V10" s="30">
        <v>2506085</v>
      </c>
      <c r="W10" s="30">
        <v>2305598.2000000002</v>
      </c>
      <c r="X10" s="30">
        <f t="shared" si="1"/>
        <v>10024340</v>
      </c>
      <c r="Z10" s="30"/>
      <c r="AA10" s="30"/>
      <c r="AB10" s="30"/>
    </row>
    <row r="11" spans="3:28" hidden="1" x14ac:dyDescent="0.3">
      <c r="C11" s="30" t="s">
        <v>22</v>
      </c>
      <c r="D11" s="30" t="s">
        <v>353</v>
      </c>
      <c r="E11" s="30" t="s">
        <v>39</v>
      </c>
      <c r="F11" s="30">
        <v>1323.35</v>
      </c>
      <c r="H11" s="30">
        <v>151.24</v>
      </c>
      <c r="I11" s="30">
        <v>491.53000000000003</v>
      </c>
      <c r="J11" s="30">
        <v>945.25</v>
      </c>
      <c r="K11" s="30">
        <v>869.63</v>
      </c>
      <c r="L11" s="30">
        <f t="shared" si="0"/>
        <v>3781</v>
      </c>
      <c r="O11" s="30" t="s">
        <v>22</v>
      </c>
      <c r="P11" s="30" t="s">
        <v>353</v>
      </c>
      <c r="Q11" s="30" t="s">
        <v>39</v>
      </c>
      <c r="R11" s="30">
        <v>5350436</v>
      </c>
      <c r="S11" s="30"/>
      <c r="T11" s="30">
        <v>611478.4</v>
      </c>
      <c r="U11" s="30">
        <v>1987304.8</v>
      </c>
      <c r="V11" s="30">
        <v>3821740</v>
      </c>
      <c r="W11" s="30">
        <v>3516000.8000000003</v>
      </c>
      <c r="X11" s="30">
        <f t="shared" si="1"/>
        <v>15286960</v>
      </c>
      <c r="Z11" s="30"/>
      <c r="AA11" s="30"/>
      <c r="AB11" s="30"/>
    </row>
    <row r="12" spans="3:28" hidden="1" x14ac:dyDescent="0.3">
      <c r="C12" s="30" t="s">
        <v>22</v>
      </c>
      <c r="D12" s="30" t="s">
        <v>353</v>
      </c>
      <c r="E12" s="30" t="s">
        <v>41</v>
      </c>
      <c r="F12" s="30">
        <v>972.99999999999989</v>
      </c>
      <c r="H12" s="30">
        <v>111.2</v>
      </c>
      <c r="I12" s="30">
        <v>361.40000000000003</v>
      </c>
      <c r="J12" s="30">
        <v>695</v>
      </c>
      <c r="K12" s="30">
        <v>639.4</v>
      </c>
      <c r="L12" s="30">
        <f t="shared" si="0"/>
        <v>2780</v>
      </c>
      <c r="O12" s="30" t="s">
        <v>22</v>
      </c>
      <c r="P12" s="30" t="s">
        <v>353</v>
      </c>
      <c r="Q12" s="30" t="s">
        <v>41</v>
      </c>
      <c r="R12" s="30">
        <v>3885972.9999999995</v>
      </c>
      <c r="S12" s="30"/>
      <c r="T12" s="30">
        <v>444111.2</v>
      </c>
      <c r="U12" s="30">
        <v>1443361.4000000001</v>
      </c>
      <c r="V12" s="30">
        <v>2775695</v>
      </c>
      <c r="W12" s="30">
        <v>2553639.4</v>
      </c>
      <c r="X12" s="30">
        <f t="shared" si="1"/>
        <v>11102780</v>
      </c>
      <c r="Z12" s="30"/>
      <c r="AA12" s="30"/>
      <c r="AB12" s="30"/>
    </row>
    <row r="13" spans="3:28" hidden="1" x14ac:dyDescent="0.3">
      <c r="C13" s="30" t="s">
        <v>22</v>
      </c>
      <c r="D13" s="30" t="s">
        <v>353</v>
      </c>
      <c r="E13" s="30" t="s">
        <v>43</v>
      </c>
      <c r="F13" s="30">
        <v>1159.8999999999999</v>
      </c>
      <c r="H13" s="30">
        <v>132.56</v>
      </c>
      <c r="I13" s="30">
        <v>430.82</v>
      </c>
      <c r="J13" s="30">
        <v>828.5</v>
      </c>
      <c r="K13" s="30">
        <v>762.22</v>
      </c>
      <c r="L13" s="30">
        <f t="shared" si="0"/>
        <v>3314</v>
      </c>
      <c r="O13" s="30" t="s">
        <v>22</v>
      </c>
      <c r="P13" s="30" t="s">
        <v>353</v>
      </c>
      <c r="Q13" s="30" t="s">
        <v>43</v>
      </c>
      <c r="R13" s="30">
        <v>4667215</v>
      </c>
      <c r="S13" s="30"/>
      <c r="T13" s="30">
        <v>533396</v>
      </c>
      <c r="U13" s="30">
        <v>1733537</v>
      </c>
      <c r="V13" s="30">
        <v>3333725</v>
      </c>
      <c r="W13" s="30">
        <v>3067027</v>
      </c>
      <c r="X13" s="30">
        <f t="shared" si="1"/>
        <v>13334900</v>
      </c>
      <c r="Z13" s="30"/>
      <c r="AA13" s="30"/>
      <c r="AB13" s="30"/>
    </row>
    <row r="14" spans="3:28" hidden="1" x14ac:dyDescent="0.3">
      <c r="C14" s="30" t="s">
        <v>22</v>
      </c>
      <c r="D14" s="30" t="s">
        <v>353</v>
      </c>
      <c r="E14" s="30" t="s">
        <v>45</v>
      </c>
      <c r="F14" s="30">
        <v>996.09999999999991</v>
      </c>
      <c r="H14" s="30">
        <v>113.84</v>
      </c>
      <c r="I14" s="30">
        <v>369.98</v>
      </c>
      <c r="J14" s="30">
        <v>711.5</v>
      </c>
      <c r="K14" s="30">
        <v>654.58000000000004</v>
      </c>
      <c r="L14" s="30">
        <f t="shared" si="0"/>
        <v>2846</v>
      </c>
      <c r="O14" s="30" t="s">
        <v>22</v>
      </c>
      <c r="P14" s="30" t="s">
        <v>353</v>
      </c>
      <c r="Q14" s="30" t="s">
        <v>45</v>
      </c>
      <c r="R14" s="30">
        <v>3982530.9999999995</v>
      </c>
      <c r="S14" s="30"/>
      <c r="T14" s="30">
        <v>455146.4</v>
      </c>
      <c r="U14" s="30">
        <v>1479225.8</v>
      </c>
      <c r="V14" s="30">
        <v>2844665</v>
      </c>
      <c r="W14" s="30">
        <v>2617091.8000000003</v>
      </c>
      <c r="X14" s="30">
        <f t="shared" si="1"/>
        <v>11378660</v>
      </c>
      <c r="Z14" s="30"/>
      <c r="AA14" s="30"/>
      <c r="AB14" s="30"/>
    </row>
    <row r="15" spans="3:28" hidden="1" x14ac:dyDescent="0.3">
      <c r="C15" s="30" t="s">
        <v>22</v>
      </c>
      <c r="D15" s="30" t="s">
        <v>353</v>
      </c>
      <c r="E15" s="30" t="s">
        <v>47</v>
      </c>
      <c r="F15" s="30">
        <v>1234.0999999999999</v>
      </c>
      <c r="H15" s="30">
        <v>141.04</v>
      </c>
      <c r="I15" s="30">
        <v>458.38</v>
      </c>
      <c r="J15" s="30">
        <v>881.5</v>
      </c>
      <c r="K15" s="30">
        <v>810.98</v>
      </c>
      <c r="L15" s="30">
        <f t="shared" si="0"/>
        <v>3526</v>
      </c>
      <c r="O15" s="30" t="s">
        <v>22</v>
      </c>
      <c r="P15" s="30" t="s">
        <v>353</v>
      </c>
      <c r="Q15" s="30" t="s">
        <v>47</v>
      </c>
      <c r="R15" s="30">
        <v>4977371</v>
      </c>
      <c r="S15" s="30"/>
      <c r="T15" s="30">
        <v>568842.4</v>
      </c>
      <c r="U15" s="30">
        <v>1848737.8</v>
      </c>
      <c r="V15" s="30">
        <v>3555265</v>
      </c>
      <c r="W15" s="30">
        <v>3270843.8000000003</v>
      </c>
      <c r="X15" s="30">
        <f t="shared" si="1"/>
        <v>14221060</v>
      </c>
      <c r="Z15" s="30"/>
      <c r="AA15" s="30"/>
      <c r="AB15" s="30"/>
    </row>
    <row r="16" spans="3:28" s="30" customFormat="1" hidden="1" x14ac:dyDescent="0.3">
      <c r="C16" s="30" t="s">
        <v>458</v>
      </c>
      <c r="D16" s="30" t="s">
        <v>353</v>
      </c>
      <c r="E16" s="30" t="s">
        <v>459</v>
      </c>
      <c r="F16" s="30">
        <f>SUM(F4:F6)</f>
        <v>2880.8499999999995</v>
      </c>
      <c r="H16" s="30">
        <f t="shared" ref="H16:L16" si="2">SUM(H4:H6)</f>
        <v>329.24</v>
      </c>
      <c r="I16" s="30">
        <f t="shared" si="2"/>
        <v>1070.03</v>
      </c>
      <c r="J16" s="30">
        <f t="shared" si="2"/>
        <v>2057.75</v>
      </c>
      <c r="K16" s="30">
        <f t="shared" si="2"/>
        <v>1893.13</v>
      </c>
      <c r="L16" s="30">
        <f t="shared" si="2"/>
        <v>8231</v>
      </c>
      <c r="M16" s="186"/>
      <c r="O16" s="30" t="s">
        <v>428</v>
      </c>
      <c r="P16" s="30" t="s">
        <v>353</v>
      </c>
      <c r="Q16" s="30" t="s">
        <v>416</v>
      </c>
      <c r="R16" s="30">
        <f>SUM(R4:R6)</f>
        <v>11498451.999999998</v>
      </c>
      <c r="S16" s="30">
        <f t="shared" ref="S16:X16" si="3">SUM(S4:S6)</f>
        <v>0</v>
      </c>
      <c r="T16" s="30">
        <f t="shared" si="3"/>
        <v>1314108.8</v>
      </c>
      <c r="U16" s="30">
        <f t="shared" si="3"/>
        <v>4270853.5999999996</v>
      </c>
      <c r="V16" s="30">
        <f t="shared" si="3"/>
        <v>8213180</v>
      </c>
      <c r="W16" s="30">
        <f t="shared" si="3"/>
        <v>7556125.5999999996</v>
      </c>
      <c r="X16" s="30">
        <f t="shared" si="3"/>
        <v>32852720</v>
      </c>
      <c r="Y16" s="186"/>
    </row>
    <row r="17" spans="3:25" s="30" customFormat="1" hidden="1" x14ac:dyDescent="0.3">
      <c r="C17" s="30" t="s">
        <v>460</v>
      </c>
      <c r="D17" s="30" t="s">
        <v>353</v>
      </c>
      <c r="E17" s="30" t="s">
        <v>417</v>
      </c>
      <c r="F17" s="30">
        <f>SUM(F7:F9)</f>
        <v>2949.7999999999997</v>
      </c>
      <c r="H17" s="30">
        <f t="shared" ref="H17:L17" si="4">SUM(H7:H9)</f>
        <v>337.12</v>
      </c>
      <c r="I17" s="30">
        <f t="shared" si="4"/>
        <v>1095.6400000000001</v>
      </c>
      <c r="J17" s="30">
        <f t="shared" si="4"/>
        <v>2107</v>
      </c>
      <c r="K17" s="30">
        <f t="shared" si="4"/>
        <v>1938.44</v>
      </c>
      <c r="L17" s="30">
        <f t="shared" si="4"/>
        <v>8428</v>
      </c>
      <c r="M17" s="186"/>
      <c r="O17" s="30" t="s">
        <v>429</v>
      </c>
      <c r="P17" s="30" t="s">
        <v>353</v>
      </c>
      <c r="Q17" s="30" t="s">
        <v>417</v>
      </c>
      <c r="R17" s="30">
        <f>SUM(R7:R9)</f>
        <v>10090052</v>
      </c>
      <c r="S17" s="30">
        <f t="shared" ref="S17:X17" si="5">SUM(S7:S9)</f>
        <v>0</v>
      </c>
      <c r="T17" s="30">
        <f t="shared" si="5"/>
        <v>1153148.8</v>
      </c>
      <c r="U17" s="30">
        <f t="shared" si="5"/>
        <v>3747733.6000000006</v>
      </c>
      <c r="V17" s="30">
        <f t="shared" si="5"/>
        <v>7207180</v>
      </c>
      <c r="W17" s="30">
        <f t="shared" si="5"/>
        <v>6630605.6000000006</v>
      </c>
      <c r="X17" s="30">
        <f t="shared" si="5"/>
        <v>28828720</v>
      </c>
      <c r="Y17" s="186"/>
    </row>
    <row r="18" spans="3:25" s="30" customFormat="1" hidden="1" x14ac:dyDescent="0.3">
      <c r="C18" s="30" t="s">
        <v>461</v>
      </c>
      <c r="D18" s="30" t="s">
        <v>353</v>
      </c>
      <c r="E18" s="30" t="s">
        <v>419</v>
      </c>
      <c r="F18" s="30">
        <f>SUM(F10:F12)</f>
        <v>3179.0499999999997</v>
      </c>
      <c r="H18" s="30">
        <f t="shared" ref="H18:L18" si="6">SUM(H10:H12)</f>
        <v>363.32</v>
      </c>
      <c r="I18" s="30">
        <f t="shared" si="6"/>
        <v>1180.7900000000002</v>
      </c>
      <c r="J18" s="30">
        <f t="shared" si="6"/>
        <v>2270.75</v>
      </c>
      <c r="K18" s="30">
        <f t="shared" si="6"/>
        <v>2089.09</v>
      </c>
      <c r="L18" s="30">
        <f t="shared" si="6"/>
        <v>9083</v>
      </c>
      <c r="M18" s="186"/>
      <c r="O18" s="30" t="s">
        <v>430</v>
      </c>
      <c r="P18" s="30" t="s">
        <v>353</v>
      </c>
      <c r="Q18" s="30" t="s">
        <v>419</v>
      </c>
      <c r="R18" s="30">
        <f>SUM(R10:R12)</f>
        <v>12744928</v>
      </c>
      <c r="S18" s="30">
        <f t="shared" ref="S18:X18" si="7">SUM(S10:S12)</f>
        <v>0</v>
      </c>
      <c r="T18" s="30">
        <f t="shared" si="7"/>
        <v>1456563.2</v>
      </c>
      <c r="U18" s="30">
        <f t="shared" si="7"/>
        <v>4733830.4000000004</v>
      </c>
      <c r="V18" s="30">
        <f t="shared" si="7"/>
        <v>9103520</v>
      </c>
      <c r="W18" s="30">
        <f t="shared" si="7"/>
        <v>8375238.4000000004</v>
      </c>
      <c r="X18" s="30">
        <f t="shared" si="7"/>
        <v>36414080</v>
      </c>
      <c r="Y18" s="186"/>
    </row>
    <row r="19" spans="3:25" s="30" customFormat="1" hidden="1" x14ac:dyDescent="0.3">
      <c r="C19" s="30" t="s">
        <v>462</v>
      </c>
      <c r="D19" s="30" t="s">
        <v>353</v>
      </c>
      <c r="E19" s="30" t="s">
        <v>421</v>
      </c>
      <c r="F19" s="30">
        <f>SUM(F13:F15)</f>
        <v>3390.1</v>
      </c>
      <c r="H19" s="30">
        <f t="shared" ref="H19:L19" si="8">SUM(H13:H15)</f>
        <v>387.44</v>
      </c>
      <c r="I19" s="30">
        <f t="shared" si="8"/>
        <v>1259.1799999999998</v>
      </c>
      <c r="J19" s="30">
        <f t="shared" si="8"/>
        <v>2421.5</v>
      </c>
      <c r="K19" s="30">
        <f t="shared" si="8"/>
        <v>2227.7800000000002</v>
      </c>
      <c r="L19" s="30">
        <f t="shared" si="8"/>
        <v>9686</v>
      </c>
      <c r="M19" s="186"/>
      <c r="O19" s="30" t="s">
        <v>431</v>
      </c>
      <c r="P19" s="30" t="s">
        <v>353</v>
      </c>
      <c r="Q19" s="30" t="s">
        <v>421</v>
      </c>
      <c r="R19" s="30">
        <f>SUM(R13:R15)</f>
        <v>13627117</v>
      </c>
      <c r="S19" s="30">
        <f t="shared" ref="S19:X19" si="9">SUM(S13:S15)</f>
        <v>0</v>
      </c>
      <c r="T19" s="30">
        <f t="shared" si="9"/>
        <v>1557384.8</v>
      </c>
      <c r="U19" s="30">
        <f t="shared" si="9"/>
        <v>5061500.5999999996</v>
      </c>
      <c r="V19" s="30">
        <f t="shared" si="9"/>
        <v>9733655</v>
      </c>
      <c r="W19" s="30">
        <f t="shared" si="9"/>
        <v>8954962.6000000015</v>
      </c>
      <c r="X19" s="30">
        <f t="shared" si="9"/>
        <v>38934620</v>
      </c>
      <c r="Y19" s="186"/>
    </row>
    <row r="20" spans="3:25" hidden="1" x14ac:dyDescent="0.3">
      <c r="C20" s="30" t="s">
        <v>22</v>
      </c>
      <c r="D20" s="30" t="s">
        <v>354</v>
      </c>
      <c r="E20" s="30" t="s">
        <v>325</v>
      </c>
      <c r="F20" s="30">
        <v>5775.3499999999995</v>
      </c>
      <c r="H20" s="30">
        <v>660.04</v>
      </c>
      <c r="I20" s="30">
        <v>2145.13</v>
      </c>
      <c r="J20" s="30">
        <v>4125.25</v>
      </c>
      <c r="K20" s="30">
        <v>3795.23</v>
      </c>
      <c r="L20" s="30">
        <f t="shared" si="0"/>
        <v>16501</v>
      </c>
      <c r="O20" s="30" t="s">
        <v>22</v>
      </c>
      <c r="P20" s="30" t="s">
        <v>354</v>
      </c>
      <c r="Q20" s="30" t="s">
        <v>325</v>
      </c>
      <c r="R20" s="30">
        <v>3225306</v>
      </c>
      <c r="S20" s="30"/>
      <c r="T20" s="30">
        <v>368606.4</v>
      </c>
      <c r="U20" s="30">
        <v>1197970.8</v>
      </c>
      <c r="V20" s="30">
        <v>2303790</v>
      </c>
      <c r="W20" s="30">
        <v>2119486.8000000003</v>
      </c>
      <c r="X20" s="30">
        <f t="shared" si="1"/>
        <v>9215160</v>
      </c>
    </row>
    <row r="21" spans="3:25" hidden="1" x14ac:dyDescent="0.3">
      <c r="C21" s="30" t="s">
        <v>22</v>
      </c>
      <c r="D21" s="30" t="s">
        <v>354</v>
      </c>
      <c r="E21" s="30" t="s">
        <v>27</v>
      </c>
      <c r="F21" s="30">
        <v>5674.2</v>
      </c>
      <c r="H21" s="30">
        <v>648.48</v>
      </c>
      <c r="I21" s="30">
        <v>2107.56</v>
      </c>
      <c r="J21" s="30">
        <v>4053</v>
      </c>
      <c r="K21" s="30">
        <v>3728.76</v>
      </c>
      <c r="L21" s="30">
        <f t="shared" si="0"/>
        <v>16212</v>
      </c>
      <c r="O21" s="30" t="s">
        <v>22</v>
      </c>
      <c r="P21" s="30" t="s">
        <v>354</v>
      </c>
      <c r="Q21" s="30" t="s">
        <v>27</v>
      </c>
      <c r="R21" s="30">
        <v>3168662</v>
      </c>
      <c r="S21" s="30"/>
      <c r="T21" s="30">
        <v>362132.8</v>
      </c>
      <c r="U21" s="30">
        <v>1176931.6000000001</v>
      </c>
      <c r="V21" s="30">
        <v>2263330</v>
      </c>
      <c r="W21" s="30">
        <v>2082263.6</v>
      </c>
      <c r="X21" s="30">
        <f t="shared" si="1"/>
        <v>9053320</v>
      </c>
    </row>
    <row r="22" spans="3:25" hidden="1" x14ac:dyDescent="0.3">
      <c r="C22" s="30" t="s">
        <v>22</v>
      </c>
      <c r="D22" s="30" t="s">
        <v>354</v>
      </c>
      <c r="E22" s="30" t="s">
        <v>29</v>
      </c>
      <c r="F22" s="30">
        <v>4483.1499999999996</v>
      </c>
      <c r="H22" s="30">
        <v>512.36</v>
      </c>
      <c r="I22" s="30">
        <v>1665.17</v>
      </c>
      <c r="J22" s="30">
        <v>3202.25</v>
      </c>
      <c r="K22" s="30">
        <v>2946.07</v>
      </c>
      <c r="L22" s="30">
        <f t="shared" si="0"/>
        <v>12809</v>
      </c>
      <c r="O22" s="30" t="s">
        <v>22</v>
      </c>
      <c r="P22" s="30" t="s">
        <v>354</v>
      </c>
      <c r="Q22" s="30" t="s">
        <v>29</v>
      </c>
      <c r="R22" s="30">
        <v>2501674</v>
      </c>
      <c r="S22" s="30"/>
      <c r="T22" s="30">
        <v>285905.60000000003</v>
      </c>
      <c r="U22" s="30">
        <v>929193.20000000007</v>
      </c>
      <c r="V22" s="30">
        <v>1786910</v>
      </c>
      <c r="W22" s="30">
        <v>1643957.2000000002</v>
      </c>
      <c r="X22" s="30">
        <f t="shared" si="1"/>
        <v>7147640.0000000009</v>
      </c>
    </row>
    <row r="23" spans="3:25" hidden="1" x14ac:dyDescent="0.3">
      <c r="C23" s="30" t="s">
        <v>22</v>
      </c>
      <c r="D23" s="30" t="s">
        <v>354</v>
      </c>
      <c r="E23" s="30" t="s">
        <v>31</v>
      </c>
      <c r="F23" s="30">
        <v>8664.25</v>
      </c>
      <c r="H23" s="30">
        <v>990.2</v>
      </c>
      <c r="I23" s="30">
        <v>3218.15</v>
      </c>
      <c r="J23" s="30">
        <v>6188.75</v>
      </c>
      <c r="K23" s="30">
        <v>5693.6500000000005</v>
      </c>
      <c r="L23" s="30">
        <f t="shared" si="0"/>
        <v>24755</v>
      </c>
      <c r="O23" s="30" t="s">
        <v>22</v>
      </c>
      <c r="P23" s="30" t="s">
        <v>354</v>
      </c>
      <c r="Q23" s="30" t="s">
        <v>31</v>
      </c>
      <c r="R23" s="30">
        <v>4843090</v>
      </c>
      <c r="S23" s="30"/>
      <c r="T23" s="30">
        <v>553496</v>
      </c>
      <c r="U23" s="30">
        <v>1798862</v>
      </c>
      <c r="V23" s="30">
        <v>3459350</v>
      </c>
      <c r="W23" s="30">
        <v>3182602</v>
      </c>
      <c r="X23" s="30">
        <f t="shared" si="1"/>
        <v>13837400</v>
      </c>
    </row>
    <row r="24" spans="3:25" hidden="1" x14ac:dyDescent="0.3">
      <c r="C24" s="30" t="s">
        <v>22</v>
      </c>
      <c r="D24" s="30" t="s">
        <v>354</v>
      </c>
      <c r="E24" s="30" t="s">
        <v>33</v>
      </c>
      <c r="F24" s="30">
        <v>8778.3499999999985</v>
      </c>
      <c r="H24" s="30">
        <v>1003.24</v>
      </c>
      <c r="I24" s="30">
        <v>3260.53</v>
      </c>
      <c r="J24" s="30">
        <v>6270.25</v>
      </c>
      <c r="K24" s="30">
        <v>5768.63</v>
      </c>
      <c r="L24" s="30">
        <f t="shared" si="0"/>
        <v>25081</v>
      </c>
      <c r="O24" s="30" t="s">
        <v>22</v>
      </c>
      <c r="P24" s="30" t="s">
        <v>354</v>
      </c>
      <c r="Q24" s="30" t="s">
        <v>33</v>
      </c>
      <c r="R24" s="30">
        <v>4906986</v>
      </c>
      <c r="S24" s="30"/>
      <c r="T24" s="30">
        <v>560798.4</v>
      </c>
      <c r="U24" s="30">
        <v>1822594.8</v>
      </c>
      <c r="V24" s="30">
        <v>3504990</v>
      </c>
      <c r="W24" s="30">
        <v>3224590.8000000003</v>
      </c>
      <c r="X24" s="30">
        <f t="shared" si="1"/>
        <v>14019960</v>
      </c>
    </row>
    <row r="25" spans="3:25" hidden="1" x14ac:dyDescent="0.3">
      <c r="C25" s="30" t="s">
        <v>22</v>
      </c>
      <c r="D25" s="30" t="s">
        <v>354</v>
      </c>
      <c r="E25" s="30" t="s">
        <v>35</v>
      </c>
      <c r="F25" s="30">
        <v>5942.65</v>
      </c>
      <c r="H25" s="30">
        <v>679.16</v>
      </c>
      <c r="I25" s="30">
        <v>2207.27</v>
      </c>
      <c r="J25" s="30">
        <v>4244.75</v>
      </c>
      <c r="K25" s="30">
        <v>3905.17</v>
      </c>
      <c r="L25" s="30">
        <f t="shared" si="0"/>
        <v>16979</v>
      </c>
      <c r="O25" s="30" t="s">
        <v>22</v>
      </c>
      <c r="P25" s="30" t="s">
        <v>354</v>
      </c>
      <c r="Q25" s="30" t="s">
        <v>35</v>
      </c>
      <c r="R25" s="30">
        <v>3318994</v>
      </c>
      <c r="S25" s="30"/>
      <c r="T25" s="30">
        <v>379313.60000000003</v>
      </c>
      <c r="U25" s="30">
        <v>1232769.2</v>
      </c>
      <c r="V25" s="30">
        <v>2370710</v>
      </c>
      <c r="W25" s="30">
        <v>2181053.2000000002</v>
      </c>
      <c r="X25" s="30">
        <f t="shared" si="1"/>
        <v>9482840</v>
      </c>
    </row>
    <row r="26" spans="3:25" hidden="1" x14ac:dyDescent="0.3">
      <c r="C26" s="30" t="s">
        <v>22</v>
      </c>
      <c r="D26" s="30" t="s">
        <v>354</v>
      </c>
      <c r="E26" s="30" t="s">
        <v>37</v>
      </c>
      <c r="F26" s="30">
        <v>7448.3499999999995</v>
      </c>
      <c r="H26" s="30">
        <v>851.24</v>
      </c>
      <c r="I26" s="30">
        <v>2766.53</v>
      </c>
      <c r="J26" s="30">
        <v>5320.25</v>
      </c>
      <c r="K26" s="30">
        <v>4894.63</v>
      </c>
      <c r="L26" s="30">
        <f t="shared" si="0"/>
        <v>21281.000000000004</v>
      </c>
      <c r="O26" s="30" t="s">
        <v>22</v>
      </c>
      <c r="P26" s="30" t="s">
        <v>354</v>
      </c>
      <c r="Q26" s="30" t="s">
        <v>37</v>
      </c>
      <c r="R26" s="30">
        <v>4162185.9999999995</v>
      </c>
      <c r="S26" s="30"/>
      <c r="T26" s="30">
        <v>475678.4</v>
      </c>
      <c r="U26" s="30">
        <v>1545954.8</v>
      </c>
      <c r="V26" s="30">
        <v>2972990</v>
      </c>
      <c r="W26" s="30">
        <v>2735150.8000000003</v>
      </c>
      <c r="X26" s="30">
        <f t="shared" si="1"/>
        <v>11891960</v>
      </c>
    </row>
    <row r="27" spans="3:25" hidden="1" x14ac:dyDescent="0.3">
      <c r="C27" s="30" t="s">
        <v>22</v>
      </c>
      <c r="D27" s="30" t="s">
        <v>354</v>
      </c>
      <c r="E27" s="30" t="s">
        <v>39</v>
      </c>
      <c r="F27" s="30">
        <v>10118.15</v>
      </c>
      <c r="H27" s="30">
        <v>1156.3600000000001</v>
      </c>
      <c r="I27" s="30">
        <v>3758.17</v>
      </c>
      <c r="J27" s="30">
        <v>7227.25</v>
      </c>
      <c r="K27" s="30">
        <v>6649.0700000000006</v>
      </c>
      <c r="L27" s="30">
        <f t="shared" si="0"/>
        <v>28909</v>
      </c>
      <c r="O27" s="30" t="s">
        <v>22</v>
      </c>
      <c r="P27" s="30" t="s">
        <v>354</v>
      </c>
      <c r="Q27" s="30" t="s">
        <v>39</v>
      </c>
      <c r="R27" s="30">
        <v>5657274</v>
      </c>
      <c r="S27" s="30"/>
      <c r="T27" s="30">
        <v>646545.6</v>
      </c>
      <c r="U27" s="30">
        <v>2101273.2000000002</v>
      </c>
      <c r="V27" s="30">
        <v>4040910</v>
      </c>
      <c r="W27" s="30">
        <v>3717637.2</v>
      </c>
      <c r="X27" s="30">
        <f t="shared" si="1"/>
        <v>16163640</v>
      </c>
    </row>
    <row r="28" spans="3:25" hidden="1" x14ac:dyDescent="0.3">
      <c r="C28" s="30" t="s">
        <v>22</v>
      </c>
      <c r="D28" s="30" t="s">
        <v>354</v>
      </c>
      <c r="E28" s="30" t="s">
        <v>41</v>
      </c>
      <c r="F28" s="30">
        <v>10941</v>
      </c>
      <c r="H28" s="30">
        <v>1250.4000000000001</v>
      </c>
      <c r="I28" s="30">
        <v>4063.8</v>
      </c>
      <c r="J28" s="30">
        <v>7815</v>
      </c>
      <c r="K28" s="30">
        <v>7189.8</v>
      </c>
      <c r="L28" s="30">
        <f t="shared" si="0"/>
        <v>31260</v>
      </c>
      <c r="O28" s="30" t="s">
        <v>22</v>
      </c>
      <c r="P28" s="30" t="s">
        <v>354</v>
      </c>
      <c r="Q28" s="30" t="s">
        <v>41</v>
      </c>
      <c r="R28" s="30">
        <v>6118070</v>
      </c>
      <c r="S28" s="30"/>
      <c r="T28" s="30">
        <v>699208</v>
      </c>
      <c r="U28" s="30">
        <v>2272426</v>
      </c>
      <c r="V28" s="30">
        <v>4370050</v>
      </c>
      <c r="W28" s="30">
        <v>4020446</v>
      </c>
      <c r="X28" s="30">
        <f t="shared" si="1"/>
        <v>17480200</v>
      </c>
    </row>
    <row r="29" spans="3:25" hidden="1" x14ac:dyDescent="0.3">
      <c r="C29" s="30" t="s">
        <v>22</v>
      </c>
      <c r="D29" s="30" t="s">
        <v>354</v>
      </c>
      <c r="E29" s="30" t="s">
        <v>43</v>
      </c>
      <c r="F29" s="30">
        <v>12860.4</v>
      </c>
      <c r="H29" s="30">
        <v>1469.76</v>
      </c>
      <c r="I29" s="30">
        <v>4776.72</v>
      </c>
      <c r="J29" s="30">
        <v>9186</v>
      </c>
      <c r="K29" s="30">
        <v>8451.1200000000008</v>
      </c>
      <c r="L29" s="30">
        <f t="shared" si="0"/>
        <v>36744</v>
      </c>
      <c r="O29" s="30" t="s">
        <v>22</v>
      </c>
      <c r="P29" s="30" t="s">
        <v>354</v>
      </c>
      <c r="Q29" s="30" t="s">
        <v>43</v>
      </c>
      <c r="R29" s="30">
        <v>7192934</v>
      </c>
      <c r="S29" s="30"/>
      <c r="T29" s="30">
        <v>822049.6</v>
      </c>
      <c r="U29" s="30">
        <v>2671661.2000000002</v>
      </c>
      <c r="V29" s="30">
        <v>5137810</v>
      </c>
      <c r="W29" s="30">
        <v>4726785.2</v>
      </c>
      <c r="X29" s="30">
        <f t="shared" si="1"/>
        <v>20551240</v>
      </c>
    </row>
    <row r="30" spans="3:25" hidden="1" x14ac:dyDescent="0.3">
      <c r="C30" s="30" t="s">
        <v>22</v>
      </c>
      <c r="D30" s="30" t="s">
        <v>354</v>
      </c>
      <c r="E30" s="30" t="s">
        <v>45</v>
      </c>
      <c r="F30" s="30">
        <v>13435.8</v>
      </c>
      <c r="H30" s="30">
        <v>1535.52</v>
      </c>
      <c r="I30" s="30">
        <v>4990.4400000000005</v>
      </c>
      <c r="J30" s="30">
        <v>9597</v>
      </c>
      <c r="K30" s="30">
        <v>8829.24</v>
      </c>
      <c r="L30" s="30">
        <f t="shared" si="0"/>
        <v>38388</v>
      </c>
      <c r="O30" s="30" t="s">
        <v>22</v>
      </c>
      <c r="P30" s="30" t="s">
        <v>354</v>
      </c>
      <c r="Q30" s="30" t="s">
        <v>45</v>
      </c>
      <c r="R30" s="30">
        <v>7515157.9999999991</v>
      </c>
      <c r="S30" s="30"/>
      <c r="T30" s="30">
        <v>858875.20000000007</v>
      </c>
      <c r="U30" s="30">
        <v>2791344.4</v>
      </c>
      <c r="V30" s="30">
        <v>5367970</v>
      </c>
      <c r="W30" s="30">
        <v>4938532.4000000004</v>
      </c>
      <c r="X30" s="30">
        <f t="shared" si="1"/>
        <v>21471880</v>
      </c>
    </row>
    <row r="31" spans="3:25" hidden="1" x14ac:dyDescent="0.3">
      <c r="C31" s="30" t="s">
        <v>22</v>
      </c>
      <c r="D31" s="30" t="s">
        <v>354</v>
      </c>
      <c r="E31" s="30" t="s">
        <v>47</v>
      </c>
      <c r="F31" s="30">
        <v>13166.3</v>
      </c>
      <c r="H31" s="30">
        <v>1504.72</v>
      </c>
      <c r="I31" s="30">
        <v>4890.34</v>
      </c>
      <c r="J31" s="30">
        <v>9404.5</v>
      </c>
      <c r="K31" s="30">
        <v>8652.1400000000012</v>
      </c>
      <c r="L31" s="30">
        <f t="shared" si="0"/>
        <v>37618</v>
      </c>
      <c r="O31" s="30" t="s">
        <v>22</v>
      </c>
      <c r="P31" s="30" t="s">
        <v>354</v>
      </c>
      <c r="Q31" s="30" t="s">
        <v>47</v>
      </c>
      <c r="R31" s="30">
        <v>7364237.9999999991</v>
      </c>
      <c r="S31" s="30"/>
      <c r="T31" s="30">
        <v>841627.20000000007</v>
      </c>
      <c r="U31" s="30">
        <v>2735288.4</v>
      </c>
      <c r="V31" s="30">
        <v>5260170</v>
      </c>
      <c r="W31" s="30">
        <v>4839356.4000000004</v>
      </c>
      <c r="X31" s="30">
        <f t="shared" si="1"/>
        <v>21040680</v>
      </c>
    </row>
    <row r="32" spans="3:25" s="30" customFormat="1" hidden="1" x14ac:dyDescent="0.3">
      <c r="C32" s="30" t="s">
        <v>428</v>
      </c>
      <c r="D32" s="30" t="s">
        <v>328</v>
      </c>
      <c r="E32" s="30" t="s">
        <v>416</v>
      </c>
      <c r="F32" s="30">
        <f>SUM(F20:F22)</f>
        <v>15932.699999999999</v>
      </c>
      <c r="H32" s="30">
        <f t="shared" ref="H32:L32" si="10">SUM(H20:H22)</f>
        <v>1820.88</v>
      </c>
      <c r="I32" s="30">
        <f t="shared" si="10"/>
        <v>5917.8600000000006</v>
      </c>
      <c r="J32" s="30">
        <f t="shared" si="10"/>
        <v>11380.5</v>
      </c>
      <c r="K32" s="30">
        <f t="shared" si="10"/>
        <v>10470.06</v>
      </c>
      <c r="L32" s="30">
        <f t="shared" si="10"/>
        <v>45522</v>
      </c>
      <c r="M32" s="186"/>
      <c r="O32" s="30" t="s">
        <v>428</v>
      </c>
      <c r="P32" s="30" t="s">
        <v>328</v>
      </c>
      <c r="Q32" s="30" t="s">
        <v>416</v>
      </c>
      <c r="R32" s="30">
        <f>SUM(R20:R22)</f>
        <v>8895642</v>
      </c>
      <c r="T32" s="30">
        <f t="shared" ref="T32:X32" si="11">SUM(T20:T22)</f>
        <v>1016644.8</v>
      </c>
      <c r="U32" s="30">
        <f t="shared" si="11"/>
        <v>3304095.6000000006</v>
      </c>
      <c r="V32" s="30">
        <f t="shared" si="11"/>
        <v>6354030</v>
      </c>
      <c r="W32" s="30">
        <f t="shared" si="11"/>
        <v>5845707.6000000006</v>
      </c>
      <c r="X32" s="30">
        <f t="shared" si="11"/>
        <v>25416120</v>
      </c>
      <c r="Y32" s="186"/>
    </row>
    <row r="33" spans="3:33" s="30" customFormat="1" hidden="1" x14ac:dyDescent="0.3">
      <c r="C33" s="30" t="s">
        <v>429</v>
      </c>
      <c r="D33" s="30" t="s">
        <v>328</v>
      </c>
      <c r="E33" s="30" t="s">
        <v>417</v>
      </c>
      <c r="F33" s="30">
        <f>SUM(F23:F25)</f>
        <v>23385.25</v>
      </c>
      <c r="H33" s="30">
        <f t="shared" ref="H33:L33" si="12">SUM(H23:H25)</f>
        <v>2672.6</v>
      </c>
      <c r="I33" s="30">
        <f t="shared" si="12"/>
        <v>8685.9500000000007</v>
      </c>
      <c r="J33" s="30">
        <f t="shared" si="12"/>
        <v>16703.75</v>
      </c>
      <c r="K33" s="30">
        <f t="shared" si="12"/>
        <v>15367.45</v>
      </c>
      <c r="L33" s="30">
        <f t="shared" si="12"/>
        <v>66815</v>
      </c>
      <c r="M33" s="186"/>
      <c r="O33" s="30" t="s">
        <v>429</v>
      </c>
      <c r="P33" s="30" t="s">
        <v>328</v>
      </c>
      <c r="Q33" s="30" t="s">
        <v>417</v>
      </c>
      <c r="R33" s="30">
        <f>SUM(R23:R25)</f>
        <v>13069070</v>
      </c>
      <c r="T33" s="30">
        <f t="shared" ref="T33:X33" si="13">SUM(T23:T25)</f>
        <v>1493608</v>
      </c>
      <c r="U33" s="30">
        <f t="shared" si="13"/>
        <v>4854226</v>
      </c>
      <c r="V33" s="30">
        <f t="shared" si="13"/>
        <v>9335050</v>
      </c>
      <c r="W33" s="30">
        <f t="shared" si="13"/>
        <v>8588246</v>
      </c>
      <c r="X33" s="30">
        <f t="shared" si="13"/>
        <v>37340200</v>
      </c>
      <c r="Y33" s="186"/>
    </row>
    <row r="34" spans="3:33" s="30" customFormat="1" hidden="1" x14ac:dyDescent="0.3">
      <c r="C34" s="30" t="s">
        <v>430</v>
      </c>
      <c r="D34" s="30" t="s">
        <v>328</v>
      </c>
      <c r="E34" s="30" t="s">
        <v>419</v>
      </c>
      <c r="F34" s="30">
        <f>SUM(F26:F28)</f>
        <v>28507.5</v>
      </c>
      <c r="H34" s="30">
        <f t="shared" ref="H34:L34" si="14">SUM(H26:H28)</f>
        <v>3258</v>
      </c>
      <c r="I34" s="30">
        <f t="shared" si="14"/>
        <v>10588.5</v>
      </c>
      <c r="J34" s="30">
        <f t="shared" si="14"/>
        <v>20362.5</v>
      </c>
      <c r="K34" s="30">
        <f t="shared" si="14"/>
        <v>18733.5</v>
      </c>
      <c r="L34" s="30">
        <f t="shared" si="14"/>
        <v>81450</v>
      </c>
      <c r="M34" s="186"/>
      <c r="O34" s="30" t="s">
        <v>430</v>
      </c>
      <c r="P34" s="30" t="s">
        <v>328</v>
      </c>
      <c r="Q34" s="30" t="s">
        <v>419</v>
      </c>
      <c r="R34" s="30">
        <f>SUM(R26:R28)</f>
        <v>15937530</v>
      </c>
      <c r="T34" s="30">
        <f t="shared" ref="T34:X34" si="15">SUM(T26:T28)</f>
        <v>1821432</v>
      </c>
      <c r="U34" s="30">
        <f t="shared" si="15"/>
        <v>5919654</v>
      </c>
      <c r="V34" s="30">
        <f t="shared" si="15"/>
        <v>11383950</v>
      </c>
      <c r="W34" s="30">
        <f t="shared" si="15"/>
        <v>10473234</v>
      </c>
      <c r="X34" s="30">
        <f t="shared" si="15"/>
        <v>45535800</v>
      </c>
      <c r="Y34" s="186"/>
    </row>
    <row r="35" spans="3:33" s="30" customFormat="1" hidden="1" x14ac:dyDescent="0.3">
      <c r="C35" s="30" t="s">
        <v>431</v>
      </c>
      <c r="D35" s="30" t="s">
        <v>328</v>
      </c>
      <c r="E35" s="30" t="s">
        <v>421</v>
      </c>
      <c r="F35" s="30">
        <f>SUM(F29:F31)</f>
        <v>39462.5</v>
      </c>
      <c r="H35" s="30">
        <f t="shared" ref="H35:L35" si="16">SUM(H29:H31)</f>
        <v>4510</v>
      </c>
      <c r="I35" s="30">
        <f t="shared" si="16"/>
        <v>14657.5</v>
      </c>
      <c r="J35" s="30">
        <f t="shared" si="16"/>
        <v>28187.5</v>
      </c>
      <c r="K35" s="30">
        <f t="shared" si="16"/>
        <v>25932.5</v>
      </c>
      <c r="L35" s="30">
        <f t="shared" si="16"/>
        <v>112750</v>
      </c>
      <c r="M35" s="186"/>
      <c r="O35" s="30" t="s">
        <v>431</v>
      </c>
      <c r="P35" s="30" t="s">
        <v>328</v>
      </c>
      <c r="Q35" s="30" t="s">
        <v>421</v>
      </c>
      <c r="R35" s="30">
        <f>SUM(R29:R31)</f>
        <v>22072330</v>
      </c>
      <c r="T35" s="30">
        <f t="shared" ref="T35:X35" si="17">SUM(T29:T31)</f>
        <v>2522552</v>
      </c>
      <c r="U35" s="30">
        <f t="shared" si="17"/>
        <v>8198294</v>
      </c>
      <c r="V35" s="30">
        <f t="shared" si="17"/>
        <v>15765950</v>
      </c>
      <c r="W35" s="30">
        <f t="shared" si="17"/>
        <v>14504674.000000002</v>
      </c>
      <c r="X35" s="30">
        <f t="shared" si="17"/>
        <v>63063800</v>
      </c>
      <c r="Y35" s="186"/>
    </row>
    <row r="36" spans="3:33" hidden="1" x14ac:dyDescent="0.3">
      <c r="C36" s="30" t="s">
        <v>22</v>
      </c>
      <c r="D36" s="30" t="s">
        <v>355</v>
      </c>
      <c r="E36" s="30" t="s">
        <v>325</v>
      </c>
      <c r="F36" s="30">
        <v>7608.9999999999991</v>
      </c>
      <c r="H36" s="30">
        <v>869.6</v>
      </c>
      <c r="I36" s="30">
        <v>2826.2000000000003</v>
      </c>
      <c r="J36" s="30">
        <v>5435</v>
      </c>
      <c r="K36" s="30">
        <v>5000.2</v>
      </c>
      <c r="L36" s="30">
        <f t="shared" si="0"/>
        <v>21740</v>
      </c>
      <c r="O36" s="30" t="s">
        <v>22</v>
      </c>
      <c r="P36" s="30" t="s">
        <v>355</v>
      </c>
      <c r="Q36" s="30" t="s">
        <v>325</v>
      </c>
      <c r="R36" s="30">
        <v>4261040</v>
      </c>
      <c r="S36" s="30"/>
      <c r="T36" s="30">
        <v>486976</v>
      </c>
      <c r="U36" s="30">
        <v>1582672</v>
      </c>
      <c r="V36" s="30">
        <v>3043600</v>
      </c>
      <c r="W36" s="30">
        <v>2800112</v>
      </c>
      <c r="X36" s="30">
        <f t="shared" si="1"/>
        <v>12174400</v>
      </c>
    </row>
    <row r="37" spans="3:33" hidden="1" x14ac:dyDescent="0.3">
      <c r="C37" s="30" t="s">
        <v>22</v>
      </c>
      <c r="D37" s="30" t="s">
        <v>355</v>
      </c>
      <c r="E37" s="30" t="s">
        <v>27</v>
      </c>
      <c r="F37" s="30">
        <v>5497.7999999999993</v>
      </c>
      <c r="H37" s="30">
        <v>628.32000000000005</v>
      </c>
      <c r="I37" s="30">
        <v>2042.04</v>
      </c>
      <c r="J37" s="30">
        <v>3927</v>
      </c>
      <c r="K37" s="30">
        <v>3612.84</v>
      </c>
      <c r="L37" s="30">
        <f t="shared" si="0"/>
        <v>15708</v>
      </c>
      <c r="O37" s="30" t="s">
        <v>22</v>
      </c>
      <c r="P37" s="30" t="s">
        <v>355</v>
      </c>
      <c r="Q37" s="30" t="s">
        <v>27</v>
      </c>
      <c r="R37" s="30">
        <v>3078768</v>
      </c>
      <c r="S37" s="30"/>
      <c r="T37" s="30">
        <v>351859.20000000001</v>
      </c>
      <c r="U37" s="30">
        <v>1143542.4000000001</v>
      </c>
      <c r="V37" s="30">
        <v>2199120</v>
      </c>
      <c r="W37" s="30">
        <v>2023190.4000000001</v>
      </c>
      <c r="X37" s="30">
        <f t="shared" si="1"/>
        <v>8796480</v>
      </c>
    </row>
    <row r="38" spans="3:33" hidden="1" x14ac:dyDescent="0.3">
      <c r="C38" s="30" t="s">
        <v>22</v>
      </c>
      <c r="D38" s="30" t="s">
        <v>355</v>
      </c>
      <c r="E38" s="30" t="s">
        <v>29</v>
      </c>
      <c r="F38" s="30">
        <v>7919.45</v>
      </c>
      <c r="H38" s="30">
        <v>905.08</v>
      </c>
      <c r="I38" s="30">
        <v>2941.51</v>
      </c>
      <c r="J38" s="30">
        <v>5656.75</v>
      </c>
      <c r="K38" s="30">
        <v>5204.21</v>
      </c>
      <c r="L38" s="30">
        <f t="shared" si="0"/>
        <v>22627</v>
      </c>
      <c r="O38" s="30" t="s">
        <v>22</v>
      </c>
      <c r="P38" s="30" t="s">
        <v>355</v>
      </c>
      <c r="Q38" s="30" t="s">
        <v>29</v>
      </c>
      <c r="R38" s="30">
        <v>4434892</v>
      </c>
      <c r="S38" s="30"/>
      <c r="T38" s="30">
        <v>506844.8</v>
      </c>
      <c r="U38" s="30">
        <v>1647245.6</v>
      </c>
      <c r="V38" s="30">
        <v>3167780</v>
      </c>
      <c r="W38" s="30">
        <v>2914357.6</v>
      </c>
      <c r="X38" s="30">
        <f t="shared" si="1"/>
        <v>12671120</v>
      </c>
    </row>
    <row r="39" spans="3:33" hidden="1" x14ac:dyDescent="0.3">
      <c r="C39" s="30" t="s">
        <v>22</v>
      </c>
      <c r="D39" s="30" t="s">
        <v>355</v>
      </c>
      <c r="E39" s="30" t="s">
        <v>31</v>
      </c>
      <c r="F39" s="30">
        <v>7052.5</v>
      </c>
      <c r="H39" s="30">
        <v>806</v>
      </c>
      <c r="I39" s="30">
        <v>2619.5</v>
      </c>
      <c r="J39" s="30">
        <v>5037.5</v>
      </c>
      <c r="K39" s="30">
        <v>4634.5</v>
      </c>
      <c r="L39" s="30">
        <f t="shared" si="0"/>
        <v>20150</v>
      </c>
      <c r="O39" s="30" t="s">
        <v>22</v>
      </c>
      <c r="P39" s="30" t="s">
        <v>355</v>
      </c>
      <c r="Q39" s="30" t="s">
        <v>31</v>
      </c>
      <c r="R39" s="30">
        <v>3949399.9999999995</v>
      </c>
      <c r="S39" s="30"/>
      <c r="T39" s="30">
        <v>451360</v>
      </c>
      <c r="U39" s="30">
        <v>1466920</v>
      </c>
      <c r="V39" s="30">
        <v>2821000</v>
      </c>
      <c r="W39" s="30">
        <v>2595320</v>
      </c>
      <c r="X39" s="30">
        <f t="shared" si="1"/>
        <v>11284000</v>
      </c>
    </row>
    <row r="40" spans="3:33" hidden="1" x14ac:dyDescent="0.3">
      <c r="C40" s="30" t="s">
        <v>22</v>
      </c>
      <c r="D40" s="30" t="s">
        <v>355</v>
      </c>
      <c r="E40" s="30" t="s">
        <v>33</v>
      </c>
      <c r="F40" s="30">
        <v>8021.2999999999993</v>
      </c>
      <c r="H40" s="30">
        <v>916.72</v>
      </c>
      <c r="I40" s="30">
        <v>2979.34</v>
      </c>
      <c r="J40" s="30">
        <v>5729.5</v>
      </c>
      <c r="K40" s="30">
        <v>5271.14</v>
      </c>
      <c r="L40" s="30">
        <f t="shared" si="0"/>
        <v>22918</v>
      </c>
      <c r="O40" s="30" t="s">
        <v>22</v>
      </c>
      <c r="P40" s="30" t="s">
        <v>355</v>
      </c>
      <c r="Q40" s="30" t="s">
        <v>33</v>
      </c>
      <c r="R40" s="30">
        <v>4491928</v>
      </c>
      <c r="S40" s="30"/>
      <c r="T40" s="30">
        <v>513363.20000000001</v>
      </c>
      <c r="U40" s="30">
        <v>1668430.4000000001</v>
      </c>
      <c r="V40" s="30">
        <v>3208520</v>
      </c>
      <c r="W40" s="30">
        <v>2951838.4</v>
      </c>
      <c r="X40" s="30">
        <f t="shared" si="1"/>
        <v>12834080.000000002</v>
      </c>
    </row>
    <row r="41" spans="3:33" hidden="1" x14ac:dyDescent="0.3">
      <c r="C41" s="30" t="s">
        <v>22</v>
      </c>
      <c r="D41" s="30" t="s">
        <v>355</v>
      </c>
      <c r="E41" s="30" t="s">
        <v>35</v>
      </c>
      <c r="F41" s="30">
        <v>6659.45</v>
      </c>
      <c r="H41" s="30">
        <v>761.08</v>
      </c>
      <c r="I41" s="30">
        <v>2473.5100000000002</v>
      </c>
      <c r="J41" s="30">
        <v>4756.75</v>
      </c>
      <c r="K41" s="30">
        <v>4376.21</v>
      </c>
      <c r="L41" s="30">
        <f t="shared" si="0"/>
        <v>19027</v>
      </c>
      <c r="O41" s="30" t="s">
        <v>22</v>
      </c>
      <c r="P41" s="30" t="s">
        <v>355</v>
      </c>
      <c r="Q41" s="30" t="s">
        <v>35</v>
      </c>
      <c r="R41" s="30">
        <v>3729291.9999999995</v>
      </c>
      <c r="S41" s="30"/>
      <c r="T41" s="30">
        <v>426204.8</v>
      </c>
      <c r="U41" s="30">
        <v>1385165.6</v>
      </c>
      <c r="V41" s="30">
        <v>2663780</v>
      </c>
      <c r="W41" s="30">
        <v>2450677.6</v>
      </c>
      <c r="X41" s="30">
        <f t="shared" si="1"/>
        <v>10655120</v>
      </c>
    </row>
    <row r="42" spans="3:33" hidden="1" x14ac:dyDescent="0.3">
      <c r="C42" s="30" t="s">
        <v>22</v>
      </c>
      <c r="D42" s="30" t="s">
        <v>355</v>
      </c>
      <c r="E42" s="30" t="s">
        <v>37</v>
      </c>
      <c r="F42" s="30">
        <v>4901.3999999999996</v>
      </c>
      <c r="H42" s="30">
        <v>560.16</v>
      </c>
      <c r="I42" s="30">
        <v>1820.52</v>
      </c>
      <c r="J42" s="30">
        <v>3501</v>
      </c>
      <c r="K42" s="30">
        <v>3220.92</v>
      </c>
      <c r="L42" s="30">
        <f t="shared" si="0"/>
        <v>14004</v>
      </c>
      <c r="O42" s="30" t="s">
        <v>22</v>
      </c>
      <c r="P42" s="30" t="s">
        <v>355</v>
      </c>
      <c r="Q42" s="30" t="s">
        <v>37</v>
      </c>
      <c r="R42" s="30">
        <v>2744784</v>
      </c>
      <c r="S42" s="30"/>
      <c r="T42" s="30">
        <v>313689.60000000003</v>
      </c>
      <c r="U42" s="30">
        <v>1019491.2000000001</v>
      </c>
      <c r="V42" s="30">
        <v>1960560</v>
      </c>
      <c r="W42" s="30">
        <v>1803715.2000000002</v>
      </c>
      <c r="X42" s="30">
        <f t="shared" si="1"/>
        <v>7842240.0000000009</v>
      </c>
    </row>
    <row r="43" spans="3:33" hidden="1" x14ac:dyDescent="0.3">
      <c r="C43" s="30" t="s">
        <v>22</v>
      </c>
      <c r="D43" s="30" t="s">
        <v>355</v>
      </c>
      <c r="E43" s="30" t="s">
        <v>39</v>
      </c>
      <c r="F43" s="30">
        <v>6973.0499999999993</v>
      </c>
      <c r="H43" s="30">
        <v>796.92000000000007</v>
      </c>
      <c r="I43" s="30">
        <v>2589.9900000000002</v>
      </c>
      <c r="J43" s="30">
        <v>4980.75</v>
      </c>
      <c r="K43" s="30">
        <v>4582.29</v>
      </c>
      <c r="L43" s="30">
        <f t="shared" si="0"/>
        <v>19923</v>
      </c>
      <c r="O43" s="30" t="s">
        <v>22</v>
      </c>
      <c r="P43" s="30" t="s">
        <v>355</v>
      </c>
      <c r="Q43" s="30" t="s">
        <v>39</v>
      </c>
      <c r="R43" s="30">
        <v>3904907.9999999995</v>
      </c>
      <c r="S43" s="30"/>
      <c r="T43" s="30">
        <v>446275.2</v>
      </c>
      <c r="U43" s="30">
        <v>1450394.4000000001</v>
      </c>
      <c r="V43" s="30">
        <v>2789220</v>
      </c>
      <c r="W43" s="30">
        <v>2566082.4</v>
      </c>
      <c r="X43" s="30">
        <f t="shared" si="1"/>
        <v>11156880</v>
      </c>
      <c r="AB43" s="30"/>
      <c r="AC43" s="30"/>
      <c r="AD43" s="30"/>
      <c r="AE43" s="30"/>
      <c r="AF43" s="30"/>
      <c r="AG43" s="30"/>
    </row>
    <row r="44" spans="3:33" hidden="1" x14ac:dyDescent="0.3">
      <c r="C44" s="30" t="s">
        <v>22</v>
      </c>
      <c r="D44" s="30" t="s">
        <v>355</v>
      </c>
      <c r="E44" s="30" t="s">
        <v>41</v>
      </c>
      <c r="F44" s="30">
        <v>7839.65</v>
      </c>
      <c r="H44" s="30">
        <v>895.96</v>
      </c>
      <c r="I44" s="30">
        <v>2911.87</v>
      </c>
      <c r="J44" s="30">
        <v>5599.75</v>
      </c>
      <c r="K44" s="30">
        <v>5151.7700000000004</v>
      </c>
      <c r="L44" s="30">
        <f t="shared" si="0"/>
        <v>22399</v>
      </c>
      <c r="O44" s="30" t="s">
        <v>22</v>
      </c>
      <c r="P44" s="30" t="s">
        <v>355</v>
      </c>
      <c r="Q44" s="30" t="s">
        <v>41</v>
      </c>
      <c r="R44" s="30">
        <v>4390204</v>
      </c>
      <c r="S44" s="30"/>
      <c r="T44" s="30">
        <v>501737.60000000003</v>
      </c>
      <c r="U44" s="30">
        <v>1630647.2</v>
      </c>
      <c r="V44" s="30">
        <v>3135860</v>
      </c>
      <c r="W44" s="30">
        <v>2884991.2</v>
      </c>
      <c r="X44" s="30">
        <f t="shared" si="1"/>
        <v>12543440</v>
      </c>
    </row>
    <row r="45" spans="3:33" hidden="1" x14ac:dyDescent="0.3">
      <c r="C45" s="30" t="s">
        <v>22</v>
      </c>
      <c r="D45" s="30" t="s">
        <v>355</v>
      </c>
      <c r="E45" s="30" t="s">
        <v>43</v>
      </c>
      <c r="F45" s="30">
        <v>7430.15</v>
      </c>
      <c r="H45" s="30">
        <v>849.16</v>
      </c>
      <c r="I45" s="30">
        <v>2759.77</v>
      </c>
      <c r="J45" s="30">
        <v>5307.25</v>
      </c>
      <c r="K45" s="30">
        <v>4882.67</v>
      </c>
      <c r="L45" s="30">
        <f t="shared" si="0"/>
        <v>21229</v>
      </c>
      <c r="O45" s="30" t="s">
        <v>22</v>
      </c>
      <c r="P45" s="30" t="s">
        <v>355</v>
      </c>
      <c r="Q45" s="30" t="s">
        <v>43</v>
      </c>
      <c r="R45" s="30">
        <v>4160883.9999999995</v>
      </c>
      <c r="S45" s="30"/>
      <c r="T45" s="30">
        <v>475529.60000000003</v>
      </c>
      <c r="U45" s="30">
        <v>1545471.2</v>
      </c>
      <c r="V45" s="30">
        <v>2972060</v>
      </c>
      <c r="W45" s="30">
        <v>2734295.2</v>
      </c>
      <c r="X45" s="30">
        <f t="shared" si="1"/>
        <v>11888240</v>
      </c>
    </row>
    <row r="46" spans="3:33" hidden="1" x14ac:dyDescent="0.3">
      <c r="C46" s="30" t="s">
        <v>22</v>
      </c>
      <c r="D46" s="30" t="s">
        <v>355</v>
      </c>
      <c r="E46" s="30" t="s">
        <v>45</v>
      </c>
      <c r="F46" s="30">
        <v>8640.0999999999985</v>
      </c>
      <c r="H46" s="30">
        <v>987.44</v>
      </c>
      <c r="I46" s="30">
        <v>3209.1800000000003</v>
      </c>
      <c r="J46" s="30">
        <v>6171.5</v>
      </c>
      <c r="K46" s="30">
        <v>5677.7800000000007</v>
      </c>
      <c r="L46" s="30">
        <f t="shared" si="0"/>
        <v>24686</v>
      </c>
      <c r="O46" s="30" t="s">
        <v>22</v>
      </c>
      <c r="P46" s="30" t="s">
        <v>355</v>
      </c>
      <c r="Q46" s="30" t="s">
        <v>45</v>
      </c>
      <c r="R46" s="30">
        <v>4838456</v>
      </c>
      <c r="S46" s="30"/>
      <c r="T46" s="30">
        <v>552966.40000000002</v>
      </c>
      <c r="U46" s="30">
        <v>1797140.8</v>
      </c>
      <c r="V46" s="30">
        <v>3456040</v>
      </c>
      <c r="W46" s="30">
        <v>3179556.8000000003</v>
      </c>
      <c r="X46" s="30">
        <f t="shared" si="1"/>
        <v>13824160</v>
      </c>
    </row>
    <row r="47" spans="3:33" hidden="1" x14ac:dyDescent="0.3">
      <c r="C47" s="30" t="s">
        <v>22</v>
      </c>
      <c r="D47" s="30" t="s">
        <v>355</v>
      </c>
      <c r="E47" s="30" t="s">
        <v>47</v>
      </c>
      <c r="F47" s="30">
        <v>8663.9</v>
      </c>
      <c r="H47" s="30">
        <v>990.16</v>
      </c>
      <c r="I47" s="30">
        <v>3218.02</v>
      </c>
      <c r="J47" s="30">
        <v>6188.5</v>
      </c>
      <c r="K47" s="30">
        <v>5693.42</v>
      </c>
      <c r="L47" s="30">
        <f t="shared" si="0"/>
        <v>24754</v>
      </c>
      <c r="O47" s="30" t="s">
        <v>428</v>
      </c>
      <c r="P47" s="30" t="s">
        <v>355</v>
      </c>
      <c r="Q47" s="30" t="s">
        <v>47</v>
      </c>
      <c r="R47" s="30">
        <v>4851784</v>
      </c>
      <c r="S47" s="30"/>
      <c r="T47" s="30">
        <v>554489.59999999998</v>
      </c>
      <c r="U47" s="30">
        <v>1802091.2</v>
      </c>
      <c r="V47" s="30">
        <v>3465560</v>
      </c>
      <c r="W47" s="30">
        <v>3188315.2</v>
      </c>
      <c r="X47" s="30">
        <f t="shared" si="1"/>
        <v>13862240</v>
      </c>
    </row>
    <row r="48" spans="3:33" s="30" customFormat="1" hidden="1" x14ac:dyDescent="0.3">
      <c r="C48" s="30" t="s">
        <v>428</v>
      </c>
      <c r="D48" s="30" t="s">
        <v>355</v>
      </c>
      <c r="E48" s="30" t="s">
        <v>416</v>
      </c>
      <c r="F48" s="30">
        <f>SUM(F36:F38)</f>
        <v>21026.25</v>
      </c>
      <c r="H48" s="30">
        <f t="shared" ref="H48:L48" si="18">SUM(H36:H38)</f>
        <v>2403</v>
      </c>
      <c r="I48" s="30">
        <f t="shared" si="18"/>
        <v>7809.75</v>
      </c>
      <c r="J48" s="30">
        <f t="shared" si="18"/>
        <v>15018.75</v>
      </c>
      <c r="K48" s="30">
        <f t="shared" si="18"/>
        <v>13817.25</v>
      </c>
      <c r="L48" s="30">
        <f t="shared" si="18"/>
        <v>60075</v>
      </c>
      <c r="M48" s="186"/>
      <c r="O48" s="30" t="s">
        <v>429</v>
      </c>
      <c r="P48" s="30" t="s">
        <v>355</v>
      </c>
      <c r="Q48" s="30" t="s">
        <v>416</v>
      </c>
      <c r="R48" s="30">
        <f>SUM(R36:R38)</f>
        <v>11774700</v>
      </c>
      <c r="T48" s="30">
        <f t="shared" ref="T48:X48" si="19">SUM(T36:T38)</f>
        <v>1345680</v>
      </c>
      <c r="U48" s="30">
        <f t="shared" si="19"/>
        <v>4373460</v>
      </c>
      <c r="V48" s="30">
        <f t="shared" si="19"/>
        <v>8410500</v>
      </c>
      <c r="W48" s="30">
        <f t="shared" si="19"/>
        <v>7737660</v>
      </c>
      <c r="X48" s="30">
        <f t="shared" si="19"/>
        <v>33642000</v>
      </c>
      <c r="Y48" s="186"/>
    </row>
    <row r="49" spans="3:25" s="30" customFormat="1" hidden="1" x14ac:dyDescent="0.3">
      <c r="C49" s="30" t="s">
        <v>429</v>
      </c>
      <c r="D49" s="30" t="s">
        <v>355</v>
      </c>
      <c r="E49" s="30" t="s">
        <v>417</v>
      </c>
      <c r="F49" s="30">
        <f>SUM(F39:F41)</f>
        <v>21733.25</v>
      </c>
      <c r="H49" s="30">
        <f t="shared" ref="H49:L49" si="20">SUM(H39:H41)</f>
        <v>2483.8000000000002</v>
      </c>
      <c r="I49" s="30">
        <f t="shared" si="20"/>
        <v>8072.35</v>
      </c>
      <c r="J49" s="30">
        <f t="shared" si="20"/>
        <v>15523.75</v>
      </c>
      <c r="K49" s="30">
        <f t="shared" si="20"/>
        <v>14281.849999999999</v>
      </c>
      <c r="L49" s="30">
        <f t="shared" si="20"/>
        <v>62095</v>
      </c>
      <c r="M49" s="186"/>
      <c r="O49" s="30" t="s">
        <v>430</v>
      </c>
      <c r="P49" s="30" t="s">
        <v>355</v>
      </c>
      <c r="Q49" s="30" t="s">
        <v>417</v>
      </c>
      <c r="R49" s="30">
        <f>SUM(R39:R41)</f>
        <v>12170620</v>
      </c>
      <c r="T49" s="30">
        <f t="shared" ref="T49:X49" si="21">SUM(T39:T41)</f>
        <v>1390928</v>
      </c>
      <c r="U49" s="30">
        <f t="shared" si="21"/>
        <v>4520516</v>
      </c>
      <c r="V49" s="30">
        <f t="shared" si="21"/>
        <v>8693300</v>
      </c>
      <c r="W49" s="30">
        <f t="shared" si="21"/>
        <v>7997836</v>
      </c>
      <c r="X49" s="30">
        <f t="shared" si="21"/>
        <v>34773200</v>
      </c>
      <c r="Y49" s="186"/>
    </row>
    <row r="50" spans="3:25" s="30" customFormat="1" hidden="1" x14ac:dyDescent="0.3">
      <c r="C50" s="30" t="s">
        <v>430</v>
      </c>
      <c r="D50" s="30" t="s">
        <v>355</v>
      </c>
      <c r="E50" s="30" t="s">
        <v>419</v>
      </c>
      <c r="F50" s="30">
        <f>SUM(F42:F44)</f>
        <v>19714.099999999999</v>
      </c>
      <c r="H50" s="30">
        <f t="shared" ref="H50:L50" si="22">SUM(H42:H44)</f>
        <v>2253.04</v>
      </c>
      <c r="I50" s="30">
        <f t="shared" si="22"/>
        <v>7322.38</v>
      </c>
      <c r="J50" s="30">
        <f t="shared" si="22"/>
        <v>14081.5</v>
      </c>
      <c r="K50" s="30">
        <f t="shared" si="22"/>
        <v>12954.98</v>
      </c>
      <c r="L50" s="30">
        <f t="shared" si="22"/>
        <v>56326</v>
      </c>
      <c r="M50" s="186"/>
      <c r="O50" s="30" t="s">
        <v>431</v>
      </c>
      <c r="P50" s="30" t="s">
        <v>355</v>
      </c>
      <c r="Q50" s="30" t="s">
        <v>419</v>
      </c>
      <c r="R50" s="30">
        <f>SUM(R42:R44)</f>
        <v>11039896</v>
      </c>
      <c r="T50" s="30">
        <f t="shared" ref="T50:X50" si="23">SUM(T42:T44)</f>
        <v>1261702.4000000001</v>
      </c>
      <c r="U50" s="30">
        <f t="shared" si="23"/>
        <v>4100532.8</v>
      </c>
      <c r="V50" s="30">
        <f t="shared" si="23"/>
        <v>7885640</v>
      </c>
      <c r="W50" s="30">
        <f t="shared" si="23"/>
        <v>7254788.7999999998</v>
      </c>
      <c r="X50" s="30">
        <f t="shared" si="23"/>
        <v>31542560</v>
      </c>
      <c r="Y50" s="186"/>
    </row>
    <row r="51" spans="3:25" s="30" customFormat="1" hidden="1" x14ac:dyDescent="0.3">
      <c r="C51" s="30" t="s">
        <v>431</v>
      </c>
      <c r="D51" s="30" t="s">
        <v>355</v>
      </c>
      <c r="E51" s="30" t="s">
        <v>421</v>
      </c>
      <c r="F51" s="30">
        <f>SUM(F45:F47)</f>
        <v>24734.149999999998</v>
      </c>
      <c r="H51" s="30">
        <f t="shared" ref="H51:L51" si="24">SUM(H45:H47)</f>
        <v>2826.7599999999998</v>
      </c>
      <c r="I51" s="30">
        <f t="shared" si="24"/>
        <v>9186.9700000000012</v>
      </c>
      <c r="J51" s="30">
        <f t="shared" si="24"/>
        <v>17667.25</v>
      </c>
      <c r="K51" s="30">
        <f t="shared" si="24"/>
        <v>16253.87</v>
      </c>
      <c r="L51" s="30">
        <f t="shared" si="24"/>
        <v>70669</v>
      </c>
      <c r="M51" s="186"/>
      <c r="O51" s="30" t="s">
        <v>22</v>
      </c>
      <c r="P51" s="30" t="s">
        <v>355</v>
      </c>
      <c r="Q51" s="30" t="s">
        <v>421</v>
      </c>
      <c r="R51" s="30">
        <f>SUM(R45:R47)</f>
        <v>13851124</v>
      </c>
      <c r="T51" s="30">
        <f t="shared" ref="T51:X51" si="25">SUM(T45:T47)</f>
        <v>1582985.6</v>
      </c>
      <c r="U51" s="30">
        <f t="shared" si="25"/>
        <v>5144703.2</v>
      </c>
      <c r="V51" s="30">
        <f t="shared" si="25"/>
        <v>9893660</v>
      </c>
      <c r="W51" s="30">
        <f t="shared" si="25"/>
        <v>9102167.1999999993</v>
      </c>
      <c r="X51" s="30">
        <f t="shared" si="25"/>
        <v>39574640</v>
      </c>
      <c r="Y51" s="186"/>
    </row>
    <row r="52" spans="3:25" x14ac:dyDescent="0.3">
      <c r="C52" s="30" t="s">
        <v>24</v>
      </c>
      <c r="D52" s="30" t="s">
        <v>353</v>
      </c>
      <c r="E52" s="30" t="s">
        <v>26</v>
      </c>
      <c r="F52" s="47">
        <v>1233.75</v>
      </c>
      <c r="G52" s="47"/>
      <c r="H52" s="47">
        <v>141</v>
      </c>
      <c r="I52" s="47">
        <v>458.25</v>
      </c>
      <c r="J52" s="47">
        <v>881.25</v>
      </c>
      <c r="K52" s="47">
        <v>810.75</v>
      </c>
      <c r="L52" s="47">
        <f t="shared" si="0"/>
        <v>3525</v>
      </c>
      <c r="O52" s="30" t="s">
        <v>24</v>
      </c>
      <c r="P52" s="30" t="s">
        <v>353</v>
      </c>
      <c r="Q52" s="30" t="s">
        <v>26</v>
      </c>
      <c r="R52" s="30">
        <v>5519615.5</v>
      </c>
      <c r="S52" s="30"/>
      <c r="T52" s="30">
        <v>630813.20000000007</v>
      </c>
      <c r="U52" s="30">
        <v>2050142.9000000001</v>
      </c>
      <c r="V52" s="30">
        <v>3942582.5</v>
      </c>
      <c r="W52" s="30">
        <v>3627175.9000000004</v>
      </c>
      <c r="X52" s="30">
        <f t="shared" si="1"/>
        <v>15770330.000000002</v>
      </c>
    </row>
    <row r="53" spans="3:25" x14ac:dyDescent="0.3">
      <c r="C53" s="30" t="s">
        <v>24</v>
      </c>
      <c r="D53" s="30" t="s">
        <v>354</v>
      </c>
      <c r="E53" s="30" t="s">
        <v>26</v>
      </c>
      <c r="F53" s="30">
        <v>12490.099999999999</v>
      </c>
      <c r="H53" s="30">
        <v>1427.44</v>
      </c>
      <c r="I53" s="30">
        <v>4639.18</v>
      </c>
      <c r="J53" s="30">
        <v>8921.5</v>
      </c>
      <c r="K53" s="30">
        <v>8207.7800000000007</v>
      </c>
      <c r="L53" s="30">
        <f t="shared" si="0"/>
        <v>35686</v>
      </c>
      <c r="O53" s="30" t="s">
        <v>24</v>
      </c>
      <c r="P53" s="30" t="s">
        <v>354</v>
      </c>
      <c r="Q53" s="30" t="s">
        <v>26</v>
      </c>
      <c r="R53" s="30">
        <v>6985566</v>
      </c>
      <c r="S53" s="30"/>
      <c r="T53" s="30">
        <v>798350.4</v>
      </c>
      <c r="U53" s="30">
        <v>2594638.8000000003</v>
      </c>
      <c r="V53" s="30">
        <v>4989690</v>
      </c>
      <c r="W53" s="30">
        <v>4590514.8</v>
      </c>
      <c r="X53" s="30">
        <f t="shared" si="1"/>
        <v>19958760</v>
      </c>
    </row>
    <row r="54" spans="3:25" x14ac:dyDescent="0.3">
      <c r="C54" s="30" t="s">
        <v>24</v>
      </c>
      <c r="D54" s="30" t="s">
        <v>355</v>
      </c>
      <c r="E54" s="30" t="s">
        <v>26</v>
      </c>
      <c r="F54" s="30">
        <v>8616.2999999999993</v>
      </c>
      <c r="H54" s="30">
        <v>984.72</v>
      </c>
      <c r="I54" s="30">
        <v>3200.34</v>
      </c>
      <c r="J54" s="30">
        <v>6154.5</v>
      </c>
      <c r="K54" s="30">
        <v>5662.14</v>
      </c>
      <c r="L54" s="30">
        <f t="shared" si="0"/>
        <v>24618</v>
      </c>
      <c r="O54" s="30" t="s">
        <v>24</v>
      </c>
      <c r="P54" s="30" t="s">
        <v>355</v>
      </c>
      <c r="Q54" s="30" t="s">
        <v>26</v>
      </c>
      <c r="R54" s="30">
        <v>6031410</v>
      </c>
      <c r="S54" s="30"/>
      <c r="T54" s="30">
        <v>689304</v>
      </c>
      <c r="U54" s="30">
        <v>2240238</v>
      </c>
      <c r="V54" s="30">
        <v>4308150</v>
      </c>
      <c r="W54" s="30">
        <v>3963498</v>
      </c>
      <c r="X54" s="30">
        <f t="shared" si="1"/>
        <v>17232600</v>
      </c>
    </row>
    <row r="55" spans="3:25" x14ac:dyDescent="0.3">
      <c r="C55" s="30" t="s">
        <v>24</v>
      </c>
      <c r="D55" s="30" t="s">
        <v>353</v>
      </c>
      <c r="E55" s="30" t="s">
        <v>28</v>
      </c>
      <c r="F55" s="47">
        <v>1296.3999999999999</v>
      </c>
      <c r="G55" s="47"/>
      <c r="H55" s="47">
        <v>148.16</v>
      </c>
      <c r="I55" s="47">
        <v>481.52000000000004</v>
      </c>
      <c r="J55" s="47">
        <v>926</v>
      </c>
      <c r="K55" s="47">
        <v>851.92000000000007</v>
      </c>
      <c r="L55" s="47">
        <f t="shared" si="0"/>
        <v>3704</v>
      </c>
      <c r="O55" s="30" t="s">
        <v>24</v>
      </c>
      <c r="P55" s="30" t="s">
        <v>353</v>
      </c>
      <c r="Q55" s="30" t="s">
        <v>28</v>
      </c>
      <c r="R55" s="30">
        <v>5810311.5</v>
      </c>
      <c r="S55" s="30"/>
      <c r="T55" s="30">
        <v>664035.6</v>
      </c>
      <c r="U55" s="30">
        <v>2158115.7000000002</v>
      </c>
      <c r="V55" s="30">
        <v>4150222.5</v>
      </c>
      <c r="W55" s="30">
        <v>3818204.7</v>
      </c>
      <c r="X55" s="30">
        <f t="shared" si="1"/>
        <v>16600890</v>
      </c>
    </row>
    <row r="56" spans="3:25" x14ac:dyDescent="0.3">
      <c r="C56" s="30" t="s">
        <v>24</v>
      </c>
      <c r="D56" s="30" t="s">
        <v>354</v>
      </c>
      <c r="E56" s="30" t="s">
        <v>28</v>
      </c>
      <c r="F56" s="30">
        <v>10921.75</v>
      </c>
      <c r="H56" s="30">
        <v>1248.2</v>
      </c>
      <c r="I56" s="30">
        <v>4056.65</v>
      </c>
      <c r="J56" s="30">
        <v>7801.25</v>
      </c>
      <c r="K56" s="30">
        <v>7177.1500000000005</v>
      </c>
      <c r="L56" s="30">
        <f t="shared" si="0"/>
        <v>31205</v>
      </c>
      <c r="O56" s="30" t="s">
        <v>24</v>
      </c>
      <c r="P56" s="30" t="s">
        <v>354</v>
      </c>
      <c r="Q56" s="30" t="s">
        <v>28</v>
      </c>
      <c r="R56" s="30">
        <v>6107290</v>
      </c>
      <c r="S56" s="30"/>
      <c r="T56" s="30">
        <v>697976</v>
      </c>
      <c r="U56" s="30">
        <v>2268422</v>
      </c>
      <c r="V56" s="30">
        <v>4362350</v>
      </c>
      <c r="W56" s="30">
        <v>4013362</v>
      </c>
      <c r="X56" s="30">
        <f t="shared" si="1"/>
        <v>17449400</v>
      </c>
    </row>
    <row r="57" spans="3:25" x14ac:dyDescent="0.3">
      <c r="C57" s="30" t="s">
        <v>24</v>
      </c>
      <c r="D57" s="30" t="s">
        <v>355</v>
      </c>
      <c r="E57" s="30" t="s">
        <v>28</v>
      </c>
      <c r="F57" s="30">
        <v>7848.7499999999991</v>
      </c>
      <c r="H57" s="30">
        <v>897</v>
      </c>
      <c r="I57" s="30">
        <v>2915.25</v>
      </c>
      <c r="J57" s="30">
        <v>5606.25</v>
      </c>
      <c r="K57" s="30">
        <v>5157.75</v>
      </c>
      <c r="L57" s="30">
        <f t="shared" si="0"/>
        <v>22425</v>
      </c>
      <c r="O57" s="30" t="s">
        <v>24</v>
      </c>
      <c r="P57" s="30" t="s">
        <v>355</v>
      </c>
      <c r="Q57" s="30" t="s">
        <v>28</v>
      </c>
      <c r="R57" s="30">
        <v>5494125</v>
      </c>
      <c r="S57" s="30"/>
      <c r="T57" s="30">
        <v>627900</v>
      </c>
      <c r="U57" s="30">
        <v>2040675</v>
      </c>
      <c r="V57" s="30">
        <v>3924375</v>
      </c>
      <c r="W57" s="30">
        <v>3610425</v>
      </c>
      <c r="X57" s="30">
        <f t="shared" si="1"/>
        <v>15697500</v>
      </c>
    </row>
    <row r="58" spans="3:25" x14ac:dyDescent="0.3">
      <c r="C58" s="30" t="s">
        <v>24</v>
      </c>
      <c r="D58" s="30" t="s">
        <v>353</v>
      </c>
      <c r="E58" s="30" t="s">
        <v>30</v>
      </c>
      <c r="F58" s="47">
        <v>1164</v>
      </c>
      <c r="G58" s="47"/>
      <c r="H58" s="47">
        <v>232.79999999999998</v>
      </c>
      <c r="I58" s="47">
        <v>426.8</v>
      </c>
      <c r="J58" s="47">
        <v>1008.8000000000001</v>
      </c>
      <c r="K58" s="47">
        <v>1047.6000000000001</v>
      </c>
      <c r="L58" s="47">
        <f t="shared" si="0"/>
        <v>3880</v>
      </c>
      <c r="O58" s="30" t="s">
        <v>24</v>
      </c>
      <c r="P58" s="30" t="s">
        <v>353</v>
      </c>
      <c r="Q58" s="30" t="s">
        <v>30</v>
      </c>
      <c r="R58" s="30">
        <v>5225259</v>
      </c>
      <c r="S58" s="30"/>
      <c r="T58" s="30">
        <v>1045051.7999999999</v>
      </c>
      <c r="U58" s="30">
        <v>1915928.3</v>
      </c>
      <c r="V58" s="30">
        <v>4528557.8</v>
      </c>
      <c r="W58" s="30">
        <v>4702733.1000000006</v>
      </c>
      <c r="X58" s="30">
        <f t="shared" si="1"/>
        <v>17417530</v>
      </c>
    </row>
    <row r="59" spans="3:25" x14ac:dyDescent="0.3">
      <c r="C59" s="30" t="s">
        <v>24</v>
      </c>
      <c r="D59" s="30" t="s">
        <v>354</v>
      </c>
      <c r="E59" s="30" t="s">
        <v>30</v>
      </c>
      <c r="F59" s="30">
        <v>10172.4</v>
      </c>
      <c r="H59" s="30">
        <v>2034.48</v>
      </c>
      <c r="I59" s="30">
        <v>3729.88</v>
      </c>
      <c r="J59" s="30">
        <v>8816.08</v>
      </c>
      <c r="K59" s="30">
        <v>9155.16</v>
      </c>
      <c r="L59" s="30">
        <f t="shared" si="0"/>
        <v>33908</v>
      </c>
      <c r="O59" s="30" t="s">
        <v>24</v>
      </c>
      <c r="P59" s="30" t="s">
        <v>354</v>
      </c>
      <c r="Q59" s="30" t="s">
        <v>30</v>
      </c>
      <c r="R59" s="30">
        <v>5688924</v>
      </c>
      <c r="S59" s="30"/>
      <c r="T59" s="30">
        <v>1137784.8</v>
      </c>
      <c r="U59" s="30">
        <v>2085938.8</v>
      </c>
      <c r="V59" s="30">
        <v>4930400.8</v>
      </c>
      <c r="W59" s="30">
        <v>5120031.6000000006</v>
      </c>
      <c r="X59" s="30">
        <f t="shared" si="1"/>
        <v>18963080</v>
      </c>
    </row>
    <row r="60" spans="3:25" x14ac:dyDescent="0.3">
      <c r="C60" s="30" t="s">
        <v>24</v>
      </c>
      <c r="D60" s="30" t="s">
        <v>355</v>
      </c>
      <c r="E60" s="30" t="s">
        <v>30</v>
      </c>
      <c r="F60" s="30">
        <v>7221.9</v>
      </c>
      <c r="H60" s="30">
        <v>1444.3799999999999</v>
      </c>
      <c r="I60" s="30">
        <v>2648.03</v>
      </c>
      <c r="J60" s="30">
        <v>6258.9800000000005</v>
      </c>
      <c r="K60" s="30">
        <v>6499.71</v>
      </c>
      <c r="L60" s="30">
        <f>SUM(F60:K60)</f>
        <v>24073</v>
      </c>
      <c r="O60" s="30" t="s">
        <v>24</v>
      </c>
      <c r="P60" s="30" t="s">
        <v>355</v>
      </c>
      <c r="Q60" s="30" t="s">
        <v>30</v>
      </c>
      <c r="R60" s="30">
        <v>5055330</v>
      </c>
      <c r="S60" s="30"/>
      <c r="T60" s="30">
        <v>1011066</v>
      </c>
      <c r="U60" s="30">
        <v>1853621</v>
      </c>
      <c r="V60" s="30">
        <v>4381286</v>
      </c>
      <c r="W60" s="30">
        <v>4549797</v>
      </c>
      <c r="X60" s="30">
        <f>SUM(R60:W60)</f>
        <v>16851100</v>
      </c>
    </row>
    <row r="61" spans="3:25" s="30" customFormat="1" hidden="1" x14ac:dyDescent="0.3">
      <c r="C61" s="30" t="s">
        <v>480</v>
      </c>
      <c r="D61" s="30" t="s">
        <v>353</v>
      </c>
      <c r="E61" s="30" t="s">
        <v>463</v>
      </c>
      <c r="F61" s="30">
        <f>SUM(F52,F55,F58)</f>
        <v>3694.1499999999996</v>
      </c>
      <c r="G61" s="30">
        <f t="shared" ref="G61:L61" si="26">SUM(G52,G55,G58)</f>
        <v>0</v>
      </c>
      <c r="H61" s="30">
        <f t="shared" si="26"/>
        <v>521.95999999999992</v>
      </c>
      <c r="I61" s="30">
        <f t="shared" si="26"/>
        <v>1366.57</v>
      </c>
      <c r="J61" s="30">
        <f t="shared" si="26"/>
        <v>2816.05</v>
      </c>
      <c r="K61" s="30">
        <f t="shared" si="26"/>
        <v>2710.2700000000004</v>
      </c>
      <c r="L61" s="30">
        <f t="shared" si="26"/>
        <v>11109</v>
      </c>
      <c r="M61" s="186"/>
      <c r="O61" s="30" t="s">
        <v>480</v>
      </c>
      <c r="P61" s="30" t="s">
        <v>353</v>
      </c>
      <c r="Q61" s="30" t="s">
        <v>463</v>
      </c>
      <c r="R61" s="30">
        <f>SUM(R52,R55,R58)</f>
        <v>16555186</v>
      </c>
      <c r="S61" s="30">
        <f t="shared" ref="S61:X61" si="27">SUM(S52,S55,S58)</f>
        <v>0</v>
      </c>
      <c r="T61" s="30">
        <f t="shared" si="27"/>
        <v>2339900.6</v>
      </c>
      <c r="U61" s="30">
        <f t="shared" si="27"/>
        <v>6124186.9000000004</v>
      </c>
      <c r="V61" s="30">
        <f t="shared" si="27"/>
        <v>12621362.800000001</v>
      </c>
      <c r="W61" s="30">
        <f t="shared" si="27"/>
        <v>12148113.700000001</v>
      </c>
      <c r="X61" s="30">
        <f t="shared" si="27"/>
        <v>49788750</v>
      </c>
      <c r="Y61" s="186"/>
    </row>
    <row r="62" spans="3:25" s="30" customFormat="1" hidden="1" x14ac:dyDescent="0.3">
      <c r="C62" s="30" t="s">
        <v>480</v>
      </c>
      <c r="D62" s="30" t="s">
        <v>328</v>
      </c>
      <c r="E62" s="30" t="s">
        <v>463</v>
      </c>
      <c r="F62" s="30">
        <f t="shared" ref="F62:L63" si="28">SUM(F53,F56,F59)</f>
        <v>33584.25</v>
      </c>
      <c r="G62" s="30">
        <f t="shared" si="28"/>
        <v>0</v>
      </c>
      <c r="H62" s="30">
        <f t="shared" si="28"/>
        <v>4710.1200000000008</v>
      </c>
      <c r="I62" s="30">
        <f t="shared" si="28"/>
        <v>12425.71</v>
      </c>
      <c r="J62" s="30">
        <f t="shared" si="28"/>
        <v>25538.83</v>
      </c>
      <c r="K62" s="30">
        <f t="shared" si="28"/>
        <v>24540.09</v>
      </c>
      <c r="L62" s="30">
        <f t="shared" si="28"/>
        <v>100799</v>
      </c>
      <c r="M62" s="186"/>
      <c r="O62" s="30" t="s">
        <v>480</v>
      </c>
      <c r="P62" s="30" t="s">
        <v>328</v>
      </c>
      <c r="Q62" s="30" t="s">
        <v>463</v>
      </c>
      <c r="R62" s="30">
        <f t="shared" ref="R62:X62" si="29">SUM(R53,R56,R59)</f>
        <v>18781780</v>
      </c>
      <c r="S62" s="30">
        <f t="shared" si="29"/>
        <v>0</v>
      </c>
      <c r="T62" s="30">
        <f t="shared" si="29"/>
        <v>2634111.2000000002</v>
      </c>
      <c r="U62" s="30">
        <f t="shared" si="29"/>
        <v>6948999.6000000006</v>
      </c>
      <c r="V62" s="30">
        <f t="shared" si="29"/>
        <v>14282440.800000001</v>
      </c>
      <c r="W62" s="30">
        <f t="shared" si="29"/>
        <v>13723908.400000002</v>
      </c>
      <c r="X62" s="30">
        <f t="shared" si="29"/>
        <v>56371240</v>
      </c>
      <c r="Y62" s="186"/>
    </row>
    <row r="63" spans="3:25" s="30" customFormat="1" hidden="1" x14ac:dyDescent="0.3">
      <c r="C63" s="30" t="s">
        <v>480</v>
      </c>
      <c r="D63" s="30" t="s">
        <v>355</v>
      </c>
      <c r="E63" s="30" t="s">
        <v>463</v>
      </c>
      <c r="F63" s="30">
        <f t="shared" si="28"/>
        <v>23686.949999999997</v>
      </c>
      <c r="G63" s="30">
        <f t="shared" si="28"/>
        <v>0</v>
      </c>
      <c r="H63" s="30">
        <f t="shared" si="28"/>
        <v>3326.1</v>
      </c>
      <c r="I63" s="30">
        <f t="shared" si="28"/>
        <v>8763.6200000000008</v>
      </c>
      <c r="J63" s="30">
        <f t="shared" si="28"/>
        <v>18019.73</v>
      </c>
      <c r="K63" s="30">
        <f t="shared" si="28"/>
        <v>17319.599999999999</v>
      </c>
      <c r="L63" s="30">
        <f t="shared" si="28"/>
        <v>71116</v>
      </c>
      <c r="M63" s="186"/>
      <c r="O63" s="30" t="s">
        <v>480</v>
      </c>
      <c r="P63" s="30" t="s">
        <v>355</v>
      </c>
      <c r="Q63" s="30" t="s">
        <v>463</v>
      </c>
      <c r="R63" s="30">
        <f t="shared" ref="R63:X63" si="30">SUM(R54,R57,R60)</f>
        <v>16580865</v>
      </c>
      <c r="S63" s="30">
        <f t="shared" si="30"/>
        <v>0</v>
      </c>
      <c r="T63" s="30">
        <f t="shared" si="30"/>
        <v>2328270</v>
      </c>
      <c r="U63" s="30">
        <f t="shared" si="30"/>
        <v>6134534</v>
      </c>
      <c r="V63" s="30">
        <f t="shared" si="30"/>
        <v>12613811</v>
      </c>
      <c r="W63" s="30">
        <f t="shared" si="30"/>
        <v>12123720</v>
      </c>
      <c r="X63" s="30">
        <f t="shared" si="30"/>
        <v>49781200</v>
      </c>
      <c r="Y63" s="186"/>
    </row>
    <row r="64" spans="3:25" x14ac:dyDescent="0.3">
      <c r="C64" s="30" t="s">
        <v>24</v>
      </c>
      <c r="D64" s="30" t="s">
        <v>353</v>
      </c>
      <c r="E64" s="30" t="s">
        <v>31</v>
      </c>
      <c r="F64" s="47">
        <f>IFERROR($M64*SUMIFS(용수계산!X:X,용수계산!V:V,C64,용수계산!W:W,E64),0)</f>
        <v>813.92654859300546</v>
      </c>
      <c r="G64" s="47">
        <f>IFERROR($M64*SUMIFS(용수계산!Y:Y,용수계산!V:V,C64,용수계산!W:W,E64),0)</f>
        <v>305.51784590488177</v>
      </c>
      <c r="H64" s="47">
        <f>IFERROR($M64*SUMIFS(용수계산!Z:Z,용수계산!V:V,C64,용수계산!W:W,E64),0)</f>
        <v>174.1958104827834</v>
      </c>
      <c r="I64" s="47">
        <f>IFERROR($M64*SUMIFS(용수계산!AA:AA,용수계산!V:V,C64,용수계산!W:W,E64),0)</f>
        <v>506.04558122808595</v>
      </c>
      <c r="J64" s="47">
        <f>IFERROR($M64*SUMIFS(용수계산!AB:AB,용수계산!V:V,C64,용수계산!W:W,E64),0)</f>
        <v>1022.5564146363391</v>
      </c>
      <c r="K64" s="47">
        <f>IFERROR($M64*SUMIFS(용수계산!AC:AC,용수계산!V:V,C64,용수계산!W:W,E64),0)</f>
        <v>932.75779915490432</v>
      </c>
      <c r="L64" s="47">
        <f>SUM(F64:K64)</f>
        <v>3755</v>
      </c>
      <c r="M64" s="186">
        <v>3755</v>
      </c>
      <c r="O64" s="30" t="s">
        <v>24</v>
      </c>
      <c r="P64" s="30" t="s">
        <v>353</v>
      </c>
      <c r="Q64" s="30" t="s">
        <v>31</v>
      </c>
      <c r="R64" s="30">
        <f>IFERROR($Y64*SUMIFS(용수계산!X:X,용수계산!V:V,C64,용수계산!W:W,E64),0)</f>
        <v>3649670.4872786119</v>
      </c>
      <c r="S64" s="30">
        <f>IFERROR($Y64*SUMIFS(용수계산!Y:Y,용수계산!V:V,C64,용수계산!W:W,E64),0)</f>
        <v>1369950.9709610716</v>
      </c>
      <c r="T64" s="30">
        <f>IFERROR($Y64*SUMIFS(용수계산!Z:Z,용수계산!V:V,C64,용수계산!W:W,E64),0)</f>
        <v>781099.1171446552</v>
      </c>
      <c r="U64" s="30">
        <f>IFERROR($Y64*SUMIFS(용수계산!AA:AA,용수계산!V:V,C64,용수계산!W:W,E64),0)</f>
        <v>2269123.2104648026</v>
      </c>
      <c r="V64" s="30">
        <f>IFERROR($Y64*SUMIFS(용수계산!AB:AB,용수계산!V:V,C64,용수계산!W:W,E64),0)</f>
        <v>4585172.9182774434</v>
      </c>
      <c r="W64" s="30">
        <f>IFERROR($Y64*SUMIFS(용수계산!AC:AC,용수계산!V:V,C64,용수계산!W:W,E64),0)</f>
        <v>4182513.2958734157</v>
      </c>
      <c r="X64" s="30">
        <f>SUM(R64:W64)</f>
        <v>16837530</v>
      </c>
      <c r="Y64" s="186">
        <v>16837530</v>
      </c>
    </row>
    <row r="65" spans="3:25" x14ac:dyDescent="0.3">
      <c r="C65" s="30" t="s">
        <v>24</v>
      </c>
      <c r="D65" s="30" t="s">
        <v>354</v>
      </c>
      <c r="E65" s="30" t="s">
        <v>31</v>
      </c>
      <c r="F65" s="30">
        <f>IFERROR($M65*SUMIFS(용수계산!X:X,용수계산!V:V,C65,용수계산!W:W,E65),0)</f>
        <v>7235.6010968263954</v>
      </c>
      <c r="G65" s="30">
        <f>IFERROR($M65*SUMIFS(용수계산!Y:Y,용수계산!V:V,C65,용수계산!W:W,E65),0)</f>
        <v>2715.9763552998293</v>
      </c>
      <c r="H65" s="30">
        <f>IFERROR($M65*SUMIFS(용수계산!Z:Z,용수계산!V:V,C65,용수계산!W:W,E65),0)</f>
        <v>1548.5566843477477</v>
      </c>
      <c r="I65" s="30">
        <f>IFERROR($M65*SUMIFS(용수계산!AA:AA,용수계산!V:V,C65,용수계산!W:W,E65),0)</f>
        <v>4498.6171896071201</v>
      </c>
      <c r="J65" s="30">
        <f>IFERROR($M65*SUMIFS(용수계산!AB:AB,용수계산!V:V,C65,용수계산!W:W,E65),0)</f>
        <v>9090.2678234289306</v>
      </c>
      <c r="K65" s="30">
        <f>IFERROR($M65*SUMIFS(용수계산!AC:AC,용수계산!V:V,C65,용수계산!W:W,E65),0)</f>
        <v>8291.9808504899756</v>
      </c>
      <c r="L65" s="30">
        <f t="shared" ref="L65:L67" si="31">SUM(F65:K65)</f>
        <v>33381</v>
      </c>
      <c r="M65" s="186">
        <v>33381</v>
      </c>
      <c r="O65" s="30" t="s">
        <v>24</v>
      </c>
      <c r="P65" s="30" t="s">
        <v>354</v>
      </c>
      <c r="Q65" s="30" t="s">
        <v>31</v>
      </c>
      <c r="R65" s="30">
        <f>IFERROR($Y65*SUMIFS(용수계산!X:X,용수계산!V:V,C65,용수계산!W:W,E65),0)</f>
        <v>4046430.9592735772</v>
      </c>
      <c r="S65" s="30">
        <f>IFERROR($Y65*SUMIFS(용수계산!Y:Y,용수계산!V:V,C65,용수계산!W:W,E65),0)</f>
        <v>1518880.1402499324</v>
      </c>
      <c r="T65" s="30">
        <f>IFERROR($Y65*SUMIFS(용수계산!Z:Z,용수계산!V:V,C65,용수계산!W:W,E65),0)</f>
        <v>866013.42803200567</v>
      </c>
      <c r="U65" s="30">
        <f>IFERROR($Y65*SUMIFS(용수계산!AA:AA,용수계산!V:V,C65,용수계산!W:W,E65),0)</f>
        <v>2515802.5748449159</v>
      </c>
      <c r="V65" s="30">
        <f>IFERROR($Y65*SUMIFS(용수계산!AB:AB,용수계산!V:V,C65,용수계산!W:W,E65),0)</f>
        <v>5083633.0881956303</v>
      </c>
      <c r="W65" s="30">
        <f>IFERROR($Y65*SUMIFS(용수계산!AC:AC,용수계산!V:V,C65,용수계산!W:W,E65),0)</f>
        <v>4637199.8094039382</v>
      </c>
      <c r="X65" s="30">
        <f t="shared" ref="X65:X93" si="32">SUM(R65:W65)</f>
        <v>18667960</v>
      </c>
      <c r="Y65" s="186">
        <v>18667960</v>
      </c>
    </row>
    <row r="66" spans="3:25" x14ac:dyDescent="0.3">
      <c r="C66" s="30" t="s">
        <v>24</v>
      </c>
      <c r="D66" s="30" t="s">
        <v>355</v>
      </c>
      <c r="E66" s="30" t="s">
        <v>31</v>
      </c>
      <c r="F66" s="30">
        <f>IFERROR($M66*SUMIFS(용수계산!X:X,용수계산!V:V,C66,용수계산!W:W,E66),0)</f>
        <v>4863.4007911534654</v>
      </c>
      <c r="G66" s="30">
        <f>IFERROR($M66*SUMIFS(용수계산!Y:Y,용수계산!V:V,C66,용수계산!W:W,E66),0)</f>
        <v>1825.5403218556144</v>
      </c>
      <c r="H66" s="30">
        <f>IFERROR($M66*SUMIFS(용수계산!Z:Z,용수계산!V:V,C66,용수계산!W:W,E66),0)</f>
        <v>1040.8605592016543</v>
      </c>
      <c r="I66" s="30">
        <f>IFERROR($M66*SUMIFS(용수계산!AA:AA,용수계산!V:V,C66,용수계산!W:W,E66),0)</f>
        <v>3023.7402679133329</v>
      </c>
      <c r="J66" s="30">
        <f>IFERROR($M66*SUMIFS(용수계산!AB:AB,용수계산!V:V,C66,용수계산!W:W,E66),0)</f>
        <v>6110.0128562438194</v>
      </c>
      <c r="K66" s="30">
        <f>IFERROR($M66*SUMIFS(용수계산!AC:AC,용수계산!V:V,C66,용수계산!W:W,E66),0)</f>
        <v>5573.4452036321136</v>
      </c>
      <c r="L66" s="30">
        <f t="shared" si="31"/>
        <v>22436.999999999996</v>
      </c>
      <c r="M66" s="186">
        <v>22437</v>
      </c>
      <c r="O66" s="30" t="s">
        <v>24</v>
      </c>
      <c r="P66" s="30" t="s">
        <v>355</v>
      </c>
      <c r="Q66" s="30" t="s">
        <v>31</v>
      </c>
      <c r="R66" s="30">
        <f>IFERROR($Y66*SUMIFS(용수계산!X:X,용수계산!V:V,C66,용수계산!W:W,E66),0)</f>
        <v>3404380.5538074262</v>
      </c>
      <c r="S66" s="30">
        <f>IFERROR($Y66*SUMIFS(용수계산!Y:Y,용수계산!V:V,C66,용수계산!W:W,E66),0)</f>
        <v>1277878.2252989302</v>
      </c>
      <c r="T66" s="30">
        <f>IFERROR($Y66*SUMIFS(용수계산!Z:Z,용수계산!V:V,C66,용수계산!W:W,E66),0)</f>
        <v>728602.3914411579</v>
      </c>
      <c r="U66" s="30">
        <f>IFERROR($Y66*SUMIFS(용수계산!AA:AA,용수계산!V:V,C66,용수계산!W:W,E66),0)</f>
        <v>2116618.187539333</v>
      </c>
      <c r="V66" s="30">
        <f>IFERROR($Y66*SUMIFS(용수계산!AB:AB,용수계산!V:V,C66,용수계산!W:W,E66),0)</f>
        <v>4277008.9993706737</v>
      </c>
      <c r="W66" s="30">
        <f>IFERROR($Y66*SUMIFS(용수계산!AC:AC,용수계산!V:V,C66,용수계산!W:W,E66),0)</f>
        <v>3901411.6425424796</v>
      </c>
      <c r="X66" s="30">
        <f t="shared" si="32"/>
        <v>15705900</v>
      </c>
      <c r="Y66" s="186">
        <v>15705900</v>
      </c>
    </row>
    <row r="67" spans="3:25" x14ac:dyDescent="0.3">
      <c r="C67" s="30" t="s">
        <v>24</v>
      </c>
      <c r="D67" s="30" t="s">
        <v>353</v>
      </c>
      <c r="E67" s="30" t="s">
        <v>33</v>
      </c>
      <c r="F67" s="47">
        <f>IFERROR($M67*SUMIFS(용수계산!X:X,용수계산!V:V,C67,용수계산!W:W,E67),0)</f>
        <v>790.70553863367945</v>
      </c>
      <c r="G67" s="47">
        <f>IFERROR($M67*SUMIFS(용수계산!Y:Y,용수계산!V:V,C67,용수계산!W:W,E67),0)</f>
        <v>721.98918381301667</v>
      </c>
      <c r="H67" s="47">
        <f>IFERROR($M67*SUMIFS(용수계산!Z:Z,용수계산!V:V,C67,용수계산!W:W,E67),0)</f>
        <v>198.66973332504506</v>
      </c>
      <c r="I67" s="47">
        <f>IFERROR($M67*SUMIFS(용수계산!AA:AA,용수계산!V:V,C67,용수계산!W:W,E67),0)</f>
        <v>359.47535276931683</v>
      </c>
      <c r="J67" s="47">
        <f>IFERROR($M67*SUMIFS(용수계산!AB:AB,용수계산!V:V,C67,용수계산!W:W,E67),0)</f>
        <v>764.52787965437938</v>
      </c>
      <c r="K67" s="47">
        <f>IFERROR($M67*SUMIFS(용수계산!AC:AC,용수계산!V:V,C67,용수계산!W:W,E67),0)</f>
        <v>924.63231180456273</v>
      </c>
      <c r="L67" s="47">
        <f t="shared" si="31"/>
        <v>3760</v>
      </c>
      <c r="M67" s="186">
        <v>3760</v>
      </c>
      <c r="O67" s="30" t="s">
        <v>24</v>
      </c>
      <c r="P67" s="30" t="s">
        <v>353</v>
      </c>
      <c r="Q67" s="30" t="s">
        <v>33</v>
      </c>
      <c r="R67" s="30">
        <f>IFERROR($Y67*SUMIFS(용수계산!X:X,용수계산!V:V,C67,용수계산!W:W,E67),0)</f>
        <v>3545710.7969167652</v>
      </c>
      <c r="S67" s="30">
        <f>IFERROR($Y67*SUMIFS(용수계산!Y:Y,용수계산!V:V,C67,용수계산!W:W,E67),0)</f>
        <v>3237570.3965935227</v>
      </c>
      <c r="T67" s="30">
        <f>IFERROR($Y67*SUMIFS(용수계산!Z:Z,용수계산!V:V,C67,용수계산!W:W,E67),0)</f>
        <v>890882.10977808165</v>
      </c>
      <c r="U67" s="30">
        <f>IFERROR($Y67*SUMIFS(용수계산!AA:AA,용수계산!V:V,C67,용수계산!W:W,E67),0)</f>
        <v>1611972.5703984583</v>
      </c>
      <c r="V67" s="30">
        <f>IFERROR($Y67*SUMIFS(용수계산!AB:AB,용수계산!V:V,C67,용수계산!W:W,E67),0)</f>
        <v>3428323.9777460061</v>
      </c>
      <c r="W67" s="30">
        <f>IFERROR($Y67*SUMIFS(용수계산!AC:AC,용수계산!V:V,C67,용수계산!W:W,E67),0)</f>
        <v>4146270.1485671662</v>
      </c>
      <c r="X67" s="30">
        <f t="shared" si="32"/>
        <v>16860730</v>
      </c>
      <c r="Y67" s="186">
        <v>16860730</v>
      </c>
    </row>
    <row r="68" spans="3:25" x14ac:dyDescent="0.3">
      <c r="C68" s="30" t="s">
        <v>24</v>
      </c>
      <c r="D68" s="30" t="s">
        <v>354</v>
      </c>
      <c r="E68" s="30" t="s">
        <v>33</v>
      </c>
      <c r="F68" s="30">
        <f>IFERROR($M68*SUMIFS(용수계산!X:X,용수계산!V:V,C68,용수계산!W:W,E68),0)</f>
        <v>5813.7886492198668</v>
      </c>
      <c r="G68" s="30">
        <f>IFERROR($M68*SUMIFS(용수계산!Y:Y,용수계산!V:V,C68,용수계산!W:W,E68),0)</f>
        <v>5308.5406850251757</v>
      </c>
      <c r="H68" s="30">
        <f>IFERROR($M68*SUMIFS(용수계산!Z:Z,용수계산!V:V,C68,용수계산!W:W,E68),0)</f>
        <v>1460.7509168894137</v>
      </c>
      <c r="I68" s="30">
        <f>IFERROR($M68*SUMIFS(용수계산!AA:AA,용수계산!V:V,C68,용수계산!W:W,E68),0)</f>
        <v>2643.09989432461</v>
      </c>
      <c r="J68" s="30">
        <f>IFERROR($M68*SUMIFS(용수계산!AB:AB,용수계산!V:V,C68,용수계산!W:W,E68),0)</f>
        <v>5621.3132342885565</v>
      </c>
      <c r="K68" s="30">
        <f>IFERROR($M68*SUMIFS(용수계산!AC:AC,용수계산!V:V,C68,용수계산!W:W,E68),0)</f>
        <v>6798.5066202523776</v>
      </c>
      <c r="L68" s="30">
        <f t="shared" ref="L68:L93" si="33">SUM(F68:K68)</f>
        <v>27646</v>
      </c>
      <c r="M68" s="186">
        <v>27646</v>
      </c>
      <c r="O68" s="30" t="s">
        <v>24</v>
      </c>
      <c r="P68" s="30" t="s">
        <v>354</v>
      </c>
      <c r="Q68" s="30" t="s">
        <v>33</v>
      </c>
      <c r="R68" s="30">
        <f>IFERROR($Y68*SUMIFS(용수계산!X:X,용수계산!V:V,C68,용수계산!W:W,E68),0)</f>
        <v>3250380.1752968235</v>
      </c>
      <c r="S68" s="30">
        <f>IFERROR($Y68*SUMIFS(용수계산!Y:Y,용수계산!V:V,C68,용수계산!W:W,E68),0)</f>
        <v>2967905.5162553615</v>
      </c>
      <c r="T68" s="30">
        <f>IFERROR($Y68*SUMIFS(용수계산!Z:Z,용수계산!V:V,C68,용수계산!W:W,E68),0)</f>
        <v>816678.43600422703</v>
      </c>
      <c r="U68" s="30">
        <f>IFERROR($Y68*SUMIFS(용수계산!AA:AA,용수계산!V:V,C68,용수계산!W:W,E68),0)</f>
        <v>1477707.5700876482</v>
      </c>
      <c r="V68" s="30">
        <f>IFERROR($Y68*SUMIFS(용수계산!AB:AB,용수계산!V:V,C68,용수계산!W:W,E68),0)</f>
        <v>3142770.7813762664</v>
      </c>
      <c r="W68" s="30">
        <f>IFERROR($Y68*SUMIFS(용수계산!AC:AC,용수계산!V:V,C68,용수계산!W:W,E68),0)</f>
        <v>3800917.5209796731</v>
      </c>
      <c r="X68" s="30">
        <f t="shared" si="32"/>
        <v>15456360</v>
      </c>
      <c r="Y68" s="186">
        <v>15456360</v>
      </c>
    </row>
    <row r="69" spans="3:25" x14ac:dyDescent="0.3">
      <c r="C69" s="30" t="s">
        <v>24</v>
      </c>
      <c r="D69" s="30" t="s">
        <v>355</v>
      </c>
      <c r="E69" s="30" t="s">
        <v>33</v>
      </c>
      <c r="F69" s="30">
        <f>IFERROR($M69*SUMIFS(용수계산!X:X,용수계산!V:V,C69,용수계산!W:W,E69),0)</f>
        <v>4645.1847454466342</v>
      </c>
      <c r="G69" s="30">
        <f>IFERROR($M69*SUMIFS(용수계산!Y:Y,용수계산!V:V,C69,용수계산!W:W,E69),0)</f>
        <v>4241.4944365015226</v>
      </c>
      <c r="H69" s="30">
        <f>IFERROR($M69*SUMIFS(용수계산!Z:Z,용수계산!V:V,C69,용수계산!W:W,E69),0)</f>
        <v>1167.1318455896064</v>
      </c>
      <c r="I69" s="30">
        <f>IFERROR($M69*SUMIFS(용수계산!AA:AA,용수계산!V:V,C69,용수계산!W:W,E69),0)</f>
        <v>2111.8220923727231</v>
      </c>
      <c r="J69" s="30">
        <f>IFERROR($M69*SUMIFS(용수계산!AB:AB,용수계산!V:V,C69,용수계산!W:W,E69),0)</f>
        <v>4491.3979610865917</v>
      </c>
      <c r="K69" s="30">
        <f>IFERROR($M69*SUMIFS(용수계산!AC:AC,용수계산!V:V,C69,용수계산!W:W,E69),0)</f>
        <v>5431.9689190029221</v>
      </c>
      <c r="L69" s="30">
        <f t="shared" si="33"/>
        <v>22089</v>
      </c>
      <c r="M69" s="186">
        <v>22089</v>
      </c>
      <c r="O69" s="30" t="s">
        <v>24</v>
      </c>
      <c r="P69" s="30" t="s">
        <v>355</v>
      </c>
      <c r="Q69" s="30" t="s">
        <v>33</v>
      </c>
      <c r="R69" s="30">
        <f>IFERROR($Y69*SUMIFS(용수계산!X:X,용수계산!V:V,C69,용수계산!W:W,E69),0)</f>
        <v>3251629.3218126437</v>
      </c>
      <c r="S69" s="30">
        <f>IFERROR($Y69*SUMIFS(용수계산!Y:Y,용수계산!V:V,C69,용수계산!W:W,E69),0)</f>
        <v>2969046.1055510659</v>
      </c>
      <c r="T69" s="30">
        <f>IFERROR($Y69*SUMIFS(용수계산!Z:Z,용수계산!V:V,C69,용수계산!W:W,E69),0)</f>
        <v>816992.2919127245</v>
      </c>
      <c r="U69" s="30">
        <f>IFERROR($Y69*SUMIFS(용수계산!AA:AA,용수계산!V:V,C69,용수계산!W:W,E69),0)</f>
        <v>1478275.4646609062</v>
      </c>
      <c r="V69" s="30">
        <f>IFERROR($Y69*SUMIFS(용수계산!AB:AB,용수계산!V:V,C69,용수계산!W:W,E69),0)</f>
        <v>3143978.5727606141</v>
      </c>
      <c r="W69" s="30">
        <f>IFERROR($Y69*SUMIFS(용수계산!AC:AC,용수계산!V:V,C69,용수계산!W:W,E69),0)</f>
        <v>3802378.2433020454</v>
      </c>
      <c r="X69" s="30">
        <f t="shared" si="32"/>
        <v>15462300</v>
      </c>
      <c r="Y69" s="186">
        <v>15462300</v>
      </c>
    </row>
    <row r="70" spans="3:25" x14ac:dyDescent="0.3">
      <c r="C70" s="30" t="s">
        <v>24</v>
      </c>
      <c r="D70" s="30" t="s">
        <v>353</v>
      </c>
      <c r="E70" s="30" t="s">
        <v>35</v>
      </c>
      <c r="F70" s="47">
        <f>IFERROR($M70*SUMIFS(용수계산!X:X,용수계산!V:V,C70,용수계산!W:W,E70),0)</f>
        <v>981.62341301612719</v>
      </c>
      <c r="G70" s="47">
        <f>IFERROR($M70*SUMIFS(용수계산!Y:Y,용수계산!V:V,C70,용수계산!W:W,E70),0)</f>
        <v>408.57251515498109</v>
      </c>
      <c r="H70" s="47">
        <f>IFERROR($M70*SUMIFS(용수계산!Z:Z,용수계산!V:V,C70,용수계산!W:W,E70),0)</f>
        <v>54.521960425483243</v>
      </c>
      <c r="I70" s="47">
        <f>IFERROR($M70*SUMIFS(용수계산!AA:AA,용수계산!V:V,C70,용수계산!W:W,E70),0)</f>
        <v>453.74133592588356</v>
      </c>
      <c r="J70" s="47">
        <f>IFERROR($M70*SUMIFS(용수계산!AB:AB,용수계산!V:V,C70,용수계산!W:W,E70),0)</f>
        <v>963.82963513668085</v>
      </c>
      <c r="K70" s="47">
        <f>IFERROR($M70*SUMIFS(용수계산!AC:AC,용수계산!V:V,C70,용수계산!W:W,E70),0)</f>
        <v>1126.7111403408442</v>
      </c>
      <c r="L70" s="47">
        <f t="shared" si="33"/>
        <v>3989</v>
      </c>
      <c r="M70" s="186">
        <v>3989</v>
      </c>
      <c r="O70" s="30" t="s">
        <v>24</v>
      </c>
      <c r="P70" s="30" t="s">
        <v>353</v>
      </c>
      <c r="Q70" s="30" t="s">
        <v>35</v>
      </c>
      <c r="R70" s="30">
        <f>IFERROR($Y70*SUMIFS(용수계산!X:X,용수계산!V:V,C70,용수계산!W:W,E70),0)</f>
        <v>4410609.4515612489</v>
      </c>
      <c r="S70" s="30">
        <f>IFERROR($Y70*SUMIFS(용수계산!Y:Y,용수계산!V:V,C70,용수계산!W:W,E70),0)</f>
        <v>1835789.3394715772</v>
      </c>
      <c r="T70" s="30">
        <f>IFERROR($Y70*SUMIFS(용수계산!Z:Z,용수계산!V:V,C70,용수계산!W:W,E70),0)</f>
        <v>244976.91353082468</v>
      </c>
      <c r="U70" s="30">
        <f>IFERROR($Y70*SUMIFS(용수계산!AA:AA,용수계산!V:V,C70,용수계산!W:W,E70),0)</f>
        <v>2038740.9247397918</v>
      </c>
      <c r="V70" s="30">
        <f>IFERROR($Y70*SUMIFS(용수계산!AB:AB,용수계산!V:V,C70,용수계산!W:W,E70),0)</f>
        <v>4330658.8270616494</v>
      </c>
      <c r="W70" s="30">
        <f>IFERROR($Y70*SUMIFS(용수계산!AC:AC,용수계산!V:V,C70,용수계산!W:W,E70),0)</f>
        <v>5062514.5436349083</v>
      </c>
      <c r="X70" s="30">
        <f t="shared" si="32"/>
        <v>17923290</v>
      </c>
      <c r="Y70" s="186">
        <v>17923290</v>
      </c>
    </row>
    <row r="71" spans="3:25" x14ac:dyDescent="0.3">
      <c r="C71" s="30" t="s">
        <v>24</v>
      </c>
      <c r="D71" s="30" t="s">
        <v>354</v>
      </c>
      <c r="E71" s="30" t="s">
        <v>35</v>
      </c>
      <c r="F71" s="30">
        <f>IFERROR($M71*SUMIFS(용수계산!X:X,용수계산!V:V,C71,용수계산!W:W,E71),0)</f>
        <v>7578.6052270387736</v>
      </c>
      <c r="G71" s="30">
        <f>IFERROR($M71*SUMIFS(용수계산!Y:Y,용수계산!V:V,C71,용수계산!W:W,E71),0)</f>
        <v>3154.3764726066565</v>
      </c>
      <c r="H71" s="30">
        <f>IFERROR($M71*SUMIFS(용수계산!Z:Z,용수계산!V:V,C71,용수계산!W:W,E71),0)</f>
        <v>420.93577719318313</v>
      </c>
      <c r="I71" s="30">
        <f>IFERROR($M71*SUMIFS(용수계산!AA:AA,용수계산!V:V,C71,용수계산!W:W,E71),0)</f>
        <v>3503.101509779252</v>
      </c>
      <c r="J71" s="30">
        <f>IFERROR($M71*SUMIFS(용수계산!AB:AB,용수계산!V:V,C71,용수계산!W:W,E71),0)</f>
        <v>7441.2286972435095</v>
      </c>
      <c r="K71" s="30">
        <f>IFERROR($M71*SUMIFS(용수계산!AC:AC,용수계산!V:V,C71,용수계산!W:W,E71),0)</f>
        <v>8698.7523161386252</v>
      </c>
      <c r="L71" s="30">
        <f t="shared" si="33"/>
        <v>30797</v>
      </c>
      <c r="M71" s="186">
        <v>30797</v>
      </c>
      <c r="O71" s="30" t="s">
        <v>24</v>
      </c>
      <c r="P71" s="30" t="s">
        <v>354</v>
      </c>
      <c r="Q71" s="30" t="s">
        <v>35</v>
      </c>
      <c r="R71" s="30">
        <f>IFERROR($Y71*SUMIFS(용수계산!X:X,용수계산!V:V,C71,용수계산!W:W,E71),0)</f>
        <v>4237768.4296008237</v>
      </c>
      <c r="S71" s="30">
        <f>IFERROR($Y71*SUMIFS(용수계산!Y:Y,용수계산!V:V,C71,용수계산!W:W,E71),0)</f>
        <v>1763849.2348164245</v>
      </c>
      <c r="T71" s="30">
        <f>IFERROR($Y71*SUMIFS(용수계산!Z:Z,용수계산!V:V,C71,용수계산!W:W,E71),0)</f>
        <v>235376.86606428001</v>
      </c>
      <c r="U71" s="30">
        <f>IFERROR($Y71*SUMIFS(용수계산!AA:AA,용수계산!V:V,C71,용수계산!W:W,E71),0)</f>
        <v>1958847.642685577</v>
      </c>
      <c r="V71" s="30">
        <f>IFERROR($Y71*SUMIFS(용수계산!AB:AB,용수계산!V:V,C71,용수계산!W:W,E71),0)</f>
        <v>4160950.8749857028</v>
      </c>
      <c r="W71" s="30">
        <f>IFERROR($Y71*SUMIFS(용수계산!AC:AC,용수계산!V:V,C71,용수계산!W:W,E71),0)</f>
        <v>4864126.9518471919</v>
      </c>
      <c r="X71" s="30">
        <f t="shared" si="32"/>
        <v>17220920</v>
      </c>
      <c r="Y71" s="186">
        <v>17220920</v>
      </c>
    </row>
    <row r="72" spans="3:25" x14ac:dyDescent="0.3">
      <c r="C72" s="30" t="s">
        <v>24</v>
      </c>
      <c r="D72" s="30" t="s">
        <v>355</v>
      </c>
      <c r="E72" s="30" t="s">
        <v>35</v>
      </c>
      <c r="F72" s="30">
        <f>IFERROR($M72*SUMIFS(용수계산!X:X,용수계산!V:V,C72,용수계산!W:W,E72),0)</f>
        <v>4988.0939036943837</v>
      </c>
      <c r="G72" s="30">
        <f>IFERROR($M72*SUMIFS(용수계산!Y:Y,용수계산!V:V,C72,용수계산!W:W,E72),0)</f>
        <v>2076.1506347935492</v>
      </c>
      <c r="H72" s="30">
        <f>IFERROR($M72*SUMIFS(용수계산!Z:Z,용수계산!V:V,C72,용수계산!W:W,E72),0)</f>
        <v>277.05192725609061</v>
      </c>
      <c r="I72" s="30">
        <f>IFERROR($M72*SUMIFS(용수계산!AA:AA,용수계산!V:V,C72,용수계산!W:W,E72),0)</f>
        <v>2305.6748255747452</v>
      </c>
      <c r="J72" s="30">
        <f>IFERROR($M72*SUMIFS(용수계산!AB:AB,용수계산!V:V,C72,용수계산!W:W,E72),0)</f>
        <v>4897.6752830836094</v>
      </c>
      <c r="K72" s="30">
        <f>IFERROR($M72*SUMIFS(용수계산!AC:AC,용수계산!V:V,C72,용수계산!W:W,E72),0)</f>
        <v>5725.353425597621</v>
      </c>
      <c r="L72" s="30">
        <f t="shared" si="33"/>
        <v>20270</v>
      </c>
      <c r="M72" s="186">
        <v>20270</v>
      </c>
      <c r="O72" s="30" t="s">
        <v>24</v>
      </c>
      <c r="P72" s="30" t="s">
        <v>355</v>
      </c>
      <c r="Q72" s="30" t="s">
        <v>35</v>
      </c>
      <c r="R72" s="30">
        <f>IFERROR($Y72*SUMIFS(용수계산!X:X,용수계산!V:V,C72,용수계산!W:W,E72),0)</f>
        <v>3491665.732586069</v>
      </c>
      <c r="S72" s="30">
        <f>IFERROR($Y72*SUMIFS(용수계산!Y:Y,용수계산!V:V,C72,용수계산!W:W,E72),0)</f>
        <v>1453305.4443554843</v>
      </c>
      <c r="T72" s="30">
        <f>IFERROR($Y72*SUMIFS(용수계산!Z:Z,용수계산!V:V,C72,용수계산!W:W,E72),0)</f>
        <v>193936.34907926343</v>
      </c>
      <c r="U72" s="30">
        <f>IFERROR($Y72*SUMIFS(용수계산!AA:AA,용수계산!V:V,C72,용수계산!W:W,E72),0)</f>
        <v>1613972.3779023218</v>
      </c>
      <c r="V72" s="30">
        <f>IFERROR($Y72*SUMIFS(용수계산!AB:AB,용수계산!V:V,C72,용수계산!W:W,E72),0)</f>
        <v>3428372.6981585268</v>
      </c>
      <c r="W72" s="30">
        <f>IFERROR($Y72*SUMIFS(용수계산!AC:AC,용수계산!V:V,C72,용수계산!W:W,E72),0)</f>
        <v>4007747.3979183347</v>
      </c>
      <c r="X72" s="30">
        <f t="shared" si="32"/>
        <v>14188999.999999998</v>
      </c>
      <c r="Y72" s="186">
        <v>14189000</v>
      </c>
    </row>
    <row r="73" spans="3:25" s="30" customFormat="1" hidden="1" x14ac:dyDescent="0.3">
      <c r="C73" s="30" t="s">
        <v>507</v>
      </c>
      <c r="D73" s="30" t="s">
        <v>353</v>
      </c>
      <c r="E73" s="30" t="s">
        <v>506</v>
      </c>
      <c r="F73" s="30">
        <f>F64+F67+F70</f>
        <v>2586.2555002428121</v>
      </c>
      <c r="G73" s="30">
        <f t="shared" ref="G73:L73" si="34">G64+G67+G70</f>
        <v>1436.0795448728795</v>
      </c>
      <c r="H73" s="30">
        <f t="shared" si="34"/>
        <v>427.38750423331169</v>
      </c>
      <c r="I73" s="30">
        <f t="shared" si="34"/>
        <v>1319.2622699232863</v>
      </c>
      <c r="J73" s="30">
        <f t="shared" si="34"/>
        <v>2750.9139294273991</v>
      </c>
      <c r="K73" s="30">
        <f t="shared" si="34"/>
        <v>2984.1012513003116</v>
      </c>
      <c r="L73" s="30">
        <f t="shared" si="34"/>
        <v>11504</v>
      </c>
      <c r="M73" s="186"/>
      <c r="O73" s="30" t="s">
        <v>507</v>
      </c>
      <c r="P73" s="30" t="s">
        <v>353</v>
      </c>
      <c r="Q73" s="30" t="s">
        <v>506</v>
      </c>
      <c r="R73" s="30">
        <f>R64+R67+R70</f>
        <v>11605990.735756624</v>
      </c>
      <c r="S73" s="30">
        <f t="shared" ref="S73:X73" si="35">S64+S67+S70</f>
        <v>6443310.7070261706</v>
      </c>
      <c r="T73" s="30">
        <f t="shared" si="35"/>
        <v>1916958.1404535617</v>
      </c>
      <c r="U73" s="30">
        <f t="shared" si="35"/>
        <v>5919836.7056030529</v>
      </c>
      <c r="V73" s="30">
        <f t="shared" si="35"/>
        <v>12344155.723085098</v>
      </c>
      <c r="W73" s="30">
        <f t="shared" si="35"/>
        <v>13391297.988075491</v>
      </c>
      <c r="X73" s="30">
        <f t="shared" si="35"/>
        <v>51621550</v>
      </c>
      <c r="Y73" s="186"/>
    </row>
    <row r="74" spans="3:25" s="30" customFormat="1" hidden="1" x14ac:dyDescent="0.3">
      <c r="C74" s="30" t="s">
        <v>507</v>
      </c>
      <c r="D74" s="30" t="s">
        <v>328</v>
      </c>
      <c r="E74" s="30" t="s">
        <v>506</v>
      </c>
      <c r="F74" s="30">
        <f t="shared" ref="F74:L75" si="36">F65+F68+F71</f>
        <v>20627.994973085035</v>
      </c>
      <c r="G74" s="30">
        <f t="shared" si="36"/>
        <v>11178.893512931661</v>
      </c>
      <c r="H74" s="30">
        <f t="shared" si="36"/>
        <v>3430.2433784303444</v>
      </c>
      <c r="I74" s="30">
        <f t="shared" si="36"/>
        <v>10644.818593710981</v>
      </c>
      <c r="J74" s="30">
        <f t="shared" si="36"/>
        <v>22152.809754960996</v>
      </c>
      <c r="K74" s="30">
        <f t="shared" si="36"/>
        <v>23789.239786880978</v>
      </c>
      <c r="L74" s="30">
        <f t="shared" si="36"/>
        <v>91824</v>
      </c>
      <c r="M74" s="186"/>
      <c r="O74" s="30" t="s">
        <v>507</v>
      </c>
      <c r="P74" s="30" t="s">
        <v>328</v>
      </c>
      <c r="Q74" s="30" t="s">
        <v>506</v>
      </c>
      <c r="R74" s="30">
        <f t="shared" ref="R74:X74" si="37">R65+R68+R71</f>
        <v>11534579.564171225</v>
      </c>
      <c r="S74" s="30">
        <f t="shared" si="37"/>
        <v>6250634.8913217187</v>
      </c>
      <c r="T74" s="30">
        <f t="shared" si="37"/>
        <v>1918068.7301005127</v>
      </c>
      <c r="U74" s="30">
        <f t="shared" si="37"/>
        <v>5952357.7876181416</v>
      </c>
      <c r="V74" s="30">
        <f t="shared" si="37"/>
        <v>12387354.744557599</v>
      </c>
      <c r="W74" s="30">
        <f t="shared" si="37"/>
        <v>13302244.282230804</v>
      </c>
      <c r="X74" s="30">
        <f t="shared" si="37"/>
        <v>51345240</v>
      </c>
      <c r="Y74" s="186"/>
    </row>
    <row r="75" spans="3:25" s="30" customFormat="1" hidden="1" x14ac:dyDescent="0.3">
      <c r="C75" s="30" t="s">
        <v>507</v>
      </c>
      <c r="D75" s="30" t="s">
        <v>355</v>
      </c>
      <c r="E75" s="30" t="s">
        <v>506</v>
      </c>
      <c r="F75" s="30">
        <f t="shared" si="36"/>
        <v>14496.679440294483</v>
      </c>
      <c r="G75" s="30">
        <f t="shared" si="36"/>
        <v>8143.1853931506857</v>
      </c>
      <c r="H75" s="30">
        <f t="shared" si="36"/>
        <v>2485.0443320473514</v>
      </c>
      <c r="I75" s="30">
        <f t="shared" si="36"/>
        <v>7441.2371858608012</v>
      </c>
      <c r="J75" s="30">
        <f t="shared" si="36"/>
        <v>15499.086100414021</v>
      </c>
      <c r="K75" s="30">
        <f t="shared" si="36"/>
        <v>16730.767548232659</v>
      </c>
      <c r="L75" s="30">
        <f t="shared" si="36"/>
        <v>64796</v>
      </c>
      <c r="M75" s="186"/>
      <c r="O75" s="30" t="s">
        <v>507</v>
      </c>
      <c r="P75" s="30" t="s">
        <v>355</v>
      </c>
      <c r="Q75" s="30" t="s">
        <v>506</v>
      </c>
      <c r="R75" s="30">
        <f t="shared" ref="R75:X75" si="38">R66+R69+R72</f>
        <v>10147675.608206138</v>
      </c>
      <c r="S75" s="30">
        <f t="shared" si="38"/>
        <v>5700229.7752054799</v>
      </c>
      <c r="T75" s="30">
        <f t="shared" si="38"/>
        <v>1739531.0324331457</v>
      </c>
      <c r="U75" s="30">
        <f t="shared" si="38"/>
        <v>5208866.0301025612</v>
      </c>
      <c r="V75" s="30">
        <f t="shared" si="38"/>
        <v>10849360.270289814</v>
      </c>
      <c r="W75" s="30">
        <f t="shared" si="38"/>
        <v>11711537.283762859</v>
      </c>
      <c r="X75" s="30">
        <f t="shared" si="38"/>
        <v>45357200</v>
      </c>
      <c r="Y75" s="186"/>
    </row>
    <row r="76" spans="3:25" x14ac:dyDescent="0.3">
      <c r="C76" s="30" t="s">
        <v>24</v>
      </c>
      <c r="D76" s="30" t="s">
        <v>353</v>
      </c>
      <c r="E76" s="30" t="s">
        <v>37</v>
      </c>
      <c r="F76" s="30">
        <f>IFERROR($M76*SUMIFS(용수계산!X:X,용수계산!V:V,C76,용수계산!W:W,E76),0)</f>
        <v>1005.2647461650853</v>
      </c>
      <c r="G76" s="30">
        <f>IFERROR($M76*SUMIFS(용수계산!Y:Y,용수계산!V:V,C76,용수계산!W:W,E76),0)</f>
        <v>486.81997580350622</v>
      </c>
      <c r="H76" s="30">
        <f>IFERROR($M76*SUMIFS(용수계산!Z:Z,용수계산!V:V,C76,용수계산!W:W,E76),0)</f>
        <v>143.65731144996309</v>
      </c>
      <c r="I76" s="30">
        <f>IFERROR($M76*SUMIFS(용수계산!AA:AA,용수계산!V:V,C76,용수계산!W:W,E76),0)</f>
        <v>529.3308128652294</v>
      </c>
      <c r="J76" s="30">
        <f>IFERROR($M76*SUMIFS(용수계산!AB:AB,용수계산!V:V,C76,용수계산!W:W,E76),0)</f>
        <v>980.17638330898046</v>
      </c>
      <c r="K76" s="30">
        <f>IFERROR($M76*SUMIFS(용수계산!AC:AC,용수계산!V:V,C76,용수계산!W:W,E76),0)</f>
        <v>1065.7507704072357</v>
      </c>
      <c r="L76" s="30">
        <f t="shared" si="33"/>
        <v>4211</v>
      </c>
      <c r="M76" s="186">
        <v>4211</v>
      </c>
      <c r="O76" s="30" t="s">
        <v>24</v>
      </c>
      <c r="P76" s="30" t="s">
        <v>353</v>
      </c>
      <c r="Q76" s="30" t="s">
        <v>37</v>
      </c>
      <c r="R76" s="30">
        <f>IFERROR($Y76*SUMIFS(용수계산!X:X,용수계산!V:V,C76,용수계산!W:W,E76),0)</f>
        <v>4524615.2177684493</v>
      </c>
      <c r="S76" s="30">
        <f>IFERROR($Y76*SUMIFS(용수계산!Y:Y,용수계산!V:V,C76,용수계산!W:W,E76),0)</f>
        <v>2191137.2891937546</v>
      </c>
      <c r="T76" s="30">
        <f>IFERROR($Y76*SUMIFS(용수계산!Z:Z,용수계산!V:V,C76,용수계산!W:W,E76),0)</f>
        <v>646589.92569850083</v>
      </c>
      <c r="U76" s="30">
        <f>IFERROR($Y76*SUMIFS(용수계산!AA:AA,용수계산!V:V,C76,용수계산!W:W,E76),0)</f>
        <v>2382475.1243494311</v>
      </c>
      <c r="V76" s="30">
        <f>IFERROR($Y76*SUMIFS(용수계산!AB:AB,용수계산!V:V,C76,용수계산!W:W,E76),0)</f>
        <v>4411694.5281683523</v>
      </c>
      <c r="W76" s="30">
        <f>IFERROR($Y76*SUMIFS(용수계산!AC:AC,용수계산!V:V,C76,용수계산!W:W,E76),0)</f>
        <v>4796857.9148215121</v>
      </c>
      <c r="X76" s="30">
        <f t="shared" si="32"/>
        <v>18953370</v>
      </c>
      <c r="Y76" s="186">
        <v>18953370</v>
      </c>
    </row>
    <row r="77" spans="3:25" x14ac:dyDescent="0.3">
      <c r="C77" s="30" t="s">
        <v>24</v>
      </c>
      <c r="D77" s="30" t="s">
        <v>354</v>
      </c>
      <c r="E77" s="30" t="s">
        <v>37</v>
      </c>
      <c r="F77" s="30">
        <f>IFERROR($M77*SUMIFS(용수계산!X:X,용수계산!V:V,C77,용수계산!W:W,E77),0)</f>
        <v>8362.4849342585931</v>
      </c>
      <c r="G77" s="30">
        <f>IFERROR($M77*SUMIFS(용수계산!Y:Y,용수계산!V:V,C77,용수계산!W:W,E77),0)</f>
        <v>4049.7040494886778</v>
      </c>
      <c r="H77" s="30">
        <f>IFERROR($M77*SUMIFS(용수계산!Z:Z,용수계산!V:V,C77,용수계산!W:W,E77),0)</f>
        <v>1195.0405177136565</v>
      </c>
      <c r="I77" s="30">
        <f>IFERROR($M77*SUMIFS(용수계산!AA:AA,용수계산!V:V,C77,용수계산!W:W,E77),0)</f>
        <v>4403.3384884039388</v>
      </c>
      <c r="J77" s="30">
        <f>IFERROR($M77*SUMIFS(용수계산!AB:AB,용수계산!V:V,C77,용수계산!W:W,E77),0)</f>
        <v>8153.7826424397017</v>
      </c>
      <c r="K77" s="30">
        <f>IFERROR($M77*SUMIFS(용수계산!AC:AC,용수계산!V:V,C77,용수계산!W:W,E77),0)</f>
        <v>8865.6493676954324</v>
      </c>
      <c r="L77" s="30">
        <f t="shared" si="33"/>
        <v>35030</v>
      </c>
      <c r="M77" s="186">
        <v>35030</v>
      </c>
      <c r="O77" s="30" t="s">
        <v>24</v>
      </c>
      <c r="P77" s="30" t="s">
        <v>354</v>
      </c>
      <c r="Q77" s="30" t="s">
        <v>37</v>
      </c>
      <c r="R77" s="30">
        <f>IFERROR($Y77*SUMIFS(용수계산!X:X,용수계산!V:V,C77,용수계산!W:W,E77),0)</f>
        <v>4676927.9857560322</v>
      </c>
      <c r="S77" s="30">
        <f>IFERROR($Y77*SUMIFS(용수계산!Y:Y,용수계산!V:V,C77,용수계산!W:W,E77),0)</f>
        <v>2264897.85655588</v>
      </c>
      <c r="T77" s="30">
        <f>IFERROR($Y77*SUMIFS(용수계산!Z:Z,용수계산!V:V,C77,용수계산!W:W,E77),0)</f>
        <v>668356.17467129114</v>
      </c>
      <c r="U77" s="30">
        <f>IFERROR($Y77*SUMIFS(용수계산!AA:AA,용수계산!V:V,C77,용수계산!W:W,E77),0)</f>
        <v>2462676.7245708518</v>
      </c>
      <c r="V77" s="30">
        <f>IFERROR($Y77*SUMIFS(용수계산!AB:AB,용수계산!V:V,C77,용수계산!W:W,E77),0)</f>
        <v>4560206.0308619235</v>
      </c>
      <c r="W77" s="30">
        <f>IFERROR($Y77*SUMIFS(용수계산!AC:AC,용수계산!V:V,C77,용수계산!W:W,E77),0)</f>
        <v>4958335.2275840221</v>
      </c>
      <c r="X77" s="30">
        <f t="shared" si="32"/>
        <v>19591400</v>
      </c>
      <c r="Y77" s="186">
        <v>19591400</v>
      </c>
    </row>
    <row r="78" spans="3:25" x14ac:dyDescent="0.3">
      <c r="C78" s="30" t="s">
        <v>24</v>
      </c>
      <c r="D78" s="30" t="s">
        <v>355</v>
      </c>
      <c r="E78" s="30" t="s">
        <v>37</v>
      </c>
      <c r="F78" s="30">
        <f>IFERROR($M78*SUMIFS(용수계산!X:X,용수계산!V:V,C78,용수계산!W:W,E78),0)</f>
        <v>5829.1509313367496</v>
      </c>
      <c r="G78" s="30">
        <f>IFERROR($M78*SUMIFS(용수계산!Y:Y,용수계산!V:V,C78,용수계산!W:W,E78),0)</f>
        <v>2822.8853405770633</v>
      </c>
      <c r="H78" s="30">
        <f>IFERROR($M78*SUMIFS(용수계산!Z:Z,용수계산!V:V,C78,용수계산!W:W,E78),0)</f>
        <v>833.01454072315346</v>
      </c>
      <c r="I78" s="30">
        <f>IFERROR($M78*SUMIFS(용수계산!AA:AA,용수계산!V:V,C78,용수계산!W:W,E78),0)</f>
        <v>3069.3896434441162</v>
      </c>
      <c r="J78" s="30">
        <f>IFERROR($M78*SUMIFS(용수계산!AB:AB,용수계산!V:V,C78,용수계산!W:W,E78),0)</f>
        <v>5683.6729821037006</v>
      </c>
      <c r="K78" s="30">
        <f>IFERROR($M78*SUMIFS(용수계산!AC:AC,용수계산!V:V,C78,용수계산!W:W,E78),0)</f>
        <v>6179.8865618152176</v>
      </c>
      <c r="L78" s="30">
        <f t="shared" si="33"/>
        <v>24418</v>
      </c>
      <c r="M78" s="186">
        <v>24418</v>
      </c>
      <c r="O78" s="30" t="s">
        <v>24</v>
      </c>
      <c r="P78" s="30" t="s">
        <v>355</v>
      </c>
      <c r="Q78" s="30" t="s">
        <v>37</v>
      </c>
      <c r="R78" s="30">
        <f>IFERROR($Y78*SUMIFS(용수계산!X:X,용수계산!V:V,C78,용수계산!W:W,E78),0)</f>
        <v>4080405.6519357245</v>
      </c>
      <c r="S78" s="30">
        <f>IFERROR($Y78*SUMIFS(용수계산!Y:Y,용수계산!V:V,C78,용수계산!W:W,E78),0)</f>
        <v>1976019.7384039445</v>
      </c>
      <c r="T78" s="30">
        <f>IFERROR($Y78*SUMIFS(용수계산!Z:Z,용수계산!V:V,C78,용수계산!W:W,E78),0)</f>
        <v>583110.17850620742</v>
      </c>
      <c r="U78" s="30">
        <f>IFERROR($Y78*SUMIFS(용수계산!AA:AA,용수계산!V:V,C78,용수계산!W:W,E78),0)</f>
        <v>2148572.7504108814</v>
      </c>
      <c r="V78" s="30">
        <f>IFERROR($Y78*SUMIFS(용수계산!AB:AB,용수계산!V:V,C78,용수계산!W:W,E78),0)</f>
        <v>3978571.0874725906</v>
      </c>
      <c r="W78" s="30">
        <f>IFERROR($Y78*SUMIFS(용수계산!AC:AC,용수계산!V:V,C78,용수계산!W:W,E78),0)</f>
        <v>4325920.593270652</v>
      </c>
      <c r="X78" s="30">
        <f t="shared" si="32"/>
        <v>17092600</v>
      </c>
      <c r="Y78" s="186">
        <v>17092600</v>
      </c>
    </row>
    <row r="79" spans="3:25" x14ac:dyDescent="0.3">
      <c r="C79" s="30" t="s">
        <v>24</v>
      </c>
      <c r="D79" s="30" t="s">
        <v>353</v>
      </c>
      <c r="E79" s="30" t="s">
        <v>39</v>
      </c>
      <c r="F79" s="30">
        <f>IFERROR($M79*SUMIFS(용수계산!X:X,용수계산!V:V,C79,용수계산!W:W,E79),0)</f>
        <v>942.1138782460597</v>
      </c>
      <c r="G79" s="30">
        <f>IFERROR($M79*SUMIFS(용수계산!Y:Y,용수계산!V:V,C79,용수계산!W:W,E79),0)</f>
        <v>336.2920391656026</v>
      </c>
      <c r="H79" s="30">
        <f>IFERROR($M79*SUMIFS(용수계산!Z:Z,용수계산!V:V,C79,용수계산!W:W,E79),0)</f>
        <v>134.68220519370016</v>
      </c>
      <c r="I79" s="30">
        <f>IFERROR($M79*SUMIFS(용수계산!AA:AA,용수계산!V:V,C79,용수계산!W:W,E79),0)</f>
        <v>194.05704555129859</v>
      </c>
      <c r="J79" s="30">
        <f>IFERROR($M79*SUMIFS(용수계산!AB:AB,용수계산!V:V,C79,용수계산!W:W,E79),0)</f>
        <v>1469.5410813112005</v>
      </c>
      <c r="K79" s="30">
        <f>IFERROR($M79*SUMIFS(용수계산!AC:AC,용수계산!V:V,C79,용수계산!W:W,E79),0)</f>
        <v>549.31375053213844</v>
      </c>
      <c r="L79" s="30">
        <f t="shared" si="33"/>
        <v>3626</v>
      </c>
      <c r="M79" s="186">
        <v>3626</v>
      </c>
      <c r="O79" s="30" t="s">
        <v>24</v>
      </c>
      <c r="P79" s="30" t="s">
        <v>353</v>
      </c>
      <c r="Q79" s="30" t="s">
        <v>39</v>
      </c>
      <c r="R79" s="30">
        <f>IFERROR($Y79*SUMIFS(용수계산!X:X,용수계산!V:V,C79,용수계산!W:W,E79),0)</f>
        <v>4219238.5563765625</v>
      </c>
      <c r="S79" s="30">
        <f>IFERROR($Y79*SUMIFS(용수계산!Y:Y,용수계산!V:V,C79,용수계산!W:W,E79),0)</f>
        <v>1506077.3125342103</v>
      </c>
      <c r="T79" s="30">
        <f>IFERROR($Y79*SUMIFS(용수계산!Z:Z,용수계산!V:V,C79,용수계산!W:W,E79),0)</f>
        <v>603171.61877394957</v>
      </c>
      <c r="U79" s="30">
        <f>IFERROR($Y79*SUMIFS(용수계산!AA:AA,용수계산!V:V,C79,용수계산!W:W,E79),0)</f>
        <v>869080.67870826554</v>
      </c>
      <c r="V79" s="30">
        <f>IFERROR($Y79*SUMIFS(용수계산!AB:AB,용수계산!V:V,C79,용수계산!W:W,E79),0)</f>
        <v>6581310.9578544255</v>
      </c>
      <c r="W79" s="30">
        <f>IFERROR($Y79*SUMIFS(용수계산!AC:AC,용수계산!V:V,C79,용수계산!W:W,E79),0)</f>
        <v>2460090.8757525869</v>
      </c>
      <c r="X79" s="30">
        <f t="shared" si="32"/>
        <v>16238970</v>
      </c>
      <c r="Y79" s="186">
        <v>16238970</v>
      </c>
    </row>
    <row r="80" spans="3:25" x14ac:dyDescent="0.3">
      <c r="C80" s="30" t="s">
        <v>24</v>
      </c>
      <c r="D80" s="30" t="s">
        <v>354</v>
      </c>
      <c r="E80" s="30" t="s">
        <v>39</v>
      </c>
      <c r="F80" s="30">
        <f>IFERROR($M80*SUMIFS(용수계산!X:X,용수계산!V:V,C80,용수계산!W:W,E80),0)</f>
        <v>7741.3907893936421</v>
      </c>
      <c r="G80" s="30">
        <f>IFERROR($M80*SUMIFS(용수계산!Y:Y,용수계산!V:V,C80,용수계산!W:W,E80),0)</f>
        <v>2763.3263394757669</v>
      </c>
      <c r="H80" s="30">
        <f>IFERROR($M80*SUMIFS(용수계산!Z:Z,용수계산!V:V,C80,용수계산!W:W,E80),0)</f>
        <v>1106.6895487441523</v>
      </c>
      <c r="I80" s="30">
        <f>IFERROR($M80*SUMIFS(용수계산!AA:AA,용수계산!V:V,C80,용수계산!W:W,E80),0)</f>
        <v>1594.5751991729016</v>
      </c>
      <c r="J80" s="30">
        <f>IFERROR($M80*SUMIFS(용수계산!AB:AB,용수계산!V:V,C80,용수계산!W:W,E80),0)</f>
        <v>12075.283099191181</v>
      </c>
      <c r="K80" s="30">
        <f>IFERROR($M80*SUMIFS(용수계산!AC:AC,용수계산!V:V,C80,용수계산!W:W,E80),0)</f>
        <v>4513.7350240223568</v>
      </c>
      <c r="L80" s="30">
        <f t="shared" si="33"/>
        <v>29795</v>
      </c>
      <c r="M80" s="186">
        <v>29795</v>
      </c>
      <c r="O80" s="30" t="s">
        <v>24</v>
      </c>
      <c r="P80" s="30" t="s">
        <v>354</v>
      </c>
      <c r="Q80" s="30" t="s">
        <v>39</v>
      </c>
      <c r="R80" s="30">
        <f>IFERROR($Y80*SUMIFS(용수계산!X:X,용수계산!V:V,C80,용수계산!W:W,E80),0)</f>
        <v>4328579.3681201609</v>
      </c>
      <c r="S80" s="30">
        <f>IFERROR($Y80*SUMIFS(용수계산!Y:Y,용수계산!V:V,C80,용수계산!W:W,E80),0)</f>
        <v>1545107.0364288767</v>
      </c>
      <c r="T80" s="30">
        <f>IFERROR($Y80*SUMIFS(용수계산!Z:Z,용수계산!V:V,C80,용수계산!W:W,E80),0)</f>
        <v>618802.70327799383</v>
      </c>
      <c r="U80" s="30">
        <f>IFERROR($Y80*SUMIFS(용수계산!AA:AA,용수계산!V:V,C80,용수계산!W:W,E80),0)</f>
        <v>891602.74889010587</v>
      </c>
      <c r="V80" s="30">
        <f>IFERROR($Y80*SUMIFS(용수계산!AB:AB,용수계산!V:V,C80,용수계산!W:W,E80),0)</f>
        <v>6751864.4529587254</v>
      </c>
      <c r="W80" s="30">
        <f>IFERROR($Y80*SUMIFS(용수계산!AC:AC,용수계산!V:V,C80,용수계산!W:W,E80),0)</f>
        <v>2523843.690324137</v>
      </c>
      <c r="X80" s="30">
        <f t="shared" si="32"/>
        <v>16659800</v>
      </c>
      <c r="Y80" s="186">
        <v>16659800</v>
      </c>
    </row>
    <row r="81" spans="3:25" x14ac:dyDescent="0.3">
      <c r="C81" s="30" t="s">
        <v>24</v>
      </c>
      <c r="D81" s="30" t="s">
        <v>355</v>
      </c>
      <c r="E81" s="30" t="s">
        <v>39</v>
      </c>
      <c r="F81" s="30">
        <f>IFERROR($M81*SUMIFS(용수계산!X:X,용수계산!V:V,C81,용수계산!W:W,E81),0)</f>
        <v>6105.812503800993</v>
      </c>
      <c r="G81" s="30">
        <f>IFERROR($M81*SUMIFS(용수계산!Y:Y,용수계산!V:V,C81,용수계산!W:W,E81),0)</f>
        <v>2179.4988749011754</v>
      </c>
      <c r="H81" s="30">
        <f>IFERROR($M81*SUMIFS(용수계산!Z:Z,용수계산!V:V,C81,용수계산!W:W,E81),0)</f>
        <v>872.87143465304837</v>
      </c>
      <c r="I81" s="30">
        <f>IFERROR($M81*SUMIFS(용수계산!AA:AA,용수계산!V:V,C81,용수계산!W:W,E81),0)</f>
        <v>1257.6780392872356</v>
      </c>
      <c r="J81" s="30">
        <f>IFERROR($M81*SUMIFS(용수계산!AB:AB,용수계산!V:V,C81,용수계산!W:W,E81),0)</f>
        <v>9524.0527884206331</v>
      </c>
      <c r="K81" s="30">
        <f>IFERROR($M81*SUMIFS(용수계산!AC:AC,용수계산!V:V,C81,용수계산!W:W,E81),0)</f>
        <v>3560.0863589369151</v>
      </c>
      <c r="L81" s="30">
        <f t="shared" si="33"/>
        <v>23500</v>
      </c>
      <c r="M81" s="186">
        <v>23500</v>
      </c>
      <c r="O81" s="30" t="s">
        <v>24</v>
      </c>
      <c r="P81" s="30" t="s">
        <v>355</v>
      </c>
      <c r="Q81" s="30" t="s">
        <v>39</v>
      </c>
      <c r="R81" s="30">
        <f>IFERROR($Y81*SUMIFS(용수계산!X:X,용수계산!V:V,C81,용수계산!W:W,E81),0)</f>
        <v>4274068.7526606955</v>
      </c>
      <c r="S81" s="30">
        <f>IFERROR($Y81*SUMIFS(용수계산!Y:Y,용수계산!V:V,C81,용수계산!W:W,E81),0)</f>
        <v>1525649.2124308227</v>
      </c>
      <c r="T81" s="30">
        <f>IFERROR($Y81*SUMIFS(용수계산!Z:Z,용수계산!V:V,C81,용수계산!W:W,E81),0)</f>
        <v>611010.00425713393</v>
      </c>
      <c r="U81" s="30">
        <f>IFERROR($Y81*SUMIFS(용수계산!AA:AA,용수계산!V:V,C81,용수계산!W:W,E81),0)</f>
        <v>880374.62750106491</v>
      </c>
      <c r="V81" s="30">
        <f>IFERROR($Y81*SUMIFS(용수계산!AB:AB,용수계산!V:V,C81,용수계산!W:W,E81),0)</f>
        <v>6666836.9518944426</v>
      </c>
      <c r="W81" s="30">
        <f>IFERROR($Y81*SUMIFS(용수계산!AC:AC,용수계산!V:V,C81,용수계산!W:W,E81),0)</f>
        <v>2492060.4512558407</v>
      </c>
      <c r="X81" s="30">
        <f t="shared" si="32"/>
        <v>16450000.000000002</v>
      </c>
      <c r="Y81" s="186">
        <v>16450000</v>
      </c>
    </row>
    <row r="82" spans="3:25" x14ac:dyDescent="0.3">
      <c r="C82" s="30" t="s">
        <v>24</v>
      </c>
      <c r="D82" s="30" t="s">
        <v>353</v>
      </c>
      <c r="E82" s="30" t="s">
        <v>41</v>
      </c>
      <c r="F82" s="30">
        <f>IFERROR($M82*SUMIFS(용수계산!X:X,용수계산!V:V,C82,용수계산!W:W,E82),0)</f>
        <v>0</v>
      </c>
      <c r="G82" s="30">
        <f>IFERROR($M82*SUMIFS(용수계산!Y:Y,용수계산!V:V,C82,용수계산!W:W,E82),0)</f>
        <v>0</v>
      </c>
      <c r="H82" s="30">
        <f>IFERROR($M82*SUMIFS(용수계산!Z:Z,용수계산!V:V,C82,용수계산!W:W,E82),0)</f>
        <v>0</v>
      </c>
      <c r="I82" s="30">
        <f>IFERROR($M82*SUMIFS(용수계산!AA:AA,용수계산!V:V,C82,용수계산!W:W,E82),0)</f>
        <v>0</v>
      </c>
      <c r="J82" s="30">
        <f>IFERROR($M82*SUMIFS(용수계산!AB:AB,용수계산!V:V,C82,용수계산!W:W,E82),0)</f>
        <v>0</v>
      </c>
      <c r="K82" s="30">
        <f>IFERROR($M82*SUMIFS(용수계산!AC:AC,용수계산!V:V,C82,용수계산!W:W,E82),0)</f>
        <v>0</v>
      </c>
      <c r="L82" s="30">
        <f t="shared" si="33"/>
        <v>0</v>
      </c>
      <c r="O82" s="30" t="s">
        <v>24</v>
      </c>
      <c r="P82" s="30" t="s">
        <v>353</v>
      </c>
      <c r="Q82" s="30" t="s">
        <v>41</v>
      </c>
      <c r="R82" s="30">
        <f>IFERROR($Y82*SUMIFS(용수계산!X:X,용수계산!V:V,C82,용수계산!W:W,E82),0)</f>
        <v>0</v>
      </c>
      <c r="S82" s="30">
        <f>IFERROR($Y82*SUMIFS(용수계산!Y:Y,용수계산!V:V,C82,용수계산!W:W,E82),0)</f>
        <v>0</v>
      </c>
      <c r="T82" s="30">
        <f>IFERROR($Y82*SUMIFS(용수계산!Z:Z,용수계산!V:V,C82,용수계산!W:W,E82),0)</f>
        <v>0</v>
      </c>
      <c r="U82" s="30">
        <f>IFERROR($Y82*SUMIFS(용수계산!AA:AA,용수계산!V:V,C82,용수계산!W:W,E82),0)</f>
        <v>0</v>
      </c>
      <c r="V82" s="30">
        <f>IFERROR($Y82*SUMIFS(용수계산!AB:AB,용수계산!V:V,C82,용수계산!W:W,E82),0)</f>
        <v>0</v>
      </c>
      <c r="W82" s="30">
        <f>IFERROR($Y82*SUMIFS(용수계산!AC:AC,용수계산!V:V,C82,용수계산!W:W,E82),0)</f>
        <v>0</v>
      </c>
      <c r="X82" s="30">
        <f t="shared" si="32"/>
        <v>0</v>
      </c>
    </row>
    <row r="83" spans="3:25" x14ac:dyDescent="0.3">
      <c r="C83" s="30" t="s">
        <v>24</v>
      </c>
      <c r="D83" s="30" t="s">
        <v>354</v>
      </c>
      <c r="E83" s="30" t="s">
        <v>41</v>
      </c>
      <c r="F83" s="30">
        <f>IFERROR($M83*SUMIFS(용수계산!X:X,용수계산!V:V,C83,용수계산!W:W,E83),0)</f>
        <v>0</v>
      </c>
      <c r="G83" s="30">
        <f>IFERROR($M83*SUMIFS(용수계산!Y:Y,용수계산!V:V,C83,용수계산!W:W,E83),0)</f>
        <v>0</v>
      </c>
      <c r="H83" s="30">
        <f>IFERROR($M83*SUMIFS(용수계산!Z:Z,용수계산!V:V,C83,용수계산!W:W,E83),0)</f>
        <v>0</v>
      </c>
      <c r="I83" s="30">
        <f>IFERROR($M83*SUMIFS(용수계산!AA:AA,용수계산!V:V,C83,용수계산!W:W,E83),0)</f>
        <v>0</v>
      </c>
      <c r="J83" s="30">
        <f>IFERROR($M83*SUMIFS(용수계산!AB:AB,용수계산!V:V,C83,용수계산!W:W,E83),0)</f>
        <v>0</v>
      </c>
      <c r="K83" s="30">
        <f>IFERROR($M83*SUMIFS(용수계산!AC:AC,용수계산!V:V,C83,용수계산!W:W,E83),0)</f>
        <v>0</v>
      </c>
      <c r="L83" s="30">
        <f t="shared" si="33"/>
        <v>0</v>
      </c>
      <c r="O83" s="30" t="s">
        <v>24</v>
      </c>
      <c r="P83" s="30" t="s">
        <v>354</v>
      </c>
      <c r="Q83" s="30" t="s">
        <v>41</v>
      </c>
      <c r="R83" s="30">
        <f>IFERROR($Y83*SUMIFS(용수계산!X:X,용수계산!V:V,C83,용수계산!W:W,E83),0)</f>
        <v>0</v>
      </c>
      <c r="S83" s="30">
        <f>IFERROR($Y83*SUMIFS(용수계산!Y:Y,용수계산!V:V,C83,용수계산!W:W,E83),0)</f>
        <v>0</v>
      </c>
      <c r="T83" s="30">
        <f>IFERROR($Y83*SUMIFS(용수계산!Z:Z,용수계산!V:V,C83,용수계산!W:W,E83),0)</f>
        <v>0</v>
      </c>
      <c r="U83" s="30">
        <f>IFERROR($Y83*SUMIFS(용수계산!AA:AA,용수계산!V:V,C83,용수계산!W:W,E83),0)</f>
        <v>0</v>
      </c>
      <c r="V83" s="30">
        <f>IFERROR($Y83*SUMIFS(용수계산!AB:AB,용수계산!V:V,C83,용수계산!W:W,E83),0)</f>
        <v>0</v>
      </c>
      <c r="W83" s="30">
        <f>IFERROR($Y83*SUMIFS(용수계산!AC:AC,용수계산!V:V,C83,용수계산!W:W,E83),0)</f>
        <v>0</v>
      </c>
      <c r="X83" s="30">
        <f t="shared" si="32"/>
        <v>0</v>
      </c>
    </row>
    <row r="84" spans="3:25" x14ac:dyDescent="0.3">
      <c r="C84" s="30" t="s">
        <v>24</v>
      </c>
      <c r="D84" s="30" t="s">
        <v>355</v>
      </c>
      <c r="E84" s="30" t="s">
        <v>41</v>
      </c>
      <c r="F84" s="30">
        <f>IFERROR($M84*SUMIFS(용수계산!X:X,용수계산!V:V,C84,용수계산!W:W,E84),0)</f>
        <v>0</v>
      </c>
      <c r="G84" s="30">
        <f>IFERROR($M84*SUMIFS(용수계산!Y:Y,용수계산!V:V,C84,용수계산!W:W,E84),0)</f>
        <v>0</v>
      </c>
      <c r="H84" s="30">
        <f>IFERROR($M84*SUMIFS(용수계산!Z:Z,용수계산!V:V,C84,용수계산!W:W,E84),0)</f>
        <v>0</v>
      </c>
      <c r="I84" s="30">
        <f>IFERROR($M84*SUMIFS(용수계산!AA:AA,용수계산!V:V,C84,용수계산!W:W,E84),0)</f>
        <v>0</v>
      </c>
      <c r="J84" s="30">
        <f>IFERROR($M84*SUMIFS(용수계산!AB:AB,용수계산!V:V,C84,용수계산!W:W,E84),0)</f>
        <v>0</v>
      </c>
      <c r="K84" s="30">
        <f>IFERROR($M84*SUMIFS(용수계산!AC:AC,용수계산!V:V,C84,용수계산!W:W,E84),0)</f>
        <v>0</v>
      </c>
      <c r="L84" s="30">
        <f t="shared" si="33"/>
        <v>0</v>
      </c>
      <c r="O84" s="30" t="s">
        <v>24</v>
      </c>
      <c r="P84" s="30" t="s">
        <v>355</v>
      </c>
      <c r="Q84" s="30" t="s">
        <v>41</v>
      </c>
      <c r="R84" s="30">
        <f>IFERROR($Y84*SUMIFS(용수계산!X:X,용수계산!V:V,C84,용수계산!W:W,E84),0)</f>
        <v>0</v>
      </c>
      <c r="S84" s="30">
        <f>IFERROR($Y84*SUMIFS(용수계산!Y:Y,용수계산!V:V,C84,용수계산!W:W,E84),0)</f>
        <v>0</v>
      </c>
      <c r="T84" s="30">
        <f>IFERROR($Y84*SUMIFS(용수계산!Z:Z,용수계산!V:V,C84,용수계산!W:W,E84),0)</f>
        <v>0</v>
      </c>
      <c r="U84" s="30">
        <f>IFERROR($Y84*SUMIFS(용수계산!AA:AA,용수계산!V:V,C84,용수계산!W:W,E84),0)</f>
        <v>0</v>
      </c>
      <c r="V84" s="30">
        <f>IFERROR($Y84*SUMIFS(용수계산!AB:AB,용수계산!V:V,C84,용수계산!W:W,E84),0)</f>
        <v>0</v>
      </c>
      <c r="W84" s="30">
        <f>IFERROR($Y84*SUMIFS(용수계산!AC:AC,용수계산!V:V,C84,용수계산!W:W,E84),0)</f>
        <v>0</v>
      </c>
      <c r="X84" s="30">
        <f t="shared" si="32"/>
        <v>0</v>
      </c>
    </row>
    <row r="85" spans="3:25" x14ac:dyDescent="0.3">
      <c r="C85" s="30" t="s">
        <v>24</v>
      </c>
      <c r="D85" s="30" t="s">
        <v>353</v>
      </c>
      <c r="E85" s="30" t="s">
        <v>43</v>
      </c>
      <c r="F85" s="30">
        <f>IFERROR($M85*SUMIFS(용수계산!X:X,용수계산!V:V,C85,용수계산!W:W,E85),0)</f>
        <v>0</v>
      </c>
      <c r="G85" s="30">
        <f>IFERROR($M85*SUMIFS(용수계산!Y:Y,용수계산!V:V,C85,용수계산!W:W,E85),0)</f>
        <v>0</v>
      </c>
      <c r="H85" s="30">
        <f>IFERROR($M85*SUMIFS(용수계산!Z:Z,용수계산!V:V,C85,용수계산!W:W,E85),0)</f>
        <v>0</v>
      </c>
      <c r="I85" s="30">
        <f>IFERROR($M85*SUMIFS(용수계산!AA:AA,용수계산!V:V,C85,용수계산!W:W,E85),0)</f>
        <v>0</v>
      </c>
      <c r="J85" s="30">
        <f>IFERROR($M85*SUMIFS(용수계산!AB:AB,용수계산!V:V,C85,용수계산!W:W,E85),0)</f>
        <v>0</v>
      </c>
      <c r="K85" s="30">
        <f>IFERROR($M85*SUMIFS(용수계산!AC:AC,용수계산!V:V,C85,용수계산!W:W,E85),0)</f>
        <v>0</v>
      </c>
      <c r="L85" s="30">
        <f t="shared" si="33"/>
        <v>0</v>
      </c>
      <c r="O85" s="30" t="s">
        <v>24</v>
      </c>
      <c r="P85" s="30" t="s">
        <v>353</v>
      </c>
      <c r="Q85" s="30" t="s">
        <v>43</v>
      </c>
      <c r="R85" s="30">
        <f>IFERROR($Y85*SUMIFS(용수계산!X:X,용수계산!V:V,C85,용수계산!W:W,E85),0)</f>
        <v>0</v>
      </c>
      <c r="S85" s="30">
        <f>IFERROR($Y85*SUMIFS(용수계산!Y:Y,용수계산!V:V,C85,용수계산!W:W,E85),0)</f>
        <v>0</v>
      </c>
      <c r="T85" s="30">
        <f>IFERROR($Y85*SUMIFS(용수계산!Z:Z,용수계산!V:V,C85,용수계산!W:W,E85),0)</f>
        <v>0</v>
      </c>
      <c r="U85" s="30">
        <f>IFERROR($Y85*SUMIFS(용수계산!AA:AA,용수계산!V:V,C85,용수계산!W:W,E85),0)</f>
        <v>0</v>
      </c>
      <c r="V85" s="30">
        <f>IFERROR($Y85*SUMIFS(용수계산!AB:AB,용수계산!V:V,C85,용수계산!W:W,E85),0)</f>
        <v>0</v>
      </c>
      <c r="W85" s="30">
        <f>IFERROR($Y85*SUMIFS(용수계산!AC:AC,용수계산!V:V,C85,용수계산!W:W,E85),0)</f>
        <v>0</v>
      </c>
      <c r="X85" s="30">
        <f t="shared" si="32"/>
        <v>0</v>
      </c>
    </row>
    <row r="86" spans="3:25" x14ac:dyDescent="0.3">
      <c r="C86" s="30" t="s">
        <v>24</v>
      </c>
      <c r="D86" s="30" t="s">
        <v>354</v>
      </c>
      <c r="E86" s="30" t="s">
        <v>43</v>
      </c>
      <c r="F86" s="30">
        <f>IFERROR($M86*SUMIFS(용수계산!X:X,용수계산!V:V,C86,용수계산!W:W,E86),0)</f>
        <v>0</v>
      </c>
      <c r="G86" s="30">
        <f>IFERROR($M86*SUMIFS(용수계산!Y:Y,용수계산!V:V,C86,용수계산!W:W,E86),0)</f>
        <v>0</v>
      </c>
      <c r="H86" s="30">
        <f>IFERROR($M86*SUMIFS(용수계산!Z:Z,용수계산!V:V,C86,용수계산!W:W,E86),0)</f>
        <v>0</v>
      </c>
      <c r="I86" s="30">
        <f>IFERROR($M86*SUMIFS(용수계산!AA:AA,용수계산!V:V,C86,용수계산!W:W,E86),0)</f>
        <v>0</v>
      </c>
      <c r="J86" s="30">
        <f>IFERROR($M86*SUMIFS(용수계산!AB:AB,용수계산!V:V,C86,용수계산!W:W,E86),0)</f>
        <v>0</v>
      </c>
      <c r="K86" s="30">
        <f>IFERROR($M86*SUMIFS(용수계산!AC:AC,용수계산!V:V,C86,용수계산!W:W,E86),0)</f>
        <v>0</v>
      </c>
      <c r="L86" s="30">
        <f t="shared" si="33"/>
        <v>0</v>
      </c>
      <c r="O86" s="30" t="s">
        <v>24</v>
      </c>
      <c r="P86" s="30" t="s">
        <v>354</v>
      </c>
      <c r="Q86" s="30" t="s">
        <v>43</v>
      </c>
      <c r="R86" s="30">
        <f>IFERROR($Y86*SUMIFS(용수계산!X:X,용수계산!V:V,C86,용수계산!W:W,E86),0)</f>
        <v>0</v>
      </c>
      <c r="S86" s="30">
        <f>IFERROR($Y86*SUMIFS(용수계산!Y:Y,용수계산!V:V,C86,용수계산!W:W,E86),0)</f>
        <v>0</v>
      </c>
      <c r="T86" s="30">
        <f>IFERROR($Y86*SUMIFS(용수계산!Z:Z,용수계산!V:V,C86,용수계산!W:W,E86),0)</f>
        <v>0</v>
      </c>
      <c r="U86" s="30">
        <f>IFERROR($Y86*SUMIFS(용수계산!AA:AA,용수계산!V:V,C86,용수계산!W:W,E86),0)</f>
        <v>0</v>
      </c>
      <c r="V86" s="30">
        <f>IFERROR($Y86*SUMIFS(용수계산!AB:AB,용수계산!V:V,C86,용수계산!W:W,E86),0)</f>
        <v>0</v>
      </c>
      <c r="W86" s="30">
        <f>IFERROR($Y86*SUMIFS(용수계산!AC:AC,용수계산!V:V,C86,용수계산!W:W,E86),0)</f>
        <v>0</v>
      </c>
      <c r="X86" s="30">
        <f t="shared" si="32"/>
        <v>0</v>
      </c>
    </row>
    <row r="87" spans="3:25" x14ac:dyDescent="0.3">
      <c r="C87" s="30" t="s">
        <v>24</v>
      </c>
      <c r="D87" s="30" t="s">
        <v>355</v>
      </c>
      <c r="E87" s="30" t="s">
        <v>43</v>
      </c>
      <c r="F87" s="30">
        <f>IFERROR($M87*SUMIFS(용수계산!X:X,용수계산!V:V,C87,용수계산!W:W,E87),0)</f>
        <v>0</v>
      </c>
      <c r="G87" s="30">
        <f>IFERROR($M87*SUMIFS(용수계산!Y:Y,용수계산!V:V,C87,용수계산!W:W,E87),0)</f>
        <v>0</v>
      </c>
      <c r="H87" s="30">
        <f>IFERROR($M87*SUMIFS(용수계산!Z:Z,용수계산!V:V,C87,용수계산!W:W,E87),0)</f>
        <v>0</v>
      </c>
      <c r="I87" s="30">
        <f>IFERROR($M87*SUMIFS(용수계산!AA:AA,용수계산!V:V,C87,용수계산!W:W,E87),0)</f>
        <v>0</v>
      </c>
      <c r="J87" s="30">
        <f>IFERROR($M87*SUMIFS(용수계산!AB:AB,용수계산!V:V,C87,용수계산!W:W,E87),0)</f>
        <v>0</v>
      </c>
      <c r="K87" s="30">
        <f>IFERROR($M87*SUMIFS(용수계산!AC:AC,용수계산!V:V,C87,용수계산!W:W,E87),0)</f>
        <v>0</v>
      </c>
      <c r="L87" s="30">
        <f t="shared" si="33"/>
        <v>0</v>
      </c>
      <c r="O87" s="30" t="s">
        <v>24</v>
      </c>
      <c r="P87" s="30" t="s">
        <v>355</v>
      </c>
      <c r="Q87" s="30" t="s">
        <v>43</v>
      </c>
      <c r="R87" s="30">
        <f>IFERROR($Y87*SUMIFS(용수계산!X:X,용수계산!V:V,C87,용수계산!W:W,E87),0)</f>
        <v>0</v>
      </c>
      <c r="S87" s="30">
        <f>IFERROR($Y87*SUMIFS(용수계산!Y:Y,용수계산!V:V,C87,용수계산!W:W,E87),0)</f>
        <v>0</v>
      </c>
      <c r="T87" s="30">
        <f>IFERROR($Y87*SUMIFS(용수계산!Z:Z,용수계산!V:V,C87,용수계산!W:W,E87),0)</f>
        <v>0</v>
      </c>
      <c r="U87" s="30">
        <f>IFERROR($Y87*SUMIFS(용수계산!AA:AA,용수계산!V:V,C87,용수계산!W:W,E87),0)</f>
        <v>0</v>
      </c>
      <c r="V87" s="30">
        <f>IFERROR($Y87*SUMIFS(용수계산!AB:AB,용수계산!V:V,C87,용수계산!W:W,E87),0)</f>
        <v>0</v>
      </c>
      <c r="W87" s="30">
        <f>IFERROR($Y87*SUMIFS(용수계산!AC:AC,용수계산!V:V,C87,용수계산!W:W,E87),0)</f>
        <v>0</v>
      </c>
      <c r="X87" s="30">
        <f t="shared" si="32"/>
        <v>0</v>
      </c>
    </row>
    <row r="88" spans="3:25" x14ac:dyDescent="0.3">
      <c r="C88" s="30" t="s">
        <v>24</v>
      </c>
      <c r="D88" s="30" t="s">
        <v>353</v>
      </c>
      <c r="E88" s="30" t="s">
        <v>45</v>
      </c>
      <c r="F88" s="30">
        <f>IFERROR($M88*SUMIFS(용수계산!X:X,용수계산!V:V,C88,용수계산!W:W,E88),0)</f>
        <v>0</v>
      </c>
      <c r="G88" s="30">
        <f>IFERROR($M88*SUMIFS(용수계산!Y:Y,용수계산!V:V,C88,용수계산!W:W,E88),0)</f>
        <v>0</v>
      </c>
      <c r="H88" s="30">
        <f>IFERROR($M88*SUMIFS(용수계산!Z:Z,용수계산!V:V,C88,용수계산!W:W,E88),0)</f>
        <v>0</v>
      </c>
      <c r="I88" s="30">
        <f>IFERROR($M88*SUMIFS(용수계산!AA:AA,용수계산!V:V,C88,용수계산!W:W,E88),0)</f>
        <v>0</v>
      </c>
      <c r="J88" s="30">
        <f>IFERROR($M88*SUMIFS(용수계산!AB:AB,용수계산!V:V,C88,용수계산!W:W,E88),0)</f>
        <v>0</v>
      </c>
      <c r="K88" s="30">
        <f>IFERROR($M88*SUMIFS(용수계산!AC:AC,용수계산!V:V,C88,용수계산!W:W,E88),0)</f>
        <v>0</v>
      </c>
      <c r="L88" s="30">
        <f t="shared" si="33"/>
        <v>0</v>
      </c>
      <c r="O88" s="30" t="s">
        <v>24</v>
      </c>
      <c r="P88" s="30" t="s">
        <v>353</v>
      </c>
      <c r="Q88" s="30" t="s">
        <v>45</v>
      </c>
      <c r="R88" s="30">
        <f>IFERROR($Y88*SUMIFS(용수계산!X:X,용수계산!V:V,C88,용수계산!W:W,E88),0)</f>
        <v>0</v>
      </c>
      <c r="S88" s="30">
        <f>IFERROR($Y88*SUMIFS(용수계산!Y:Y,용수계산!V:V,C88,용수계산!W:W,E88),0)</f>
        <v>0</v>
      </c>
      <c r="T88" s="30">
        <f>IFERROR($Y88*SUMIFS(용수계산!Z:Z,용수계산!V:V,C88,용수계산!W:W,E88),0)</f>
        <v>0</v>
      </c>
      <c r="U88" s="30">
        <f>IFERROR($Y88*SUMIFS(용수계산!AA:AA,용수계산!V:V,C88,용수계산!W:W,E88),0)</f>
        <v>0</v>
      </c>
      <c r="V88" s="30">
        <f>IFERROR($Y88*SUMIFS(용수계산!AB:AB,용수계산!V:V,C88,용수계산!W:W,E88),0)</f>
        <v>0</v>
      </c>
      <c r="W88" s="30">
        <f>IFERROR($Y88*SUMIFS(용수계산!AC:AC,용수계산!V:V,C88,용수계산!W:W,E88),0)</f>
        <v>0</v>
      </c>
      <c r="X88" s="30">
        <f t="shared" si="32"/>
        <v>0</v>
      </c>
    </row>
    <row r="89" spans="3:25" x14ac:dyDescent="0.3">
      <c r="C89" s="30" t="s">
        <v>24</v>
      </c>
      <c r="D89" s="30" t="s">
        <v>354</v>
      </c>
      <c r="E89" s="30" t="s">
        <v>45</v>
      </c>
      <c r="F89" s="30">
        <f>IFERROR($M89*SUMIFS(용수계산!X:X,용수계산!V:V,C89,용수계산!W:W,E89),0)</f>
        <v>0</v>
      </c>
      <c r="G89" s="30">
        <f>IFERROR($M89*SUMIFS(용수계산!Y:Y,용수계산!V:V,C89,용수계산!W:W,E89),0)</f>
        <v>0</v>
      </c>
      <c r="H89" s="30">
        <f>IFERROR($M89*SUMIFS(용수계산!Z:Z,용수계산!V:V,C89,용수계산!W:W,E89),0)</f>
        <v>0</v>
      </c>
      <c r="I89" s="30">
        <f>IFERROR($M89*SUMIFS(용수계산!AA:AA,용수계산!V:V,C89,용수계산!W:W,E89),0)</f>
        <v>0</v>
      </c>
      <c r="J89" s="30">
        <f>IFERROR($M89*SUMIFS(용수계산!AB:AB,용수계산!V:V,C89,용수계산!W:W,E89),0)</f>
        <v>0</v>
      </c>
      <c r="K89" s="30">
        <f>IFERROR($M89*SUMIFS(용수계산!AC:AC,용수계산!V:V,C89,용수계산!W:W,E89),0)</f>
        <v>0</v>
      </c>
      <c r="L89" s="30">
        <f t="shared" si="33"/>
        <v>0</v>
      </c>
      <c r="O89" s="30" t="s">
        <v>24</v>
      </c>
      <c r="P89" s="30" t="s">
        <v>354</v>
      </c>
      <c r="Q89" s="30" t="s">
        <v>45</v>
      </c>
      <c r="R89" s="30">
        <f>IFERROR($Y89*SUMIFS(용수계산!X:X,용수계산!V:V,C89,용수계산!W:W,E89),0)</f>
        <v>0</v>
      </c>
      <c r="S89" s="30">
        <f>IFERROR($Y89*SUMIFS(용수계산!Y:Y,용수계산!V:V,C89,용수계산!W:W,E89),0)</f>
        <v>0</v>
      </c>
      <c r="T89" s="30">
        <f>IFERROR($Y89*SUMIFS(용수계산!Z:Z,용수계산!V:V,C89,용수계산!W:W,E89),0)</f>
        <v>0</v>
      </c>
      <c r="U89" s="30">
        <f>IFERROR($Y89*SUMIFS(용수계산!AA:AA,용수계산!V:V,C89,용수계산!W:W,E89),0)</f>
        <v>0</v>
      </c>
      <c r="V89" s="30">
        <f>IFERROR($Y89*SUMIFS(용수계산!AB:AB,용수계산!V:V,C89,용수계산!W:W,E89),0)</f>
        <v>0</v>
      </c>
      <c r="W89" s="30">
        <f>IFERROR($Y89*SUMIFS(용수계산!AC:AC,용수계산!V:V,C89,용수계산!W:W,E89),0)</f>
        <v>0</v>
      </c>
      <c r="X89" s="30">
        <f t="shared" si="32"/>
        <v>0</v>
      </c>
    </row>
    <row r="90" spans="3:25" x14ac:dyDescent="0.3">
      <c r="C90" s="30" t="s">
        <v>24</v>
      </c>
      <c r="D90" s="30" t="s">
        <v>355</v>
      </c>
      <c r="E90" s="30" t="s">
        <v>45</v>
      </c>
      <c r="F90" s="30">
        <f>IFERROR($M90*SUMIFS(용수계산!X:X,용수계산!V:V,C90,용수계산!W:W,E90),0)</f>
        <v>0</v>
      </c>
      <c r="G90" s="30">
        <f>IFERROR($M90*SUMIFS(용수계산!Y:Y,용수계산!V:V,C90,용수계산!W:W,E90),0)</f>
        <v>0</v>
      </c>
      <c r="H90" s="30">
        <f>IFERROR($M90*SUMIFS(용수계산!Z:Z,용수계산!V:V,C90,용수계산!W:W,E90),0)</f>
        <v>0</v>
      </c>
      <c r="I90" s="30">
        <f>IFERROR($M90*SUMIFS(용수계산!AA:AA,용수계산!V:V,C90,용수계산!W:W,E90),0)</f>
        <v>0</v>
      </c>
      <c r="J90" s="30">
        <f>IFERROR($M90*SUMIFS(용수계산!AB:AB,용수계산!V:V,C90,용수계산!W:W,E90),0)</f>
        <v>0</v>
      </c>
      <c r="K90" s="30">
        <f>IFERROR($M90*SUMIFS(용수계산!AC:AC,용수계산!V:V,C90,용수계산!W:W,E90),0)</f>
        <v>0</v>
      </c>
      <c r="L90" s="30">
        <f t="shared" si="33"/>
        <v>0</v>
      </c>
      <c r="O90" s="30" t="s">
        <v>24</v>
      </c>
      <c r="P90" s="30" t="s">
        <v>355</v>
      </c>
      <c r="Q90" s="30" t="s">
        <v>45</v>
      </c>
      <c r="R90" s="30">
        <f>IFERROR($Y90*SUMIFS(용수계산!X:X,용수계산!V:V,C90,용수계산!W:W,E90),0)</f>
        <v>0</v>
      </c>
      <c r="S90" s="30">
        <f>IFERROR($Y90*SUMIFS(용수계산!Y:Y,용수계산!V:V,C90,용수계산!W:W,E90),0)</f>
        <v>0</v>
      </c>
      <c r="T90" s="30">
        <f>IFERROR($Y90*SUMIFS(용수계산!Z:Z,용수계산!V:V,C90,용수계산!W:W,E90),0)</f>
        <v>0</v>
      </c>
      <c r="U90" s="30">
        <f>IFERROR($Y90*SUMIFS(용수계산!AA:AA,용수계산!V:V,C90,용수계산!W:W,E90),0)</f>
        <v>0</v>
      </c>
      <c r="V90" s="30">
        <f>IFERROR($Y90*SUMIFS(용수계산!AB:AB,용수계산!V:V,C90,용수계산!W:W,E90),0)</f>
        <v>0</v>
      </c>
      <c r="W90" s="30">
        <f>IFERROR($Y90*SUMIFS(용수계산!AC:AC,용수계산!V:V,C90,용수계산!W:W,E90),0)</f>
        <v>0</v>
      </c>
      <c r="X90" s="30">
        <f t="shared" si="32"/>
        <v>0</v>
      </c>
    </row>
    <row r="91" spans="3:25" x14ac:dyDescent="0.3">
      <c r="C91" s="30" t="s">
        <v>24</v>
      </c>
      <c r="D91" s="30" t="s">
        <v>353</v>
      </c>
      <c r="E91" s="30" t="s">
        <v>48</v>
      </c>
      <c r="F91" s="30">
        <f>IFERROR($M91*SUMIFS(용수계산!X:X,용수계산!V:V,C91,용수계산!W:W,E91),0)</f>
        <v>0</v>
      </c>
      <c r="G91" s="30">
        <f>IFERROR($M91*SUMIFS(용수계산!Y:Y,용수계산!V:V,C91,용수계산!W:W,E91),0)</f>
        <v>0</v>
      </c>
      <c r="H91" s="30">
        <f>IFERROR($M91*SUMIFS(용수계산!Z:Z,용수계산!V:V,C91,용수계산!W:W,E91),0)</f>
        <v>0</v>
      </c>
      <c r="I91" s="30">
        <f>IFERROR($M91*SUMIFS(용수계산!AA:AA,용수계산!V:V,C91,용수계산!W:W,E91),0)</f>
        <v>0</v>
      </c>
      <c r="J91" s="30">
        <f>IFERROR($M91*SUMIFS(용수계산!AB:AB,용수계산!V:V,C91,용수계산!W:W,E91),0)</f>
        <v>0</v>
      </c>
      <c r="K91" s="30">
        <f>IFERROR($M91*SUMIFS(용수계산!AC:AC,용수계산!V:V,C91,용수계산!W:W,E91),0)</f>
        <v>0</v>
      </c>
      <c r="L91" s="30">
        <f t="shared" si="33"/>
        <v>0</v>
      </c>
      <c r="O91" s="30" t="s">
        <v>24</v>
      </c>
      <c r="P91" s="30" t="s">
        <v>353</v>
      </c>
      <c r="Q91" s="30" t="s">
        <v>48</v>
      </c>
      <c r="R91" s="30">
        <f>IFERROR($Y91*SUMIFS(용수계산!X:X,용수계산!V:V,C91,용수계산!W:W,E91),0)</f>
        <v>0</v>
      </c>
      <c r="S91" s="30">
        <f>IFERROR($Y91*SUMIFS(용수계산!Y:Y,용수계산!V:V,C91,용수계산!W:W,E91),0)</f>
        <v>0</v>
      </c>
      <c r="T91" s="30">
        <f>IFERROR($Y91*SUMIFS(용수계산!Z:Z,용수계산!V:V,C91,용수계산!W:W,E91),0)</f>
        <v>0</v>
      </c>
      <c r="U91" s="30">
        <f>IFERROR($Y91*SUMIFS(용수계산!AA:AA,용수계산!V:V,C91,용수계산!W:W,E91),0)</f>
        <v>0</v>
      </c>
      <c r="V91" s="30">
        <f>IFERROR($Y91*SUMIFS(용수계산!AB:AB,용수계산!V:V,C91,용수계산!W:W,E91),0)</f>
        <v>0</v>
      </c>
      <c r="W91" s="30">
        <f>IFERROR($Y91*SUMIFS(용수계산!AC:AC,용수계산!V:V,C91,용수계산!W:W,E91),0)</f>
        <v>0</v>
      </c>
      <c r="X91" s="30">
        <f t="shared" si="32"/>
        <v>0</v>
      </c>
    </row>
    <row r="92" spans="3:25" x14ac:dyDescent="0.3">
      <c r="C92" s="30" t="s">
        <v>24</v>
      </c>
      <c r="D92" s="30" t="s">
        <v>354</v>
      </c>
      <c r="E92" s="30" t="s">
        <v>48</v>
      </c>
      <c r="F92" s="30">
        <f>IFERROR($M92*SUMIFS(용수계산!X:X,용수계산!V:V,C92,용수계산!W:W,E92),0)</f>
        <v>0</v>
      </c>
      <c r="G92" s="30">
        <f>IFERROR($M92*SUMIFS(용수계산!Y:Y,용수계산!V:V,C92,용수계산!W:W,E92),0)</f>
        <v>0</v>
      </c>
      <c r="H92" s="30">
        <f>IFERROR($M92*SUMIFS(용수계산!Z:Z,용수계산!V:V,C92,용수계산!W:W,E92),0)</f>
        <v>0</v>
      </c>
      <c r="I92" s="30">
        <f>IFERROR($M92*SUMIFS(용수계산!AA:AA,용수계산!V:V,C92,용수계산!W:W,E92),0)</f>
        <v>0</v>
      </c>
      <c r="J92" s="30">
        <f>IFERROR($M92*SUMIFS(용수계산!AB:AB,용수계산!V:V,C92,용수계산!W:W,E92),0)</f>
        <v>0</v>
      </c>
      <c r="K92" s="30">
        <f>IFERROR($M92*SUMIFS(용수계산!AC:AC,용수계산!V:V,C92,용수계산!W:W,E92),0)</f>
        <v>0</v>
      </c>
      <c r="L92" s="30">
        <f t="shared" si="33"/>
        <v>0</v>
      </c>
      <c r="O92" s="30" t="s">
        <v>24</v>
      </c>
      <c r="P92" s="30" t="s">
        <v>354</v>
      </c>
      <c r="Q92" s="30" t="s">
        <v>48</v>
      </c>
      <c r="R92" s="30">
        <f>IFERROR($Y92*SUMIFS(용수계산!X:X,용수계산!V:V,C92,용수계산!W:W,E92),0)</f>
        <v>0</v>
      </c>
      <c r="S92" s="30">
        <f>IFERROR($Y92*SUMIFS(용수계산!Y:Y,용수계산!V:V,C92,용수계산!W:W,E92),0)</f>
        <v>0</v>
      </c>
      <c r="T92" s="30">
        <f>IFERROR($Y92*SUMIFS(용수계산!Z:Z,용수계산!V:V,C92,용수계산!W:W,E92),0)</f>
        <v>0</v>
      </c>
      <c r="U92" s="30">
        <f>IFERROR($Y92*SUMIFS(용수계산!AA:AA,용수계산!V:V,C92,용수계산!W:W,E92),0)</f>
        <v>0</v>
      </c>
      <c r="V92" s="30">
        <f>IFERROR($Y92*SUMIFS(용수계산!AB:AB,용수계산!V:V,C92,용수계산!W:W,E92),0)</f>
        <v>0</v>
      </c>
      <c r="W92" s="30">
        <f>IFERROR($Y92*SUMIFS(용수계산!AC:AC,용수계산!V:V,C92,용수계산!W:W,E92),0)</f>
        <v>0</v>
      </c>
      <c r="X92" s="30">
        <f t="shared" si="32"/>
        <v>0</v>
      </c>
    </row>
    <row r="93" spans="3:25" x14ac:dyDescent="0.3">
      <c r="C93" s="30" t="s">
        <v>24</v>
      </c>
      <c r="D93" s="30" t="s">
        <v>355</v>
      </c>
      <c r="E93" s="30" t="s">
        <v>48</v>
      </c>
      <c r="F93" s="30">
        <f>IFERROR($M93*SUMIFS(용수계산!X:X,용수계산!V:V,C93,용수계산!W:W,E93),0)</f>
        <v>0</v>
      </c>
      <c r="G93" s="30">
        <f>IFERROR($M93*SUMIFS(용수계산!Y:Y,용수계산!V:V,C93,용수계산!W:W,E93),0)</f>
        <v>0</v>
      </c>
      <c r="H93" s="30">
        <f>IFERROR($M93*SUMIFS(용수계산!Z:Z,용수계산!V:V,C93,용수계산!W:W,E93),0)</f>
        <v>0</v>
      </c>
      <c r="I93" s="30">
        <f>IFERROR($M93*SUMIFS(용수계산!AA:AA,용수계산!V:V,C93,용수계산!W:W,E93),0)</f>
        <v>0</v>
      </c>
      <c r="J93" s="30">
        <f>IFERROR($M93*SUMIFS(용수계산!AB:AB,용수계산!V:V,C93,용수계산!W:W,E93),0)</f>
        <v>0</v>
      </c>
      <c r="K93" s="30">
        <f>IFERROR($M93*SUMIFS(용수계산!AC:AC,용수계산!V:V,C93,용수계산!W:W,E93),0)</f>
        <v>0</v>
      </c>
      <c r="L93" s="30">
        <f t="shared" si="33"/>
        <v>0</v>
      </c>
      <c r="O93" s="30" t="s">
        <v>24</v>
      </c>
      <c r="P93" s="30" t="s">
        <v>355</v>
      </c>
      <c r="Q93" s="30" t="s">
        <v>48</v>
      </c>
      <c r="R93" s="30">
        <f>IFERROR($Y93*SUMIFS(용수계산!X:X,용수계산!V:V,C93,용수계산!W:W,E93),0)</f>
        <v>0</v>
      </c>
      <c r="S93" s="30">
        <f>IFERROR($Y93*SUMIFS(용수계산!Y:Y,용수계산!V:V,C93,용수계산!W:W,E93),0)</f>
        <v>0</v>
      </c>
      <c r="T93" s="30">
        <f>IFERROR($Y93*SUMIFS(용수계산!Z:Z,용수계산!V:V,C93,용수계산!W:W,E93),0)</f>
        <v>0</v>
      </c>
      <c r="U93" s="30">
        <f>IFERROR($Y93*SUMIFS(용수계산!AA:AA,용수계산!V:V,C93,용수계산!W:W,E93),0)</f>
        <v>0</v>
      </c>
      <c r="V93" s="30">
        <f>IFERROR($Y93*SUMIFS(용수계산!AB:AB,용수계산!V:V,C93,용수계산!W:W,E93),0)</f>
        <v>0</v>
      </c>
      <c r="W93" s="30">
        <f>IFERROR($Y93*SUMIFS(용수계산!AC:AC,용수계산!V:V,C93,용수계산!W:W,E93),0)</f>
        <v>0</v>
      </c>
      <c r="X93" s="30">
        <f t="shared" si="32"/>
        <v>0</v>
      </c>
    </row>
  </sheetData>
  <autoFilter ref="C3:M93">
    <filterColumn colId="0">
      <filters>
        <filter val="2020년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topLeftCell="B25" workbookViewId="0">
      <selection activeCell="H43" sqref="H43"/>
    </sheetView>
  </sheetViews>
  <sheetFormatPr defaultRowHeight="16.5" x14ac:dyDescent="0.3"/>
  <cols>
    <col min="1" max="16384" width="9" style="30"/>
  </cols>
  <sheetData>
    <row r="2" spans="2:8" x14ac:dyDescent="0.3">
      <c r="B2" s="30" t="s">
        <v>109</v>
      </c>
      <c r="D2" s="30" t="s">
        <v>96</v>
      </c>
      <c r="E2" s="30" t="s">
        <v>16</v>
      </c>
      <c r="F2" s="30" t="s">
        <v>311</v>
      </c>
      <c r="G2" s="30" t="s">
        <v>314</v>
      </c>
      <c r="H2" s="30" t="s">
        <v>315</v>
      </c>
    </row>
    <row r="3" spans="2:8" x14ac:dyDescent="0.3">
      <c r="B3" s="19">
        <v>8320</v>
      </c>
      <c r="D3" s="30" t="s">
        <v>21</v>
      </c>
      <c r="E3" s="30" t="s">
        <v>99</v>
      </c>
      <c r="F3" s="30" t="s">
        <v>312</v>
      </c>
      <c r="G3" s="30">
        <v>14.2881</v>
      </c>
      <c r="H3" s="30">
        <v>42.55</v>
      </c>
    </row>
    <row r="4" spans="2:8" x14ac:dyDescent="0.3">
      <c r="D4" s="30" t="s">
        <v>21</v>
      </c>
      <c r="E4" s="30" t="s">
        <v>99</v>
      </c>
      <c r="F4" s="30" t="s">
        <v>313</v>
      </c>
      <c r="G4" s="30">
        <v>14.193899999999999</v>
      </c>
      <c r="H4" s="30">
        <v>42.55</v>
      </c>
    </row>
    <row r="5" spans="2:8" x14ac:dyDescent="0.3">
      <c r="D5" s="30" t="s">
        <v>21</v>
      </c>
      <c r="E5" s="30" t="s">
        <v>27</v>
      </c>
      <c r="F5" s="30" t="s">
        <v>312</v>
      </c>
      <c r="G5" s="30">
        <v>14.2881</v>
      </c>
      <c r="H5" s="30">
        <v>42.459000000000003</v>
      </c>
    </row>
    <row r="6" spans="2:8" x14ac:dyDescent="0.3">
      <c r="D6" s="30" t="s">
        <v>21</v>
      </c>
      <c r="E6" s="30" t="s">
        <v>27</v>
      </c>
      <c r="F6" s="30" t="s">
        <v>313</v>
      </c>
      <c r="G6" s="30">
        <v>14.193899999999999</v>
      </c>
      <c r="H6" s="30">
        <v>42.459000000000003</v>
      </c>
    </row>
    <row r="7" spans="2:8" x14ac:dyDescent="0.3">
      <c r="D7" s="30" t="s">
        <v>21</v>
      </c>
      <c r="E7" s="30" t="s">
        <v>29</v>
      </c>
      <c r="F7" s="30" t="s">
        <v>312</v>
      </c>
      <c r="G7" s="30">
        <v>14.2881</v>
      </c>
      <c r="H7" s="30">
        <v>42.475999999999999</v>
      </c>
    </row>
    <row r="8" spans="2:8" x14ac:dyDescent="0.3">
      <c r="D8" s="30" t="s">
        <v>21</v>
      </c>
      <c r="E8" s="30" t="s">
        <v>29</v>
      </c>
      <c r="F8" s="30" t="s">
        <v>313</v>
      </c>
      <c r="G8" s="30">
        <v>14.193899999999999</v>
      </c>
      <c r="H8" s="30">
        <v>42.475999999999999</v>
      </c>
    </row>
    <row r="9" spans="2:8" x14ac:dyDescent="0.3">
      <c r="D9" s="30" t="s">
        <v>21</v>
      </c>
      <c r="E9" s="30" t="s">
        <v>31</v>
      </c>
      <c r="F9" s="30" t="s">
        <v>312</v>
      </c>
      <c r="G9" s="30">
        <v>13.7218</v>
      </c>
      <c r="H9" s="30">
        <v>42.279000000000003</v>
      </c>
    </row>
    <row r="10" spans="2:8" x14ac:dyDescent="0.3">
      <c r="D10" s="30" t="s">
        <v>21</v>
      </c>
      <c r="E10" s="30" t="s">
        <v>31</v>
      </c>
      <c r="F10" s="30" t="s">
        <v>313</v>
      </c>
      <c r="G10" s="30">
        <v>13.627599999999999</v>
      </c>
      <c r="H10" s="30">
        <v>42.279000000000003</v>
      </c>
    </row>
    <row r="11" spans="2:8" x14ac:dyDescent="0.3">
      <c r="D11" s="30" t="s">
        <v>21</v>
      </c>
      <c r="E11" s="30" t="s">
        <v>33</v>
      </c>
      <c r="F11" s="30" t="s">
        <v>312</v>
      </c>
      <c r="G11" s="30">
        <v>13.7218</v>
      </c>
      <c r="H11" s="30">
        <v>42.597999999999999</v>
      </c>
    </row>
    <row r="12" spans="2:8" x14ac:dyDescent="0.3">
      <c r="D12" s="30" t="s">
        <v>21</v>
      </c>
      <c r="E12" s="30" t="s">
        <v>33</v>
      </c>
      <c r="F12" s="30" t="s">
        <v>313</v>
      </c>
      <c r="G12" s="30">
        <v>13.627599999999999</v>
      </c>
      <c r="H12" s="30">
        <v>42.597999999999999</v>
      </c>
    </row>
    <row r="13" spans="2:8" x14ac:dyDescent="0.3">
      <c r="D13" s="30" t="s">
        <v>21</v>
      </c>
      <c r="E13" s="30" t="s">
        <v>35</v>
      </c>
      <c r="F13" s="30" t="s">
        <v>312</v>
      </c>
      <c r="G13" s="30">
        <v>13.6503</v>
      </c>
      <c r="H13" s="30">
        <v>42.859000000000002</v>
      </c>
    </row>
    <row r="14" spans="2:8" x14ac:dyDescent="0.3">
      <c r="D14" s="30" t="s">
        <v>21</v>
      </c>
      <c r="E14" s="30" t="s">
        <v>35</v>
      </c>
      <c r="F14" s="30" t="s">
        <v>313</v>
      </c>
      <c r="G14" s="30">
        <v>13.556100000000001</v>
      </c>
      <c r="H14" s="30">
        <v>42.859000000000002</v>
      </c>
    </row>
    <row r="15" spans="2:8" x14ac:dyDescent="0.3">
      <c r="D15" s="30" t="s">
        <v>21</v>
      </c>
      <c r="E15" s="30" t="s">
        <v>37</v>
      </c>
      <c r="F15" s="30" t="s">
        <v>312</v>
      </c>
      <c r="G15" s="30">
        <v>13.6503</v>
      </c>
      <c r="H15" s="30">
        <v>42.582000000000001</v>
      </c>
    </row>
    <row r="16" spans="2:8" x14ac:dyDescent="0.3">
      <c r="D16" s="30" t="s">
        <v>21</v>
      </c>
      <c r="E16" s="30" t="s">
        <v>37</v>
      </c>
      <c r="F16" s="30" t="s">
        <v>313</v>
      </c>
      <c r="G16" s="30">
        <v>13.556100000000001</v>
      </c>
      <c r="H16" s="30">
        <v>42.582000000000001</v>
      </c>
    </row>
    <row r="17" spans="4:8" x14ac:dyDescent="0.3">
      <c r="D17" s="30" t="s">
        <v>21</v>
      </c>
      <c r="E17" s="30" t="s">
        <v>39</v>
      </c>
      <c r="F17" s="30" t="s">
        <v>312</v>
      </c>
      <c r="G17" s="30">
        <v>14.370799999999999</v>
      </c>
      <c r="H17" s="30">
        <v>42.654000000000003</v>
      </c>
    </row>
    <row r="18" spans="4:8" x14ac:dyDescent="0.3">
      <c r="D18" s="30" t="s">
        <v>21</v>
      </c>
      <c r="E18" s="30" t="s">
        <v>39</v>
      </c>
      <c r="F18" s="30" t="s">
        <v>313</v>
      </c>
      <c r="G18" s="30">
        <v>14.2766</v>
      </c>
      <c r="H18" s="30">
        <v>42.654000000000003</v>
      </c>
    </row>
    <row r="19" spans="4:8" x14ac:dyDescent="0.3">
      <c r="D19" s="30" t="s">
        <v>21</v>
      </c>
      <c r="E19" s="30" t="s">
        <v>41</v>
      </c>
      <c r="F19" s="30" t="s">
        <v>312</v>
      </c>
      <c r="G19" s="30">
        <v>14.370799999999999</v>
      </c>
      <c r="H19" s="30">
        <v>42.375</v>
      </c>
    </row>
    <row r="20" spans="4:8" x14ac:dyDescent="0.3">
      <c r="D20" s="30" t="s">
        <v>21</v>
      </c>
      <c r="E20" s="30" t="s">
        <v>41</v>
      </c>
      <c r="F20" s="30" t="s">
        <v>313</v>
      </c>
      <c r="G20" s="30">
        <v>14.2766</v>
      </c>
      <c r="H20" s="30">
        <v>42.375</v>
      </c>
    </row>
    <row r="21" spans="4:8" x14ac:dyDescent="0.3">
      <c r="D21" s="30" t="s">
        <v>21</v>
      </c>
      <c r="E21" s="30" t="s">
        <v>43</v>
      </c>
      <c r="F21" s="30" t="s">
        <v>312</v>
      </c>
      <c r="G21" s="30">
        <v>14.4435</v>
      </c>
      <c r="H21" s="30">
        <v>42.582999999999998</v>
      </c>
    </row>
    <row r="22" spans="4:8" x14ac:dyDescent="0.3">
      <c r="D22" s="30" t="s">
        <v>21</v>
      </c>
      <c r="E22" s="30" t="s">
        <v>43</v>
      </c>
      <c r="F22" s="30" t="s">
        <v>313</v>
      </c>
      <c r="G22" s="30">
        <v>14.349299999999999</v>
      </c>
      <c r="H22" s="30">
        <v>42.582999999999998</v>
      </c>
    </row>
    <row r="23" spans="4:8" x14ac:dyDescent="0.3">
      <c r="D23" s="30" t="s">
        <v>21</v>
      </c>
      <c r="E23" s="30" t="s">
        <v>45</v>
      </c>
      <c r="F23" s="30" t="s">
        <v>312</v>
      </c>
      <c r="G23" s="30">
        <v>14.4435</v>
      </c>
      <c r="H23" s="30">
        <v>42.354999999999997</v>
      </c>
    </row>
    <row r="24" spans="4:8" x14ac:dyDescent="0.3">
      <c r="D24" s="30" t="s">
        <v>21</v>
      </c>
      <c r="E24" s="30" t="s">
        <v>45</v>
      </c>
      <c r="F24" s="30" t="s">
        <v>313</v>
      </c>
      <c r="G24" s="30">
        <v>14.349299999999999</v>
      </c>
      <c r="H24" s="30">
        <v>42.354999999999997</v>
      </c>
    </row>
    <row r="25" spans="4:8" x14ac:dyDescent="0.3">
      <c r="D25" s="30" t="s">
        <v>21</v>
      </c>
      <c r="E25" s="30" t="s">
        <v>47</v>
      </c>
      <c r="F25" s="30" t="s">
        <v>312</v>
      </c>
      <c r="G25" s="30">
        <v>15.0097</v>
      </c>
      <c r="H25" s="30">
        <v>42.429000000000002</v>
      </c>
    </row>
    <row r="26" spans="4:8" x14ac:dyDescent="0.3">
      <c r="D26" s="30" t="s">
        <v>21</v>
      </c>
      <c r="E26" s="30" t="s">
        <v>47</v>
      </c>
      <c r="F26" s="30" t="s">
        <v>313</v>
      </c>
      <c r="G26" s="30">
        <v>14.9155</v>
      </c>
      <c r="H26" s="30">
        <v>42.429000000000002</v>
      </c>
    </row>
    <row r="27" spans="4:8" x14ac:dyDescent="0.3">
      <c r="D27" s="30" t="s">
        <v>23</v>
      </c>
      <c r="E27" s="30" t="s">
        <v>25</v>
      </c>
      <c r="F27" s="30" t="s">
        <v>312</v>
      </c>
      <c r="G27" s="30">
        <v>15.0097</v>
      </c>
      <c r="H27" s="30">
        <v>42.421999999999997</v>
      </c>
    </row>
    <row r="28" spans="4:8" x14ac:dyDescent="0.3">
      <c r="D28" s="30" t="s">
        <v>23</v>
      </c>
      <c r="E28" s="30" t="s">
        <v>25</v>
      </c>
      <c r="F28" s="30" t="s">
        <v>313</v>
      </c>
      <c r="G28" s="30">
        <v>14.9155</v>
      </c>
      <c r="H28" s="30">
        <v>42.421999999999997</v>
      </c>
    </row>
    <row r="29" spans="4:8" x14ac:dyDescent="0.3">
      <c r="D29" s="30" t="s">
        <v>23</v>
      </c>
      <c r="E29" s="30" t="s">
        <v>27</v>
      </c>
      <c r="F29" s="30" t="s">
        <v>312</v>
      </c>
      <c r="G29" s="30">
        <v>15.0097</v>
      </c>
      <c r="H29" s="30">
        <v>42.76</v>
      </c>
    </row>
    <row r="30" spans="4:8" x14ac:dyDescent="0.3">
      <c r="D30" s="30" t="s">
        <v>23</v>
      </c>
      <c r="E30" s="30" t="s">
        <v>27</v>
      </c>
      <c r="F30" s="30" t="s">
        <v>313</v>
      </c>
      <c r="G30" s="30">
        <v>14.9155</v>
      </c>
      <c r="H30" s="30">
        <v>42.76</v>
      </c>
    </row>
    <row r="31" spans="4:8" x14ac:dyDescent="0.3">
      <c r="D31" s="30" t="s">
        <v>23</v>
      </c>
      <c r="E31" s="30" t="s">
        <v>29</v>
      </c>
      <c r="F31" s="30" t="s">
        <v>312</v>
      </c>
      <c r="G31" s="30">
        <v>15.0097</v>
      </c>
      <c r="H31" s="30">
        <v>42.427999999999997</v>
      </c>
    </row>
    <row r="32" spans="4:8" x14ac:dyDescent="0.3">
      <c r="D32" s="30" t="s">
        <v>23</v>
      </c>
      <c r="E32" s="30" t="s">
        <v>29</v>
      </c>
      <c r="F32" s="30" t="s">
        <v>313</v>
      </c>
      <c r="G32" s="30">
        <v>14.9155</v>
      </c>
      <c r="H32" s="30">
        <v>42.427999999999997</v>
      </c>
    </row>
    <row r="33" spans="4:15" x14ac:dyDescent="0.3">
      <c r="D33" s="30" t="s">
        <v>23</v>
      </c>
      <c r="E33" s="30" t="s">
        <v>31</v>
      </c>
      <c r="F33" s="30" t="s">
        <v>312</v>
      </c>
      <c r="G33" s="30">
        <v>14.4435</v>
      </c>
      <c r="H33" s="30">
        <v>42.698</v>
      </c>
    </row>
    <row r="34" spans="4:15" x14ac:dyDescent="0.3">
      <c r="D34" s="30" t="s">
        <v>23</v>
      </c>
      <c r="E34" s="30" t="s">
        <v>31</v>
      </c>
      <c r="F34" s="30" t="s">
        <v>313</v>
      </c>
      <c r="G34" s="30">
        <v>14.349299999999999</v>
      </c>
      <c r="H34" s="30">
        <v>42.698</v>
      </c>
    </row>
    <row r="35" spans="4:15" x14ac:dyDescent="0.3">
      <c r="D35" s="30" t="s">
        <v>23</v>
      </c>
      <c r="E35" s="30" t="s">
        <v>33</v>
      </c>
      <c r="F35" s="30" t="s">
        <v>312</v>
      </c>
      <c r="G35" s="30">
        <v>14.4435</v>
      </c>
      <c r="H35" s="30">
        <v>42.948</v>
      </c>
    </row>
    <row r="36" spans="4:15" x14ac:dyDescent="0.3">
      <c r="D36" s="30" t="s">
        <v>23</v>
      </c>
      <c r="E36" s="30" t="s">
        <v>33</v>
      </c>
      <c r="F36" s="30" t="s">
        <v>313</v>
      </c>
      <c r="G36" s="30">
        <v>14.349299999999999</v>
      </c>
      <c r="H36" s="30">
        <v>42.948</v>
      </c>
    </row>
    <row r="37" spans="4:15" x14ac:dyDescent="0.3">
      <c r="D37" s="30" t="s">
        <v>23</v>
      </c>
      <c r="E37" s="30" t="s">
        <v>35</v>
      </c>
      <c r="F37" s="30" t="s">
        <v>312</v>
      </c>
      <c r="G37" s="30">
        <v>14.370799999999999</v>
      </c>
      <c r="H37" s="30">
        <v>42.43</v>
      </c>
    </row>
    <row r="38" spans="4:15" x14ac:dyDescent="0.3">
      <c r="D38" s="30" t="s">
        <v>23</v>
      </c>
      <c r="E38" s="30" t="s">
        <v>35</v>
      </c>
      <c r="F38" s="30" t="s">
        <v>313</v>
      </c>
      <c r="G38" s="30">
        <v>14.2766</v>
      </c>
      <c r="H38" s="30">
        <v>42.43</v>
      </c>
    </row>
    <row r="39" spans="4:15" x14ac:dyDescent="0.3">
      <c r="D39" s="30" t="s">
        <v>23</v>
      </c>
      <c r="E39" s="30" t="s">
        <v>37</v>
      </c>
      <c r="F39" s="30" t="s">
        <v>312</v>
      </c>
      <c r="G39" s="30">
        <v>12.144</v>
      </c>
      <c r="H39" s="30">
        <v>42.317</v>
      </c>
      <c r="I39" s="30" t="s">
        <v>496</v>
      </c>
    </row>
    <row r="40" spans="4:15" x14ac:dyDescent="0.3">
      <c r="D40" s="30" t="s">
        <v>23</v>
      </c>
      <c r="E40" s="30" t="s">
        <v>37</v>
      </c>
      <c r="F40" s="30" t="s">
        <v>313</v>
      </c>
      <c r="G40" s="30">
        <v>12.0167</v>
      </c>
      <c r="H40" s="30">
        <v>42.317</v>
      </c>
      <c r="I40" s="30" t="s">
        <v>497</v>
      </c>
    </row>
    <row r="41" spans="4:15" x14ac:dyDescent="0.3">
      <c r="D41" s="30" t="s">
        <v>23</v>
      </c>
      <c r="E41" s="30" t="s">
        <v>39</v>
      </c>
      <c r="F41" s="30" t="s">
        <v>312</v>
      </c>
      <c r="G41" s="30">
        <v>12.452500000000001</v>
      </c>
      <c r="H41" s="30">
        <v>42.497999999999998</v>
      </c>
      <c r="I41" s="30" t="s">
        <v>496</v>
      </c>
      <c r="L41" s="30" t="s">
        <v>510</v>
      </c>
    </row>
    <row r="42" spans="4:15" x14ac:dyDescent="0.3">
      <c r="D42" s="30" t="s">
        <v>23</v>
      </c>
      <c r="E42" s="30" t="s">
        <v>39</v>
      </c>
      <c r="F42" s="30" t="s">
        <v>313</v>
      </c>
      <c r="G42" s="30">
        <v>12.325200000000001</v>
      </c>
      <c r="H42" s="30">
        <v>42.497999999999998</v>
      </c>
      <c r="I42" s="30" t="s">
        <v>497</v>
      </c>
      <c r="L42" s="30" t="s">
        <v>511</v>
      </c>
    </row>
    <row r="43" spans="4:15" x14ac:dyDescent="0.3">
      <c r="D43" s="30" t="s">
        <v>23</v>
      </c>
      <c r="E43" s="30" t="s">
        <v>41</v>
      </c>
      <c r="F43" s="30" t="s">
        <v>312</v>
      </c>
      <c r="G43" s="30">
        <v>11.3223</v>
      </c>
      <c r="I43" s="30" t="s">
        <v>496</v>
      </c>
      <c r="L43" s="30" t="s">
        <v>510</v>
      </c>
      <c r="O43" s="30" t="s">
        <v>519</v>
      </c>
    </row>
    <row r="44" spans="4:15" x14ac:dyDescent="0.3">
      <c r="D44" s="30" t="s">
        <v>23</v>
      </c>
      <c r="E44" s="30" t="s">
        <v>41</v>
      </c>
      <c r="F44" s="30" t="s">
        <v>313</v>
      </c>
      <c r="G44" s="30">
        <v>11.186299999999999</v>
      </c>
      <c r="I44" s="30" t="s">
        <v>497</v>
      </c>
      <c r="L44" s="30" t="s">
        <v>511</v>
      </c>
      <c r="O44" s="30" t="s">
        <v>520</v>
      </c>
    </row>
    <row r="45" spans="4:15" x14ac:dyDescent="0.3">
      <c r="D45" s="30" t="s">
        <v>23</v>
      </c>
      <c r="E45" s="30" t="s">
        <v>43</v>
      </c>
      <c r="F45" s="30" t="s">
        <v>312</v>
      </c>
      <c r="G45" s="30">
        <v>11.3855</v>
      </c>
      <c r="I45" s="30" t="s">
        <v>498</v>
      </c>
      <c r="L45" s="30" t="s">
        <v>512</v>
      </c>
      <c r="O45" s="30" t="s">
        <v>521</v>
      </c>
    </row>
    <row r="46" spans="4:15" x14ac:dyDescent="0.3">
      <c r="D46" s="30" t="s">
        <v>23</v>
      </c>
      <c r="E46" s="30" t="s">
        <v>43</v>
      </c>
      <c r="F46" s="30" t="s">
        <v>313</v>
      </c>
      <c r="G46" s="30">
        <v>11.249499999999999</v>
      </c>
      <c r="I46" s="30" t="s">
        <v>499</v>
      </c>
      <c r="L46" s="30" t="s">
        <v>513</v>
      </c>
      <c r="O46" s="30" t="s">
        <v>522</v>
      </c>
    </row>
    <row r="47" spans="4:15" x14ac:dyDescent="0.3">
      <c r="D47" s="30" t="s">
        <v>23</v>
      </c>
      <c r="E47" s="30" t="s">
        <v>45</v>
      </c>
      <c r="F47" s="30" t="s">
        <v>312</v>
      </c>
      <c r="G47" s="30">
        <v>11.3855</v>
      </c>
      <c r="I47" s="30" t="s">
        <v>498</v>
      </c>
      <c r="L47" s="30" t="s">
        <v>512</v>
      </c>
      <c r="O47" s="30" t="s">
        <v>521</v>
      </c>
    </row>
    <row r="48" spans="4:15" x14ac:dyDescent="0.3">
      <c r="D48" s="30" t="s">
        <v>23</v>
      </c>
      <c r="E48" s="30" t="s">
        <v>45</v>
      </c>
      <c r="F48" s="30" t="s">
        <v>313</v>
      </c>
      <c r="G48" s="30">
        <v>11.249499999999999</v>
      </c>
      <c r="I48" s="30" t="s">
        <v>499</v>
      </c>
      <c r="L48" s="30" t="s">
        <v>513</v>
      </c>
      <c r="O48" s="30" t="s">
        <v>522</v>
      </c>
    </row>
    <row r="49" spans="4:15" x14ac:dyDescent="0.3">
      <c r="D49" s="30" t="s">
        <v>23</v>
      </c>
      <c r="E49" s="30" t="s">
        <v>47</v>
      </c>
      <c r="F49" s="30" t="s">
        <v>312</v>
      </c>
      <c r="G49" s="30">
        <v>12.123699999999999</v>
      </c>
      <c r="I49" s="30" t="s">
        <v>500</v>
      </c>
      <c r="L49" s="30" t="s">
        <v>514</v>
      </c>
      <c r="O49" s="30" t="s">
        <v>523</v>
      </c>
    </row>
    <row r="50" spans="4:15" x14ac:dyDescent="0.3">
      <c r="D50" s="30" t="s">
        <v>23</v>
      </c>
      <c r="E50" s="30" t="s">
        <v>47</v>
      </c>
      <c r="F50" s="30" t="s">
        <v>313</v>
      </c>
      <c r="G50" s="30">
        <v>11.9877</v>
      </c>
      <c r="I50" s="30" t="s">
        <v>501</v>
      </c>
      <c r="L50" s="30" t="s">
        <v>515</v>
      </c>
      <c r="O50" s="30" t="s">
        <v>524</v>
      </c>
    </row>
  </sheetData>
  <autoFilter ref="D2:H85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8"/>
  <sheetViews>
    <sheetView topLeftCell="F1" workbookViewId="0">
      <selection activeCell="Q10" sqref="Q10"/>
    </sheetView>
  </sheetViews>
  <sheetFormatPr defaultRowHeight="16.5" x14ac:dyDescent="0.3"/>
  <cols>
    <col min="2" max="2" width="12.5" bestFit="1" customWidth="1"/>
    <col min="3" max="3" width="11.625" customWidth="1"/>
    <col min="4" max="5" width="10" bestFit="1" customWidth="1"/>
    <col min="6" max="6" width="9.625" customWidth="1"/>
    <col min="19" max="19" width="9" style="47"/>
  </cols>
  <sheetData>
    <row r="1" spans="2:30" ht="17.25" thickBot="1" x14ac:dyDescent="0.35">
      <c r="Y1" s="30"/>
      <c r="Z1" s="30"/>
      <c r="AA1" s="30"/>
      <c r="AB1" s="30"/>
      <c r="AC1" s="30"/>
    </row>
    <row r="2" spans="2:30" x14ac:dyDescent="0.3">
      <c r="B2" s="245" t="s">
        <v>357</v>
      </c>
      <c r="C2" s="103"/>
      <c r="D2" s="103"/>
      <c r="E2" s="103"/>
      <c r="F2" s="103"/>
      <c r="G2" s="104"/>
      <c r="J2" t="s">
        <v>402</v>
      </c>
      <c r="K2" t="s">
        <v>49</v>
      </c>
      <c r="L2" t="s">
        <v>16</v>
      </c>
      <c r="M2" t="s">
        <v>120</v>
      </c>
      <c r="N2" t="s">
        <v>81</v>
      </c>
      <c r="O2" t="s">
        <v>121</v>
      </c>
      <c r="P2" t="s">
        <v>78</v>
      </c>
      <c r="Q2" t="s">
        <v>395</v>
      </c>
      <c r="R2" t="s">
        <v>396</v>
      </c>
      <c r="S2" s="47" t="s">
        <v>89</v>
      </c>
      <c r="U2" s="30" t="s">
        <v>402</v>
      </c>
      <c r="V2" s="30" t="s">
        <v>49</v>
      </c>
      <c r="W2" s="30" t="s">
        <v>16</v>
      </c>
      <c r="X2" s="30" t="s">
        <v>120</v>
      </c>
      <c r="Y2" s="30" t="s">
        <v>81</v>
      </c>
      <c r="Z2" s="30" t="s">
        <v>121</v>
      </c>
      <c r="AA2" s="30" t="s">
        <v>78</v>
      </c>
      <c r="AB2" s="30" t="s">
        <v>395</v>
      </c>
      <c r="AC2" s="30" t="s">
        <v>396</v>
      </c>
      <c r="AD2" s="30" t="s">
        <v>89</v>
      </c>
    </row>
    <row r="3" spans="2:30" x14ac:dyDescent="0.3">
      <c r="B3" s="246"/>
      <c r="C3" s="247" t="s">
        <v>358</v>
      </c>
      <c r="D3" s="247"/>
      <c r="E3" s="247"/>
      <c r="F3" s="105"/>
      <c r="G3" s="106"/>
      <c r="J3" t="s">
        <v>403</v>
      </c>
      <c r="K3" t="s">
        <v>404</v>
      </c>
      <c r="L3" s="30" t="s">
        <v>25</v>
      </c>
      <c r="S3" s="47">
        <f>SUM(M3:R3)</f>
        <v>0</v>
      </c>
      <c r="U3" s="30" t="s">
        <v>406</v>
      </c>
      <c r="V3" s="30" t="s">
        <v>404</v>
      </c>
      <c r="W3" s="30" t="s">
        <v>25</v>
      </c>
      <c r="X3" s="30" t="e">
        <f>M3/$S3</f>
        <v>#DIV/0!</v>
      </c>
      <c r="Y3" s="30" t="e">
        <f t="shared" ref="Y3:AC14" si="0">N3/$S3</f>
        <v>#DIV/0!</v>
      </c>
      <c r="Z3" s="30" t="e">
        <f t="shared" si="0"/>
        <v>#DIV/0!</v>
      </c>
      <c r="AA3" s="30" t="e">
        <f t="shared" si="0"/>
        <v>#DIV/0!</v>
      </c>
      <c r="AB3" s="30" t="e">
        <f t="shared" si="0"/>
        <v>#DIV/0!</v>
      </c>
      <c r="AC3" s="30" t="e">
        <f t="shared" si="0"/>
        <v>#DIV/0!</v>
      </c>
      <c r="AD3" s="30" t="e">
        <f>SUM(X3:AC3)</f>
        <v>#DIV/0!</v>
      </c>
    </row>
    <row r="4" spans="2:30" ht="17.25" thickBot="1" x14ac:dyDescent="0.35">
      <c r="B4" s="246"/>
      <c r="C4" s="107"/>
      <c r="D4" s="107"/>
      <c r="E4" s="107"/>
      <c r="F4" s="107"/>
      <c r="G4" s="108"/>
      <c r="J4" s="30" t="s">
        <v>403</v>
      </c>
      <c r="K4" s="30" t="s">
        <v>404</v>
      </c>
      <c r="L4" s="30" t="s">
        <v>27</v>
      </c>
      <c r="S4" s="47">
        <f t="shared" ref="S4:S14" si="1">SUM(M4:R4)</f>
        <v>0</v>
      </c>
      <c r="U4" s="30" t="s">
        <v>406</v>
      </c>
      <c r="V4" s="30" t="s">
        <v>404</v>
      </c>
      <c r="W4" s="30" t="s">
        <v>27</v>
      </c>
      <c r="X4" s="30" t="e">
        <f t="shared" ref="X4:X14" si="2">M4/$S4</f>
        <v>#DIV/0!</v>
      </c>
      <c r="Y4" s="30" t="e">
        <f t="shared" si="0"/>
        <v>#DIV/0!</v>
      </c>
      <c r="Z4" s="30" t="e">
        <f t="shared" si="0"/>
        <v>#DIV/0!</v>
      </c>
      <c r="AA4" s="30" t="e">
        <f t="shared" si="0"/>
        <v>#DIV/0!</v>
      </c>
      <c r="AB4" s="30" t="e">
        <f t="shared" si="0"/>
        <v>#DIV/0!</v>
      </c>
      <c r="AC4" s="30" t="e">
        <f t="shared" si="0"/>
        <v>#DIV/0!</v>
      </c>
      <c r="AD4" s="30" t="e">
        <f t="shared" ref="AD4:AD14" si="3">SUM(X4:AC4)</f>
        <v>#DIV/0!</v>
      </c>
    </row>
    <row r="5" spans="2:30" ht="17.25" thickBot="1" x14ac:dyDescent="0.35">
      <c r="B5" s="246"/>
      <c r="C5" s="109" t="s">
        <v>359</v>
      </c>
      <c r="D5" s="110" t="s">
        <v>360</v>
      </c>
      <c r="E5" s="111">
        <v>3626</v>
      </c>
      <c r="F5" s="107"/>
      <c r="G5" s="108"/>
      <c r="J5" s="30" t="s">
        <v>403</v>
      </c>
      <c r="K5" s="30" t="s">
        <v>404</v>
      </c>
      <c r="L5" s="30" t="s">
        <v>29</v>
      </c>
      <c r="S5" s="47">
        <f t="shared" si="1"/>
        <v>0</v>
      </c>
      <c r="U5" s="30" t="s">
        <v>406</v>
      </c>
      <c r="V5" s="30" t="s">
        <v>404</v>
      </c>
      <c r="W5" s="30" t="s">
        <v>29</v>
      </c>
      <c r="X5" s="30" t="e">
        <f t="shared" si="2"/>
        <v>#DIV/0!</v>
      </c>
      <c r="Y5" s="30" t="e">
        <f t="shared" si="0"/>
        <v>#DIV/0!</v>
      </c>
      <c r="Z5" s="30" t="e">
        <f t="shared" si="0"/>
        <v>#DIV/0!</v>
      </c>
      <c r="AA5" s="30" t="e">
        <f t="shared" si="0"/>
        <v>#DIV/0!</v>
      </c>
      <c r="AB5" s="30" t="e">
        <f t="shared" si="0"/>
        <v>#DIV/0!</v>
      </c>
      <c r="AC5" s="30" t="e">
        <f t="shared" si="0"/>
        <v>#DIV/0!</v>
      </c>
      <c r="AD5" s="30" t="e">
        <f t="shared" si="3"/>
        <v>#DIV/0!</v>
      </c>
    </row>
    <row r="6" spans="2:30" x14ac:dyDescent="0.3">
      <c r="B6" s="112" t="s">
        <v>361</v>
      </c>
      <c r="C6" s="113">
        <v>50</v>
      </c>
      <c r="D6" s="114">
        <v>1040</v>
      </c>
      <c r="E6" s="115">
        <f>C6*D6</f>
        <v>52000</v>
      </c>
      <c r="F6" s="107">
        <v>50</v>
      </c>
      <c r="G6" s="116">
        <f>F6*D6</f>
        <v>52000</v>
      </c>
      <c r="J6" s="30" t="s">
        <v>403</v>
      </c>
      <c r="K6" s="30" t="s">
        <v>404</v>
      </c>
      <c r="L6" s="30" t="s">
        <v>32</v>
      </c>
      <c r="M6" s="221">
        <v>2411</v>
      </c>
      <c r="N6" s="221">
        <v>905</v>
      </c>
      <c r="O6" s="221">
        <v>516</v>
      </c>
      <c r="P6" s="221">
        <v>1499</v>
      </c>
      <c r="Q6" s="221">
        <v>3029</v>
      </c>
      <c r="R6" s="221">
        <v>2763</v>
      </c>
      <c r="S6" s="47">
        <f t="shared" si="1"/>
        <v>11123</v>
      </c>
      <c r="U6" s="30" t="s">
        <v>406</v>
      </c>
      <c r="V6" s="30" t="s">
        <v>404</v>
      </c>
      <c r="W6" s="30" t="s">
        <v>32</v>
      </c>
      <c r="X6" s="30">
        <f t="shared" si="2"/>
        <v>0.21675806886631305</v>
      </c>
      <c r="Y6" s="30">
        <f t="shared" si="0"/>
        <v>8.1362941652431894E-2</v>
      </c>
      <c r="Z6" s="30">
        <f t="shared" si="0"/>
        <v>4.6390362312325809E-2</v>
      </c>
      <c r="AA6" s="30">
        <f t="shared" si="0"/>
        <v>0.1347658005933651</v>
      </c>
      <c r="AB6" s="30">
        <f t="shared" si="0"/>
        <v>0.27231861907758698</v>
      </c>
      <c r="AC6" s="30">
        <f t="shared" si="0"/>
        <v>0.24840420749797718</v>
      </c>
      <c r="AD6" s="30">
        <f t="shared" si="3"/>
        <v>1</v>
      </c>
    </row>
    <row r="7" spans="2:30" x14ac:dyDescent="0.3">
      <c r="B7" s="117" t="s">
        <v>362</v>
      </c>
      <c r="C7" s="118">
        <v>50</v>
      </c>
      <c r="D7" s="119">
        <v>1450</v>
      </c>
      <c r="E7" s="115">
        <f>C7*D7</f>
        <v>72500</v>
      </c>
      <c r="F7" s="105">
        <v>50</v>
      </c>
      <c r="G7" s="116">
        <f>F7*D7</f>
        <v>72500</v>
      </c>
      <c r="J7" s="30" t="s">
        <v>403</v>
      </c>
      <c r="K7" s="30" t="s">
        <v>404</v>
      </c>
      <c r="L7" s="30" t="s">
        <v>33</v>
      </c>
      <c r="M7" s="221">
        <v>3383</v>
      </c>
      <c r="N7" s="221">
        <v>3089</v>
      </c>
      <c r="O7" s="221">
        <v>850</v>
      </c>
      <c r="P7" s="221">
        <v>1538</v>
      </c>
      <c r="Q7" s="221">
        <v>3271</v>
      </c>
      <c r="R7" s="221">
        <v>3956</v>
      </c>
      <c r="S7" s="47">
        <f t="shared" si="1"/>
        <v>16087</v>
      </c>
      <c r="U7" s="30" t="s">
        <v>406</v>
      </c>
      <c r="V7" s="30" t="s">
        <v>404</v>
      </c>
      <c r="W7" s="30" t="s">
        <v>33</v>
      </c>
      <c r="X7" s="30">
        <f t="shared" si="2"/>
        <v>0.21029402623236154</v>
      </c>
      <c r="Y7" s="30">
        <f t="shared" si="0"/>
        <v>0.1920183999502704</v>
      </c>
      <c r="Z7" s="30">
        <f t="shared" si="0"/>
        <v>5.2837695033256665E-2</v>
      </c>
      <c r="AA7" s="30">
        <f t="shared" si="0"/>
        <v>9.5605147013116176E-2</v>
      </c>
      <c r="AB7" s="30">
        <f t="shared" si="0"/>
        <v>0.20333188288680301</v>
      </c>
      <c r="AC7" s="30">
        <f t="shared" si="0"/>
        <v>0.24591284888419221</v>
      </c>
      <c r="AD7" s="30">
        <f t="shared" si="3"/>
        <v>1</v>
      </c>
    </row>
    <row r="8" spans="2:30" x14ac:dyDescent="0.3">
      <c r="B8" s="117" t="s">
        <v>363</v>
      </c>
      <c r="C8" s="118">
        <v>200</v>
      </c>
      <c r="D8" s="119">
        <v>1860</v>
      </c>
      <c r="E8" s="115">
        <f>C8*D8</f>
        <v>372000</v>
      </c>
      <c r="F8" s="105">
        <v>200</v>
      </c>
      <c r="G8" s="116">
        <f>F8*D8</f>
        <v>372000</v>
      </c>
      <c r="J8" s="30" t="s">
        <v>403</v>
      </c>
      <c r="K8" s="30" t="s">
        <v>404</v>
      </c>
      <c r="L8" s="30" t="s">
        <v>35</v>
      </c>
      <c r="M8" s="221">
        <v>4303</v>
      </c>
      <c r="N8" s="221">
        <v>1791</v>
      </c>
      <c r="O8" s="221">
        <v>239</v>
      </c>
      <c r="P8" s="221">
        <v>1989</v>
      </c>
      <c r="Q8" s="221">
        <v>4225</v>
      </c>
      <c r="R8" s="221">
        <v>4939</v>
      </c>
      <c r="S8" s="47">
        <f t="shared" si="1"/>
        <v>17486</v>
      </c>
      <c r="U8" s="30" t="s">
        <v>406</v>
      </c>
      <c r="V8" s="30" t="s">
        <v>404</v>
      </c>
      <c r="W8" s="30" t="s">
        <v>35</v>
      </c>
      <c r="X8" s="30">
        <f t="shared" si="2"/>
        <v>0.24608258034999428</v>
      </c>
      <c r="Y8" s="30">
        <f t="shared" si="0"/>
        <v>0.10242479698044149</v>
      </c>
      <c r="Z8" s="30">
        <f t="shared" si="0"/>
        <v>1.3668077318998056E-2</v>
      </c>
      <c r="AA8" s="30">
        <f t="shared" si="0"/>
        <v>0.11374814137023904</v>
      </c>
      <c r="AB8" s="30">
        <f t="shared" si="0"/>
        <v>0.2416218689237104</v>
      </c>
      <c r="AC8" s="30">
        <f t="shared" si="0"/>
        <v>0.28245453505661672</v>
      </c>
      <c r="AD8" s="30">
        <f t="shared" si="3"/>
        <v>1</v>
      </c>
    </row>
    <row r="9" spans="2:30" ht="17.25" thickBot="1" x14ac:dyDescent="0.35">
      <c r="B9" s="117" t="s">
        <v>364</v>
      </c>
      <c r="C9" s="120">
        <v>700</v>
      </c>
      <c r="D9" s="119">
        <v>2010</v>
      </c>
      <c r="E9" s="115">
        <f>C9*D9</f>
        <v>1407000</v>
      </c>
      <c r="F9" s="105">
        <v>700</v>
      </c>
      <c r="G9" s="116">
        <f>F9*D9</f>
        <v>1407000</v>
      </c>
      <c r="J9" s="30" t="s">
        <v>403</v>
      </c>
      <c r="K9" s="30" t="s">
        <v>404</v>
      </c>
      <c r="L9" s="30" t="s">
        <v>37</v>
      </c>
      <c r="M9" s="221">
        <f>414319.2-410136</f>
        <v>4183.2000000000116</v>
      </c>
      <c r="N9" s="221">
        <f>49684.8-47659</f>
        <v>2025.8000000000029</v>
      </c>
      <c r="O9" s="221">
        <f>20862.8-20265</f>
        <v>597.79999999999927</v>
      </c>
      <c r="P9" s="221">
        <f>10409.7-8207</f>
        <v>2202.7000000000007</v>
      </c>
      <c r="Q9" s="221">
        <f>301051.8-296973</f>
        <v>4078.7999999999884</v>
      </c>
      <c r="R9" s="221">
        <f>269099.9-264665</f>
        <v>4434.9000000000233</v>
      </c>
      <c r="S9" s="47">
        <f t="shared" si="1"/>
        <v>17523.200000000026</v>
      </c>
      <c r="U9" s="30" t="s">
        <v>406</v>
      </c>
      <c r="V9" s="30" t="s">
        <v>404</v>
      </c>
      <c r="W9" s="30" t="s">
        <v>37</v>
      </c>
      <c r="X9" s="30">
        <f t="shared" si="2"/>
        <v>0.23872352081811571</v>
      </c>
      <c r="Y9" s="30">
        <f t="shared" si="0"/>
        <v>0.11560673849525201</v>
      </c>
      <c r="Z9" s="30">
        <f t="shared" si="0"/>
        <v>3.4114773557341035E-2</v>
      </c>
      <c r="AA9" s="30">
        <f t="shared" si="0"/>
        <v>0.12570192658875076</v>
      </c>
      <c r="AB9" s="30">
        <f t="shared" si="0"/>
        <v>0.23276570489408227</v>
      </c>
      <c r="AC9" s="30">
        <f t="shared" si="0"/>
        <v>0.25308733564645824</v>
      </c>
      <c r="AD9" s="30">
        <f t="shared" si="3"/>
        <v>1</v>
      </c>
    </row>
    <row r="10" spans="2:30" ht="17.25" thickBot="1" x14ac:dyDescent="0.35">
      <c r="B10" s="121" t="s">
        <v>365</v>
      </c>
      <c r="C10" s="122">
        <f>E5-1000</f>
        <v>2626</v>
      </c>
      <c r="D10" s="123">
        <v>2160</v>
      </c>
      <c r="E10" s="115">
        <f>C10*D10</f>
        <v>5672160</v>
      </c>
      <c r="F10" s="124">
        <f>E5-1000</f>
        <v>2626</v>
      </c>
      <c r="G10" s="125">
        <f>D10*F10</f>
        <v>5672160</v>
      </c>
      <c r="J10" s="30" t="s">
        <v>403</v>
      </c>
      <c r="K10" s="30" t="s">
        <v>404</v>
      </c>
      <c r="L10" s="30" t="s">
        <v>39</v>
      </c>
      <c r="M10" s="221">
        <f>417737-414319.2</f>
        <v>3417.7999999999884</v>
      </c>
      <c r="N10" s="221">
        <f>50904.8-49684.8</f>
        <v>1220</v>
      </c>
      <c r="O10" s="221">
        <f>21351.4-20862.8</f>
        <v>488.60000000000218</v>
      </c>
      <c r="P10" s="221">
        <f>11113.7-10409.7</f>
        <v>704</v>
      </c>
      <c r="Q10" s="221">
        <f>306383-301051.8</f>
        <v>5331.2000000000116</v>
      </c>
      <c r="R10" s="221">
        <f>271092.7-269099.9</f>
        <v>1992.7999999999884</v>
      </c>
      <c r="S10" s="47">
        <f t="shared" si="1"/>
        <v>13154.399999999991</v>
      </c>
      <c r="U10" s="30" t="s">
        <v>406</v>
      </c>
      <c r="V10" s="30" t="s">
        <v>404</v>
      </c>
      <c r="W10" s="30" t="s">
        <v>39</v>
      </c>
      <c r="X10" s="30">
        <f t="shared" si="2"/>
        <v>0.25982180867238269</v>
      </c>
      <c r="Y10" s="30">
        <f t="shared" si="0"/>
        <v>9.2744632974518099E-2</v>
      </c>
      <c r="Z10" s="30">
        <f t="shared" si="0"/>
        <v>3.7143465304385039E-2</v>
      </c>
      <c r="AA10" s="30">
        <f t="shared" si="0"/>
        <v>5.3518214437754709E-2</v>
      </c>
      <c r="AB10" s="30">
        <f t="shared" si="0"/>
        <v>0.40527884206045245</v>
      </c>
      <c r="AC10" s="30">
        <f t="shared" si="0"/>
        <v>0.15149303655050703</v>
      </c>
      <c r="AD10" s="30">
        <f t="shared" si="3"/>
        <v>1</v>
      </c>
    </row>
    <row r="11" spans="2:30" ht="17.25" thickBot="1" x14ac:dyDescent="0.35">
      <c r="B11" s="117"/>
      <c r="C11" s="126" t="s">
        <v>366</v>
      </c>
      <c r="D11" s="127"/>
      <c r="E11" s="128">
        <f>SUM(E6:E10)</f>
        <v>7575660</v>
      </c>
      <c r="F11" s="124"/>
      <c r="G11" s="106"/>
      <c r="J11" s="30" t="s">
        <v>403</v>
      </c>
      <c r="K11" s="30" t="s">
        <v>404</v>
      </c>
      <c r="L11" s="30" t="s">
        <v>41</v>
      </c>
      <c r="M11" s="221"/>
      <c r="N11" s="221"/>
      <c r="O11" s="221"/>
      <c r="P11" s="221"/>
      <c r="Q11" s="221"/>
      <c r="R11" s="221"/>
      <c r="S11" s="47">
        <f t="shared" si="1"/>
        <v>0</v>
      </c>
      <c r="U11" s="30" t="s">
        <v>406</v>
      </c>
      <c r="V11" s="30" t="s">
        <v>404</v>
      </c>
      <c r="W11" s="30" t="s">
        <v>41</v>
      </c>
      <c r="X11" s="30" t="e">
        <f t="shared" si="2"/>
        <v>#DIV/0!</v>
      </c>
      <c r="Y11" s="30" t="e">
        <f t="shared" si="0"/>
        <v>#DIV/0!</v>
      </c>
      <c r="Z11" s="30" t="e">
        <f t="shared" si="0"/>
        <v>#DIV/0!</v>
      </c>
      <c r="AA11" s="30" t="e">
        <f t="shared" si="0"/>
        <v>#DIV/0!</v>
      </c>
      <c r="AB11" s="30" t="e">
        <f t="shared" si="0"/>
        <v>#DIV/0!</v>
      </c>
      <c r="AC11" s="30" t="e">
        <f t="shared" si="0"/>
        <v>#DIV/0!</v>
      </c>
      <c r="AD11" s="30" t="e">
        <f t="shared" si="3"/>
        <v>#DIV/0!</v>
      </c>
    </row>
    <row r="12" spans="2:30" x14ac:dyDescent="0.3">
      <c r="B12" s="117"/>
      <c r="C12" s="129"/>
      <c r="D12" s="129"/>
      <c r="E12" s="129"/>
      <c r="F12" s="105"/>
      <c r="G12" s="106"/>
      <c r="J12" s="30" t="s">
        <v>403</v>
      </c>
      <c r="K12" s="30" t="s">
        <v>404</v>
      </c>
      <c r="L12" s="30" t="s">
        <v>43</v>
      </c>
      <c r="M12" s="221"/>
      <c r="N12" s="221"/>
      <c r="O12" s="221"/>
      <c r="P12" s="221"/>
      <c r="Q12" s="221"/>
      <c r="R12" s="221"/>
      <c r="S12" s="47">
        <f t="shared" si="1"/>
        <v>0</v>
      </c>
      <c r="U12" s="30" t="s">
        <v>406</v>
      </c>
      <c r="V12" s="30" t="s">
        <v>404</v>
      </c>
      <c r="W12" s="30" t="s">
        <v>43</v>
      </c>
      <c r="X12" s="30" t="e">
        <f t="shared" si="2"/>
        <v>#DIV/0!</v>
      </c>
      <c r="Y12" s="30" t="e">
        <f t="shared" si="0"/>
        <v>#DIV/0!</v>
      </c>
      <c r="Z12" s="30" t="e">
        <f t="shared" si="0"/>
        <v>#DIV/0!</v>
      </c>
      <c r="AA12" s="30" t="e">
        <f t="shared" si="0"/>
        <v>#DIV/0!</v>
      </c>
      <c r="AB12" s="30" t="e">
        <f t="shared" si="0"/>
        <v>#DIV/0!</v>
      </c>
      <c r="AC12" s="30" t="e">
        <f t="shared" si="0"/>
        <v>#DIV/0!</v>
      </c>
      <c r="AD12" s="30" t="e">
        <f t="shared" si="3"/>
        <v>#DIV/0!</v>
      </c>
    </row>
    <row r="13" spans="2:30" x14ac:dyDescent="0.3">
      <c r="B13" s="117"/>
      <c r="C13" s="129"/>
      <c r="D13" s="129"/>
      <c r="E13" s="129"/>
      <c r="F13" s="124"/>
      <c r="G13" s="106"/>
      <c r="J13" s="30" t="s">
        <v>403</v>
      </c>
      <c r="K13" s="30" t="s">
        <v>404</v>
      </c>
      <c r="L13" s="30" t="s">
        <v>45</v>
      </c>
      <c r="M13" s="221"/>
      <c r="N13" s="221"/>
      <c r="O13" s="221"/>
      <c r="P13" s="221"/>
      <c r="Q13" s="221"/>
      <c r="R13" s="221"/>
      <c r="S13" s="47">
        <f t="shared" si="1"/>
        <v>0</v>
      </c>
      <c r="U13" s="30" t="s">
        <v>406</v>
      </c>
      <c r="V13" s="30" t="s">
        <v>404</v>
      </c>
      <c r="W13" s="30" t="s">
        <v>45</v>
      </c>
      <c r="X13" s="30" t="e">
        <f t="shared" si="2"/>
        <v>#DIV/0!</v>
      </c>
      <c r="Y13" s="30" t="e">
        <f t="shared" si="0"/>
        <v>#DIV/0!</v>
      </c>
      <c r="Z13" s="30" t="e">
        <f t="shared" si="0"/>
        <v>#DIV/0!</v>
      </c>
      <c r="AA13" s="30" t="e">
        <f t="shared" si="0"/>
        <v>#DIV/0!</v>
      </c>
      <c r="AB13" s="30" t="e">
        <f t="shared" si="0"/>
        <v>#DIV/0!</v>
      </c>
      <c r="AC13" s="30" t="e">
        <f t="shared" si="0"/>
        <v>#DIV/0!</v>
      </c>
      <c r="AD13" s="30" t="e">
        <f t="shared" si="3"/>
        <v>#DIV/0!</v>
      </c>
    </row>
    <row r="14" spans="2:30" ht="17.25" thickBot="1" x14ac:dyDescent="0.35">
      <c r="B14" s="117"/>
      <c r="C14" s="129"/>
      <c r="D14" s="129"/>
      <c r="E14" s="129"/>
      <c r="F14" s="105"/>
      <c r="G14" s="106"/>
      <c r="J14" s="30" t="s">
        <v>403</v>
      </c>
      <c r="K14" s="30" t="s">
        <v>404</v>
      </c>
      <c r="L14" s="30" t="s">
        <v>47</v>
      </c>
      <c r="M14" s="221"/>
      <c r="N14" s="221"/>
      <c r="O14" s="221"/>
      <c r="P14" s="221"/>
      <c r="Q14" s="221"/>
      <c r="R14" s="221"/>
      <c r="S14" s="47">
        <f t="shared" si="1"/>
        <v>0</v>
      </c>
      <c r="U14" s="30" t="s">
        <v>406</v>
      </c>
      <c r="V14" s="30" t="s">
        <v>404</v>
      </c>
      <c r="W14" s="30" t="s">
        <v>47</v>
      </c>
      <c r="X14" s="30" t="e">
        <f t="shared" si="2"/>
        <v>#DIV/0!</v>
      </c>
      <c r="Y14" s="30" t="e">
        <f t="shared" si="0"/>
        <v>#DIV/0!</v>
      </c>
      <c r="Z14" s="30" t="e">
        <f t="shared" si="0"/>
        <v>#DIV/0!</v>
      </c>
      <c r="AA14" s="30" t="e">
        <f t="shared" si="0"/>
        <v>#DIV/0!</v>
      </c>
      <c r="AB14" s="30" t="e">
        <f t="shared" si="0"/>
        <v>#DIV/0!</v>
      </c>
      <c r="AC14" s="30" t="e">
        <f t="shared" si="0"/>
        <v>#DIV/0!</v>
      </c>
      <c r="AD14" s="30" t="e">
        <f t="shared" si="3"/>
        <v>#DIV/0!</v>
      </c>
    </row>
    <row r="15" spans="2:30" ht="17.25" thickBot="1" x14ac:dyDescent="0.35">
      <c r="B15" s="117"/>
      <c r="C15" s="109" t="s">
        <v>367</v>
      </c>
      <c r="D15" s="110" t="s">
        <v>368</v>
      </c>
      <c r="E15" s="130">
        <f>E5</f>
        <v>3626</v>
      </c>
      <c r="F15" s="105"/>
      <c r="G15" s="106"/>
    </row>
    <row r="16" spans="2:30" x14ac:dyDescent="0.3">
      <c r="B16" s="117"/>
      <c r="C16" s="131"/>
      <c r="D16" s="132"/>
      <c r="E16" s="133"/>
      <c r="F16" s="105"/>
      <c r="G16" s="106"/>
    </row>
    <row r="17" spans="2:18" x14ac:dyDescent="0.3">
      <c r="B17" s="117"/>
      <c r="C17" s="113">
        <v>30</v>
      </c>
      <c r="D17" s="134">
        <v>760</v>
      </c>
      <c r="E17" s="135">
        <f>C17*D17</f>
        <v>22800</v>
      </c>
      <c r="F17" s="105">
        <v>485</v>
      </c>
      <c r="G17" s="136">
        <f>(D17-F17)/F17</f>
        <v>0.5670103092783505</v>
      </c>
    </row>
    <row r="18" spans="2:18" x14ac:dyDescent="0.3">
      <c r="B18" s="117"/>
      <c r="C18" s="118">
        <v>20</v>
      </c>
      <c r="D18" s="137">
        <v>1080</v>
      </c>
      <c r="E18" s="138">
        <f>C18*D18</f>
        <v>21600</v>
      </c>
      <c r="F18" s="105">
        <v>690</v>
      </c>
      <c r="G18" s="136">
        <f t="shared" ref="G18:G21" si="4">(D18-F18)/F18</f>
        <v>0.56521739130434778</v>
      </c>
    </row>
    <row r="19" spans="2:18" x14ac:dyDescent="0.3">
      <c r="B19" s="117"/>
      <c r="C19" s="118">
        <v>50</v>
      </c>
      <c r="D19" s="137">
        <v>1295</v>
      </c>
      <c r="E19" s="138">
        <f>C19*D19</f>
        <v>64750</v>
      </c>
      <c r="F19" s="105">
        <v>830</v>
      </c>
      <c r="G19" s="136">
        <f t="shared" si="4"/>
        <v>0.56024096385542166</v>
      </c>
    </row>
    <row r="20" spans="2:18" ht="17.25" thickBot="1" x14ac:dyDescent="0.35">
      <c r="B20" s="117"/>
      <c r="C20" s="120">
        <v>400</v>
      </c>
      <c r="D20" s="137">
        <v>1745</v>
      </c>
      <c r="E20" s="138">
        <f>C20*D20</f>
        <v>698000</v>
      </c>
      <c r="F20" s="105">
        <v>1115</v>
      </c>
      <c r="G20" s="136">
        <f t="shared" si="4"/>
        <v>0.56502242152466364</v>
      </c>
    </row>
    <row r="21" spans="2:18" ht="17.25" thickBot="1" x14ac:dyDescent="0.35">
      <c r="B21" s="117"/>
      <c r="C21" s="122">
        <f>E15-500</f>
        <v>3126</v>
      </c>
      <c r="D21" s="139">
        <v>2310</v>
      </c>
      <c r="E21" s="140">
        <f>C21*D21</f>
        <v>7221060</v>
      </c>
      <c r="F21" s="105">
        <v>1480</v>
      </c>
      <c r="G21" s="136">
        <f t="shared" si="4"/>
        <v>0.56081081081081086</v>
      </c>
    </row>
    <row r="22" spans="2:18" ht="17.25" thickBot="1" x14ac:dyDescent="0.35">
      <c r="B22" s="117"/>
      <c r="C22" s="126" t="s">
        <v>366</v>
      </c>
      <c r="D22" s="141"/>
      <c r="E22" s="128">
        <f>SUM(E17:E21)</f>
        <v>8028210</v>
      </c>
      <c r="F22" s="105"/>
      <c r="G22" s="106"/>
      <c r="M22" s="230"/>
      <c r="N22" s="230"/>
      <c r="O22" s="230"/>
      <c r="P22" s="230"/>
      <c r="Q22" s="230"/>
      <c r="R22" s="230"/>
    </row>
    <row r="23" spans="2:18" ht="17.25" thickBot="1" x14ac:dyDescent="0.35">
      <c r="B23" s="117"/>
      <c r="C23" s="129"/>
      <c r="D23" s="129"/>
      <c r="E23" s="129"/>
      <c r="F23" s="105"/>
      <c r="G23" s="106"/>
    </row>
    <row r="24" spans="2:18" ht="17.25" thickBot="1" x14ac:dyDescent="0.35">
      <c r="B24" s="117"/>
      <c r="C24" s="137" t="s">
        <v>369</v>
      </c>
      <c r="D24" s="142" t="s">
        <v>370</v>
      </c>
      <c r="E24" s="143">
        <f>E5</f>
        <v>3626</v>
      </c>
      <c r="F24" s="105"/>
      <c r="G24" s="106"/>
    </row>
    <row r="25" spans="2:18" ht="17.25" thickBot="1" x14ac:dyDescent="0.35">
      <c r="B25" s="117"/>
      <c r="C25" s="137"/>
      <c r="D25" s="142"/>
      <c r="E25" s="143"/>
      <c r="F25" s="105"/>
      <c r="G25" s="106"/>
    </row>
    <row r="26" spans="2:18" ht="17.25" thickBot="1" x14ac:dyDescent="0.35">
      <c r="B26" s="117"/>
      <c r="C26" s="137"/>
      <c r="D26" s="142"/>
      <c r="E26" s="143"/>
      <c r="F26" s="105"/>
      <c r="G26" s="106"/>
    </row>
    <row r="27" spans="2:18" ht="17.25" thickBot="1" x14ac:dyDescent="0.35">
      <c r="B27" s="117"/>
      <c r="C27" s="137"/>
      <c r="D27" s="142"/>
      <c r="E27" s="143"/>
      <c r="F27" s="105"/>
      <c r="G27" s="106"/>
    </row>
    <row r="28" spans="2:18" ht="17.25" thickBot="1" x14ac:dyDescent="0.35">
      <c r="B28" s="117"/>
      <c r="C28" s="144" t="s">
        <v>371</v>
      </c>
      <c r="D28" s="145"/>
      <c r="E28" s="146">
        <f>170*E5</f>
        <v>616420</v>
      </c>
      <c r="F28" s="105"/>
      <c r="G28" s="106"/>
    </row>
    <row r="29" spans="2:18" ht="17.25" thickBot="1" x14ac:dyDescent="0.35">
      <c r="B29" s="117"/>
      <c r="C29" s="147"/>
      <c r="D29" s="129"/>
      <c r="E29" s="148"/>
      <c r="F29" s="105"/>
      <c r="G29" s="106"/>
    </row>
    <row r="30" spans="2:18" x14ac:dyDescent="0.3">
      <c r="B30" s="117"/>
      <c r="C30" s="149" t="s">
        <v>372</v>
      </c>
      <c r="D30" s="150"/>
      <c r="E30" s="151" t="s">
        <v>373</v>
      </c>
      <c r="F30" s="105"/>
      <c r="G30" s="106"/>
    </row>
    <row r="31" spans="2:18" x14ac:dyDescent="0.3">
      <c r="B31" s="117"/>
      <c r="C31" s="152" t="s">
        <v>374</v>
      </c>
      <c r="D31" s="137"/>
      <c r="E31" s="138">
        <v>15390</v>
      </c>
      <c r="F31" s="105"/>
      <c r="G31" s="106"/>
    </row>
    <row r="32" spans="2:18" ht="17.25" thickBot="1" x14ac:dyDescent="0.35">
      <c r="B32" s="117"/>
      <c r="C32" s="153" t="s">
        <v>375</v>
      </c>
      <c r="D32" s="141"/>
      <c r="E32" s="154">
        <v>8290</v>
      </c>
      <c r="F32" s="105"/>
      <c r="G32" s="106"/>
    </row>
    <row r="33" spans="2:7" x14ac:dyDescent="0.3">
      <c r="B33" s="117"/>
      <c r="C33" s="129"/>
      <c r="D33" s="129"/>
      <c r="E33" s="129"/>
      <c r="F33" s="105"/>
      <c r="G33" s="106"/>
    </row>
    <row r="34" spans="2:7" ht="17.25" thickBot="1" x14ac:dyDescent="0.35">
      <c r="B34" s="117"/>
      <c r="C34" s="129"/>
      <c r="D34" s="129"/>
      <c r="E34" s="129"/>
      <c r="F34" s="105"/>
      <c r="G34" s="106"/>
    </row>
    <row r="35" spans="2:7" ht="17.25" thickBot="1" x14ac:dyDescent="0.35">
      <c r="B35" s="117"/>
      <c r="C35" s="109" t="s">
        <v>376</v>
      </c>
      <c r="D35" s="110"/>
      <c r="E35" s="130">
        <f>E11+E22+E28+E31+E32-5000</f>
        <v>16238970</v>
      </c>
      <c r="F35" s="105"/>
      <c r="G35" s="106"/>
    </row>
    <row r="36" spans="2:7" ht="17.25" thickBot="1" x14ac:dyDescent="0.35">
      <c r="B36" s="117"/>
      <c r="C36" s="107"/>
      <c r="D36" s="107"/>
      <c r="E36" s="107"/>
      <c r="F36" s="105"/>
      <c r="G36" s="106"/>
    </row>
    <row r="37" spans="2:7" x14ac:dyDescent="0.3">
      <c r="B37" s="245" t="s">
        <v>377</v>
      </c>
      <c r="C37" s="103"/>
      <c r="D37" s="103"/>
      <c r="E37" s="103"/>
      <c r="F37" s="103"/>
      <c r="G37" s="104"/>
    </row>
    <row r="38" spans="2:7" x14ac:dyDescent="0.3">
      <c r="B38" s="246"/>
      <c r="C38" s="247" t="s">
        <v>378</v>
      </c>
      <c r="D38" s="247"/>
      <c r="E38" s="247"/>
      <c r="F38" s="105"/>
      <c r="G38" s="106"/>
    </row>
    <row r="39" spans="2:7" ht="17.25" thickBot="1" x14ac:dyDescent="0.35">
      <c r="B39" s="246"/>
      <c r="C39" s="107"/>
      <c r="D39" s="107"/>
      <c r="E39" s="107"/>
      <c r="F39" s="107"/>
      <c r="G39" s="108"/>
    </row>
    <row r="40" spans="2:7" ht="17.25" thickBot="1" x14ac:dyDescent="0.35">
      <c r="B40" s="246"/>
      <c r="C40" s="109" t="s">
        <v>379</v>
      </c>
      <c r="D40" s="110" t="s">
        <v>380</v>
      </c>
      <c r="E40" s="111">
        <v>29795</v>
      </c>
      <c r="F40" s="107"/>
      <c r="G40" s="108"/>
    </row>
    <row r="41" spans="2:7" ht="17.25" thickBot="1" x14ac:dyDescent="0.35">
      <c r="B41" s="112"/>
      <c r="C41" s="113">
        <v>1000</v>
      </c>
      <c r="D41" s="114">
        <v>340</v>
      </c>
      <c r="E41" s="115">
        <f>C41*D41</f>
        <v>340000</v>
      </c>
      <c r="F41" s="107"/>
      <c r="G41" s="108"/>
    </row>
    <row r="42" spans="2:7" ht="17.25" thickBot="1" x14ac:dyDescent="0.35">
      <c r="B42" s="117"/>
      <c r="C42" s="122">
        <f>E40-1000</f>
        <v>28795</v>
      </c>
      <c r="D42" s="123">
        <v>390</v>
      </c>
      <c r="E42" s="155">
        <f>C42*D42</f>
        <v>11230050</v>
      </c>
      <c r="F42" s="105"/>
      <c r="G42" s="106"/>
    </row>
    <row r="43" spans="2:7" ht="17.25" thickBot="1" x14ac:dyDescent="0.35">
      <c r="B43" s="117"/>
      <c r="C43" s="126" t="s">
        <v>381</v>
      </c>
      <c r="D43" s="127"/>
      <c r="E43" s="128">
        <f>SUM(E41:E42)</f>
        <v>11570050</v>
      </c>
      <c r="F43" s="124"/>
      <c r="G43" s="106"/>
    </row>
    <row r="44" spans="2:7" ht="17.25" thickBot="1" x14ac:dyDescent="0.35">
      <c r="B44" s="117"/>
      <c r="C44" s="129"/>
      <c r="D44" s="129"/>
      <c r="E44" s="129"/>
      <c r="F44" s="124"/>
      <c r="G44" s="106"/>
    </row>
    <row r="45" spans="2:7" x14ac:dyDescent="0.3">
      <c r="B45" s="117"/>
      <c r="C45" s="156" t="s">
        <v>382</v>
      </c>
      <c r="D45" s="157"/>
      <c r="E45" s="158">
        <v>14210</v>
      </c>
      <c r="F45" s="105"/>
      <c r="G45" s="106"/>
    </row>
    <row r="46" spans="2:7" ht="17.25" thickBot="1" x14ac:dyDescent="0.35">
      <c r="B46" s="117"/>
      <c r="C46" s="159" t="s">
        <v>383</v>
      </c>
      <c r="D46" s="160"/>
      <c r="E46" s="161">
        <v>15390</v>
      </c>
      <c r="F46" s="105"/>
      <c r="G46" s="106"/>
    </row>
    <row r="47" spans="2:7" ht="17.25" thickBot="1" x14ac:dyDescent="0.35">
      <c r="B47" s="117"/>
      <c r="C47" s="129"/>
      <c r="D47" s="129"/>
      <c r="E47" s="129"/>
      <c r="F47" s="105"/>
      <c r="G47" s="106"/>
    </row>
    <row r="48" spans="2:7" ht="17.25" thickBot="1" x14ac:dyDescent="0.35">
      <c r="B48" s="117"/>
      <c r="C48" s="137" t="s">
        <v>384</v>
      </c>
      <c r="D48" s="142" t="s">
        <v>385</v>
      </c>
      <c r="E48" s="143">
        <f>E40</f>
        <v>29795</v>
      </c>
      <c r="F48" s="105"/>
      <c r="G48" s="106"/>
    </row>
    <row r="49" spans="2:11" ht="17.25" thickBot="1" x14ac:dyDescent="0.35">
      <c r="B49" s="117"/>
      <c r="C49" s="144" t="s">
        <v>386</v>
      </c>
      <c r="D49" s="145"/>
      <c r="E49" s="146">
        <f>E40*170</f>
        <v>5065150</v>
      </c>
      <c r="F49" s="124"/>
      <c r="G49" s="106"/>
    </row>
    <row r="50" spans="2:11" ht="17.25" thickBot="1" x14ac:dyDescent="0.35">
      <c r="B50" s="117"/>
      <c r="C50" s="129"/>
      <c r="D50" s="129"/>
      <c r="E50" s="129"/>
      <c r="F50" s="105"/>
      <c r="G50" s="125"/>
    </row>
    <row r="51" spans="2:11" ht="17.25" thickBot="1" x14ac:dyDescent="0.35">
      <c r="B51" s="117"/>
      <c r="C51" s="109" t="s">
        <v>376</v>
      </c>
      <c r="D51" s="110"/>
      <c r="E51" s="130">
        <f>E43+E45+E46+E49-5000</f>
        <v>16659800</v>
      </c>
      <c r="F51" s="105"/>
      <c r="G51" s="106"/>
    </row>
    <row r="52" spans="2:11" x14ac:dyDescent="0.3">
      <c r="B52" s="117"/>
      <c r="C52" s="107"/>
      <c r="D52" s="107"/>
      <c r="E52" s="107"/>
      <c r="F52" s="105"/>
      <c r="G52" s="106"/>
    </row>
    <row r="53" spans="2:11" x14ac:dyDescent="0.3">
      <c r="B53" s="117"/>
      <c r="C53" s="162" t="s">
        <v>387</v>
      </c>
      <c r="D53" s="129"/>
      <c r="E53" s="129"/>
      <c r="F53" s="129"/>
      <c r="G53" s="106"/>
    </row>
    <row r="54" spans="2:11" x14ac:dyDescent="0.3">
      <c r="B54" s="117"/>
      <c r="C54" s="105"/>
      <c r="D54" s="105"/>
      <c r="E54" s="105"/>
      <c r="F54" s="105"/>
      <c r="G54" s="106"/>
    </row>
    <row r="55" spans="2:11" ht="17.25" thickBot="1" x14ac:dyDescent="0.35">
      <c r="B55" s="163"/>
      <c r="C55" s="164"/>
      <c r="D55" s="164"/>
      <c r="E55" s="164"/>
      <c r="F55" s="164"/>
      <c r="G55" s="165"/>
    </row>
    <row r="56" spans="2:11" x14ac:dyDescent="0.3">
      <c r="B56" s="166"/>
      <c r="C56" s="166"/>
      <c r="D56" s="166"/>
      <c r="E56" s="166"/>
      <c r="F56" s="166"/>
      <c r="G56" s="166"/>
    </row>
    <row r="57" spans="2:11" ht="17.25" thickBot="1" x14ac:dyDescent="0.35">
      <c r="B57" s="166"/>
      <c r="C57" s="166"/>
      <c r="D57" s="166"/>
      <c r="E57" s="166"/>
      <c r="F57" s="166"/>
      <c r="G57" s="166"/>
    </row>
    <row r="58" spans="2:11" x14ac:dyDescent="0.3">
      <c r="B58" s="245" t="s">
        <v>388</v>
      </c>
      <c r="C58" s="103"/>
      <c r="D58" s="103"/>
      <c r="E58" s="103"/>
      <c r="F58" s="103"/>
      <c r="G58" s="104"/>
    </row>
    <row r="59" spans="2:11" x14ac:dyDescent="0.3">
      <c r="B59" s="246"/>
      <c r="C59" s="247" t="s">
        <v>378</v>
      </c>
      <c r="D59" s="247"/>
      <c r="E59" s="247"/>
      <c r="F59" s="105"/>
      <c r="G59" s="106"/>
    </row>
    <row r="60" spans="2:11" ht="17.25" thickBot="1" x14ac:dyDescent="0.35">
      <c r="B60" s="246"/>
      <c r="C60" s="107"/>
      <c r="D60" s="107"/>
      <c r="E60" s="107"/>
      <c r="F60" s="107"/>
      <c r="G60" s="108"/>
    </row>
    <row r="61" spans="2:11" ht="17.25" thickBot="1" x14ac:dyDescent="0.35">
      <c r="B61" s="246"/>
      <c r="C61" s="167" t="s">
        <v>389</v>
      </c>
      <c r="D61" s="168" t="s">
        <v>380</v>
      </c>
      <c r="E61" s="143"/>
      <c r="F61" s="107"/>
      <c r="G61" s="108"/>
    </row>
    <row r="62" spans="2:11" ht="17.25" thickBot="1" x14ac:dyDescent="0.35">
      <c r="B62" s="137" t="s">
        <v>385</v>
      </c>
      <c r="C62" s="169">
        <v>23500</v>
      </c>
      <c r="D62" s="170">
        <v>700</v>
      </c>
      <c r="E62" s="171">
        <f>C62*D62</f>
        <v>16450000</v>
      </c>
      <c r="F62" s="164"/>
      <c r="G62" s="165"/>
      <c r="K62">
        <f>14189000/700</f>
        <v>20270</v>
      </c>
    </row>
    <row r="63" spans="2:11" x14ac:dyDescent="0.3">
      <c r="B63" s="166"/>
      <c r="C63" s="166"/>
      <c r="D63" s="172"/>
      <c r="E63" s="166"/>
      <c r="F63" s="166"/>
      <c r="G63" s="166"/>
    </row>
    <row r="64" spans="2:11" ht="17.25" thickBot="1" x14ac:dyDescent="0.35">
      <c r="B64" s="166"/>
      <c r="C64" s="166"/>
      <c r="D64" s="166"/>
      <c r="E64" s="166"/>
      <c r="F64" s="166"/>
      <c r="G64" s="166"/>
    </row>
    <row r="65" spans="2:7" x14ac:dyDescent="0.3">
      <c r="B65" s="173" t="s">
        <v>390</v>
      </c>
      <c r="C65" s="174" t="s">
        <v>391</v>
      </c>
      <c r="D65" s="174" t="s">
        <v>392</v>
      </c>
      <c r="E65" s="175" t="s">
        <v>367</v>
      </c>
      <c r="F65" s="176" t="s">
        <v>393</v>
      </c>
      <c r="G65" s="166"/>
    </row>
    <row r="66" spans="2:7" ht="17.25" thickBot="1" x14ac:dyDescent="0.35">
      <c r="B66" s="173" t="s">
        <v>394</v>
      </c>
      <c r="C66" s="177">
        <f>E35</f>
        <v>16238970</v>
      </c>
      <c r="D66" s="177">
        <f>E51</f>
        <v>16659800</v>
      </c>
      <c r="E66" s="178">
        <f>E62</f>
        <v>16450000</v>
      </c>
      <c r="F66" s="179">
        <f>C66+D66+E66</f>
        <v>49348770</v>
      </c>
      <c r="G66" s="166"/>
    </row>
    <row r="67" spans="2:7" x14ac:dyDescent="0.3">
      <c r="B67" s="166"/>
      <c r="C67" s="180">
        <f>C73+D66+E66</f>
        <v>33109800</v>
      </c>
      <c r="D67" s="166"/>
      <c r="E67" s="166"/>
      <c r="F67" s="166"/>
      <c r="G67" s="166"/>
    </row>
    <row r="68" spans="2:7" x14ac:dyDescent="0.3">
      <c r="B68" s="166"/>
      <c r="C68" s="166"/>
      <c r="D68" s="181">
        <f>D66+E66</f>
        <v>33109800</v>
      </c>
      <c r="E68" s="166"/>
      <c r="F68" s="166"/>
      <c r="G68" s="166"/>
    </row>
  </sheetData>
  <mergeCells count="6">
    <mergeCell ref="B2:B5"/>
    <mergeCell ref="C3:E3"/>
    <mergeCell ref="B37:B40"/>
    <mergeCell ref="C38:E38"/>
    <mergeCell ref="B58:B61"/>
    <mergeCell ref="C59:E59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F10" sqref="F10"/>
    </sheetView>
  </sheetViews>
  <sheetFormatPr defaultRowHeight="16.5" x14ac:dyDescent="0.3"/>
  <cols>
    <col min="1" max="2" width="9" style="30"/>
    <col min="4" max="4" width="9" style="30"/>
    <col min="5" max="15" width="16.625" customWidth="1"/>
    <col min="16" max="16" width="16.625" style="30" customWidth="1"/>
    <col min="17" max="17" width="16.625" customWidth="1"/>
  </cols>
  <sheetData>
    <row r="1" spans="2:24" s="30" customFormat="1" x14ac:dyDescent="0.3"/>
    <row r="2" spans="2:24" s="30" customFormat="1" x14ac:dyDescent="0.3">
      <c r="B2" s="52" t="s">
        <v>255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397</v>
      </c>
      <c r="E4" s="252" t="s">
        <v>242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29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246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247</v>
      </c>
      <c r="K7" s="84" t="s">
        <v>248</v>
      </c>
      <c r="L7" s="84" t="s">
        <v>249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250130</v>
      </c>
      <c r="G9" s="70">
        <f t="shared" ref="G9:N9" si="0">G10+G11</f>
        <v>55820</v>
      </c>
      <c r="H9" s="70">
        <f t="shared" si="0"/>
        <v>1799024</v>
      </c>
      <c r="I9" s="70">
        <f t="shared" si="0"/>
        <v>1960641</v>
      </c>
      <c r="J9" s="70">
        <f t="shared" si="0"/>
        <v>1038809</v>
      </c>
      <c r="K9" s="70">
        <f t="shared" si="0"/>
        <v>586762</v>
      </c>
      <c r="L9" s="70">
        <f t="shared" si="0"/>
        <v>15102</v>
      </c>
      <c r="M9" s="66">
        <f t="shared" si="0"/>
        <v>0</v>
      </c>
      <c r="N9" s="70">
        <f t="shared" si="0"/>
        <v>5706288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245902.11336686826</v>
      </c>
      <c r="G10" s="69">
        <f>SUMIFS('라인별전력(본+ESS)'!Z:Z,'라인별전력(본+ESS)'!W:W,B2,'라인별전력(본+ESS)'!X:X,B3)</f>
        <v>54876.488098743001</v>
      </c>
      <c r="H10" s="69">
        <f>SUMIFS('라인별전력(본+ESS)'!AA:AA,'라인별전력(본+ESS)'!W:W,B2,'라인별전력(본+ESS)'!X:X,B3)</f>
        <v>1768615.5343130245</v>
      </c>
      <c r="I10" s="69">
        <f>SUMIFS('라인별전력(본+ESS)'!AB:AB,'라인별전력(본+ESS)'!W:W,B2,'라인별전력(본+ESS)'!X:X,B3)</f>
        <v>1927500.7614189819</v>
      </c>
      <c r="J10" s="69">
        <f>SUMIFS('라인별전력(본+ESS)'!AC:AC,'라인별전력(본+ESS)'!W:W,B2,'라인별전력(본+ESS)'!X:X,B3)</f>
        <v>1021250.2638009158</v>
      </c>
      <c r="K10" s="69">
        <f>SUMIFS('라인별전력(본+ESS)'!AD:AD,'라인별전력(본+ESS)'!W:W,B2,'라인별전력(본+ESS)'!X:X,B3)</f>
        <v>576844.10443917301</v>
      </c>
      <c r="L10" s="69">
        <f>SUMIFS('라인별전력(본+ESS)'!AE:AE,'라인별전력(본+ESS)'!W:W,B2,'라인별전력(본+ESS)'!X:X,B3)</f>
        <v>14846.734562293386</v>
      </c>
      <c r="M10" s="64"/>
      <c r="N10" s="69">
        <f>SUM(F10:M10)</f>
        <v>5609836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4227.8866331317313</v>
      </c>
      <c r="G11" s="69">
        <f>SUMIFS('라인별전력(본+ESS)'!O:O,'라인별전력(본+ESS)'!L:L,B2,'라인별전력(본+ESS)'!M:M,B3)</f>
        <v>943.51190125699929</v>
      </c>
      <c r="H11" s="69">
        <f>SUMIFS('라인별전력(본+ESS)'!P:P,'라인별전력(본+ESS)'!L:L,B2,'라인별전력(본+ESS)'!M:M,B3)</f>
        <v>30408.465686975487</v>
      </c>
      <c r="I11" s="69">
        <f>SUMIFS('라인별전력(본+ESS)'!Q:Q,'라인별전력(본+ESS)'!L:L,B2,'라인별전력(본+ESS)'!M:M,B3)</f>
        <v>33140.238581017991</v>
      </c>
      <c r="J11" s="69">
        <f>SUMIFS('라인별전력(본+ESS)'!R:R,'라인별전력(본+ESS)'!L:L,B2,'라인별전력(본+ESS)'!M:M,B3)</f>
        <v>17558.73619908424</v>
      </c>
      <c r="K11" s="69">
        <f>SUMIFS('라인별전력(본+ESS)'!S:S,'라인별전력(본+ESS)'!L:L,B2,'라인별전력(본+ESS)'!M:M,B3)</f>
        <v>9917.8955608269334</v>
      </c>
      <c r="L11" s="69">
        <f>SUMIFS('라인별전력(본+ESS)'!T:T,'라인별전력(본+ESS)'!L:L,B2,'라인별전력(본+ESS)'!M:M,B3)</f>
        <v>255.26543770661416</v>
      </c>
      <c r="M11" s="64"/>
      <c r="N11" s="69">
        <f>SUM(F11:M11)</f>
        <v>96451.999999999985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26445153.315182831</v>
      </c>
      <c r="G12" s="71">
        <f>SUMIFS('라인별전력금액(본+ESS)'!Z:Z,'라인별전력금액(본+ESS)'!W:W,B2,'라인별전력금액(본+ESS)'!X:X,B3)</f>
        <v>5901604.9976152629</v>
      </c>
      <c r="H12" s="71">
        <f>SUMIFS('라인별전력금액(본+ESS)'!AA:AA,'라인별전력금액(본+ESS)'!W:W,B2,'라인별전력금액(본+ESS)'!X:X,B3)</f>
        <v>190202956.45341814</v>
      </c>
      <c r="I12" s="71">
        <f>SUMIFS('라인별전력금액(본+ESS)'!AB:AB,'라인별전력금액(본+ESS)'!W:W,B2,'라인별전력금액(본+ESS)'!X:X,B3)</f>
        <v>207290016.55552462</v>
      </c>
      <c r="J12" s="71">
        <f>SUMIFS('라인별전력금액(본+ESS)'!AC:AC,'라인별전력금액(본+ESS)'!W:W,B2,'라인별전력금액(본+ESS)'!X:X,B3)</f>
        <v>109828742.13485692</v>
      </c>
      <c r="K12" s="71">
        <f>SUMIFS('라인별전력금액(본+ESS)'!AD:AD,'라인별전력금액(본+ESS)'!W:W,B2,'라인별전력금액(본+ESS)'!X:X,B3)</f>
        <v>62035785.589586653</v>
      </c>
      <c r="L12" s="71">
        <f>SUMIFS('라인별전력금액(본+ESS)'!AE:AE,'라인별전력금액(본+ESS)'!W:W,B2,'라인별전력금액(본+ESS)'!X:X,B3)</f>
        <v>1596668.5538155804</v>
      </c>
      <c r="M12" s="68"/>
      <c r="N12" s="71">
        <f>SUM(F12:M12)</f>
        <v>603300927.60000002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114317.93064773457</v>
      </c>
      <c r="G13" s="71">
        <f>SUMIFS('라인별전력금액(본+ESS)'!O:O,'라인별전력금액(본+ESS)'!L:L,B2,'라인별전력금액(본+ESS)'!M:M,B3)</f>
        <v>25511.641501445425</v>
      </c>
      <c r="H13" s="71">
        <f>SUMIFS('라인별전력금액(본+ESS)'!P:P,'라인별전력금액(본+ESS)'!L:L,B2,'라인별전력금액(본+ESS)'!M:M,B3)</f>
        <v>822215.25153164368</v>
      </c>
      <c r="I13" s="71">
        <f>SUMIFS('라인별전력금액(본+ESS)'!Q:Q,'라인별전력금액(본+ESS)'!L:L,B2,'라인별전력금액(본+ESS)'!M:M,B3)</f>
        <v>896079.72599490243</v>
      </c>
      <c r="J13" s="71">
        <f>SUMIFS('라인별전력금액(본+ESS)'!R:R,'라인별전력금액(본+ESS)'!L:L,B2,'라인별전력금액(본+ESS)'!M:M,B3)</f>
        <v>474771.09990102152</v>
      </c>
      <c r="K13" s="71">
        <f>SUMIFS('라인별전력금액(본+ESS)'!S:S,'라인별전력금액(본+ESS)'!L:L,B2,'라인별전력금액(본+ESS)'!M:M,B3)</f>
        <v>268170.22197547689</v>
      </c>
      <c r="L13" s="71">
        <f>SUMIFS('라인별전력금액(본+ESS)'!T:T,'라인별전력금액(본+ESS)'!L:L,B2,'라인별전력금액(본+ESS)'!M:M,B3)</f>
        <v>6902.1284477755062</v>
      </c>
      <c r="M13" s="68"/>
      <c r="N13" s="71">
        <f>SUM(F13:M13)</f>
        <v>2607968.0000000005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26559471.245830566</v>
      </c>
      <c r="G14" s="70">
        <f t="shared" ref="G14:N14" si="1">SUM(G12:G13)</f>
        <v>5927116.6391167082</v>
      </c>
      <c r="H14" s="70">
        <f t="shared" si="1"/>
        <v>191025171.70494977</v>
      </c>
      <c r="I14" s="70">
        <f t="shared" si="1"/>
        <v>208186096.28151953</v>
      </c>
      <c r="J14" s="70">
        <f t="shared" si="1"/>
        <v>110303513.23475794</v>
      </c>
      <c r="K14" s="70">
        <f t="shared" si="1"/>
        <v>62303955.811562128</v>
      </c>
      <c r="L14" s="70">
        <f t="shared" si="1"/>
        <v>1603570.6822633559</v>
      </c>
      <c r="M14" s="66"/>
      <c r="N14" s="70">
        <f t="shared" si="1"/>
        <v>605908895.60000002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30403062.854366966</v>
      </c>
      <c r="G15" s="72">
        <f t="shared" si="2"/>
        <v>6784867.7428967496</v>
      </c>
      <c r="H15" s="72">
        <f t="shared" si="2"/>
        <v>218669650.77565533</v>
      </c>
      <c r="I15" s="72">
        <f t="shared" si="2"/>
        <v>238314042.92907247</v>
      </c>
      <c r="J15" s="72">
        <f t="shared" si="2"/>
        <v>126266242.83645342</v>
      </c>
      <c r="K15" s="72">
        <f t="shared" si="2"/>
        <v>71320361.27835153</v>
      </c>
      <c r="L15" s="72">
        <f t="shared" si="2"/>
        <v>1835633.6913870785</v>
      </c>
      <c r="M15" s="67"/>
      <c r="N15" s="72">
        <f>SUM(F15:M15)</f>
        <v>693593862.1081835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3">$Q$15*(F14/$N$14)</f>
        <v>3843591.6085363994</v>
      </c>
      <c r="S15" s="95">
        <f t="shared" si="3"/>
        <v>857751.10378004157</v>
      </c>
      <c r="T15" s="95">
        <f t="shared" si="3"/>
        <v>27644479.070705578</v>
      </c>
      <c r="U15" s="95">
        <f t="shared" si="3"/>
        <v>30127946.647552926</v>
      </c>
      <c r="V15" s="95">
        <f t="shared" si="3"/>
        <v>15962729.601695472</v>
      </c>
      <c r="W15" s="95">
        <f t="shared" si="3"/>
        <v>9016405.4667894077</v>
      </c>
      <c r="X15" s="96">
        <f t="shared" si="3"/>
        <v>232063.00912372247</v>
      </c>
    </row>
    <row r="16" spans="2:24" ht="30" customHeight="1" x14ac:dyDescent="0.3">
      <c r="D16" s="251"/>
      <c r="E16" s="102" t="s">
        <v>338</v>
      </c>
      <c r="F16" s="75">
        <f>F15/F8</f>
        <v>1158.3941722780371</v>
      </c>
      <c r="G16" s="75">
        <f>G15/F8</f>
        <v>258.51182463742867</v>
      </c>
      <c r="H16" s="73">
        <f>H15/H8</f>
        <v>9654.1059386358374</v>
      </c>
      <c r="I16" s="73">
        <f t="shared" ref="I16:N16" si="4">I15/I8</f>
        <v>9633.4664986564258</v>
      </c>
      <c r="J16" s="73">
        <f t="shared" si="4"/>
        <v>9206.8972362775403</v>
      </c>
      <c r="K16" s="73">
        <f t="shared" si="4"/>
        <v>13857.197230585843</v>
      </c>
      <c r="L16" s="73">
        <f t="shared" si="4"/>
        <v>872.67303334222913</v>
      </c>
      <c r="M16" s="73"/>
      <c r="N16" s="73">
        <f t="shared" si="4"/>
        <v>7331.9348844866327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73">
        <f>F9/F8</f>
        <v>9.5302613325448924</v>
      </c>
      <c r="G17" s="73">
        <f>G9/F8</f>
        <v>2.1268108087100943</v>
      </c>
      <c r="H17" s="73">
        <f>H9/H8</f>
        <v>79.425600308691713</v>
      </c>
      <c r="I17" s="73">
        <f t="shared" ref="I17:N17" si="5">I9/I8</f>
        <v>79.255796919251011</v>
      </c>
      <c r="J17" s="73">
        <f t="shared" si="5"/>
        <v>75.746355449162223</v>
      </c>
      <c r="K17" s="73">
        <f t="shared" si="5"/>
        <v>114.00498561244731</v>
      </c>
      <c r="L17" s="73">
        <f t="shared" si="5"/>
        <v>7.1795959135919336</v>
      </c>
      <c r="M17" s="73"/>
      <c r="N17" s="73">
        <f t="shared" si="5"/>
        <v>60.32079338326345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6">J19/J8</f>
        <v>15753.564637651134</v>
      </c>
      <c r="K20" s="90">
        <f t="shared" si="6"/>
        <v>36973.307728673695</v>
      </c>
      <c r="L20" s="90">
        <f t="shared" si="6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7">J18/J8</f>
        <v>24.794174843648715</v>
      </c>
      <c r="K21" s="90">
        <f t="shared" si="7"/>
        <v>58.191442854894575</v>
      </c>
      <c r="L21" s="64"/>
      <c r="M21" s="64"/>
      <c r="N21" s="64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3">
        <f>F24/F8</f>
        <v>210.30415452031122</v>
      </c>
      <c r="G25" s="183">
        <f>G24/F8</f>
        <v>0</v>
      </c>
      <c r="H25" s="183">
        <f>H24/H8</f>
        <v>27.849943687603286</v>
      </c>
      <c r="I25" s="183">
        <f t="shared" ref="I25:K25" si="8">I24/I8</f>
        <v>82.873769006077268</v>
      </c>
      <c r="J25" s="183">
        <f t="shared" si="8"/>
        <v>287.47946488011428</v>
      </c>
      <c r="K25" s="183">
        <f t="shared" si="8"/>
        <v>704.74252983887106</v>
      </c>
      <c r="L25" s="183"/>
      <c r="M25" s="183"/>
      <c r="N25" s="183">
        <f>N24/N8</f>
        <v>166.70711634531611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3">
        <f>F23/F8</f>
        <v>4.7007395830277299E-2</v>
      </c>
      <c r="G26" s="183">
        <f>G23/F8</f>
        <v>0</v>
      </c>
      <c r="H26" s="183">
        <f t="shared" ref="H26:K26" si="9">H23/H8</f>
        <v>6.2250473832064111E-3</v>
      </c>
      <c r="I26" s="183">
        <f t="shared" si="9"/>
        <v>1.8524028079718202E-2</v>
      </c>
      <c r="J26" s="183">
        <f t="shared" si="9"/>
        <v>6.4257698710325203E-2</v>
      </c>
      <c r="K26" s="183">
        <f t="shared" si="9"/>
        <v>0.15752475805401792</v>
      </c>
      <c r="L26" s="183"/>
      <c r="M26" s="183"/>
      <c r="N26" s="183">
        <f>N23/N8</f>
        <v>3.7262542072184872E-2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3">
        <f>F28/F8</f>
        <v>266.15867563163272</v>
      </c>
      <c r="G29" s="183">
        <f>G28/F8</f>
        <v>0</v>
      </c>
      <c r="H29" s="183">
        <f t="shared" ref="H29:N29" si="10">H28/H8</f>
        <v>35.246589137601362</v>
      </c>
      <c r="I29" s="183">
        <f t="shared" si="10"/>
        <v>104.88415054648411</v>
      </c>
      <c r="J29" s="183">
        <f t="shared" si="10"/>
        <v>363.83091821608235</v>
      </c>
      <c r="K29" s="183">
        <f t="shared" si="10"/>
        <v>891.91456455552066</v>
      </c>
      <c r="L29" s="183"/>
      <c r="M29" s="183"/>
      <c r="N29" s="183">
        <f t="shared" si="10"/>
        <v>210.9827331088342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3">
        <f>F27/F8</f>
        <v>0.47588820641114199</v>
      </c>
      <c r="G30" s="183">
        <f>G27/F8</f>
        <v>0</v>
      </c>
      <c r="H30" s="183">
        <f t="shared" ref="H30:N30" si="11">H27/H8</f>
        <v>6.302043713960398E-2</v>
      </c>
      <c r="I30" s="183">
        <f t="shared" si="11"/>
        <v>0.18753147973129752</v>
      </c>
      <c r="J30" s="183">
        <f t="shared" si="11"/>
        <v>0.65052488969550781</v>
      </c>
      <c r="K30" s="183">
        <f t="shared" si="11"/>
        <v>1.5947314938767898</v>
      </c>
      <c r="L30" s="183"/>
      <c r="M30" s="183"/>
      <c r="N30" s="183">
        <f t="shared" si="11"/>
        <v>0.37723434791148636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SUMIFS(용수사용량!R:R,용수사용량!O:O,B2,용수사용량!Q:Q,B3,용수사용량!P:P,'20.1월'!B6)</f>
        <v>6031410</v>
      </c>
      <c r="G32" s="89">
        <f>SUMIFS(용수사용량!S:S,용수사용량!O:O,B2,용수사용량!Q:Q,B3,용수사용량!P:P,'20.1월'!B6)</f>
        <v>0</v>
      </c>
      <c r="H32" s="89">
        <f>SUMIFS(용수사용량!T:T,용수사용량!O:O,B2,용수사용량!Q:Q,B3,용수사용량!P:P,'20.1월'!B6)</f>
        <v>689304</v>
      </c>
      <c r="I32" s="89">
        <f>SUMIFS(용수사용량!U:U,용수사용량!O:O,B2,용수사용량!Q:Q,B3,용수사용량!P:P,'20.1월'!B6)</f>
        <v>2240238</v>
      </c>
      <c r="J32" s="89">
        <f>SUMIFS(용수사용량!V:V,용수사용량!O:O,B2,용수사용량!Q:Q,B3,용수사용량!P:P,'20.1월'!B6)</f>
        <v>4308150</v>
      </c>
      <c r="K32" s="89">
        <f>SUMIFS(용수사용량!W:W,용수사용량!O:O,B2,용수사용량!Q:Q,B3,용수사용량!P:P,'20.1월'!B6)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2">
        <f>F32/F8</f>
        <v>229.80415585385435</v>
      </c>
      <c r="G33" s="182">
        <f>G32/F8</f>
        <v>0</v>
      </c>
      <c r="H33" s="182">
        <f>H32/H8</f>
        <v>30.432269939246186</v>
      </c>
      <c r="I33" s="182">
        <f t="shared" ref="I33:K33" si="12">I32/I8</f>
        <v>90.558061357887055</v>
      </c>
      <c r="J33" s="182">
        <f t="shared" si="12"/>
        <v>314.1353812185958</v>
      </c>
      <c r="K33" s="182">
        <f t="shared" si="12"/>
        <v>770.08826826714017</v>
      </c>
      <c r="L33" s="182"/>
      <c r="M33" s="182"/>
      <c r="N33" s="182">
        <f>N32/N8</f>
        <v>182.16467589025049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2">
        <f>F31/F8</f>
        <v>0.32829165121979192</v>
      </c>
      <c r="G34" s="182">
        <f>G31/F8</f>
        <v>0</v>
      </c>
      <c r="H34" s="182">
        <f>H31/H8</f>
        <v>4.347467134178027E-2</v>
      </c>
      <c r="I34" s="182">
        <f t="shared" ref="I34:K34" si="13">I31/I8</f>
        <v>0.12936865908269579</v>
      </c>
      <c r="J34" s="182">
        <f t="shared" si="13"/>
        <v>0.44876483031227965</v>
      </c>
      <c r="K34" s="182">
        <f t="shared" si="13"/>
        <v>1.100126097524486</v>
      </c>
      <c r="L34" s="182"/>
      <c r="M34" s="182"/>
      <c r="N34" s="182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Q14:X14"/>
    <mergeCell ref="D23:D26"/>
    <mergeCell ref="D27:D30"/>
    <mergeCell ref="D31:D34"/>
    <mergeCell ref="E4:L5"/>
    <mergeCell ref="D8:D17"/>
    <mergeCell ref="D7:E7"/>
    <mergeCell ref="D18:D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F17" sqref="F17:G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482</v>
      </c>
    </row>
    <row r="2" spans="2:24" x14ac:dyDescent="0.3">
      <c r="B2" s="52" t="s">
        <v>24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397</v>
      </c>
      <c r="E4" s="252" t="s">
        <v>242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256725.90375</v>
      </c>
      <c r="G9" s="70">
        <f t="shared" ref="G9:N9" si="0">G10+G11</f>
        <v>55820</v>
      </c>
      <c r="H9" s="70">
        <f t="shared" si="0"/>
        <v>1792084.9649999999</v>
      </c>
      <c r="I9" s="70">
        <f t="shared" si="0"/>
        <v>1961495.9100000001</v>
      </c>
      <c r="J9" s="70">
        <f t="shared" si="0"/>
        <v>1038409.1575000099</v>
      </c>
      <c r="K9" s="70">
        <f t="shared" si="0"/>
        <v>586362.28249999997</v>
      </c>
      <c r="L9" s="70">
        <f t="shared" si="0"/>
        <v>15102</v>
      </c>
      <c r="M9" s="66">
        <f t="shared" si="0"/>
        <v>0</v>
      </c>
      <c r="N9" s="70">
        <f t="shared" si="0"/>
        <v>5706000.2187500102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v>252386.30930218915</v>
      </c>
      <c r="G10" s="69">
        <v>54876.44051286429</v>
      </c>
      <c r="H10" s="69">
        <v>1761792.2604052487</v>
      </c>
      <c r="I10" s="69">
        <v>1928339.5489312364</v>
      </c>
      <c r="J10" s="69">
        <v>1020856.2945102619</v>
      </c>
      <c r="K10" s="69">
        <v>576450.64340018947</v>
      </c>
      <c r="L10" s="69">
        <v>14846.721688020003</v>
      </c>
      <c r="M10" s="64"/>
      <c r="N10" s="69">
        <f>SUM(F10:M10)</f>
        <v>5609548.2187500102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v>4339.5944478108431</v>
      </c>
      <c r="G11" s="69">
        <v>943.55948713570842</v>
      </c>
      <c r="H11" s="69">
        <v>30292.704594751231</v>
      </c>
      <c r="I11" s="69">
        <v>33156.361068763705</v>
      </c>
      <c r="J11" s="69">
        <v>17552.862989747984</v>
      </c>
      <c r="K11" s="69">
        <v>9911.6390998105235</v>
      </c>
      <c r="L11" s="69">
        <v>255.27831197999768</v>
      </c>
      <c r="M11" s="64"/>
      <c r="N11" s="69">
        <f>SUM(F11:M11)</f>
        <v>96452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v>27143030.500669349</v>
      </c>
      <c r="G12" s="71">
        <v>5901718.293385745</v>
      </c>
      <c r="H12" s="71">
        <v>189472959.89326501</v>
      </c>
      <c r="I12" s="71">
        <v>207384383.63397205</v>
      </c>
      <c r="J12" s="71">
        <v>109788576.15258129</v>
      </c>
      <c r="K12" s="71">
        <v>61994715.320345223</v>
      </c>
      <c r="L12" s="71">
        <v>1596699.2057812887</v>
      </c>
      <c r="M12" s="68"/>
      <c r="N12" s="71">
        <f>SUM(F12:M12)</f>
        <v>603282083.00000012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v>117337.96007177416</v>
      </c>
      <c r="G13" s="71">
        <v>25512.832306881821</v>
      </c>
      <c r="H13" s="71">
        <v>819082.10662359674</v>
      </c>
      <c r="I13" s="71">
        <v>896512.29348736233</v>
      </c>
      <c r="J13" s="71">
        <v>474610.51059169089</v>
      </c>
      <c r="K13" s="71">
        <v>268000.04630066227</v>
      </c>
      <c r="L13" s="71">
        <v>6902.4506180316966</v>
      </c>
      <c r="M13" s="68"/>
      <c r="N13" s="71">
        <f>SUM(F13:M13)</f>
        <v>2607958.2000000002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27260368.460741121</v>
      </c>
      <c r="G14" s="70">
        <f t="shared" ref="G14:N14" si="1">SUM(G12:G13)</f>
        <v>5927231.1256926265</v>
      </c>
      <c r="H14" s="70">
        <f t="shared" si="1"/>
        <v>190292041.9998886</v>
      </c>
      <c r="I14" s="70">
        <f t="shared" si="1"/>
        <v>208280895.92745942</v>
      </c>
      <c r="J14" s="70">
        <f t="shared" si="1"/>
        <v>110263186.66317298</v>
      </c>
      <c r="K14" s="70">
        <f t="shared" si="1"/>
        <v>62262715.366645887</v>
      </c>
      <c r="L14" s="70">
        <f t="shared" si="1"/>
        <v>1603601.6563993203</v>
      </c>
      <c r="M14" s="66"/>
      <c r="N14" s="70">
        <f t="shared" si="1"/>
        <v>605890041.20000017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v>51128257.061365336</v>
      </c>
      <c r="G15" s="72">
        <v>6785025.4900186481</v>
      </c>
      <c r="H15" s="72">
        <v>217831282.11759543</v>
      </c>
      <c r="I15" s="72">
        <v>238423499.60439494</v>
      </c>
      <c r="J15" s="72">
        <v>106297834.00990269</v>
      </c>
      <c r="K15" s="72">
        <v>71273433.055320963</v>
      </c>
      <c r="L15" s="72">
        <v>1835676.3695854826</v>
      </c>
      <c r="M15" s="67"/>
      <c r="N15" s="72">
        <f>SUM(F15:M15)</f>
        <v>693575007.70818353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2">$Q$15*(F14/$N$14)</f>
        <v>3945145.707869126</v>
      </c>
      <c r="S15" s="95">
        <f t="shared" si="2"/>
        <v>857794.3643260214</v>
      </c>
      <c r="T15" s="95">
        <f t="shared" si="2"/>
        <v>27539240.117706832</v>
      </c>
      <c r="U15" s="95">
        <f t="shared" si="2"/>
        <v>30142603.676935527</v>
      </c>
      <c r="V15" s="95">
        <f t="shared" si="2"/>
        <v>15957390.23948478</v>
      </c>
      <c r="W15" s="95">
        <f t="shared" si="2"/>
        <v>9010717.688675072</v>
      </c>
      <c r="X15" s="96">
        <f t="shared" si="2"/>
        <v>232074.71318616226</v>
      </c>
    </row>
    <row r="16" spans="2:24" ht="30" customHeight="1" x14ac:dyDescent="0.3">
      <c r="D16" s="251"/>
      <c r="E16" s="102" t="s">
        <v>338</v>
      </c>
      <c r="F16" s="75">
        <f>F15/F8</f>
        <v>1948.0496192873522</v>
      </c>
      <c r="G16" s="75">
        <f>G15/F8</f>
        <v>258.51783499722615</v>
      </c>
      <c r="H16" s="73">
        <f>H15/H8</f>
        <v>9617.0925725293273</v>
      </c>
      <c r="I16" s="73">
        <f t="shared" ref="I16:N16" si="3">I15/I8</f>
        <v>9637.891110827044</v>
      </c>
      <c r="J16" s="73">
        <f t="shared" si="3"/>
        <v>7750.8700043897716</v>
      </c>
      <c r="K16" s="73">
        <f t="shared" si="3"/>
        <v>13848.079306467687</v>
      </c>
      <c r="L16" s="73">
        <f t="shared" si="3"/>
        <v>872.69332285480107</v>
      </c>
      <c r="M16" s="73"/>
      <c r="N16" s="73">
        <f t="shared" si="3"/>
        <v>7331.7355758701096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73">
        <f>F9/F8</f>
        <v>9.7815733961190841</v>
      </c>
      <c r="G17" s="73">
        <f>G9/F8</f>
        <v>2.1268108087100943</v>
      </c>
      <c r="H17" s="73">
        <f>H9/H8</f>
        <v>79.119246963523423</v>
      </c>
      <c r="I17" s="73">
        <f t="shared" ref="I17:N17" si="4">I9/I8</f>
        <v>79.290355297528436</v>
      </c>
      <c r="J17" s="73">
        <f t="shared" si="4"/>
        <v>75.717200318500161</v>
      </c>
      <c r="K17" s="73">
        <f t="shared" si="4"/>
        <v>113.92732245798852</v>
      </c>
      <c r="L17" s="73">
        <f t="shared" si="4"/>
        <v>7.1795959135919336</v>
      </c>
      <c r="M17" s="73"/>
      <c r="N17" s="73">
        <f t="shared" si="4"/>
        <v>60.317751266686052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5">J19/J8</f>
        <v>15753.564637651134</v>
      </c>
      <c r="K20" s="90">
        <f t="shared" si="5"/>
        <v>36973.307728673695</v>
      </c>
      <c r="L20" s="90">
        <f t="shared" si="5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6">J18/J8</f>
        <v>24.794174843648715</v>
      </c>
      <c r="K21" s="90">
        <f t="shared" si="6"/>
        <v>58.191442854894575</v>
      </c>
      <c r="L21" s="64"/>
      <c r="M21" s="64"/>
      <c r="N21" s="183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8">
        <f>F24/F8</f>
        <v>210.30415452031122</v>
      </c>
      <c r="G25" s="188">
        <f>G24/F8</f>
        <v>0</v>
      </c>
      <c r="H25" s="188">
        <f>H24/H8</f>
        <v>27.849943687603286</v>
      </c>
      <c r="I25" s="188">
        <f t="shared" ref="I25:K25" si="7">I24/I8</f>
        <v>82.873769006077268</v>
      </c>
      <c r="J25" s="188">
        <f t="shared" si="7"/>
        <v>287.47946488011428</v>
      </c>
      <c r="K25" s="188">
        <f t="shared" si="7"/>
        <v>704.74252983887106</v>
      </c>
      <c r="L25" s="188"/>
      <c r="M25" s="188"/>
      <c r="N25" s="188">
        <f>N24/N8</f>
        <v>166.70711634531611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8">
        <f>F23/F8</f>
        <v>4.7007395830277299E-2</v>
      </c>
      <c r="G26" s="188">
        <f>G23/F8</f>
        <v>0</v>
      </c>
      <c r="H26" s="188">
        <f t="shared" ref="H26:K26" si="8">H23/H8</f>
        <v>6.2250473832064111E-3</v>
      </c>
      <c r="I26" s="188">
        <f t="shared" si="8"/>
        <v>1.8524028079718202E-2</v>
      </c>
      <c r="J26" s="188">
        <f t="shared" si="8"/>
        <v>6.4257698710325203E-2</v>
      </c>
      <c r="K26" s="188">
        <f t="shared" si="8"/>
        <v>0.15752475805401792</v>
      </c>
      <c r="L26" s="188"/>
      <c r="M26" s="188"/>
      <c r="N26" s="188">
        <f>N23/N8</f>
        <v>3.7262542072184872E-2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8">
        <f>F28/F8</f>
        <v>266.15867563163272</v>
      </c>
      <c r="G29" s="188">
        <f>G28/F8</f>
        <v>0</v>
      </c>
      <c r="H29" s="188">
        <f t="shared" ref="H29:N29" si="9">H28/H8</f>
        <v>35.246589137601362</v>
      </c>
      <c r="I29" s="188">
        <f t="shared" si="9"/>
        <v>104.88415054648411</v>
      </c>
      <c r="J29" s="188">
        <f t="shared" si="9"/>
        <v>363.83091821608235</v>
      </c>
      <c r="K29" s="188">
        <f t="shared" si="9"/>
        <v>891.91456455552066</v>
      </c>
      <c r="L29" s="188"/>
      <c r="M29" s="188"/>
      <c r="N29" s="188">
        <f t="shared" si="9"/>
        <v>210.9827331088342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8">
        <f>F27/F8</f>
        <v>0.47588820641114199</v>
      </c>
      <c r="G30" s="188">
        <f>G27/F8</f>
        <v>0</v>
      </c>
      <c r="H30" s="188">
        <f t="shared" ref="H30:N30" si="10">H27/H8</f>
        <v>6.302043713960398E-2</v>
      </c>
      <c r="I30" s="188">
        <f t="shared" si="10"/>
        <v>0.18753147973129752</v>
      </c>
      <c r="J30" s="188">
        <f t="shared" si="10"/>
        <v>0.65052488969550781</v>
      </c>
      <c r="K30" s="188">
        <f t="shared" si="10"/>
        <v>1.5947314938767898</v>
      </c>
      <c r="L30" s="188"/>
      <c r="M30" s="188"/>
      <c r="N30" s="188">
        <f t="shared" si="10"/>
        <v>0.37723434791148636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SUMIFS(용수사용량!R:R,용수사용량!O:O,B2,용수사용량!Q:Q,B3,용수사용량!P:P,'20.1월-'!B6)</f>
        <v>6031410</v>
      </c>
      <c r="G32" s="89">
        <f>SUMIFS(용수사용량!S:S,용수사용량!O:O,B2,용수사용량!Q:Q,B3,용수사용량!P:P,'20.1월-'!B6)</f>
        <v>0</v>
      </c>
      <c r="H32" s="89">
        <f>SUMIFS(용수사용량!T:T,용수사용량!O:O,B2,용수사용량!Q:Q,B3,용수사용량!P:P,'20.1월-'!B6)</f>
        <v>689304</v>
      </c>
      <c r="I32" s="89">
        <f>SUMIFS(용수사용량!U:U,용수사용량!O:O,B2,용수사용량!Q:Q,B3,용수사용량!P:P,'20.1월-'!B6)</f>
        <v>2240238</v>
      </c>
      <c r="J32" s="89">
        <f>SUMIFS(용수사용량!V:V,용수사용량!O:O,B2,용수사용량!Q:Q,B3,용수사용량!P:P,'20.1월-'!B6)</f>
        <v>4308150</v>
      </c>
      <c r="K32" s="89">
        <f>SUMIFS(용수사용량!W:W,용수사용량!O:O,B2,용수사용량!Q:Q,B3,용수사용량!P:P,'20.1월-'!B6)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8">
        <f>F32/F8</f>
        <v>229.80415585385435</v>
      </c>
      <c r="G33" s="188">
        <f>G32/F8</f>
        <v>0</v>
      </c>
      <c r="H33" s="188">
        <f>H32/H8</f>
        <v>30.432269939246186</v>
      </c>
      <c r="I33" s="188">
        <f t="shared" ref="I33:K33" si="11">I32/I8</f>
        <v>90.558061357887055</v>
      </c>
      <c r="J33" s="188">
        <f t="shared" si="11"/>
        <v>314.1353812185958</v>
      </c>
      <c r="K33" s="188">
        <f t="shared" si="11"/>
        <v>770.08826826714017</v>
      </c>
      <c r="L33" s="188"/>
      <c r="M33" s="188"/>
      <c r="N33" s="188">
        <f>N32/N8</f>
        <v>182.16467589025049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8">
        <f>F31/F8</f>
        <v>0.32829165121979192</v>
      </c>
      <c r="G34" s="188">
        <f>G31/F8</f>
        <v>0</v>
      </c>
      <c r="H34" s="188">
        <f>H31/H8</f>
        <v>4.347467134178027E-2</v>
      </c>
      <c r="I34" s="188">
        <f t="shared" ref="I34:K34" si="12">I31/I8</f>
        <v>0.12936865908269579</v>
      </c>
      <c r="J34" s="188">
        <f t="shared" si="12"/>
        <v>0.44876483031227965</v>
      </c>
      <c r="K34" s="188">
        <f t="shared" si="12"/>
        <v>1.100126097524486</v>
      </c>
      <c r="L34" s="188"/>
      <c r="M34" s="188"/>
      <c r="N34" s="188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B4" sqref="B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324</v>
      </c>
    </row>
    <row r="4" spans="2:24" ht="16.5" customHeight="1" thickTop="1" thickBot="1" x14ac:dyDescent="0.35">
      <c r="B4" s="30" t="s">
        <v>397</v>
      </c>
      <c r="E4" s="252" t="s">
        <v>408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261907</v>
      </c>
      <c r="G9" s="70">
        <f t="shared" ref="G9:N9" si="0">G10+G11</f>
        <v>70065</v>
      </c>
      <c r="H9" s="70">
        <f t="shared" si="0"/>
        <v>2122358</v>
      </c>
      <c r="I9" s="70">
        <f t="shared" si="0"/>
        <v>1942483</v>
      </c>
      <c r="J9" s="70">
        <f t="shared" si="0"/>
        <v>920632</v>
      </c>
      <c r="K9" s="70">
        <f t="shared" si="0"/>
        <v>562028</v>
      </c>
      <c r="L9" s="70">
        <f t="shared" si="0"/>
        <v>15455</v>
      </c>
      <c r="M9" s="66">
        <f t="shared" si="0"/>
        <v>0</v>
      </c>
      <c r="N9" s="70">
        <f t="shared" si="0"/>
        <v>5894928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251975.87175059645</v>
      </c>
      <c r="G10" s="69">
        <f>SUMIFS('라인별전력(본+ESS)'!Z:Z,'라인별전력(본+ESS)'!W:W,B2,'라인별전력(본+ESS)'!X:X,B3)</f>
        <v>67408.238245657965</v>
      </c>
      <c r="H10" s="69">
        <f>SUMIFS('라인별전력(본+ESS)'!AA:AA,'라인별전력(본+ESS)'!W:W,B2,'라인별전력(본+ESS)'!X:X,B3)</f>
        <v>2041881.3060240939</v>
      </c>
      <c r="I10" s="69">
        <f>SUMIFS('라인별전력(본+ESS)'!AB:AB,'라인별전력(본+ESS)'!W:W,B2,'라인별전력(본+ESS)'!X:X,B3)</f>
        <v>1868826.9014792037</v>
      </c>
      <c r="J10" s="69">
        <f>SUMIFS('라인별전력(본+ESS)'!AC:AC,'라인별전력(본+ESS)'!W:W,B2,'라인별전력(본+ESS)'!X:X,B3)</f>
        <v>885722.98854744283</v>
      </c>
      <c r="K10" s="69">
        <f>SUMIFS('라인별전력(본+ESS)'!AD:AD,'라인별전력(본+ESS)'!W:W,B2,'라인별전력(본+ESS)'!X:X,B3)</f>
        <v>540716.72482310212</v>
      </c>
      <c r="L10" s="69">
        <f>SUMIFS('라인별전력(본+ESS)'!AE:AE,'라인별전력(본+ESS)'!W:W,B2,'라인별전력(본+ESS)'!X:X,B3)</f>
        <v>14868.969129902858</v>
      </c>
      <c r="M10" s="64"/>
      <c r="N10" s="69">
        <f>SUM(F10:M10)</f>
        <v>5671401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9931.1282494035531</v>
      </c>
      <c r="G11" s="69">
        <f>SUMIFS('라인별전력(본+ESS)'!O:O,'라인별전력(본+ESS)'!L:L,B2,'라인별전력(본+ESS)'!M:M,B3)</f>
        <v>2656.7617543420374</v>
      </c>
      <c r="H11" s="69">
        <f>SUMIFS('라인별전력(본+ESS)'!P:P,'라인별전력(본+ESS)'!L:L,B2,'라인별전력(본+ESS)'!M:M,B3)</f>
        <v>80476.693975906062</v>
      </c>
      <c r="I11" s="69">
        <f>SUMIFS('라인별전력(본+ESS)'!Q:Q,'라인별전력(본+ESS)'!L:L,B2,'라인별전력(본+ESS)'!M:M,B3)</f>
        <v>73656.098520796178</v>
      </c>
      <c r="J11" s="69">
        <f>SUMIFS('라인별전력(본+ESS)'!R:R,'라인별전력(본+ESS)'!L:L,B2,'라인별전력(본+ESS)'!M:M,B3)</f>
        <v>34909.011452557177</v>
      </c>
      <c r="K11" s="69">
        <f>SUMIFS('라인별전력(본+ESS)'!S:S,'라인별전력(본+ESS)'!L:L,B2,'라인별전력(본+ESS)'!M:M,B3)</f>
        <v>21311.275176897831</v>
      </c>
      <c r="L11" s="69">
        <f>SUMIFS('라인별전력(본+ESS)'!T:T,'라인별전력(본+ESS)'!L:L,B2,'라인별전력(본+ESS)'!M:M,B3)</f>
        <v>586.03087009714113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25198433.738132067</v>
      </c>
      <c r="G12" s="71">
        <f>SUMIFS('라인별전력금액(본+ESS)'!Z:Z,'라인별전력금액(본+ESS)'!W:W,B2,'라인별전력금액(본+ESS)'!X:X,B3)</f>
        <v>6741050.2959532319</v>
      </c>
      <c r="H12" s="71">
        <f>SUMIFS('라인별전력금액(본+ESS)'!AA:AA,'라인별전력금액(본+ESS)'!W:W,B2,'라인별전력금액(본+ESS)'!X:X,B3)</f>
        <v>204194990.70889479</v>
      </c>
      <c r="I12" s="71">
        <f>SUMIFS('라인별전력금액(본+ESS)'!AB:AB,'라인별전력금액(본+ESS)'!W:W,B2,'라인별전력금액(본+ESS)'!X:X,B3)</f>
        <v>186888968.84370404</v>
      </c>
      <c r="J12" s="71">
        <f>SUMIFS('라인별전력금액(본+ESS)'!AC:AC,'라인별전력금액(본+ESS)'!W:W,B2,'라인별전력금액(본+ESS)'!X:X,B3)</f>
        <v>88575274.61734128</v>
      </c>
      <c r="K12" s="71">
        <f>SUMIFS('라인별전력금액(본+ESS)'!AD:AD,'라인별전력금액(본+ESS)'!W:W,B2,'라인별전력금액(본+ESS)'!X:X,B3)</f>
        <v>54073489.127724305</v>
      </c>
      <c r="L12" s="71">
        <f>SUMIFS('라인별전력금액(본+ESS)'!AE:AE,'라인별전력금액(본+ESS)'!W:W,B2,'라인별전력금액(본+ESS)'!X:X,B3)</f>
        <v>1486946.8682502992</v>
      </c>
      <c r="M12" s="68"/>
      <c r="N12" s="71">
        <f>SUM(F12:M12)</f>
        <v>567159154.19999993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262692.37516302144</v>
      </c>
      <c r="G13" s="71">
        <f>SUMIFS('라인별전력금액(본+ESS)'!O:O,'라인별전력금액(본+ESS)'!L:L,B2,'라인별전력금액(본+ESS)'!M:M,B3)</f>
        <v>70275.102482167713</v>
      </c>
      <c r="H13" s="71">
        <f>SUMIFS('라인별전력금액(본+ESS)'!P:P,'라인별전력금액(본+ESS)'!L:L,B2,'라인별전력금액(본+ESS)'!M:M,B3)</f>
        <v>2128722.2715171413</v>
      </c>
      <c r="I13" s="71">
        <f>SUMIFS('라인별전력금액(본+ESS)'!Q:Q,'라인별전력금액(본+ESS)'!L:L,B2,'라인별전력금액(본+ESS)'!M:M,B3)</f>
        <v>1948307.8840343764</v>
      </c>
      <c r="J13" s="71">
        <f>SUMIFS('라인별전력금액(본+ESS)'!R:R,'라인별전력금액(본+ESS)'!L:L,B2,'라인별전력금액(본+ESS)'!M:M,B3)</f>
        <v>923392.68034486589</v>
      </c>
      <c r="K13" s="71">
        <f>SUMIFS('라인별전력금액(본+ESS)'!S:S,'라인별전력금액(본+ESS)'!L:L,B2,'라인별전력금액(본+ESS)'!M:M,B3)</f>
        <v>563713.34186609229</v>
      </c>
      <c r="L13" s="71">
        <f>SUMIFS('라인별전력금액(본+ESS)'!T:T,'라인별전력금액(본+ESS)'!L:L,B2,'라인별전력금액(본+ESS)'!M:M,B3)</f>
        <v>15501.34459233429</v>
      </c>
      <c r="M13" s="68"/>
      <c r="N13" s="71">
        <f>SUM(F13:M13)</f>
        <v>5912605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25461126.113295089</v>
      </c>
      <c r="G14" s="70">
        <f t="shared" ref="G14:N14" si="1">SUM(G12:G13)</f>
        <v>6811325.3984353999</v>
      </c>
      <c r="H14" s="70">
        <f t="shared" si="1"/>
        <v>206323712.98041192</v>
      </c>
      <c r="I14" s="70">
        <f t="shared" si="1"/>
        <v>188837276.72773841</v>
      </c>
      <c r="J14" s="70">
        <f t="shared" si="1"/>
        <v>89498667.297686145</v>
      </c>
      <c r="K14" s="70">
        <f t="shared" si="1"/>
        <v>54637202.469590396</v>
      </c>
      <c r="L14" s="70">
        <f t="shared" si="1"/>
        <v>1502448.2128426335</v>
      </c>
      <c r="M14" s="66"/>
      <c r="N14" s="70">
        <f t="shared" si="1"/>
        <v>573071759.19999993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29405693.746440288</v>
      </c>
      <c r="G15" s="72">
        <f t="shared" si="2"/>
        <v>7866570.7000742201</v>
      </c>
      <c r="H15" s="72">
        <f t="shared" si="2"/>
        <v>238288435.85054055</v>
      </c>
      <c r="I15" s="72">
        <f t="shared" si="2"/>
        <v>218092911.62766391</v>
      </c>
      <c r="J15" s="72">
        <f t="shared" si="2"/>
        <v>103364257.71427573</v>
      </c>
      <c r="K15" s="72">
        <f t="shared" si="2"/>
        <v>63101876.791854903</v>
      </c>
      <c r="L15" s="72">
        <f t="shared" si="2"/>
        <v>1735215.159775167</v>
      </c>
      <c r="M15" s="67"/>
      <c r="N15" s="72">
        <f>SUM(F15:M15)</f>
        <v>661854961.59062469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3">$Q$15*(F14/$N$14)</f>
        <v>3944567.6331451992</v>
      </c>
      <c r="S15" s="95">
        <f t="shared" si="3"/>
        <v>1055245.3016388197</v>
      </c>
      <c r="T15" s="95">
        <f t="shared" si="3"/>
        <v>31964722.870128632</v>
      </c>
      <c r="U15" s="95">
        <f t="shared" si="3"/>
        <v>29255634.899925489</v>
      </c>
      <c r="V15" s="95">
        <f t="shared" si="3"/>
        <v>13865590.416589594</v>
      </c>
      <c r="W15" s="95">
        <f t="shared" si="3"/>
        <v>8464674.3222645056</v>
      </c>
      <c r="X15" s="96">
        <f t="shared" si="3"/>
        <v>232766.94693253349</v>
      </c>
    </row>
    <row r="16" spans="2:24" ht="30" customHeight="1" x14ac:dyDescent="0.3">
      <c r="D16" s="251"/>
      <c r="E16" s="102" t="s">
        <v>338</v>
      </c>
      <c r="F16" s="75">
        <f>F15/F8</f>
        <v>1016.4373009496072</v>
      </c>
      <c r="G16" s="75">
        <f>G15/F8</f>
        <v>271.91590713892424</v>
      </c>
      <c r="H16" s="73">
        <f>H15/H8</f>
        <v>8812.2661696305076</v>
      </c>
      <c r="I16" s="73">
        <f t="shared" ref="I16:N16" si="4">I15/I8</f>
        <v>8858.0577692347706</v>
      </c>
      <c r="J16" s="73">
        <f t="shared" si="4"/>
        <v>9059.9431948724141</v>
      </c>
      <c r="K16" s="73">
        <f t="shared" si="4"/>
        <v>11972.563872365052</v>
      </c>
      <c r="L16" s="73">
        <f t="shared" si="4"/>
        <v>799.99039198134062</v>
      </c>
      <c r="M16" s="73"/>
      <c r="N16" s="73">
        <f t="shared" si="4"/>
        <v>6655.8178696949253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73">
        <f>F9/F8</f>
        <v>9.0530781717073125</v>
      </c>
      <c r="G17" s="73">
        <f>G9/F8</f>
        <v>2.4218670066117851</v>
      </c>
      <c r="H17" s="73">
        <f>H9/H8</f>
        <v>78.488003567976079</v>
      </c>
      <c r="I17" s="73">
        <f t="shared" ref="I17:N17" si="5">I9/I8</f>
        <v>78.895854529798939</v>
      </c>
      <c r="J17" s="73">
        <f t="shared" si="5"/>
        <v>80.693982696010934</v>
      </c>
      <c r="K17" s="73">
        <f t="shared" si="5"/>
        <v>106.63575269327242</v>
      </c>
      <c r="L17" s="73">
        <f t="shared" si="5"/>
        <v>7.1252555848311117</v>
      </c>
      <c r="M17" s="73"/>
      <c r="N17" s="73">
        <f t="shared" si="5"/>
        <v>59.281216278368298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90">
        <f>F19/F8</f>
        <v>2440.214209287336</v>
      </c>
      <c r="G20" s="90">
        <f>G19/F8</f>
        <v>1816.380471614023</v>
      </c>
      <c r="H20" s="64"/>
      <c r="I20" s="90">
        <f>I19/I8</f>
        <v>11860.669410952254</v>
      </c>
      <c r="J20" s="90">
        <f t="shared" ref="J20:L20" si="6">J19/J8</f>
        <v>15328.280047037308</v>
      </c>
      <c r="K20" s="90">
        <f t="shared" si="6"/>
        <v>36379.958727733341</v>
      </c>
      <c r="L20" s="90">
        <f t="shared" si="6"/>
        <v>0</v>
      </c>
      <c r="M20" s="90"/>
      <c r="N20" s="90">
        <f>N19/(N8-H8-L8)</f>
        <v>11173.898315379132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90">
        <f>F18/F8</f>
        <v>3.8079806852087925</v>
      </c>
      <c r="G21" s="90">
        <f>G18/F8</f>
        <v>2.8344813855160149</v>
      </c>
      <c r="H21" s="64"/>
      <c r="I21" s="90">
        <f>I18/I8</f>
        <v>18.508702989539355</v>
      </c>
      <c r="J21" s="90">
        <f t="shared" ref="J21:K21" si="7">J18/J8</f>
        <v>23.919946918773277</v>
      </c>
      <c r="K21" s="90">
        <f t="shared" si="7"/>
        <v>56.771319352476212</v>
      </c>
      <c r="L21" s="64"/>
      <c r="M21" s="64"/>
      <c r="N21" s="64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3">
        <f>F24/F8</f>
        <v>200.8392452720621</v>
      </c>
      <c r="G25" s="183">
        <f>G24/F8</f>
        <v>0</v>
      </c>
      <c r="H25" s="183">
        <f>H24/H8</f>
        <v>24.557039171555004</v>
      </c>
      <c r="I25" s="183">
        <f t="shared" ref="I25:K25" si="8">I24/I8</f>
        <v>87.653988387890763</v>
      </c>
      <c r="J25" s="183">
        <f t="shared" si="8"/>
        <v>363.76965236880233</v>
      </c>
      <c r="K25" s="183">
        <f t="shared" si="8"/>
        <v>724.44278954338654</v>
      </c>
      <c r="L25" s="183"/>
      <c r="M25" s="183"/>
      <c r="N25" s="183">
        <f>N24/N8</f>
        <v>166.94367607261725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3">
        <f>F23/F8</f>
        <v>4.4811366407928606E-2</v>
      </c>
      <c r="G26" s="183">
        <f>G23/F8</f>
        <v>0</v>
      </c>
      <c r="H26" s="183">
        <f t="shared" ref="H26:K26" si="9">H23/H8</f>
        <v>5.4791805193239477E-3</v>
      </c>
      <c r="I26" s="183">
        <f t="shared" si="9"/>
        <v>1.955740764433397E-2</v>
      </c>
      <c r="J26" s="183">
        <f t="shared" si="9"/>
        <v>8.1164491323901536E-2</v>
      </c>
      <c r="K26" s="183">
        <f t="shared" si="9"/>
        <v>0.16163808641998734</v>
      </c>
      <c r="L26" s="183"/>
      <c r="M26" s="183"/>
      <c r="N26" s="183">
        <f>N23/N8</f>
        <v>3.7248567767931375E-2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3">
        <f>F28/F8</f>
        <v>211.10460502119588</v>
      </c>
      <c r="G29" s="183">
        <f>G28/F8</f>
        <v>0</v>
      </c>
      <c r="H29" s="183">
        <f t="shared" ref="H29:N29" si="10">H28/H8</f>
        <v>25.812206413037607</v>
      </c>
      <c r="I29" s="183">
        <f t="shared" si="10"/>
        <v>92.134187081274618</v>
      </c>
      <c r="J29" s="183">
        <f t="shared" si="10"/>
        <v>382.3627632039113</v>
      </c>
      <c r="K29" s="183">
        <f t="shared" si="10"/>
        <v>761.47074113847918</v>
      </c>
      <c r="L29" s="183"/>
      <c r="M29" s="183"/>
      <c r="N29" s="183">
        <f t="shared" si="10"/>
        <v>175.47655464625856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3">
        <f>F27/F8</f>
        <v>0.3775212442655001</v>
      </c>
      <c r="G30" s="183">
        <f>G27/F8</f>
        <v>0</v>
      </c>
      <c r="H30" s="183">
        <f t="shared" ref="H30:N30" si="11">H27/H8</f>
        <v>4.6160320762825002E-2</v>
      </c>
      <c r="I30" s="183">
        <f t="shared" si="11"/>
        <v>0.16476482331032438</v>
      </c>
      <c r="J30" s="183">
        <f t="shared" si="11"/>
        <v>0.68378454421229684</v>
      </c>
      <c r="K30" s="183">
        <f t="shared" si="11"/>
        <v>1.3617485115377173</v>
      </c>
      <c r="L30" s="183"/>
      <c r="M30" s="183"/>
      <c r="N30" s="183">
        <f t="shared" si="11"/>
        <v>0.31380711587427068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SUMIFS(용수사용량!R:R,용수사용량!O:O,B2,용수사용량!Q:Q,B3,용수사용량!P:P,'20.2월'!B6)</f>
        <v>5494125</v>
      </c>
      <c r="G32" s="89">
        <f>SUMIFS(용수사용량!S:S,용수사용량!O:O,B2,용수사용량!Q:Q,B3,용수사용량!P:P,'20.2월'!B6)</f>
        <v>0</v>
      </c>
      <c r="H32" s="89">
        <f>SUMIFS(용수사용량!T:T,용수사용량!O:O,B2,용수사용량!Q:Q,B3,용수사용량!P:P,'20.2월'!B6)</f>
        <v>627900</v>
      </c>
      <c r="I32" s="89">
        <f>SUMIFS(용수사용량!U:U,용수사용량!O:O,B2,용수사용량!Q:Q,B3,용수사용량!P:P,'20.2월'!B6)</f>
        <v>2040675</v>
      </c>
      <c r="J32" s="89">
        <f>SUMIFS(용수사용량!V:V,용수사용량!O:O,B2,용수사용량!Q:Q,B3,용수사용량!P:P,'20.2월'!B6)</f>
        <v>3924375</v>
      </c>
      <c r="K32" s="89">
        <f>SUMIFS(용수사용량!W:W,용수사용량!O:O,B2,용수사용량!Q:Q,B3,용수사용량!P:P,'20.2월'!B6)</f>
        <v>3610425</v>
      </c>
      <c r="L32" s="89"/>
      <c r="M32" s="89"/>
      <c r="N32" s="89">
        <f>SUM(F32:M32)</f>
        <v>15697500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2">
        <f>F32/F8</f>
        <v>189.9099417355452</v>
      </c>
      <c r="G33" s="182">
        <f>G32/F8</f>
        <v>0</v>
      </c>
      <c r="H33" s="182">
        <f>H32/H8</f>
        <v>23.220690119354124</v>
      </c>
      <c r="I33" s="182">
        <f t="shared" ref="I33:K33" si="12">I32/I8</f>
        <v>82.884019032649164</v>
      </c>
      <c r="J33" s="182">
        <f t="shared" si="12"/>
        <v>343.97397477239321</v>
      </c>
      <c r="K33" s="182">
        <f t="shared" si="12"/>
        <v>685.01994103071036</v>
      </c>
      <c r="L33" s="182"/>
      <c r="M33" s="182"/>
      <c r="N33" s="182">
        <f>N32/N8</f>
        <v>157.85890727243594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2">
        <f>F31/F8</f>
        <v>0.27129991676506454</v>
      </c>
      <c r="G34" s="182">
        <f>G31/F8</f>
        <v>0</v>
      </c>
      <c r="H34" s="182">
        <f>H31/H8</f>
        <v>3.3172414456220177E-2</v>
      </c>
      <c r="I34" s="182">
        <f t="shared" ref="I34:K34" si="13">I31/I8</f>
        <v>0.11840574147521309</v>
      </c>
      <c r="J34" s="182">
        <f t="shared" si="13"/>
        <v>0.49139139253199027</v>
      </c>
      <c r="K34" s="182">
        <f t="shared" si="13"/>
        <v>0.97859991575815763</v>
      </c>
      <c r="L34" s="182"/>
      <c r="M34" s="182"/>
      <c r="N34" s="182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F17" sqref="F17:G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324</v>
      </c>
    </row>
    <row r="4" spans="2:24" ht="16.5" customHeight="1" thickTop="1" thickBot="1" x14ac:dyDescent="0.35">
      <c r="B4" s="30" t="s">
        <v>397</v>
      </c>
      <c r="E4" s="252" t="s">
        <v>408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258687.05624999997</v>
      </c>
      <c r="G9" s="70">
        <f t="shared" ref="G9:N9" si="0">G10+G11</f>
        <v>70065</v>
      </c>
      <c r="H9" s="70">
        <f t="shared" si="0"/>
        <v>2133627.4750000304</v>
      </c>
      <c r="I9" s="70">
        <f t="shared" si="0"/>
        <v>1939263.7749999701</v>
      </c>
      <c r="J9" s="70">
        <f t="shared" si="0"/>
        <v>918217.36249998491</v>
      </c>
      <c r="K9" s="70">
        <f t="shared" si="0"/>
        <v>559612.80000000005</v>
      </c>
      <c r="L9" s="70">
        <f t="shared" si="0"/>
        <v>15455</v>
      </c>
      <c r="M9" s="66">
        <f t="shared" si="0"/>
        <v>0</v>
      </c>
      <c r="N9" s="70">
        <f t="shared" si="0"/>
        <v>5894928.468749986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v>248878.02431196609</v>
      </c>
      <c r="G10" s="69">
        <v>67408.238456917024</v>
      </c>
      <c r="H10" s="69">
        <v>2052723.465539596</v>
      </c>
      <c r="I10" s="69">
        <v>1865729.7506038544</v>
      </c>
      <c r="J10" s="69">
        <v>883399.91331878107</v>
      </c>
      <c r="K10" s="69">
        <v>538393.10734236799</v>
      </c>
      <c r="L10" s="69">
        <v>14868.969176502569</v>
      </c>
      <c r="M10" s="64"/>
      <c r="N10" s="69">
        <f>SUM(F10:M10)</f>
        <v>5671401.468749986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v>9809.0319380338751</v>
      </c>
      <c r="G11" s="69">
        <v>2656.7615430829796</v>
      </c>
      <c r="H11" s="69">
        <v>80904.009460434201</v>
      </c>
      <c r="I11" s="69">
        <v>73534.024396115681</v>
      </c>
      <c r="J11" s="69">
        <v>34817.449181203796</v>
      </c>
      <c r="K11" s="69">
        <v>21219.692657632011</v>
      </c>
      <c r="L11" s="69">
        <v>586.03082349743022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v>33901672.37060678</v>
      </c>
      <c r="G12" s="71">
        <v>6741049.7456589853</v>
      </c>
      <c r="H12" s="71">
        <v>205279225.68586278</v>
      </c>
      <c r="I12" s="71">
        <v>186579227.53484952</v>
      </c>
      <c r="J12" s="71">
        <v>79329915.907128513</v>
      </c>
      <c r="K12" s="71">
        <v>53841115.009027503</v>
      </c>
      <c r="L12" s="71">
        <v>1486946.7468659044</v>
      </c>
      <c r="M12" s="68"/>
      <c r="N12" s="71">
        <f>SUM(F12:M12)</f>
        <v>567159153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v>259462.74642514053</v>
      </c>
      <c r="G13" s="71">
        <v>70275.094516939032</v>
      </c>
      <c r="H13" s="71">
        <v>2140025.2975032488</v>
      </c>
      <c r="I13" s="71">
        <v>1945078.7851480611</v>
      </c>
      <c r="J13" s="71">
        <v>920970.69773468806</v>
      </c>
      <c r="K13" s="71">
        <v>561290.83583656466</v>
      </c>
      <c r="L13" s="71">
        <v>15501.342835357065</v>
      </c>
      <c r="M13" s="68"/>
      <c r="N13" s="71">
        <f>SUM(F13:M13)</f>
        <v>5912604.8000000007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34161135.117031917</v>
      </c>
      <c r="G14" s="70">
        <f t="shared" ref="G14:N14" si="1">SUM(G12:G13)</f>
        <v>6811324.8401759248</v>
      </c>
      <c r="H14" s="70">
        <f t="shared" si="1"/>
        <v>207419250.98336604</v>
      </c>
      <c r="I14" s="70">
        <f t="shared" si="1"/>
        <v>188524306.31999758</v>
      </c>
      <c r="J14" s="70">
        <f t="shared" si="1"/>
        <v>80250886.604863197</v>
      </c>
      <c r="K14" s="70">
        <f t="shared" si="1"/>
        <v>54402405.84486407</v>
      </c>
      <c r="L14" s="70">
        <f t="shared" si="1"/>
        <v>1502448.0897012616</v>
      </c>
      <c r="M14" s="66"/>
      <c r="N14" s="70">
        <f t="shared" si="1"/>
        <v>573071757.79999995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v>39388086.101526022</v>
      </c>
      <c r="G15" s="72">
        <v>7853516.8211243618</v>
      </c>
      <c r="H15" s="72">
        <v>239156201.59745714</v>
      </c>
      <c r="I15" s="72">
        <v>217370165.95389128</v>
      </c>
      <c r="J15" s="72">
        <v>92529970.695856363</v>
      </c>
      <c r="K15" s="72">
        <v>62726447.414779164</v>
      </c>
      <c r="L15" s="72">
        <v>1732335.7235492326</v>
      </c>
      <c r="M15" s="67"/>
      <c r="N15" s="72">
        <f>SUM(F15:M15)</f>
        <v>660756724.30818355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2">$Q$15*(F14/$N$14)</f>
        <v>5292417.4533259887</v>
      </c>
      <c r="S15" s="95">
        <f t="shared" si="2"/>
        <v>1055245.2177283496</v>
      </c>
      <c r="T15" s="95">
        <f t="shared" si="2"/>
        <v>32134449.288626213</v>
      </c>
      <c r="U15" s="95">
        <f t="shared" si="2"/>
        <v>29207147.998038173</v>
      </c>
      <c r="V15" s="95">
        <f t="shared" si="2"/>
        <v>12432877.053336177</v>
      </c>
      <c r="W15" s="95">
        <f t="shared" si="2"/>
        <v>8428298.4511463828</v>
      </c>
      <c r="X15" s="96">
        <f t="shared" si="2"/>
        <v>232766.92842348735</v>
      </c>
    </row>
    <row r="16" spans="2:24" ht="30" customHeight="1" x14ac:dyDescent="0.3">
      <c r="D16" s="251"/>
      <c r="E16" s="102" t="s">
        <v>338</v>
      </c>
      <c r="F16" s="189">
        <f>F15/F8</f>
        <v>1361.4887059568982</v>
      </c>
      <c r="G16" s="189">
        <f>G15/F8</f>
        <v>271.46468671878625</v>
      </c>
      <c r="H16" s="188">
        <f>H15/H8</f>
        <v>8844.3574572644302</v>
      </c>
      <c r="I16" s="188">
        <f t="shared" ref="I16:N16" si="3">I15/I8</f>
        <v>8828.7027439707108</v>
      </c>
      <c r="J16" s="188">
        <f t="shared" si="3"/>
        <v>8110.3110191627402</v>
      </c>
      <c r="K16" s="188">
        <f t="shared" si="3"/>
        <v>11901.332200263951</v>
      </c>
      <c r="L16" s="188">
        <f t="shared" si="3"/>
        <v>798.66287861673345</v>
      </c>
      <c r="M16" s="188"/>
      <c r="N16" s="188">
        <f t="shared" si="3"/>
        <v>6644.7736564551096</v>
      </c>
      <c r="O16" s="64"/>
      <c r="P16" s="93"/>
      <c r="Q16" s="63"/>
    </row>
    <row r="17" spans="4:17" s="85" customFormat="1" ht="30" customHeight="1" x14ac:dyDescent="0.3">
      <c r="D17" s="251"/>
      <c r="E17" s="204" t="s">
        <v>339</v>
      </c>
      <c r="F17" s="205">
        <f>F9/F8</f>
        <v>8.9417775860900868</v>
      </c>
      <c r="G17" s="205">
        <f>G9/F8</f>
        <v>2.4218670066117851</v>
      </c>
      <c r="H17" s="205">
        <f>H9/H8</f>
        <v>78.904765770211327</v>
      </c>
      <c r="I17" s="205">
        <f t="shared" ref="I17:N17" si="4">I9/I8</f>
        <v>78.765102545199298</v>
      </c>
      <c r="J17" s="205">
        <f t="shared" si="4"/>
        <v>80.482338177198471</v>
      </c>
      <c r="K17" s="205">
        <f t="shared" si="4"/>
        <v>106.17750742808138</v>
      </c>
      <c r="L17" s="205">
        <f t="shared" si="4"/>
        <v>7.1252555848311117</v>
      </c>
      <c r="M17" s="205"/>
      <c r="N17" s="205">
        <f t="shared" si="4"/>
        <v>59.281220992262902</v>
      </c>
      <c r="O17" s="67"/>
      <c r="P17" s="206"/>
      <c r="Q17" s="207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2440.214209287336</v>
      </c>
      <c r="G20" s="188">
        <f>G19/F8</f>
        <v>1816.380471614023</v>
      </c>
      <c r="H20" s="188"/>
      <c r="I20" s="188">
        <f>I19/I8</f>
        <v>11860.669410952254</v>
      </c>
      <c r="J20" s="188">
        <f t="shared" ref="J20:L20" si="5">J19/J8</f>
        <v>15328.280047037308</v>
      </c>
      <c r="K20" s="188">
        <f t="shared" si="5"/>
        <v>36379.958727733341</v>
      </c>
      <c r="L20" s="188">
        <f t="shared" si="5"/>
        <v>0</v>
      </c>
      <c r="M20" s="188"/>
      <c r="N20" s="188">
        <f>N19/(N8-H8-L8)</f>
        <v>11173.898315379132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3.8079806852087925</v>
      </c>
      <c r="G21" s="188">
        <f>G18/F8</f>
        <v>2.8344813855160149</v>
      </c>
      <c r="H21" s="188"/>
      <c r="I21" s="188">
        <f>I18/I8</f>
        <v>18.508702989539355</v>
      </c>
      <c r="J21" s="188">
        <f t="shared" ref="J21:K21" si="6">J18/J8</f>
        <v>23.919946918773277</v>
      </c>
      <c r="K21" s="188">
        <f t="shared" si="6"/>
        <v>56.771319352476212</v>
      </c>
      <c r="L21" s="188"/>
      <c r="M21" s="188"/>
      <c r="N21" s="188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8">
        <f>F24/F8</f>
        <v>200.8392452720621</v>
      </c>
      <c r="G25" s="188">
        <f>G24/F8</f>
        <v>0</v>
      </c>
      <c r="H25" s="188">
        <f>H24/H8</f>
        <v>24.557039171555004</v>
      </c>
      <c r="I25" s="188">
        <f t="shared" ref="I25:K25" si="7">I24/I8</f>
        <v>87.653988387890763</v>
      </c>
      <c r="J25" s="188">
        <f t="shared" si="7"/>
        <v>363.76965236880233</v>
      </c>
      <c r="K25" s="188">
        <f t="shared" si="7"/>
        <v>724.44278954338654</v>
      </c>
      <c r="L25" s="188"/>
      <c r="M25" s="188"/>
      <c r="N25" s="188">
        <f>N24/N8</f>
        <v>166.94367607261725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8">
        <f>F23/F8</f>
        <v>4.4811366407928606E-2</v>
      </c>
      <c r="G26" s="188">
        <f>G23/F8</f>
        <v>0</v>
      </c>
      <c r="H26" s="188">
        <f t="shared" ref="H26:K26" si="8">H23/H8</f>
        <v>5.4791805193239477E-3</v>
      </c>
      <c r="I26" s="188">
        <f t="shared" si="8"/>
        <v>1.955740764433397E-2</v>
      </c>
      <c r="J26" s="188">
        <f t="shared" si="8"/>
        <v>8.1164491323901536E-2</v>
      </c>
      <c r="K26" s="188">
        <f t="shared" si="8"/>
        <v>0.16163808641998734</v>
      </c>
      <c r="L26" s="188"/>
      <c r="M26" s="188"/>
      <c r="N26" s="188">
        <f>N23/N8</f>
        <v>3.7248567767931375E-2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8">
        <f>F28/F8</f>
        <v>211.10460502119588</v>
      </c>
      <c r="G29" s="188">
        <f>G28/F8</f>
        <v>0</v>
      </c>
      <c r="H29" s="188">
        <f t="shared" ref="H29:N29" si="9">H28/H8</f>
        <v>25.812206413037607</v>
      </c>
      <c r="I29" s="188">
        <f t="shared" si="9"/>
        <v>92.134187081274618</v>
      </c>
      <c r="J29" s="188">
        <f t="shared" si="9"/>
        <v>382.3627632039113</v>
      </c>
      <c r="K29" s="188">
        <f t="shared" si="9"/>
        <v>761.47074113847918</v>
      </c>
      <c r="L29" s="188"/>
      <c r="M29" s="188"/>
      <c r="N29" s="188">
        <f t="shared" si="9"/>
        <v>175.47655464625856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8">
        <f>F27/F8</f>
        <v>0.3775212442655001</v>
      </c>
      <c r="G30" s="188">
        <f>G27/F8</f>
        <v>0</v>
      </c>
      <c r="H30" s="188">
        <f t="shared" ref="H30:N30" si="10">H27/H8</f>
        <v>4.6160320762825002E-2</v>
      </c>
      <c r="I30" s="188">
        <f t="shared" si="10"/>
        <v>0.16476482331032438</v>
      </c>
      <c r="J30" s="188">
        <f t="shared" si="10"/>
        <v>0.68378454421229684</v>
      </c>
      <c r="K30" s="188">
        <f t="shared" si="10"/>
        <v>1.3617485115377173</v>
      </c>
      <c r="L30" s="188"/>
      <c r="M30" s="188"/>
      <c r="N30" s="188">
        <f t="shared" si="10"/>
        <v>0.31380711587427068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SUMIFS(용수사용량!R:R,용수사용량!O:O,B2,용수사용량!Q:Q,B3,용수사용량!P:P,'20.2월-'!B6)</f>
        <v>5494125</v>
      </c>
      <c r="G32" s="89">
        <f>SUMIFS(용수사용량!S:S,용수사용량!O:O,B2,용수사용량!Q:Q,B3,용수사용량!P:P,'20.2월-'!B6)</f>
        <v>0</v>
      </c>
      <c r="H32" s="89">
        <f>SUMIFS(용수사용량!T:T,용수사용량!O:O,B2,용수사용량!Q:Q,B3,용수사용량!P:P,'20.2월-'!B6)</f>
        <v>627900</v>
      </c>
      <c r="I32" s="89">
        <f>SUMIFS(용수사용량!U:U,용수사용량!O:O,B2,용수사용량!Q:Q,B3,용수사용량!P:P,'20.2월-'!B6)</f>
        <v>2040675</v>
      </c>
      <c r="J32" s="89">
        <f>SUMIFS(용수사용량!V:V,용수사용량!O:O,B2,용수사용량!Q:Q,B3,용수사용량!P:P,'20.2월-'!B6)</f>
        <v>3924375</v>
      </c>
      <c r="K32" s="89">
        <f>SUMIFS(용수사용량!W:W,용수사용량!O:O,B2,용수사용량!Q:Q,B3,용수사용량!P:P,'20.2월-'!B6)</f>
        <v>3610425</v>
      </c>
      <c r="L32" s="89"/>
      <c r="M32" s="89"/>
      <c r="N32" s="89">
        <f>SUM(F32:M32)</f>
        <v>15697500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8">
        <f>F32/F8</f>
        <v>189.9099417355452</v>
      </c>
      <c r="G33" s="188">
        <f>G32/F8</f>
        <v>0</v>
      </c>
      <c r="H33" s="188">
        <f>H32/H8</f>
        <v>23.220690119354124</v>
      </c>
      <c r="I33" s="188">
        <f t="shared" ref="I33:K33" si="11">I32/I8</f>
        <v>82.884019032649164</v>
      </c>
      <c r="J33" s="188">
        <f t="shared" si="11"/>
        <v>343.97397477239321</v>
      </c>
      <c r="K33" s="188">
        <f t="shared" si="11"/>
        <v>685.01994103071036</v>
      </c>
      <c r="L33" s="188"/>
      <c r="M33" s="188"/>
      <c r="N33" s="188">
        <f>N32/N8</f>
        <v>157.85890727243594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8">
        <f>F31/F8</f>
        <v>0.27129991676506454</v>
      </c>
      <c r="G34" s="188">
        <f>G31/F8</f>
        <v>0</v>
      </c>
      <c r="H34" s="188">
        <f>H31/H8</f>
        <v>3.3172414456220177E-2</v>
      </c>
      <c r="I34" s="188">
        <f t="shared" ref="I34:K34" si="12">I31/I8</f>
        <v>0.11840574147521309</v>
      </c>
      <c r="J34" s="188">
        <f t="shared" si="12"/>
        <v>0.49139139253199027</v>
      </c>
      <c r="K34" s="188">
        <f t="shared" si="12"/>
        <v>0.97859991575815763</v>
      </c>
      <c r="L34" s="188"/>
      <c r="M34" s="188"/>
      <c r="N34" s="188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J8" sqref="J8:J1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409</v>
      </c>
    </row>
    <row r="4" spans="2:24" ht="16.5" customHeight="1" thickTop="1" thickBot="1" x14ac:dyDescent="0.35">
      <c r="B4" s="30" t="s">
        <v>397</v>
      </c>
      <c r="E4" s="252" t="s">
        <v>407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23803.14</v>
      </c>
      <c r="G8" s="74"/>
      <c r="H8" s="74">
        <f>SUMIFS(생산량!E:E,생산량!B:B,B2,생산량!C:C,B3)</f>
        <v>21718.05</v>
      </c>
      <c r="I8" s="74">
        <f>SUMIFS(생산량!F:F,생산량!B:B,B2,생산량!C:C,B3)</f>
        <v>26927.78</v>
      </c>
      <c r="J8" s="74">
        <f>SUMIFS(생산량!G:G,생산량!B:B,B2,생산량!C:C,B3)</f>
        <v>13299.08</v>
      </c>
      <c r="K8" s="74">
        <f>SUMIFS(생산량!H:H,생산량!B:B,B2,생산량!C:C,B3)</f>
        <v>4212.8040000000001</v>
      </c>
      <c r="L8" s="74">
        <f>SUMIFS(생산량!I:I,생산량!B:B,B2,생산량!C:C,B3)</f>
        <v>1830.972</v>
      </c>
      <c r="M8" s="64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258216</v>
      </c>
      <c r="G9" s="70">
        <f t="shared" ref="G9:N9" si="0">G10+G11</f>
        <v>56720</v>
      </c>
      <c r="H9" s="70">
        <f t="shared" si="0"/>
        <v>1901661</v>
      </c>
      <c r="I9" s="70">
        <f t="shared" si="0"/>
        <v>2132399</v>
      </c>
      <c r="J9" s="70">
        <f t="shared" si="0"/>
        <v>783629</v>
      </c>
      <c r="K9" s="70">
        <f t="shared" si="0"/>
        <v>568226</v>
      </c>
      <c r="L9" s="70">
        <f t="shared" si="0"/>
        <v>15517</v>
      </c>
      <c r="M9" s="66">
        <f t="shared" si="0"/>
        <v>0</v>
      </c>
      <c r="N9" s="70">
        <f t="shared" si="0"/>
        <v>5716368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247233.6277258567</v>
      </c>
      <c r="G10" s="69">
        <f>SUMIFS('라인별전력(본+ESS)'!Z:Z,'라인별전력(본+ESS)'!W:W,B2,'라인별전력(본+ESS)'!X:X,B3)</f>
        <v>54307.600476386404</v>
      </c>
      <c r="H10" s="69">
        <f>SUMIFS('라인별전력(본+ESS)'!AA:AA,'라인별전력(본+ESS)'!W:W,B2,'라인별전력(본+ESS)'!X:X,B3)</f>
        <v>1820780.0745685021</v>
      </c>
      <c r="I10" s="69">
        <f>SUMIFS('라인별전력(본+ESS)'!AB:AB,'라인별전력(본+ESS)'!W:W,B2,'라인별전력(본+ESS)'!X:X,B3)</f>
        <v>2041704.3890734466</v>
      </c>
      <c r="J10" s="69">
        <f>SUMIFS('라인별전력(본+ESS)'!AC:AC,'라인별전력(본+ESS)'!W:W,B2,'라인별전력(본+ESS)'!X:X,B3)</f>
        <v>750299.90574242244</v>
      </c>
      <c r="K10" s="69">
        <f>SUMIFS('라인별전력(본+ESS)'!AD:AD,'라인별전력(본+ESS)'!W:W,B2,'라인별전력(본+ESS)'!X:X,B3)</f>
        <v>544058.36721253779</v>
      </c>
      <c r="L10" s="69">
        <f>SUMIFS('라인별전력(본+ESS)'!AE:AE,'라인별전력(본+ESS)'!W:W,B2,'라인별전력(본+ESS)'!X:X,B3)</f>
        <v>14857.035200847811</v>
      </c>
      <c r="M10" s="64"/>
      <c r="N10" s="69">
        <f>SUM(F10:M10)</f>
        <v>5473241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10982.372274143301</v>
      </c>
      <c r="G11" s="69">
        <f>SUMIFS('라인별전력(본+ESS)'!O:O,'라인별전력(본+ESS)'!L:L,B2,'라인별전력(본+ESS)'!M:M,B3)</f>
        <v>2412.3995236135952</v>
      </c>
      <c r="H11" s="69">
        <f>SUMIFS('라인별전력(본+ESS)'!P:P,'라인별전력(본+ESS)'!L:L,B2,'라인별전력(본+ESS)'!M:M,B3)</f>
        <v>80880.925431497759</v>
      </c>
      <c r="I11" s="69">
        <f>SUMIFS('라인별전력(본+ESS)'!Q:Q,'라인별전력(본+ESS)'!L:L,B2,'라인별전력(본+ESS)'!M:M,B3)</f>
        <v>90694.61092655336</v>
      </c>
      <c r="J11" s="69">
        <f>SUMIFS('라인별전력(본+ESS)'!R:R,'라인별전력(본+ESS)'!L:L,B2,'라인별전력(본+ESS)'!M:M,B3)</f>
        <v>33329.094257577533</v>
      </c>
      <c r="K11" s="69">
        <f>SUMIFS('라인별전력(본+ESS)'!S:S,'라인별전력(본+ESS)'!L:L,B2,'라인별전력(본+ESS)'!M:M,B3)</f>
        <v>24167.632787462248</v>
      </c>
      <c r="L11" s="69">
        <f>SUMIFS('라인별전력(본+ESS)'!T:T,'라인별전력(본+ESS)'!L:L,B2,'라인별전력(본+ESS)'!M:M,B3)</f>
        <v>659.96479915218902</v>
      </c>
      <c r="M11" s="64"/>
      <c r="N11" s="69">
        <f>SUM(F11:M11)</f>
        <v>243126.99999999997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18792011.270249221</v>
      </c>
      <c r="G12" s="71">
        <f>SUMIFS('라인별전력금액(본+ESS)'!Z:Z,'라인별전력금액(본+ESS)'!W:W,B2,'라인별전력금액(본+ESS)'!X:X,B3)</f>
        <v>4127873.0955809699</v>
      </c>
      <c r="H12" s="71">
        <f>SUMIFS('라인별전력금액(본+ESS)'!AA:AA,'라인별전력금액(본+ESS)'!W:W,B2,'라인별전력금액(본+ESS)'!X:X,B3)</f>
        <v>138395897.01720035</v>
      </c>
      <c r="I12" s="71">
        <f>SUMIFS('라인별전력금액(본+ESS)'!AB:AB,'라인별전력금액(본+ESS)'!W:W,B2,'라인별전력금액(본+ESS)'!X:X,B3)</f>
        <v>155188160.45740068</v>
      </c>
      <c r="J12" s="71">
        <f>SUMIFS('라인별전력금액(본+ESS)'!AC:AC,'라인별전력금액(본+ESS)'!W:W,B2,'라인별전력금액(본+ESS)'!X:X,B3)</f>
        <v>57029637.976322636</v>
      </c>
      <c r="K12" s="71">
        <f>SUMIFS('라인별전력금액(본+ESS)'!AD:AD,'라인별전력금액(본+ESS)'!W:W,B2,'라인별전력금액(본+ESS)'!X:X,B3)</f>
        <v>41353399.46420297</v>
      </c>
      <c r="L12" s="71">
        <f>SUMIFS('라인별전력금액(본+ESS)'!AE:AE,'라인별전력금액(본+ESS)'!W:W,B2,'라인별전력금액(본+ESS)'!X:X,B3)</f>
        <v>1129270.2190431932</v>
      </c>
      <c r="M12" s="68"/>
      <c r="N12" s="71">
        <f>SUM(F12:M12)</f>
        <v>416016249.50000006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257393.70093457942</v>
      </c>
      <c r="G13" s="71">
        <f>SUMIFS('라인별전력금액(본+ESS)'!O:O,'라인별전력금액(본+ESS)'!L:L,B2,'라인별전력금액(본+ESS)'!M:M,B3)</f>
        <v>56539.372916509223</v>
      </c>
      <c r="H13" s="71">
        <f>SUMIFS('라인별전력금액(본+ESS)'!P:P,'라인별전력금액(본+ESS)'!L:L,B2,'라인별전력금액(본+ESS)'!M:M,B3)</f>
        <v>1895605.0853276064</v>
      </c>
      <c r="I13" s="71">
        <f>SUMIFS('라인별전력금액(본+ESS)'!Q:Q,'라인별전력금액(본+ESS)'!L:L,B2,'라인별전력금액(본+ESS)'!M:M,B3)</f>
        <v>2125608.2910400452</v>
      </c>
      <c r="J13" s="71">
        <f>SUMIFS('라인별전력금액(본+ESS)'!R:R,'라인별전력금액(본+ESS)'!L:L,B2,'라인별전력금액(본+ESS)'!M:M,B3)</f>
        <v>781133.50245400565</v>
      </c>
      <c r="K13" s="71">
        <f>SUMIFS('라인별전력금액(본+ESS)'!S:S,'라인별전력금액(본+ESS)'!L:L,B2,'라인별전력금액(본+ESS)'!M:M,B3)</f>
        <v>566416.46182751004</v>
      </c>
      <c r="L13" s="71">
        <f>SUMIFS('라인별전력금액(본+ESS)'!T:T,'라인별전력금액(본+ESS)'!L:L,B2,'라인별전력금액(본+ESS)'!M:M,B3)</f>
        <v>15467.585499743895</v>
      </c>
      <c r="M13" s="68"/>
      <c r="N13" s="71">
        <f>SUM(F13:M13)</f>
        <v>5698164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19049404.971183799</v>
      </c>
      <c r="G14" s="70">
        <f t="shared" ref="G14:N14" si="1">SUM(G12:G13)</f>
        <v>4184412.4684974793</v>
      </c>
      <c r="H14" s="70">
        <f t="shared" si="1"/>
        <v>140291502.10252795</v>
      </c>
      <c r="I14" s="70">
        <f t="shared" si="1"/>
        <v>157313768.74844071</v>
      </c>
      <c r="J14" s="70">
        <f t="shared" si="1"/>
        <v>57810771.478776641</v>
      </c>
      <c r="K14" s="70">
        <f t="shared" si="1"/>
        <v>41919815.926030479</v>
      </c>
      <c r="L14" s="70">
        <f t="shared" si="1"/>
        <v>1144737.8045429371</v>
      </c>
      <c r="M14" s="66"/>
      <c r="N14" s="70">
        <f t="shared" si="1"/>
        <v>421714413.50000006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22722249.71906817</v>
      </c>
      <c r="G15" s="72">
        <f t="shared" si="2"/>
        <v>4991193.4352075262</v>
      </c>
      <c r="H15" s="72">
        <f t="shared" si="2"/>
        <v>167340583.55412871</v>
      </c>
      <c r="I15" s="72">
        <f t="shared" si="2"/>
        <v>187644849.96549886</v>
      </c>
      <c r="J15" s="72">
        <f t="shared" si="2"/>
        <v>68957050.783466831</v>
      </c>
      <c r="K15" s="72">
        <f t="shared" si="2"/>
        <v>50002219.339108467</v>
      </c>
      <c r="L15" s="72">
        <f t="shared" si="2"/>
        <v>1365450.4325478701</v>
      </c>
      <c r="M15" s="67"/>
      <c r="N15" s="72">
        <f>SUM(F15:M15)</f>
        <v>503023597.22902638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3">$Q$15*(F14/$N$14)</f>
        <v>3672844.7478843709</v>
      </c>
      <c r="S15" s="95">
        <f t="shared" si="3"/>
        <v>806780.9667100471</v>
      </c>
      <c r="T15" s="95">
        <f t="shared" si="3"/>
        <v>27049081.451600756</v>
      </c>
      <c r="U15" s="95">
        <f t="shared" si="3"/>
        <v>30331081.217058141</v>
      </c>
      <c r="V15" s="95">
        <f t="shared" si="3"/>
        <v>11146279.304690188</v>
      </c>
      <c r="W15" s="95">
        <f t="shared" si="3"/>
        <v>8082403.413077984</v>
      </c>
      <c r="X15" s="96">
        <f t="shared" si="3"/>
        <v>220712.62800493304</v>
      </c>
    </row>
    <row r="16" spans="2:24" ht="30" customHeight="1" x14ac:dyDescent="0.3">
      <c r="D16" s="251"/>
      <c r="E16" s="102" t="s">
        <v>338</v>
      </c>
      <c r="F16" s="75">
        <f>F15/F8</f>
        <v>954.59043298775578</v>
      </c>
      <c r="G16" s="75">
        <f>G15/F8</f>
        <v>209.68634538163982</v>
      </c>
      <c r="H16" s="73">
        <f>H15/H8</f>
        <v>7705.1385163091854</v>
      </c>
      <c r="I16" s="73">
        <f t="shared" ref="I16:N16" si="4">I15/I8</f>
        <v>6968.4485674459193</v>
      </c>
      <c r="J16" s="73">
        <f t="shared" si="4"/>
        <v>5185.0993289360495</v>
      </c>
      <c r="K16" s="73">
        <f t="shared" si="4"/>
        <v>11869.106499877153</v>
      </c>
      <c r="L16" s="73">
        <f t="shared" si="4"/>
        <v>745.75167318116826</v>
      </c>
      <c r="M16" s="73"/>
      <c r="N16" s="73">
        <f t="shared" si="4"/>
        <v>5480.0478337692766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73">
        <f>F9/F8</f>
        <v>10.847980560547894</v>
      </c>
      <c r="G17" s="73">
        <f>G9/F8</f>
        <v>2.382878897489995</v>
      </c>
      <c r="H17" s="73">
        <f>H9/H8</f>
        <v>87.56131420638593</v>
      </c>
      <c r="I17" s="73">
        <f t="shared" ref="I17:N17" si="5">I9/I8</f>
        <v>79.189558144043076</v>
      </c>
      <c r="J17" s="73">
        <f t="shared" si="5"/>
        <v>58.923549598919628</v>
      </c>
      <c r="K17" s="73">
        <f t="shared" si="5"/>
        <v>134.88071127923351</v>
      </c>
      <c r="L17" s="73">
        <f t="shared" si="5"/>
        <v>8.4747336387448851</v>
      </c>
      <c r="M17" s="73"/>
      <c r="N17" s="73">
        <f t="shared" si="5"/>
        <v>62.275349005476805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90">
        <f>F19/F8</f>
        <v>2347.4994949092793</v>
      </c>
      <c r="G20" s="90">
        <f>G19/F8</f>
        <v>1970.7587346415592</v>
      </c>
      <c r="H20" s="64"/>
      <c r="I20" s="90">
        <f>I19/I8</f>
        <v>13078.456583392281</v>
      </c>
      <c r="J20" s="90">
        <f t="shared" ref="J20:L20" si="6">J19/J8</f>
        <v>16115.907188253128</v>
      </c>
      <c r="K20" s="90">
        <f t="shared" si="6"/>
        <v>43039.619650733599</v>
      </c>
      <c r="L20" s="90">
        <f t="shared" si="6"/>
        <v>0</v>
      </c>
      <c r="M20" s="90"/>
      <c r="N20" s="90">
        <f>N19/(N8-H8-L8)</f>
        <v>12506.303747754324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90">
        <f>F18/F8</f>
        <v>3.69422721565059</v>
      </c>
      <c r="G21" s="90">
        <f>G18/F8</f>
        <v>3.1013555354461637</v>
      </c>
      <c r="H21" s="64"/>
      <c r="I21" s="90">
        <f>I18/I8</f>
        <v>20.58138472610813</v>
      </c>
      <c r="J21" s="90">
        <f t="shared" ref="J21:K21" si="7">J18/J8</f>
        <v>25.361378381060945</v>
      </c>
      <c r="K21" s="90">
        <f t="shared" si="7"/>
        <v>67.730849190719255</v>
      </c>
      <c r="L21" s="64"/>
      <c r="M21" s="64"/>
      <c r="N21" s="64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3">
        <f>F24/F8</f>
        <v>219.51973563151753</v>
      </c>
      <c r="G25" s="183">
        <f>G24/F8</f>
        <v>0</v>
      </c>
      <c r="H25" s="183">
        <f>H24/H8</f>
        <v>48.119043836808551</v>
      </c>
      <c r="I25" s="183">
        <f t="shared" ref="I25:K25" si="8">I24/I8</f>
        <v>71.150622145605766</v>
      </c>
      <c r="J25" s="183">
        <f t="shared" si="8"/>
        <v>340.51662220243804</v>
      </c>
      <c r="K25" s="183">
        <f t="shared" si="8"/>
        <v>1116.2952513337912</v>
      </c>
      <c r="L25" s="183"/>
      <c r="M25" s="183"/>
      <c r="N25" s="183">
        <f>N24/N8</f>
        <v>189.75033790045751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3">
        <f>F23/F8</f>
        <v>4.8901111365979445E-2</v>
      </c>
      <c r="G26" s="183">
        <f>G23/F8</f>
        <v>0</v>
      </c>
      <c r="H26" s="183">
        <f t="shared" ref="H26:K26" si="9">H23/H8</f>
        <v>1.0719194402812406E-2</v>
      </c>
      <c r="I26" s="183">
        <f t="shared" si="9"/>
        <v>1.584980269446646E-2</v>
      </c>
      <c r="J26" s="183">
        <f t="shared" si="9"/>
        <v>7.5854871164020371E-2</v>
      </c>
      <c r="K26" s="183">
        <f t="shared" si="9"/>
        <v>0.24867048170292283</v>
      </c>
      <c r="L26" s="183"/>
      <c r="M26" s="183"/>
      <c r="N26" s="183">
        <f>N23/N8</f>
        <v>4.2269558947438307E-2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3">
        <f>F28/F8</f>
        <v>238.99888838195298</v>
      </c>
      <c r="G29" s="183">
        <f>G28/F8</f>
        <v>0</v>
      </c>
      <c r="H29" s="183">
        <f t="shared" ref="H29:N29" si="10">H28/H8</f>
        <v>52.388902318578332</v>
      </c>
      <c r="I29" s="183">
        <f t="shared" si="10"/>
        <v>77.464194968913148</v>
      </c>
      <c r="J29" s="183">
        <f t="shared" si="10"/>
        <v>370.73247171984826</v>
      </c>
      <c r="K29" s="183">
        <f t="shared" si="10"/>
        <v>1215.3500613842943</v>
      </c>
      <c r="L29" s="183"/>
      <c r="M29" s="183"/>
      <c r="N29" s="183">
        <f t="shared" si="10"/>
        <v>206.58789378479082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3">
        <f>F27/F8</f>
        <v>0.42735538252516264</v>
      </c>
      <c r="G30" s="183">
        <f>G27/F8</f>
        <v>0</v>
      </c>
      <c r="H30" s="183">
        <f t="shared" ref="H30:N30" si="11">H27/H8</f>
        <v>9.3676918507877086E-2</v>
      </c>
      <c r="I30" s="183">
        <f t="shared" si="11"/>
        <v>0.13851420354741462</v>
      </c>
      <c r="J30" s="183">
        <f t="shared" si="11"/>
        <v>0.66290901325505225</v>
      </c>
      <c r="K30" s="183">
        <f t="shared" si="11"/>
        <v>2.1731749210264706</v>
      </c>
      <c r="L30" s="183"/>
      <c r="M30" s="183"/>
      <c r="N30" s="183">
        <f t="shared" si="11"/>
        <v>0.36940108370869534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SUMIFS(용수사용량!R:R,용수사용량!O:O,B2,용수사용량!Q:Q,B3,용수사용량!P:P,'20.3월'!B6)</f>
        <v>5055330</v>
      </c>
      <c r="G32" s="89">
        <f>SUMIFS(용수사용량!S:S,용수사용량!O:O,B2,용수사용량!Q:Q,B3,용수사용량!P:P,'20.3월'!B6)</f>
        <v>0</v>
      </c>
      <c r="H32" s="89">
        <f>SUMIFS(용수사용량!T:T,용수사용량!O:O,B2,용수사용량!Q:Q,B3,용수사용량!P:P,'20.3월'!B6)</f>
        <v>1011066</v>
      </c>
      <c r="I32" s="89">
        <f>SUMIFS(용수사용량!U:U,용수사용량!O:O,B2,용수사용량!Q:Q,B3,용수사용량!P:P,'20.3월'!B6)</f>
        <v>1853621</v>
      </c>
      <c r="J32" s="89">
        <f>SUMIFS(용수사용량!V:V,용수사용량!O:O,B2,용수사용량!Q:Q,B3,용수사용량!P:P,'20.3월'!B6)</f>
        <v>4381286</v>
      </c>
      <c r="K32" s="89">
        <f>SUMIFS(용수사용량!W:W,용수사용량!O:O,B2,용수사용량!Q:Q,B3,용수사용량!P:P,'20.3월'!B6)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2">
        <f>F32/F8</f>
        <v>212.38080354104542</v>
      </c>
      <c r="G33" s="182">
        <f>G32/F8</f>
        <v>0</v>
      </c>
      <c r="H33" s="182">
        <f>H32/H8</f>
        <v>46.554179587946436</v>
      </c>
      <c r="I33" s="182">
        <f t="shared" ref="I33:K33" si="12">I32/I8</f>
        <v>68.836755202248384</v>
      </c>
      <c r="J33" s="182">
        <f t="shared" si="12"/>
        <v>329.44278852371741</v>
      </c>
      <c r="K33" s="182">
        <f t="shared" si="12"/>
        <v>1079.9925655216809</v>
      </c>
      <c r="L33" s="182"/>
      <c r="M33" s="182"/>
      <c r="N33" s="182">
        <f>N32/N8</f>
        <v>183.57952700494269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2">
        <f>F31/F8</f>
        <v>0.30340114791577916</v>
      </c>
      <c r="G34" s="182">
        <f>G31/F8</f>
        <v>0</v>
      </c>
      <c r="H34" s="182">
        <f>H31/H8</f>
        <v>6.6505970839923476E-2</v>
      </c>
      <c r="I34" s="182">
        <f t="shared" ref="I34:K34" si="13">I31/I8</f>
        <v>9.8338221717497704E-2</v>
      </c>
      <c r="J34" s="182">
        <f t="shared" si="13"/>
        <v>0.47063255503388207</v>
      </c>
      <c r="K34" s="182">
        <f t="shared" si="13"/>
        <v>1.5428465221738301</v>
      </c>
      <c r="L34" s="182"/>
      <c r="M34" s="182"/>
      <c r="N34" s="182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J8" sqref="J8:J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482</v>
      </c>
    </row>
    <row r="2" spans="2:24" x14ac:dyDescent="0.3">
      <c r="B2" s="52" t="s">
        <v>24</v>
      </c>
      <c r="H2" s="30" t="s">
        <v>483</v>
      </c>
    </row>
    <row r="3" spans="2:24" ht="17.25" thickBot="1" x14ac:dyDescent="0.35">
      <c r="B3" s="52" t="s">
        <v>409</v>
      </c>
    </row>
    <row r="4" spans="2:24" ht="16.5" customHeight="1" thickTop="1" thickBot="1" x14ac:dyDescent="0.35">
      <c r="B4" s="30" t="s">
        <v>397</v>
      </c>
      <c r="E4" s="252" t="s">
        <v>407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89">
        <f>SUMIFS(생산량!D:D,생산량!B:B,B2,생산량!C:C,B3)</f>
        <v>23803.14</v>
      </c>
      <c r="G8" s="89"/>
      <c r="H8" s="89">
        <f>SUMIFS(생산량!E:E,생산량!B:B,B2,생산량!C:C,B3)</f>
        <v>21718.05</v>
      </c>
      <c r="I8" s="89">
        <f>SUMIFS(생산량!F:F,생산량!B:B,B2,생산량!C:C,B3)</f>
        <v>26927.78</v>
      </c>
      <c r="J8" s="89">
        <f>SUMIFS(생산량!G:G,생산량!B:B,B2,생산량!C:C,B3)</f>
        <v>13299.08</v>
      </c>
      <c r="K8" s="89">
        <f>SUMIFS(생산량!H:H,생산량!B:B,B2,생산량!C:C,B3)</f>
        <v>4212.8040000000001</v>
      </c>
      <c r="L8" s="89">
        <f>SUMIFS(생산량!I:I,생산량!B:B,B2,생산량!C:C,B3)</f>
        <v>1830.972</v>
      </c>
      <c r="M8" s="89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299160.8</v>
      </c>
      <c r="G9" s="70">
        <f t="shared" ref="G9:N9" si="0">G10+G11</f>
        <v>56720</v>
      </c>
      <c r="H9" s="70">
        <f t="shared" si="0"/>
        <v>1893027.2</v>
      </c>
      <c r="I9" s="70">
        <f t="shared" si="0"/>
        <v>2119474.5500000003</v>
      </c>
      <c r="J9" s="70">
        <f t="shared" si="0"/>
        <v>773935.60000000009</v>
      </c>
      <c r="K9" s="70">
        <f t="shared" si="0"/>
        <v>558532.6</v>
      </c>
      <c r="L9" s="70">
        <f t="shared" si="0"/>
        <v>15517</v>
      </c>
      <c r="M9" s="66">
        <f t="shared" si="0"/>
        <v>0</v>
      </c>
      <c r="N9" s="70">
        <f t="shared" si="0"/>
        <v>5716367.7499999991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v>286436.97413669719</v>
      </c>
      <c r="G10" s="69">
        <v>54307.60037088237</v>
      </c>
      <c r="H10" s="69">
        <v>1812513.4814670382</v>
      </c>
      <c r="I10" s="69">
        <v>2029329.6343028166</v>
      </c>
      <c r="J10" s="69">
        <v>741018.78133989905</v>
      </c>
      <c r="K10" s="69">
        <v>534777.24321068218</v>
      </c>
      <c r="L10" s="69">
        <v>14857.035171984868</v>
      </c>
      <c r="M10" s="64"/>
      <c r="N10" s="69">
        <f>SUM(F10:M10)</f>
        <v>5473240.7499999991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v>12723.825863302793</v>
      </c>
      <c r="G11" s="69">
        <v>2412.3996291176331</v>
      </c>
      <c r="H11" s="69">
        <v>80513.718532961764</v>
      </c>
      <c r="I11" s="69">
        <v>90144.915697183766</v>
      </c>
      <c r="J11" s="69">
        <v>32916.818660101075</v>
      </c>
      <c r="K11" s="69">
        <v>23755.356789317833</v>
      </c>
      <c r="L11" s="69">
        <v>659.96482801513253</v>
      </c>
      <c r="M11" s="64"/>
      <c r="N11" s="69">
        <f>SUM(F11:M11)</f>
        <v>243127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v>21770198.625004418</v>
      </c>
      <c r="G12" s="71">
        <v>4127565.0620343676</v>
      </c>
      <c r="H12" s="71">
        <v>137757280.18689603</v>
      </c>
      <c r="I12" s="71">
        <v>154236056.10809261</v>
      </c>
      <c r="J12" s="71">
        <v>56319984.88759882</v>
      </c>
      <c r="K12" s="71">
        <v>40644916.180663191</v>
      </c>
      <c r="L12" s="71">
        <v>1129185.9497106359</v>
      </c>
      <c r="M12" s="68"/>
      <c r="N12" s="71">
        <f>SUM(F12:M12)</f>
        <v>415985187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v>298208.10270768177</v>
      </c>
      <c r="G13" s="71">
        <v>56539.371420251955</v>
      </c>
      <c r="H13" s="71">
        <v>1886998.7300676934</v>
      </c>
      <c r="I13" s="71">
        <v>2112724.9435511529</v>
      </c>
      <c r="J13" s="71">
        <v>771470.95105351822</v>
      </c>
      <c r="K13" s="71">
        <v>556753.9161092916</v>
      </c>
      <c r="L13" s="71">
        <v>15467.585090409901</v>
      </c>
      <c r="M13" s="68"/>
      <c r="N13" s="71">
        <f>SUM(F13:M13)</f>
        <v>5698163.5999999996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22068406.727712099</v>
      </c>
      <c r="G14" s="70">
        <f t="shared" ref="G14:N14" si="1">SUM(G12:G13)</f>
        <v>4184104.4334546197</v>
      </c>
      <c r="H14" s="70">
        <f t="shared" si="1"/>
        <v>139644278.91696373</v>
      </c>
      <c r="I14" s="70">
        <f t="shared" si="1"/>
        <v>156348781.05164376</v>
      </c>
      <c r="J14" s="70">
        <f t="shared" si="1"/>
        <v>57091455.838652335</v>
      </c>
      <c r="K14" s="70">
        <f t="shared" si="1"/>
        <v>41201670.096772484</v>
      </c>
      <c r="L14" s="70">
        <f t="shared" si="1"/>
        <v>1144653.5348010459</v>
      </c>
      <c r="M14" s="66"/>
      <c r="N14" s="70">
        <f t="shared" si="1"/>
        <v>421683350.60000002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v>26657318.056686934</v>
      </c>
      <c r="G15" s="72">
        <v>5054148.4050560221</v>
      </c>
      <c r="H15" s="72">
        <v>168681953.51917604</v>
      </c>
      <c r="I15" s="72">
        <v>188859995.00069338</v>
      </c>
      <c r="J15" s="72">
        <v>68963070.845487922</v>
      </c>
      <c r="K15" s="72">
        <v>49769158.135786191</v>
      </c>
      <c r="L15" s="72">
        <v>1382673.1452971487</v>
      </c>
      <c r="M15" s="67"/>
      <c r="N15" s="72">
        <f>SUM(F15:M15)</f>
        <v>509368317.10818362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2">$Q$15*(F14/$N$14)</f>
        <v>4255240.6555233486</v>
      </c>
      <c r="S15" s="95">
        <f t="shared" si="2"/>
        <v>806781.00199385895</v>
      </c>
      <c r="T15" s="95">
        <f t="shared" si="2"/>
        <v>26926276.114556219</v>
      </c>
      <c r="U15" s="95">
        <f t="shared" si="2"/>
        <v>30147246.141563524</v>
      </c>
      <c r="V15" s="95">
        <f t="shared" si="2"/>
        <v>11008401.601669926</v>
      </c>
      <c r="W15" s="95">
        <f t="shared" si="2"/>
        <v>7944525.5760619733</v>
      </c>
      <c r="X15" s="96">
        <f t="shared" si="2"/>
        <v>220712.63765759356</v>
      </c>
    </row>
    <row r="16" spans="2:24" ht="30" customHeight="1" x14ac:dyDescent="0.3">
      <c r="D16" s="251"/>
      <c r="E16" s="102" t="s">
        <v>338</v>
      </c>
      <c r="F16" s="189">
        <f>F15/F8</f>
        <v>1119.9076280140744</v>
      </c>
      <c r="G16" s="189">
        <f>G15/F8</f>
        <v>212.33116324384187</v>
      </c>
      <c r="H16" s="188">
        <f>H15/H8</f>
        <v>7766.9014261950797</v>
      </c>
      <c r="I16" s="188">
        <f t="shared" ref="I16:N16" si="3">I15/I8</f>
        <v>7013.5746430152576</v>
      </c>
      <c r="J16" s="188">
        <f t="shared" si="3"/>
        <v>5185.5519964905789</v>
      </c>
      <c r="K16" s="188">
        <f t="shared" si="3"/>
        <v>11813.784390583134</v>
      </c>
      <c r="L16" s="188">
        <f t="shared" si="3"/>
        <v>755.15799547843915</v>
      </c>
      <c r="M16" s="188"/>
      <c r="N16" s="188">
        <f t="shared" si="3"/>
        <v>5549.1685840107766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188">
        <f>F9/F8</f>
        <v>12.568123365236687</v>
      </c>
      <c r="G17" s="188">
        <f>G9/F8</f>
        <v>2.382878897489995</v>
      </c>
      <c r="H17" s="188">
        <f>H9/H8</f>
        <v>87.163773911562046</v>
      </c>
      <c r="I17" s="188">
        <f t="shared" ref="I17:N17" si="4">I9/I8</f>
        <v>78.709590987448664</v>
      </c>
      <c r="J17" s="188">
        <f t="shared" si="4"/>
        <v>58.194672112657422</v>
      </c>
      <c r="K17" s="188">
        <f t="shared" si="4"/>
        <v>132.57977347154056</v>
      </c>
      <c r="L17" s="188">
        <f t="shared" si="4"/>
        <v>8.4747336387448851</v>
      </c>
      <c r="M17" s="188"/>
      <c r="N17" s="188">
        <f t="shared" si="4"/>
        <v>62.275346281922737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2347.4994949092793</v>
      </c>
      <c r="G20" s="188">
        <f>G19/F8</f>
        <v>1970.7587346415592</v>
      </c>
      <c r="H20" s="188"/>
      <c r="I20" s="188">
        <f>I19/I8</f>
        <v>13078.456583392281</v>
      </c>
      <c r="J20" s="188">
        <f t="shared" ref="J20:L20" si="5">J19/J8</f>
        <v>16115.907188253128</v>
      </c>
      <c r="K20" s="188">
        <f t="shared" si="5"/>
        <v>43039.619650733599</v>
      </c>
      <c r="L20" s="188">
        <f t="shared" si="5"/>
        <v>0</v>
      </c>
      <c r="M20" s="188"/>
      <c r="N20" s="188">
        <f>N19/(N8-H8-L8)</f>
        <v>12506.303747754324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3.69422721565059</v>
      </c>
      <c r="G21" s="188">
        <f>G18/F8</f>
        <v>3.1013555354461637</v>
      </c>
      <c r="H21" s="188"/>
      <c r="I21" s="188">
        <f>I18/I8</f>
        <v>20.58138472610813</v>
      </c>
      <c r="J21" s="188">
        <f t="shared" ref="J21:K21" si="6">J18/J8</f>
        <v>25.361378381060945</v>
      </c>
      <c r="K21" s="188">
        <f t="shared" si="6"/>
        <v>67.730849190719255</v>
      </c>
      <c r="L21" s="188"/>
      <c r="M21" s="188"/>
      <c r="N21" s="188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321</v>
      </c>
      <c r="E22" s="102" t="s">
        <v>344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8">
        <f>F24/F8</f>
        <v>219.51973563151753</v>
      </c>
      <c r="G25" s="188">
        <f>G24/F8</f>
        <v>0</v>
      </c>
      <c r="H25" s="188">
        <f>H24/H8</f>
        <v>48.119043836808551</v>
      </c>
      <c r="I25" s="188">
        <f t="shared" ref="I25:K25" si="7">I24/I8</f>
        <v>71.150622145605766</v>
      </c>
      <c r="J25" s="188">
        <f t="shared" si="7"/>
        <v>340.51662220243804</v>
      </c>
      <c r="K25" s="188">
        <f t="shared" si="7"/>
        <v>1116.2952513337912</v>
      </c>
      <c r="L25" s="188"/>
      <c r="M25" s="188"/>
      <c r="N25" s="188">
        <f>N24/N8</f>
        <v>189.75033790045751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8">
        <f>F23/F8</f>
        <v>4.8901111365979445E-2</v>
      </c>
      <c r="G26" s="188">
        <f>G23/F8</f>
        <v>0</v>
      </c>
      <c r="H26" s="188">
        <f t="shared" ref="H26:K26" si="8">H23/H8</f>
        <v>1.0719194402812406E-2</v>
      </c>
      <c r="I26" s="188">
        <f t="shared" si="8"/>
        <v>1.584980269446646E-2</v>
      </c>
      <c r="J26" s="188">
        <f t="shared" si="8"/>
        <v>7.5854871164020371E-2</v>
      </c>
      <c r="K26" s="188">
        <f t="shared" si="8"/>
        <v>0.24867048170292283</v>
      </c>
      <c r="L26" s="188"/>
      <c r="M26" s="188"/>
      <c r="N26" s="188">
        <f>N23/N8</f>
        <v>4.2269558947438307E-2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8">
        <f>F28/F8</f>
        <v>238.99888838195298</v>
      </c>
      <c r="G29" s="188">
        <f>G28/F8</f>
        <v>0</v>
      </c>
      <c r="H29" s="188">
        <f t="shared" ref="H29:N29" si="9">H28/H8</f>
        <v>52.388902318578332</v>
      </c>
      <c r="I29" s="188">
        <f t="shared" si="9"/>
        <v>77.464194968913148</v>
      </c>
      <c r="J29" s="188">
        <f t="shared" si="9"/>
        <v>370.73247171984826</v>
      </c>
      <c r="K29" s="188">
        <f t="shared" si="9"/>
        <v>1215.3500613842943</v>
      </c>
      <c r="L29" s="188"/>
      <c r="M29" s="188"/>
      <c r="N29" s="188">
        <f t="shared" si="9"/>
        <v>206.58789378479082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8">
        <f>F27/F8</f>
        <v>0.42735538252516264</v>
      </c>
      <c r="G30" s="188">
        <f>G27/F8</f>
        <v>0</v>
      </c>
      <c r="H30" s="188">
        <f t="shared" ref="H30:N30" si="10">H27/H8</f>
        <v>9.3676918507877086E-2</v>
      </c>
      <c r="I30" s="188">
        <f t="shared" si="10"/>
        <v>0.13851420354741462</v>
      </c>
      <c r="J30" s="188">
        <f t="shared" si="10"/>
        <v>0.66290901325505225</v>
      </c>
      <c r="K30" s="188">
        <f t="shared" si="10"/>
        <v>2.1731749210264706</v>
      </c>
      <c r="L30" s="188"/>
      <c r="M30" s="188"/>
      <c r="N30" s="188">
        <f t="shared" si="10"/>
        <v>0.36940108370869534</v>
      </c>
      <c r="O30" s="64"/>
      <c r="P30" s="63"/>
      <c r="Q30" s="63"/>
    </row>
    <row r="31" spans="4:17" ht="30" customHeight="1" x14ac:dyDescent="0.3">
      <c r="D31" s="251" t="s">
        <v>399</v>
      </c>
      <c r="E31" s="102" t="s">
        <v>340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SUMIFS(용수사용량!R:R,용수사용량!O:O,B2,용수사용량!Q:Q,B3,용수사용량!P:P,'20.3월-'!B6)</f>
        <v>5055330</v>
      </c>
      <c r="G32" s="89">
        <f>SUMIFS(용수사용량!S:S,용수사용량!O:O,B2,용수사용량!Q:Q,B3,용수사용량!P:P,'20.3월-'!B6)</f>
        <v>0</v>
      </c>
      <c r="H32" s="89">
        <f>SUMIFS(용수사용량!T:T,용수사용량!O:O,B2,용수사용량!Q:Q,B3,용수사용량!P:P,'20.3월-'!B6)</f>
        <v>1011066</v>
      </c>
      <c r="I32" s="89">
        <f>SUMIFS(용수사용량!U:U,용수사용량!O:O,B2,용수사용량!Q:Q,B3,용수사용량!P:P,'20.3월-'!B6)</f>
        <v>1853621</v>
      </c>
      <c r="J32" s="89">
        <f>SUMIFS(용수사용량!V:V,용수사용량!O:O,B2,용수사용량!Q:Q,B3,용수사용량!P:P,'20.3월-'!B6)</f>
        <v>4381286</v>
      </c>
      <c r="K32" s="89">
        <f>SUMIFS(용수사용량!W:W,용수사용량!O:O,B2,용수사용량!Q:Q,B3,용수사용량!P:P,'20.3월-'!B6)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8">
        <f>F32/F8</f>
        <v>212.38080354104542</v>
      </c>
      <c r="G33" s="188">
        <f>G32/F8</f>
        <v>0</v>
      </c>
      <c r="H33" s="188">
        <f>H32/H8</f>
        <v>46.554179587946436</v>
      </c>
      <c r="I33" s="188">
        <f t="shared" ref="I33:K33" si="11">I32/I8</f>
        <v>68.836755202248384</v>
      </c>
      <c r="J33" s="188">
        <f t="shared" si="11"/>
        <v>329.44278852371741</v>
      </c>
      <c r="K33" s="188">
        <f t="shared" si="11"/>
        <v>1079.9925655216809</v>
      </c>
      <c r="L33" s="188"/>
      <c r="M33" s="188"/>
      <c r="N33" s="188">
        <f>N32/N8</f>
        <v>183.57952700494269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8">
        <f>F31/F8</f>
        <v>0.30340114791577916</v>
      </c>
      <c r="G34" s="188">
        <f>G31/F8</f>
        <v>0</v>
      </c>
      <c r="H34" s="188">
        <f>H31/H8</f>
        <v>6.6505970839923476E-2</v>
      </c>
      <c r="I34" s="188">
        <f t="shared" ref="I34:K34" si="12">I31/I8</f>
        <v>9.8338221717497704E-2</v>
      </c>
      <c r="J34" s="188">
        <f t="shared" si="12"/>
        <v>0.47063255503388207</v>
      </c>
      <c r="K34" s="188">
        <f t="shared" si="12"/>
        <v>1.5428465221738301</v>
      </c>
      <c r="L34" s="188"/>
      <c r="M34" s="188"/>
      <c r="N34" s="188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3" workbookViewId="0">
      <selection activeCell="D23" sqref="D23:N26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411</v>
      </c>
    </row>
    <row r="4" spans="2:24" ht="16.5" customHeight="1" thickTop="1" thickBot="1" x14ac:dyDescent="0.35">
      <c r="B4" s="30" t="s">
        <v>397</v>
      </c>
      <c r="D4" s="252" t="s">
        <v>410</v>
      </c>
      <c r="E4" s="252"/>
      <c r="F4" s="252"/>
      <c r="G4" s="252"/>
      <c r="H4" s="252"/>
      <c r="I4" s="252"/>
      <c r="J4" s="252"/>
      <c r="K4" s="252"/>
      <c r="L4" s="257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D5" s="252"/>
      <c r="E5" s="252"/>
      <c r="F5" s="252"/>
      <c r="G5" s="252"/>
      <c r="H5" s="252"/>
      <c r="I5" s="252"/>
      <c r="J5" s="252"/>
      <c r="K5" s="252"/>
      <c r="L5" s="257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24.95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24.95" customHeight="1" x14ac:dyDescent="0.3">
      <c r="D8" s="251" t="s">
        <v>283</v>
      </c>
      <c r="E8" s="201" t="s">
        <v>330</v>
      </c>
      <c r="F8" s="74">
        <f>SUMIFS(생산량!D:D,생산량!B:B,B2,생산량!C:C,B3)</f>
        <v>25935.35</v>
      </c>
      <c r="G8" s="74"/>
      <c r="H8" s="74">
        <f>SUMIFS(생산량!E:E,생산량!B:B,B2,생산량!C:C,B3)</f>
        <v>26465.74</v>
      </c>
      <c r="I8" s="74">
        <f>SUMIFS(생산량!F:F,생산량!B:B,B2,생산량!C:C,B3)</f>
        <v>24694.04</v>
      </c>
      <c r="J8" s="74">
        <f>SUMIFS(생산량!G:G,생산량!B:B,B2,생산량!C:C,B3)</f>
        <v>12905.32</v>
      </c>
      <c r="K8" s="74">
        <f>SUMIFS(생산량!H:H,생산량!B:B,B2,생산량!C:C,B3)</f>
        <v>4553.6120000000001</v>
      </c>
      <c r="L8" s="74">
        <f>SUMIFS(생산량!I:I,생산량!B:B,B2,생산량!C:C,B3)</f>
        <v>2268.9749999999999</v>
      </c>
      <c r="M8" s="64"/>
      <c r="N8" s="69">
        <f>SUM(F8:M8)</f>
        <v>96823.037000000011</v>
      </c>
      <c r="O8" s="64"/>
      <c r="P8" s="93"/>
      <c r="Q8" s="63" t="s">
        <v>493</v>
      </c>
    </row>
    <row r="9" spans="2:24" ht="24.95" customHeight="1" x14ac:dyDescent="0.3">
      <c r="D9" s="251"/>
      <c r="E9" s="202" t="s">
        <v>331</v>
      </c>
      <c r="F9" s="70">
        <f>F10+F11</f>
        <v>254988</v>
      </c>
      <c r="G9" s="70">
        <f t="shared" ref="G9:N9" si="0">G10+G11</f>
        <v>56733</v>
      </c>
      <c r="H9" s="70">
        <f t="shared" si="0"/>
        <v>1973327</v>
      </c>
      <c r="I9" s="70">
        <f t="shared" si="0"/>
        <v>1891128</v>
      </c>
      <c r="J9" s="70">
        <f t="shared" si="0"/>
        <v>761813</v>
      </c>
      <c r="K9" s="70">
        <f t="shared" si="0"/>
        <v>578036</v>
      </c>
      <c r="L9" s="70">
        <f t="shared" si="0"/>
        <v>20631</v>
      </c>
      <c r="M9" s="66">
        <f t="shared" si="0"/>
        <v>0</v>
      </c>
      <c r="N9" s="70">
        <f t="shared" si="0"/>
        <v>5536656</v>
      </c>
      <c r="O9" s="64"/>
      <c r="P9" s="93"/>
      <c r="Q9" s="213">
        <f>F9+G9</f>
        <v>311721</v>
      </c>
    </row>
    <row r="10" spans="2:24" ht="24.95" customHeight="1" x14ac:dyDescent="0.3">
      <c r="D10" s="251"/>
      <c r="E10" s="201" t="s">
        <v>332</v>
      </c>
      <c r="F10" s="69">
        <f>SUMIFS('라인별전력(본+ESS)'!Y:Y,'라인별전력(본+ESS)'!W:W,B2,'라인별전력(본+ESS)'!X:X,B3)</f>
        <v>245046.16605763478</v>
      </c>
      <c r="G10" s="69">
        <f>SUMIFS('라인별전력(본+ESS)'!Z:Z,'라인별전력(본+ESS)'!W:W,B2,'라인별전력(본+ESS)'!X:X,B3)</f>
        <v>54521.013298460297</v>
      </c>
      <c r="H10" s="69">
        <f>SUMIFS('라인별전력(본+ESS)'!AA:AA,'라인별전력(본+ESS)'!W:W,B2,'라인별전력(본+ESS)'!X:X,B3)</f>
        <v>1896388.1270021109</v>
      </c>
      <c r="I10" s="69">
        <f>SUMIFS('라인별전력(본+ESS)'!AB:AB,'라인별전력(본+ESS)'!W:W,B2,'라인별전력(본+ESS)'!X:X,B3)</f>
        <v>1817394.0182449478</v>
      </c>
      <c r="J10" s="69">
        <f>SUMIFS('라인별전력(본+ESS)'!AC:AC,'라인별전력(본+ESS)'!W:W,B2,'라인별전력(본+ESS)'!X:X,B3)</f>
        <v>732110.3538318075</v>
      </c>
      <c r="K10" s="69">
        <f>SUMIFS('라인별전력(본+ESS)'!AD:AD,'라인별전력(본+ESS)'!W:W,B2,'라인별전력(본+ESS)'!X:X,B3)</f>
        <v>555498.712266032</v>
      </c>
      <c r="L10" s="69">
        <f>SUMIFS('라인별전력(본+ESS)'!AE:AE,'라인별전력(본+ESS)'!W:W,B2,'라인별전력(본+ESS)'!X:X,B3)</f>
        <v>19826.609299006475</v>
      </c>
      <c r="M10" s="64"/>
      <c r="N10" s="69">
        <f>SUM(F10:M10)</f>
        <v>5320785</v>
      </c>
      <c r="O10" s="64"/>
      <c r="P10" s="93"/>
      <c r="Q10" s="213">
        <f>SUM(F12:G13)</f>
        <v>23235199.78266475</v>
      </c>
    </row>
    <row r="11" spans="2:24" ht="24.95" customHeight="1" x14ac:dyDescent="0.3">
      <c r="D11" s="251"/>
      <c r="E11" s="201" t="s">
        <v>333</v>
      </c>
      <c r="F11" s="69">
        <f>SUMIFS('라인별전력(본+ESS)'!N:N,'라인별전력(본+ESS)'!L:L,B2,'라인별전력(본+ESS)'!M:M,B3)</f>
        <v>9941.8339423652105</v>
      </c>
      <c r="G11" s="69">
        <f>SUMIFS('라인별전력(본+ESS)'!O:O,'라인별전력(본+ESS)'!L:L,B2,'라인별전력(본+ESS)'!M:M,B3)</f>
        <v>2211.9867015397017</v>
      </c>
      <c r="H11" s="69">
        <f>SUMIFS('라인별전력(본+ESS)'!P:P,'라인별전력(본+ESS)'!L:L,B2,'라인별전력(본+ESS)'!M:M,B3)</f>
        <v>76938.872997888975</v>
      </c>
      <c r="I11" s="69">
        <f>SUMIFS('라인별전력(본+ESS)'!Q:Q,'라인별전력(본+ESS)'!L:L,B2,'라인별전력(본+ESS)'!M:M,B3)</f>
        <v>73733.98175505214</v>
      </c>
      <c r="J11" s="69">
        <f>SUMIFS('라인별전력(본+ESS)'!R:R,'라인별전력(본+ESS)'!L:L,B2,'라인별전력(본+ESS)'!M:M,B3)</f>
        <v>29702.646168192496</v>
      </c>
      <c r="K11" s="69">
        <f>SUMIFS('라인별전력(본+ESS)'!S:S,'라인별전력(본+ESS)'!L:L,B2,'라인별전력(본+ESS)'!M:M,B3)</f>
        <v>22537.287733967943</v>
      </c>
      <c r="L11" s="69">
        <f>SUMIFS('라인별전력(본+ESS)'!T:T,'라인별전력(본+ESS)'!L:L,B2,'라인별전력(본+ESS)'!M:M,B3)</f>
        <v>804.39070099352386</v>
      </c>
      <c r="M11" s="64"/>
      <c r="N11" s="69">
        <f>SUM(F11:M11)</f>
        <v>215871</v>
      </c>
      <c r="O11" s="64"/>
      <c r="P11" s="93"/>
      <c r="Q11" s="63"/>
    </row>
    <row r="12" spans="2:24" ht="24.95" customHeight="1" x14ac:dyDescent="0.3">
      <c r="D12" s="251"/>
      <c r="E12" s="201" t="s">
        <v>334</v>
      </c>
      <c r="F12" s="71">
        <f>SUMIFS('라인별전력금액(본+ESS)'!Y:Y,'라인별전력금액(본+ESS)'!W:W,B2,'라인별전력금액(본+ESS)'!X:X,B3)</f>
        <v>18773263.138693463</v>
      </c>
      <c r="G12" s="71">
        <f>SUMIFS('라인별전력금액(본+ESS)'!Z:Z,'라인별전력금액(본+ESS)'!W:W,B2,'라인별전력금액(본+ESS)'!X:X,B3)</f>
        <v>4176916.3162482004</v>
      </c>
      <c r="H12" s="71">
        <f>SUMIFS('라인별전력금액(본+ESS)'!AA:AA,'라인별전력금액(본+ESS)'!W:W,B2,'라인별전력금액(본+ESS)'!X:X,B3)</f>
        <v>145284433.10935637</v>
      </c>
      <c r="I12" s="71">
        <f>SUMIFS('라인별전력금액(본+ESS)'!AB:AB,'라인별전력금액(본+ESS)'!W:W,B2,'라인별전력금액(본+ESS)'!X:X,B3)</f>
        <v>139232605.34986389</v>
      </c>
      <c r="J12" s="71">
        <f>SUMIFS('라인별전력금액(본+ESS)'!AC:AC,'라인별전력금액(본+ESS)'!W:W,B2,'라인별전력금액(본+ESS)'!X:X,B3)</f>
        <v>56087799.863042511</v>
      </c>
      <c r="K12" s="71">
        <f>SUMIFS('라인별전력금액(본+ESS)'!AD:AD,'라인별전력금액(본+ESS)'!W:W,B2,'라인별전력금액(본+ESS)'!X:X,B3)</f>
        <v>42557382.82443808</v>
      </c>
      <c r="L12" s="71">
        <f>SUMIFS('라인별전력금액(본+ESS)'!AE:AE,'라인별전력금액(본+ESS)'!W:W,B2,'라인별전력금액(본+ESS)'!X:X,B3)</f>
        <v>1518938.8983575103</v>
      </c>
      <c r="M12" s="68"/>
      <c r="N12" s="71">
        <f>SUM(F12:M12)</f>
        <v>407631339.50000006</v>
      </c>
      <c r="O12" s="64"/>
      <c r="P12" s="93"/>
      <c r="Q12" s="63"/>
    </row>
    <row r="13" spans="2:24" ht="24.95" customHeight="1" thickBot="1" x14ac:dyDescent="0.35">
      <c r="D13" s="251"/>
      <c r="E13" s="201" t="s">
        <v>335</v>
      </c>
      <c r="F13" s="71">
        <f>SUMIFS('라인별전력금액(본+ESS)'!N:N,'라인별전력금액(본+ESS)'!L:L,B2,'라인별전력금액(본+ESS)'!M:M,B3)</f>
        <v>233146.83106192618</v>
      </c>
      <c r="G13" s="71">
        <f>SUMIFS('라인별전력금액(본+ESS)'!O:O,'라인별전력금액(본+ESS)'!L:L,B2,'라인별전력금액(본+ESS)'!M:M,B3)</f>
        <v>51873.496661161531</v>
      </c>
      <c r="H13" s="71">
        <f>SUMIFS('라인별전력금액(본+ESS)'!P:P,'라인별전력금액(본+ESS)'!L:L,B2,'라인별전력금액(본+ESS)'!M:M,B3)</f>
        <v>1804300.3462866393</v>
      </c>
      <c r="I13" s="71">
        <f>SUMIFS('라인별전력금액(본+ESS)'!Q:Q,'라인별전력금액(본+ESS)'!L:L,B2,'라인별전력금액(본+ESS)'!M:M,B3)</f>
        <v>1729142.1570131863</v>
      </c>
      <c r="J13" s="71">
        <f>SUMIFS('라인별전력금액(본+ESS)'!R:R,'라인별전력금액(본+ESS)'!L:L,B2,'라인별전력금액(본+ESS)'!M:M,B3)</f>
        <v>696559.39421376365</v>
      </c>
      <c r="K13" s="71">
        <f>SUMIFS('라인별전력금액(본+ESS)'!S:S,'라인별전력금액(본+ESS)'!L:L,B2,'라인별전력금액(본+ESS)'!M:M,B3)</f>
        <v>528523.93696845183</v>
      </c>
      <c r="L13" s="71">
        <f>SUMIFS('라인별전력금액(본+ESS)'!T:T,'라인별전력금액(본+ESS)'!L:L,B2,'라인별전력금액(본+ESS)'!M:M,B3)</f>
        <v>18863.837794871128</v>
      </c>
      <c r="M13" s="68"/>
      <c r="N13" s="71">
        <f>SUM(F13:M13)</f>
        <v>5062410.0000000009</v>
      </c>
      <c r="O13" s="64"/>
      <c r="P13" s="93"/>
      <c r="Q13" s="63"/>
    </row>
    <row r="14" spans="2:24" ht="24.95" customHeight="1" x14ac:dyDescent="0.3">
      <c r="D14" s="251"/>
      <c r="E14" s="201" t="s">
        <v>336</v>
      </c>
      <c r="F14" s="70">
        <f>SUM(F12:F13)</f>
        <v>19006409.969755389</v>
      </c>
      <c r="G14" s="70">
        <f t="shared" ref="G14:N14" si="1">SUM(G12:G13)</f>
        <v>4228789.8129093619</v>
      </c>
      <c r="H14" s="70">
        <f t="shared" si="1"/>
        <v>147088733.455643</v>
      </c>
      <c r="I14" s="70">
        <f t="shared" si="1"/>
        <v>140961747.50687706</v>
      </c>
      <c r="J14" s="70">
        <f t="shared" si="1"/>
        <v>56784359.257256277</v>
      </c>
      <c r="K14" s="70">
        <f t="shared" si="1"/>
        <v>43085906.761406533</v>
      </c>
      <c r="L14" s="70">
        <f t="shared" si="1"/>
        <v>1537802.7361523814</v>
      </c>
      <c r="M14" s="66"/>
      <c r="N14" s="70">
        <f t="shared" si="1"/>
        <v>412693749.50000006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24.95" customHeight="1" thickBot="1" x14ac:dyDescent="0.35">
      <c r="D15" s="251"/>
      <c r="E15" s="201" t="s">
        <v>337</v>
      </c>
      <c r="F15" s="72">
        <f t="shared" ref="F15:L15" si="2">F14+R15</f>
        <v>22698513.203961082</v>
      </c>
      <c r="G15" s="72">
        <f t="shared" si="2"/>
        <v>5050256.2850029171</v>
      </c>
      <c r="H15" s="72">
        <f t="shared" si="2"/>
        <v>175661556.48592448</v>
      </c>
      <c r="I15" s="72">
        <f t="shared" si="2"/>
        <v>168344368.66982177</v>
      </c>
      <c r="J15" s="72">
        <f t="shared" si="2"/>
        <v>67815043.999910593</v>
      </c>
      <c r="K15" s="72">
        <f t="shared" si="2"/>
        <v>51455589.197785191</v>
      </c>
      <c r="L15" s="72">
        <f t="shared" si="2"/>
        <v>1836529.6637917119</v>
      </c>
      <c r="M15" s="67"/>
      <c r="N15" s="72">
        <f>SUM(F15:M15)</f>
        <v>492861857.50619775</v>
      </c>
      <c r="O15" s="64"/>
      <c r="P15" s="93"/>
      <c r="Q15" s="94">
        <f>SUMIFS(리스추정치!D:D,리스추정치!B:B,B2,리스추정치!C:C,B3)</f>
        <v>80168108.006197751</v>
      </c>
      <c r="R15" s="95">
        <f t="shared" ref="R15:X15" si="3">$Q$15*(F14/$N$14)</f>
        <v>3692103.2342056916</v>
      </c>
      <c r="S15" s="95">
        <f t="shared" si="3"/>
        <v>821466.47209355526</v>
      </c>
      <c r="T15" s="95">
        <f t="shared" si="3"/>
        <v>28572823.030281484</v>
      </c>
      <c r="U15" s="95">
        <f t="shared" si="3"/>
        <v>27382621.162944693</v>
      </c>
      <c r="V15" s="95">
        <f t="shared" si="3"/>
        <v>11030684.742654324</v>
      </c>
      <c r="W15" s="95">
        <f t="shared" si="3"/>
        <v>8369682.4363786597</v>
      </c>
      <c r="X15" s="96">
        <f t="shared" si="3"/>
        <v>298726.92763933056</v>
      </c>
    </row>
    <row r="16" spans="2:24" ht="24.95" customHeight="1" x14ac:dyDescent="0.3">
      <c r="D16" s="251"/>
      <c r="E16" s="201" t="s">
        <v>338</v>
      </c>
      <c r="F16" s="208">
        <f>F15/F8</f>
        <v>875.19594699747961</v>
      </c>
      <c r="G16" s="208">
        <f>G15/F8</f>
        <v>194.72481709338479</v>
      </c>
      <c r="H16" s="209">
        <f>H15/H8</f>
        <v>6637.3189068555976</v>
      </c>
      <c r="I16" s="209">
        <f t="shared" ref="I16:N16" si="4">I15/I8</f>
        <v>6817.2064461635991</v>
      </c>
      <c r="J16" s="209">
        <f t="shared" si="4"/>
        <v>5254.813053834434</v>
      </c>
      <c r="K16" s="209">
        <f t="shared" si="4"/>
        <v>11299.950280740914</v>
      </c>
      <c r="L16" s="209">
        <f t="shared" si="4"/>
        <v>809.40938696623448</v>
      </c>
      <c r="M16" s="209"/>
      <c r="N16" s="209">
        <f t="shared" si="4"/>
        <v>5090.3366882222226</v>
      </c>
      <c r="O16" s="64"/>
      <c r="P16" s="93"/>
      <c r="Q16" s="63"/>
    </row>
    <row r="17" spans="4:17" ht="24.95" customHeight="1" x14ac:dyDescent="0.3">
      <c r="D17" s="251"/>
      <c r="E17" s="201" t="s">
        <v>339</v>
      </c>
      <c r="F17" s="209">
        <f>F9/F8</f>
        <v>9.8316776137588278</v>
      </c>
      <c r="G17" s="209">
        <f>G9/F8</f>
        <v>2.1874777089956372</v>
      </c>
      <c r="H17" s="209">
        <f>H9/H8</f>
        <v>74.561565253796033</v>
      </c>
      <c r="I17" s="209">
        <f t="shared" ref="I17:N17" si="5">I9/I8</f>
        <v>76.58236562344598</v>
      </c>
      <c r="J17" s="209">
        <f t="shared" si="5"/>
        <v>59.030926780583513</v>
      </c>
      <c r="K17" s="209">
        <f t="shared" si="5"/>
        <v>126.94010820421239</v>
      </c>
      <c r="L17" s="209">
        <f t="shared" si="5"/>
        <v>9.0926519683998279</v>
      </c>
      <c r="M17" s="209"/>
      <c r="N17" s="209">
        <f t="shared" si="5"/>
        <v>57.183250717491944</v>
      </c>
      <c r="O17" s="64"/>
      <c r="P17" s="93"/>
      <c r="Q17" s="63"/>
    </row>
    <row r="18" spans="4:17" ht="24.95" customHeight="1" x14ac:dyDescent="0.3">
      <c r="D18" s="251" t="s">
        <v>285</v>
      </c>
      <c r="E18" s="201" t="s">
        <v>488</v>
      </c>
      <c r="F18" s="89">
        <f>SUMIFS(LNG사용량!D:D,LNG사용량!B:B,B2,LNG사용량!C:C,B3)</f>
        <v>83811.566845372829</v>
      </c>
      <c r="G18" s="89">
        <f>SUMIFS(LNG사용량!E:E,LNG사용량!B:B,B2,LNG사용량!C:C,B3)</f>
        <v>68605</v>
      </c>
      <c r="H18" s="89"/>
      <c r="I18" s="89">
        <f>SUMIFS(LNG사용량!F:F,LNG사용량!B:B,B2,LNG사용량!C:C,B3)</f>
        <v>468487</v>
      </c>
      <c r="J18" s="89">
        <f>SUMIFS(LNG사용량!G:G,LNG사용량!B:B,B2,LNG사용량!C:C,B3)</f>
        <v>315334</v>
      </c>
      <c r="K18" s="89">
        <f>SUMIFS(LNG사용량!H:H,LNG사용량!B:B,B2,LNG사용량!C:C,B3)</f>
        <v>284878.43315462716</v>
      </c>
      <c r="L18" s="89"/>
      <c r="M18" s="89">
        <f>SUMIFS(LNG사용량!I:I,LNG사용량!B:B,B2,LNG사용량!C:C,B3)</f>
        <v>3201.5481</v>
      </c>
      <c r="N18" s="89">
        <f>SUM(F18:M18)</f>
        <v>1224317.5481</v>
      </c>
      <c r="O18" s="64"/>
      <c r="P18" s="93"/>
      <c r="Q18" s="63"/>
    </row>
    <row r="19" spans="4:17" ht="24.95" customHeight="1" x14ac:dyDescent="0.3">
      <c r="D19" s="251"/>
      <c r="E19" s="201" t="s">
        <v>341</v>
      </c>
      <c r="F19" s="203">
        <f>SUMIFS(LNG금액!D:D,LNG금액!B:B,B2,LNG금액!C:C,B3)</f>
        <v>51603737.908289902</v>
      </c>
      <c r="G19" s="203">
        <f>SUMIFS(LNG금액!E:E,LNG금액!B:B,B2,LNG금액!C:C,B3)</f>
        <v>42240881.210702293</v>
      </c>
      <c r="H19" s="203"/>
      <c r="I19" s="203">
        <f>SUMIFS(LNG금액!F:F,LNG금액!B:B,B2,LNG금액!C:C,B3)</f>
        <v>288452790.84262496</v>
      </c>
      <c r="J19" s="203">
        <f>SUMIFS(LNG금액!G:G,LNG금액!B:B,B2,LNG금액!C:C,B3)</f>
        <v>194154741.42840314</v>
      </c>
      <c r="K19" s="203">
        <f>SUMIFS(LNG금액!H:H,LNG금액!B:B,B2,LNG금액!C:C,B3)</f>
        <v>175402901.45580643</v>
      </c>
      <c r="L19" s="203"/>
      <c r="M19" s="203">
        <f>SUMIFS(LNG금액!I:I,LNG금액!B:B,B2,LNG금액!C:C,B3)</f>
        <v>1971229.6914576145</v>
      </c>
      <c r="N19" s="203">
        <f>SUM(F19:M19)</f>
        <v>753826282.53728449</v>
      </c>
      <c r="O19" s="64"/>
      <c r="P19" s="93"/>
      <c r="Q19" s="63"/>
    </row>
    <row r="20" spans="4:17" ht="24.95" customHeight="1" x14ac:dyDescent="0.3">
      <c r="D20" s="251"/>
      <c r="E20" s="201" t="s">
        <v>342</v>
      </c>
      <c r="F20" s="209">
        <f>F19/F8</f>
        <v>1989.7066323874521</v>
      </c>
      <c r="G20" s="209">
        <f>G19/F8</f>
        <v>1628.6991002898474</v>
      </c>
      <c r="H20" s="209"/>
      <c r="I20" s="209">
        <f>I19/I8</f>
        <v>11681.069231386396</v>
      </c>
      <c r="J20" s="209">
        <f t="shared" ref="J20:L20" si="6">J19/J8</f>
        <v>15044.550730117746</v>
      </c>
      <c r="K20" s="209">
        <f t="shared" si="6"/>
        <v>38519.509667447826</v>
      </c>
      <c r="L20" s="209">
        <f t="shared" si="6"/>
        <v>0</v>
      </c>
      <c r="M20" s="209"/>
      <c r="N20" s="209">
        <f>N19/(N8-H8-L8)</f>
        <v>11071.300634156978</v>
      </c>
      <c r="O20" s="64"/>
      <c r="P20" s="93"/>
      <c r="Q20" s="63"/>
    </row>
    <row r="21" spans="4:17" ht="24.95" customHeight="1" x14ac:dyDescent="0.3">
      <c r="D21" s="251"/>
      <c r="E21" s="201" t="s">
        <v>489</v>
      </c>
      <c r="F21" s="209">
        <f>F18/F8</f>
        <v>3.2315571929961551</v>
      </c>
      <c r="G21" s="209">
        <f>G18/F8</f>
        <v>2.6452313155596512</v>
      </c>
      <c r="H21" s="209"/>
      <c r="I21" s="209">
        <f>I18/I8</f>
        <v>18.97166279798688</v>
      </c>
      <c r="J21" s="209">
        <f t="shared" ref="J21:K21" si="7">J18/J8</f>
        <v>24.434419293748626</v>
      </c>
      <c r="K21" s="209">
        <f t="shared" si="7"/>
        <v>62.560980855335757</v>
      </c>
      <c r="L21" s="209"/>
      <c r="M21" s="209"/>
      <c r="N21" s="209">
        <f>N18/(N8-H8-L8)</f>
        <v>17.981314741461834</v>
      </c>
      <c r="O21" s="64"/>
      <c r="P21" s="93"/>
      <c r="Q21" s="63"/>
    </row>
    <row r="22" spans="4:17" ht="24.95" customHeight="1" x14ac:dyDescent="0.3">
      <c r="D22" s="83" t="s">
        <v>321</v>
      </c>
      <c r="E22" s="201" t="s">
        <v>344</v>
      </c>
      <c r="F22" s="64">
        <f>SUMIFS(LNG사용량!K:K,LNG사용량!B:B,B2,LNG사용량!C:C,B3)/1000</f>
        <v>1016.971</v>
      </c>
      <c r="G22" s="64"/>
      <c r="H22" s="64"/>
      <c r="I22" s="64"/>
      <c r="J22" s="64"/>
      <c r="K22" s="64">
        <f>SUMIFS(LNG사용량!L:L,LNG사용량!B:B,B2,LNG사용량!C:C,B3)/1000</f>
        <v>741.78200000000004</v>
      </c>
      <c r="L22" s="64"/>
      <c r="M22" s="64"/>
      <c r="N22" s="64">
        <f>SUM(F22:M22)</f>
        <v>1758.7530000000002</v>
      </c>
      <c r="O22" s="101" t="s">
        <v>326</v>
      </c>
      <c r="P22" s="63"/>
      <c r="Q22" s="63"/>
    </row>
    <row r="23" spans="4:17" ht="24.95" customHeight="1" x14ac:dyDescent="0.3">
      <c r="D23" s="251" t="s">
        <v>327</v>
      </c>
      <c r="E23" s="201" t="s">
        <v>488</v>
      </c>
      <c r="F23" s="89">
        <f>SUMIFS(용수사용량!F:F,용수사용량!C:C,B2,용수사용량!E:E,B3,용수사용량!D:D,B4)</f>
        <v>813.92654859300546</v>
      </c>
      <c r="G23" s="89">
        <f>SUMIFS(용수사용량!G:G,용수사용량!C:C,B2,용수사용량!E:E,B3,용수사용량!D:D,B4)</f>
        <v>305.51784590488177</v>
      </c>
      <c r="H23" s="89">
        <f>SUMIFS(용수사용량!H:H,용수사용량!C:C,B2,용수사용량!E:E,B3,용수사용량!D:D,B4)</f>
        <v>174.1958104827834</v>
      </c>
      <c r="I23" s="89">
        <f>SUMIFS(용수사용량!I:I,용수사용량!C:C,B2,용수사용량!E:E,B3,용수사용량!D:D,B4)</f>
        <v>506.04558122808595</v>
      </c>
      <c r="J23" s="89">
        <f>SUMIFS(용수사용량!J:J,용수사용량!C:C,B2,용수사용량!E:E,B3,용수사용량!D:D,B4)</f>
        <v>1022.5564146363391</v>
      </c>
      <c r="K23" s="89">
        <f>SUMIFS(용수사용량!K:K,용수사용량!C:C,B2,용수사용량!E:E,B3,용수사용량!D:D,B4)</f>
        <v>932.75779915490432</v>
      </c>
      <c r="L23" s="89"/>
      <c r="M23" s="89"/>
      <c r="N23" s="89">
        <f>SUM(F23:M23)</f>
        <v>3755</v>
      </c>
      <c r="O23" s="254" t="s">
        <v>486</v>
      </c>
      <c r="P23" s="63"/>
      <c r="Q23" s="63"/>
    </row>
    <row r="24" spans="4:17" ht="24.95" customHeight="1" x14ac:dyDescent="0.3">
      <c r="D24" s="251"/>
      <c r="E24" s="201" t="s">
        <v>345</v>
      </c>
      <c r="F24" s="89">
        <f>SUMIFS(용수사용량!R:R,용수사용량!O:O,B2,용수사용량!Q:Q,B3,용수사용량!P:P,B4)</f>
        <v>3649670.4872786119</v>
      </c>
      <c r="G24" s="89">
        <f>SUMIFS(용수사용량!S:S,용수사용량!O:O,B2,용수사용량!Q:Q,B3,용수사용량!P:P,B4)</f>
        <v>1369950.9709610716</v>
      </c>
      <c r="H24" s="89">
        <f>SUMIFS(용수사용량!T:T,용수사용량!O:O,B2,용수사용량!Q:Q,B3,용수사용량!P:P,B4)</f>
        <v>781099.1171446552</v>
      </c>
      <c r="I24" s="89">
        <f>SUMIFS(용수사용량!U:U,용수사용량!O:O,B2,용수사용량!Q:Q,B3,용수사용량!P:P,B4)</f>
        <v>2269123.2104648026</v>
      </c>
      <c r="J24" s="89">
        <f>SUMIFS(용수사용량!V:V,용수사용량!O:O,B2,용수사용량!Q:Q,B3,용수사용량!P:P,B4)</f>
        <v>4585172.9182774434</v>
      </c>
      <c r="K24" s="89">
        <f>SUMIFS(용수사용량!W:W,용수사용량!O:O,B2,용수사용량!Q:Q,B3,용수사용량!P:P,B4)</f>
        <v>4182513.2958734157</v>
      </c>
      <c r="L24" s="89"/>
      <c r="M24" s="89"/>
      <c r="N24" s="89">
        <f>SUM(F24:M24)</f>
        <v>16837530</v>
      </c>
      <c r="O24" s="255"/>
      <c r="P24" s="63"/>
      <c r="Q24" s="63"/>
    </row>
    <row r="25" spans="4:17" ht="24.95" customHeight="1" x14ac:dyDescent="0.3">
      <c r="D25" s="251"/>
      <c r="E25" s="201" t="s">
        <v>342</v>
      </c>
      <c r="F25" s="209">
        <f>F24/F8</f>
        <v>140.72185211607371</v>
      </c>
      <c r="G25" s="209">
        <f>G24/F8</f>
        <v>52.821765311093607</v>
      </c>
      <c r="H25" s="209">
        <f>H24/H8</f>
        <v>29.513594448696889</v>
      </c>
      <c r="I25" s="209">
        <f t="shared" ref="I25:K25" si="8">I24/I8</f>
        <v>91.889508985358518</v>
      </c>
      <c r="J25" s="209">
        <f t="shared" si="8"/>
        <v>355.29323707412476</v>
      </c>
      <c r="K25" s="209">
        <f t="shared" si="8"/>
        <v>918.5045401042986</v>
      </c>
      <c r="L25" s="209"/>
      <c r="M25" s="209"/>
      <c r="N25" s="209">
        <f>N24/N8</f>
        <v>173.90003992541565</v>
      </c>
      <c r="O25" s="255"/>
      <c r="P25" s="63"/>
      <c r="Q25" s="63"/>
    </row>
    <row r="26" spans="4:17" ht="24.95" customHeight="1" x14ac:dyDescent="0.3">
      <c r="D26" s="251"/>
      <c r="E26" s="201" t="s">
        <v>490</v>
      </c>
      <c r="F26" s="209">
        <f>F23/F8</f>
        <v>3.138290204655058E-2</v>
      </c>
      <c r="G26" s="209">
        <f>G23/F8</f>
        <v>1.1779977748705215E-2</v>
      </c>
      <c r="H26" s="209">
        <f t="shared" ref="H26:K26" si="9">H23/H8</f>
        <v>6.5819361364081791E-3</v>
      </c>
      <c r="I26" s="209">
        <f t="shared" si="9"/>
        <v>2.0492620131338814E-2</v>
      </c>
      <c r="J26" s="209">
        <f t="shared" si="9"/>
        <v>7.9235262251252908E-2</v>
      </c>
      <c r="K26" s="209">
        <f t="shared" si="9"/>
        <v>0.20483910336561487</v>
      </c>
      <c r="L26" s="209"/>
      <c r="M26" s="209"/>
      <c r="N26" s="209">
        <f>N23/N8</f>
        <v>3.8782092736876238E-2</v>
      </c>
      <c r="O26" s="255"/>
      <c r="P26" s="63"/>
      <c r="Q26" s="63"/>
    </row>
    <row r="27" spans="4:17" ht="24.95" customHeight="1" x14ac:dyDescent="0.3">
      <c r="D27" s="251" t="s">
        <v>328</v>
      </c>
      <c r="E27" s="201" t="s">
        <v>488</v>
      </c>
      <c r="F27" s="89">
        <f>SUMIFS(용수사용량!F:F,용수사용량!C:C,B2,용수사용량!E:E,B3,용수사용량!D:D,B5)</f>
        <v>7235.6010968263954</v>
      </c>
      <c r="G27" s="89">
        <f>SUMIFS(용수사용량!G:G,용수사용량!C:C,B2,용수사용량!E:E,B3,용수사용량!D:D,B5)</f>
        <v>2715.9763552998293</v>
      </c>
      <c r="H27" s="89">
        <f>SUMIFS(용수사용량!H:H,용수사용량!C:C,B2,용수사용량!E:E,B3,용수사용량!D:D,B5)</f>
        <v>1548.5566843477477</v>
      </c>
      <c r="I27" s="89">
        <f>SUMIFS(용수사용량!I:I,용수사용량!C:C,B2,용수사용량!E:E,B3,용수사용량!D:D,B5)</f>
        <v>4498.6171896071201</v>
      </c>
      <c r="J27" s="89">
        <f>SUMIFS(용수사용량!J:J,용수사용량!C:C,B2,용수사용량!E:E,B3,용수사용량!D:D,B5)</f>
        <v>9090.2678234289306</v>
      </c>
      <c r="K27" s="89">
        <f>SUMIFS(용수사용량!K:K,용수사용량!C:C,B2,용수사용량!E:E,B3,용수사용량!D:D,B5)</f>
        <v>8291.9808504899756</v>
      </c>
      <c r="L27" s="89"/>
      <c r="M27" s="89"/>
      <c r="N27" s="89">
        <f>SUM(F27:M27)</f>
        <v>33381</v>
      </c>
      <c r="O27" s="255"/>
      <c r="P27" s="63"/>
      <c r="Q27" s="63"/>
    </row>
    <row r="28" spans="4:17" ht="24.95" customHeight="1" x14ac:dyDescent="0.3">
      <c r="D28" s="251"/>
      <c r="E28" s="201" t="s">
        <v>347</v>
      </c>
      <c r="F28" s="89">
        <f>SUMIFS(용수사용량!R:R,용수사용량!O:O,B2,용수사용량!Q:Q,B3,용수사용량!P:P,B5)</f>
        <v>4046430.9592735772</v>
      </c>
      <c r="G28" s="89">
        <f>SUMIFS(용수사용량!S:S,용수사용량!O:O,B2,용수사용량!Q:Q,B3,용수사용량!P:P,B5)</f>
        <v>1518880.1402499324</v>
      </c>
      <c r="H28" s="89">
        <f>SUMIFS(용수사용량!T:T,용수사용량!O:O,B2,용수사용량!Q:Q,B3,용수사용량!P:P,B5)</f>
        <v>866013.42803200567</v>
      </c>
      <c r="I28" s="89">
        <f>SUMIFS(용수사용량!U:U,용수사용량!O:O,B2,용수사용량!Q:Q,B3,용수사용량!P:P,B5)</f>
        <v>2515802.5748449159</v>
      </c>
      <c r="J28" s="89">
        <f>SUMIFS(용수사용량!V:V,용수사용량!O:O,B2,용수사용량!Q:Q,B3,용수사용량!P:P,B5)</f>
        <v>5083633.0881956303</v>
      </c>
      <c r="K28" s="89">
        <f>SUMIFS(용수사용량!W:W,용수사용량!O:O,B2,용수사용량!Q:Q,B3,용수사용량!P:P,B5)</f>
        <v>4637199.8094039382</v>
      </c>
      <c r="L28" s="89"/>
      <c r="M28" s="89"/>
      <c r="N28" s="89">
        <f>SUM(F28:M28)</f>
        <v>18667960</v>
      </c>
      <c r="O28" s="255"/>
      <c r="P28" s="217">
        <f>N28/N27</f>
        <v>559.23908810401122</v>
      </c>
      <c r="Q28" s="63"/>
    </row>
    <row r="29" spans="4:17" ht="24.95" customHeight="1" x14ac:dyDescent="0.3">
      <c r="D29" s="251"/>
      <c r="E29" s="201" t="s">
        <v>342</v>
      </c>
      <c r="F29" s="209">
        <f>F28/F8</f>
        <v>156.01990947774283</v>
      </c>
      <c r="G29" s="209">
        <f>G28/F8</f>
        <v>58.564088791935816</v>
      </c>
      <c r="H29" s="209">
        <f t="shared" ref="H29:N29" si="10">H28/H8</f>
        <v>32.722056063121819</v>
      </c>
      <c r="I29" s="209">
        <f t="shared" si="10"/>
        <v>101.87893819095279</v>
      </c>
      <c r="J29" s="209">
        <f t="shared" si="10"/>
        <v>393.91763150356832</v>
      </c>
      <c r="K29" s="209">
        <f t="shared" si="10"/>
        <v>1018.356374984065</v>
      </c>
      <c r="L29" s="209"/>
      <c r="M29" s="209"/>
      <c r="N29" s="209">
        <f t="shared" si="10"/>
        <v>192.80494165866742</v>
      </c>
      <c r="O29" s="255"/>
      <c r="P29" s="63"/>
      <c r="Q29" s="63"/>
    </row>
    <row r="30" spans="4:17" ht="24.95" customHeight="1" x14ac:dyDescent="0.3">
      <c r="D30" s="251"/>
      <c r="E30" s="201" t="s">
        <v>491</v>
      </c>
      <c r="F30" s="209">
        <f>F27/F8</f>
        <v>0.27898605944498128</v>
      </c>
      <c r="G30" s="209">
        <f>G27/F8</f>
        <v>0.1047210218986761</v>
      </c>
      <c r="H30" s="209">
        <f t="shared" ref="H30:N30" si="11">H27/H8</f>
        <v>5.8511747049118885E-2</v>
      </c>
      <c r="I30" s="209">
        <f t="shared" si="11"/>
        <v>0.18217420841657014</v>
      </c>
      <c r="J30" s="209">
        <f t="shared" si="11"/>
        <v>0.70438143520880769</v>
      </c>
      <c r="K30" s="209">
        <f t="shared" si="11"/>
        <v>1.8209678054454301</v>
      </c>
      <c r="L30" s="209"/>
      <c r="M30" s="209"/>
      <c r="N30" s="209">
        <f t="shared" si="11"/>
        <v>0.34476299271628918</v>
      </c>
      <c r="O30" s="255"/>
      <c r="P30" s="63"/>
      <c r="Q30" s="63"/>
    </row>
    <row r="31" spans="4:17" ht="24.95" customHeight="1" x14ac:dyDescent="0.3">
      <c r="D31" s="251" t="s">
        <v>399</v>
      </c>
      <c r="E31" s="201" t="s">
        <v>488</v>
      </c>
      <c r="F31" s="89">
        <f>SUMIFS(용수사용량!F:F,용수사용량!C:C,B2,용수사용량!E:E,B3,용수사용량!D:D,B6)</f>
        <v>4863.4007911534654</v>
      </c>
      <c r="G31" s="89">
        <f>SUMIFS(용수사용량!G:G,용수사용량!C:C,B2,용수사용량!E:E,B3,용수사용량!D:D,B6)</f>
        <v>1825.5403218556144</v>
      </c>
      <c r="H31" s="89">
        <f>SUMIFS(용수사용량!H:H,용수사용량!C:C,B2,용수사용량!E:E,B3,용수사용량!D:D,B6)</f>
        <v>1040.8605592016543</v>
      </c>
      <c r="I31" s="89">
        <f>SUMIFS(용수사용량!I:I,용수사용량!C:C,B2,용수사용량!E:E,B3,용수사용량!D:D,B6)</f>
        <v>3023.7402679133329</v>
      </c>
      <c r="J31" s="89">
        <f>SUMIFS(용수사용량!J:J,용수사용량!C:C,B2,용수사용량!E:E,B3,용수사용량!D:D,B6)</f>
        <v>6110.0128562438194</v>
      </c>
      <c r="K31" s="89">
        <f>SUMIFS(용수사용량!K:K,용수사용량!C:C,B2,용수사용량!E:E,B3,용수사용량!D:D,B6)</f>
        <v>5573.4452036321136</v>
      </c>
      <c r="L31" s="89"/>
      <c r="M31" s="89"/>
      <c r="N31" s="89">
        <f>SUM(F31:M31)</f>
        <v>22436.999999999996</v>
      </c>
      <c r="O31" s="255"/>
      <c r="P31" s="63"/>
      <c r="Q31" s="63"/>
    </row>
    <row r="32" spans="4:17" ht="24.95" customHeight="1" x14ac:dyDescent="0.3">
      <c r="D32" s="251"/>
      <c r="E32" s="201" t="s">
        <v>400</v>
      </c>
      <c r="F32" s="89">
        <f>SUMIFS(용수사용량!R:R,용수사용량!O:O,B2,용수사용량!Q:Q,B3,용수사용량!P:P,'20.4월'!B6)</f>
        <v>3404380.5538074262</v>
      </c>
      <c r="G32" s="89">
        <f>SUMIFS(용수사용량!S:S,용수사용량!O:O,B2,용수사용량!Q:Q,B3,용수사용량!P:P,'20.4월'!B6)</f>
        <v>1277878.2252989302</v>
      </c>
      <c r="H32" s="89">
        <f>SUMIFS(용수사용량!T:T,용수사용량!O:O,B2,용수사용량!Q:Q,B3,용수사용량!P:P,'20.4월'!B6)</f>
        <v>728602.3914411579</v>
      </c>
      <c r="I32" s="89">
        <f>SUMIFS(용수사용량!U:U,용수사용량!O:O,B2,용수사용량!Q:Q,B3,용수사용량!P:P,'20.4월'!B6)</f>
        <v>2116618.187539333</v>
      </c>
      <c r="J32" s="89">
        <f>SUMIFS(용수사용량!V:V,용수사용량!O:O,B2,용수사용량!Q:Q,B3,용수사용량!P:P,'20.4월'!B6)</f>
        <v>4277008.9993706737</v>
      </c>
      <c r="K32" s="89">
        <f>SUMIFS(용수사용량!W:W,용수사용량!O:O,B2,용수사용량!Q:Q,B3,용수사용량!P:P,'20.4월'!B6)</f>
        <v>3901411.6425424796</v>
      </c>
      <c r="L32" s="89"/>
      <c r="M32" s="89"/>
      <c r="N32" s="89">
        <f>SUM(F32:M32)</f>
        <v>15705900</v>
      </c>
      <c r="O32" s="255"/>
      <c r="P32" s="63">
        <f>N32/N31</f>
        <v>700.00000000000011</v>
      </c>
      <c r="Q32" s="63"/>
    </row>
    <row r="33" spans="4:17" ht="24.95" customHeight="1" x14ac:dyDescent="0.3">
      <c r="D33" s="251"/>
      <c r="E33" s="201" t="s">
        <v>342</v>
      </c>
      <c r="F33" s="209">
        <f>F32/F8</f>
        <v>131.26410685830061</v>
      </c>
      <c r="G33" s="209">
        <f>G32/F8</f>
        <v>49.271678434990477</v>
      </c>
      <c r="H33" s="209">
        <f>H32/H8</f>
        <v>27.530021508605383</v>
      </c>
      <c r="I33" s="209">
        <f t="shared" ref="I33:K33" si="12">I32/I8</f>
        <v>85.713726370384634</v>
      </c>
      <c r="J33" s="209">
        <f t="shared" si="12"/>
        <v>331.41440889266391</v>
      </c>
      <c r="K33" s="209">
        <f t="shared" si="12"/>
        <v>856.77296233022912</v>
      </c>
      <c r="L33" s="209"/>
      <c r="M33" s="209"/>
      <c r="N33" s="209">
        <f>N32/N8</f>
        <v>162.21242884583344</v>
      </c>
      <c r="O33" s="255"/>
      <c r="P33" s="63"/>
      <c r="Q33" s="63"/>
    </row>
    <row r="34" spans="4:17" ht="24.95" customHeight="1" x14ac:dyDescent="0.3">
      <c r="D34" s="251"/>
      <c r="E34" s="201" t="s">
        <v>492</v>
      </c>
      <c r="F34" s="209">
        <f>F31/F8</f>
        <v>0.18752015265471511</v>
      </c>
      <c r="G34" s="209">
        <f>G31/F8</f>
        <v>7.0388112049986393E-2</v>
      </c>
      <c r="H34" s="209">
        <f>H31/H8</f>
        <v>3.9328602155150556E-2</v>
      </c>
      <c r="I34" s="209">
        <f t="shared" ref="I34:K34" si="13">I31/I8</f>
        <v>0.1224481805291209</v>
      </c>
      <c r="J34" s="209">
        <f t="shared" si="13"/>
        <v>0.47344915556094846</v>
      </c>
      <c r="K34" s="209">
        <f t="shared" si="13"/>
        <v>1.2239613747574702</v>
      </c>
      <c r="L34" s="209"/>
      <c r="M34" s="209"/>
      <c r="N34" s="209">
        <f>N31/N8</f>
        <v>0.23173204120833343</v>
      </c>
      <c r="O34" s="25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7:E7"/>
    <mergeCell ref="D8:D17"/>
    <mergeCell ref="O23:O34"/>
    <mergeCell ref="D4:L5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0" workbookViewId="0">
      <selection activeCell="N23" sqref="N23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495</v>
      </c>
    </row>
    <row r="4" spans="2:24" ht="16.5" customHeight="1" thickTop="1" thickBot="1" x14ac:dyDescent="0.35">
      <c r="B4" s="30" t="s">
        <v>397</v>
      </c>
      <c r="D4" s="252" t="s">
        <v>494</v>
      </c>
      <c r="E4" s="252"/>
      <c r="F4" s="252"/>
      <c r="G4" s="252"/>
      <c r="H4" s="252"/>
      <c r="I4" s="252"/>
      <c r="J4" s="252"/>
      <c r="K4" s="252"/>
      <c r="L4" s="257"/>
      <c r="M4" s="76" t="s">
        <v>243</v>
      </c>
      <c r="N4" s="77" t="s">
        <v>244</v>
      </c>
      <c r="O4" s="78" t="s">
        <v>245</v>
      </c>
      <c r="P4" s="91"/>
      <c r="Q4" s="210"/>
    </row>
    <row r="5" spans="2:24" ht="39.950000000000003" customHeight="1" thickTop="1" thickBot="1" x14ac:dyDescent="0.35">
      <c r="B5" s="30" t="s">
        <v>398</v>
      </c>
      <c r="D5" s="252"/>
      <c r="E5" s="252"/>
      <c r="F5" s="252"/>
      <c r="G5" s="252"/>
      <c r="H5" s="252"/>
      <c r="I5" s="252"/>
      <c r="J5" s="252"/>
      <c r="K5" s="252"/>
      <c r="L5" s="257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24.95" customHeight="1" x14ac:dyDescent="0.3">
      <c r="D7" s="253" t="s">
        <v>59</v>
      </c>
      <c r="E7" s="253"/>
      <c r="F7" s="212" t="s">
        <v>120</v>
      </c>
      <c r="G7" s="212" t="s">
        <v>81</v>
      </c>
      <c r="H7" s="212" t="s">
        <v>121</v>
      </c>
      <c r="I7" s="212" t="s">
        <v>78</v>
      </c>
      <c r="J7" s="212" t="s">
        <v>87</v>
      </c>
      <c r="K7" s="212" t="s">
        <v>88</v>
      </c>
      <c r="L7" s="212" t="s">
        <v>82</v>
      </c>
      <c r="M7" s="212" t="s">
        <v>250</v>
      </c>
      <c r="N7" s="212" t="s">
        <v>89</v>
      </c>
      <c r="O7" s="212" t="s">
        <v>251</v>
      </c>
      <c r="P7" s="92"/>
      <c r="Q7" s="63"/>
    </row>
    <row r="8" spans="2:24" ht="24.95" customHeight="1" x14ac:dyDescent="0.3">
      <c r="D8" s="251" t="s">
        <v>283</v>
      </c>
      <c r="E8" s="201" t="s">
        <v>330</v>
      </c>
      <c r="F8" s="74">
        <f>SUMIFS(생산량!D:D,생산량!B:B,B2,생산량!C:C,B3)</f>
        <v>25439.66</v>
      </c>
      <c r="G8" s="74"/>
      <c r="H8" s="74">
        <f>SUMIFS(생산량!E:E,생산량!B:B,B2,생산량!C:C,B3)</f>
        <v>24555.22</v>
      </c>
      <c r="I8" s="74">
        <f>SUMIFS(생산량!F:F,생산량!B:B,B2,생산량!C:C,B3)</f>
        <v>22811.49</v>
      </c>
      <c r="J8" s="74">
        <f>SUMIFS(생산량!G:G,생산량!B:B,B2,생산량!C:C,B3)</f>
        <v>12638.958000000001</v>
      </c>
      <c r="K8" s="74">
        <f>SUMIFS(생산량!H:H,생산량!B:B,B2,생산량!C:C,B3)</f>
        <v>4030.74</v>
      </c>
      <c r="L8" s="74">
        <f>SUMIFS(생산량!I:I,생산량!B:B,B2,생산량!C:C,B3)</f>
        <v>1940.7950000000001</v>
      </c>
      <c r="M8" s="64"/>
      <c r="N8" s="69">
        <f>SUM(F8:M8)</f>
        <v>91416.863000000012</v>
      </c>
      <c r="O8" s="64"/>
      <c r="P8" s="93"/>
      <c r="Q8" s="63" t="s">
        <v>493</v>
      </c>
    </row>
    <row r="9" spans="2:24" ht="24.95" customHeight="1" x14ac:dyDescent="0.3">
      <c r="D9" s="251"/>
      <c r="E9" s="202" t="s">
        <v>331</v>
      </c>
      <c r="F9" s="70">
        <f>F10+F11</f>
        <v>274972</v>
      </c>
      <c r="G9" s="70">
        <f t="shared" ref="G9:N9" si="0">G10+G11</f>
        <v>70508</v>
      </c>
      <c r="H9" s="70">
        <f t="shared" si="0"/>
        <v>2050964</v>
      </c>
      <c r="I9" s="70">
        <f t="shared" si="0"/>
        <v>1882851</v>
      </c>
      <c r="J9" s="70">
        <f t="shared" si="0"/>
        <v>715270</v>
      </c>
      <c r="K9" s="70">
        <f t="shared" si="0"/>
        <v>554669</v>
      </c>
      <c r="L9" s="70">
        <f t="shared" si="0"/>
        <v>18238</v>
      </c>
      <c r="M9" s="66">
        <f t="shared" si="0"/>
        <v>0</v>
      </c>
      <c r="N9" s="70">
        <f t="shared" si="0"/>
        <v>5567472.0000000009</v>
      </c>
      <c r="O9" s="64"/>
      <c r="P9" s="93"/>
      <c r="Q9" s="213">
        <f>F9+G9</f>
        <v>345480</v>
      </c>
    </row>
    <row r="10" spans="2:24" ht="24.95" customHeight="1" x14ac:dyDescent="0.3">
      <c r="D10" s="251"/>
      <c r="E10" s="201" t="s">
        <v>332</v>
      </c>
      <c r="F10" s="69">
        <f>SUMIFS('라인별전력(본+ESS)'!Y:Y,'라인별전력(본+ESS)'!W:W,B2,'라인별전력(본+ESS)'!X:X,B3)</f>
        <v>264125.08409561828</v>
      </c>
      <c r="G10" s="69">
        <f>SUMIFS('라인별전력(본+ESS)'!Z:Z,'라인별전력(본+ESS)'!W:W,B2,'라인별전력(본+ESS)'!X:X,B3)</f>
        <v>67726.646456416842</v>
      </c>
      <c r="H10" s="69">
        <f>SUMIFS('라인별전력(본+ESS)'!AA:AA,'라인별전력(본+ESS)'!W:W,B2,'라인별전력(본+ESS)'!X:X,B3)</f>
        <v>1970058.911369469</v>
      </c>
      <c r="I10" s="69">
        <f>SUMIFS('라인별전력(본+ESS)'!AB:AB,'라인별전력(본+ESS)'!W:W,B2,'라인별전력(본+ESS)'!X:X,B3)</f>
        <v>1808577.5232187966</v>
      </c>
      <c r="J10" s="69">
        <f>SUMIFS('라인별전력(본+ESS)'!AC:AC,'라인별전력(본+ESS)'!W:W,B2,'라인별전력(본+ESS)'!X:X,B3)</f>
        <v>687054.49609804957</v>
      </c>
      <c r="K10" s="69">
        <f>SUMIFS('라인별전력(본+ESS)'!AD:AD,'라인별전력(본+ESS)'!W:W,B2,'라인별전력(본+ESS)'!X:X,B3)</f>
        <v>532788.77947657392</v>
      </c>
      <c r="L10" s="69">
        <f>SUMIFS('라인별전력(본+ESS)'!AE:AE,'라인별전력(본+ESS)'!W:W,B2,'라인별전력(본+ESS)'!X:X,B3)</f>
        <v>17518.559285075884</v>
      </c>
      <c r="M10" s="64"/>
      <c r="N10" s="69">
        <f>SUM(F10:M10)</f>
        <v>5347850.0000000009</v>
      </c>
      <c r="O10" s="64"/>
      <c r="P10" s="93"/>
      <c r="Q10" s="213">
        <f>SUM(F12:G13)</f>
        <v>25724600.765956257</v>
      </c>
    </row>
    <row r="11" spans="2:24" ht="24.95" customHeight="1" x14ac:dyDescent="0.3">
      <c r="D11" s="251"/>
      <c r="E11" s="201" t="s">
        <v>333</v>
      </c>
      <c r="F11" s="69">
        <f>SUMIFS('라인별전력(본+ESS)'!N:N,'라인별전력(본+ESS)'!L:L,B2,'라인별전력(본+ESS)'!M:M,B3)</f>
        <v>10846.915904381738</v>
      </c>
      <c r="G11" s="69">
        <f>SUMIFS('라인별전력(본+ESS)'!O:O,'라인별전력(본+ESS)'!L:L,B2,'라인별전력(본+ESS)'!M:M,B3)</f>
        <v>2781.3535435831559</v>
      </c>
      <c r="H11" s="69">
        <f>SUMIFS('라인별전력(본+ESS)'!P:P,'라인별전력(본+ESS)'!L:L,B2,'라인별전력(본+ESS)'!M:M,B3)</f>
        <v>80905.088630531071</v>
      </c>
      <c r="I11" s="69">
        <f>SUMIFS('라인별전력(본+ESS)'!Q:Q,'라인별전력(본+ESS)'!L:L,B2,'라인별전력(본+ESS)'!M:M,B3)</f>
        <v>74273.476781203397</v>
      </c>
      <c r="J11" s="69">
        <f>SUMIFS('라인별전력(본+ESS)'!R:R,'라인별전력(본+ESS)'!L:L,B2,'라인별전력(본+ESS)'!M:M,B3)</f>
        <v>28215.503901950477</v>
      </c>
      <c r="K11" s="69">
        <f>SUMIFS('라인별전력(본+ESS)'!S:S,'라인별전력(본+ESS)'!L:L,B2,'라인별전력(본+ESS)'!M:M,B3)</f>
        <v>21880.220523426076</v>
      </c>
      <c r="L11" s="69">
        <f>SUMIFS('라인별전력(본+ESS)'!T:T,'라인별전력(본+ESS)'!L:L,B2,'라인별전력(본+ESS)'!M:M,B3)</f>
        <v>719.44071492411638</v>
      </c>
      <c r="M11" s="64"/>
      <c r="N11" s="69">
        <f>SUM(F11:M11)</f>
        <v>219622.00000000006</v>
      </c>
      <c r="O11" s="64"/>
      <c r="P11" s="93"/>
      <c r="Q11" s="63"/>
    </row>
    <row r="12" spans="2:24" ht="24.95" customHeight="1" x14ac:dyDescent="0.3">
      <c r="D12" s="251"/>
      <c r="E12" s="201" t="s">
        <v>334</v>
      </c>
      <c r="F12" s="71">
        <f>SUMIFS('라인별전력금액(본+ESS)'!Y:Y,'라인별전력금액(본+ESS)'!W:W,B2,'라인별전력금액(본+ESS)'!X:X,B3)</f>
        <v>20219928.89039119</v>
      </c>
      <c r="G12" s="71">
        <f>SUMIFS('라인별전력금액(본+ESS)'!Z:Z,'라인별전력금액(본+ESS)'!W:W,B2,'라인별전력금액(본+ESS)'!X:X,B3)</f>
        <v>5184770.6173854126</v>
      </c>
      <c r="H12" s="71">
        <f>SUMIFS('라인별전력금액(본+ESS)'!AA:AA,'라인별전력금액(본+ESS)'!W:W,B2,'라인별전력금액(본+ESS)'!X:X,B3)</f>
        <v>150816614.91625428</v>
      </c>
      <c r="I12" s="71">
        <f>SUMIFS('라인별전력금액(본+ESS)'!AB:AB,'라인별전력금액(본+ESS)'!W:W,B2,'라인별전력금액(본+ESS)'!X:X,B3)</f>
        <v>138454509.29986304</v>
      </c>
      <c r="J12" s="71">
        <f>SUMIFS('라인별전력금액(본+ESS)'!AC:AC,'라인별전력금액(본+ESS)'!W:W,B2,'라인별전력금액(본+ESS)'!X:X,B3)</f>
        <v>52597022.742061391</v>
      </c>
      <c r="K12" s="71">
        <f>SUMIFS('라인별전력금액(본+ESS)'!AD:AD,'라인별전력금액(본+ESS)'!W:W,B2,'라인별전력금액(본+ESS)'!X:X,B3)</f>
        <v>40787308.299406447</v>
      </c>
      <c r="L12" s="71">
        <f>SUMIFS('라인별전력금액(본+ESS)'!AE:AE,'라인별전력금액(본+ESS)'!W:W,B2,'라인별전력금액(본+ESS)'!X:X,B3)</f>
        <v>1341122.2346382705</v>
      </c>
      <c r="M12" s="68"/>
      <c r="N12" s="71">
        <f>SUM(F12:M12)</f>
        <v>409401277.00000006</v>
      </c>
      <c r="O12" s="64"/>
      <c r="P12" s="93"/>
      <c r="Q12" s="63"/>
    </row>
    <row r="13" spans="2:24" ht="24.95" customHeight="1" thickBot="1" x14ac:dyDescent="0.35">
      <c r="D13" s="251"/>
      <c r="E13" s="201" t="s">
        <v>335</v>
      </c>
      <c r="F13" s="71">
        <f>SUMIFS('라인별전력금액(본+ESS)'!N:N,'라인별전력금액(본+ESS)'!L:L,B2,'라인별전력금액(본+ESS)'!M:M,B3)</f>
        <v>254613.54858219315</v>
      </c>
      <c r="G13" s="71">
        <f>SUMIFS('라인별전력금액(본+ESS)'!O:O,'라인별전력금액(본+ESS)'!L:L,B2,'라인별전력금액(본+ESS)'!M:M,B3)</f>
        <v>65287.709597461821</v>
      </c>
      <c r="H13" s="71">
        <f>SUMIFS('라인별전력금액(본+ESS)'!P:P,'라인별전력금액(본+ESS)'!L:L,B2,'라인별전력금액(본+ESS)'!M:M,B3)</f>
        <v>1899114.1718223284</v>
      </c>
      <c r="I13" s="71">
        <f>SUMIFS('라인별전력금액(본+ESS)'!Q:Q,'라인별전력금액(본+ESS)'!L:L,B2,'라인별전력금액(본+ESS)'!M:M,B3)</f>
        <v>1743447.9676531828</v>
      </c>
      <c r="J13" s="71">
        <f>SUMIFS('라인별전력금액(본+ESS)'!R:R,'라인별전력금액(본+ESS)'!L:L,B2,'라인별전력금액(본+ESS)'!M:M,B3)</f>
        <v>662312.64599444775</v>
      </c>
      <c r="K13" s="71">
        <f>SUMIFS('라인별전력금액(본+ESS)'!S:S,'라인별전력금액(본+ESS)'!L:L,B2,'라인별전력금액(본+ESS)'!M:M,B3)</f>
        <v>513602.26633452321</v>
      </c>
      <c r="L13" s="71">
        <f>SUMIFS('라인별전력금액(본+ESS)'!T:T,'라인별전력금액(본+ESS)'!L:L,B2,'라인별전력금액(본+ESS)'!M:M,B3)</f>
        <v>16887.690015863576</v>
      </c>
      <c r="M13" s="68"/>
      <c r="N13" s="71">
        <f>SUM(F13:M13)</f>
        <v>5155266.0000000009</v>
      </c>
      <c r="O13" s="64"/>
      <c r="P13" s="93"/>
      <c r="Q13" s="63"/>
    </row>
    <row r="14" spans="2:24" ht="24.95" customHeight="1" x14ac:dyDescent="0.3">
      <c r="D14" s="251"/>
      <c r="E14" s="201" t="s">
        <v>336</v>
      </c>
      <c r="F14" s="70">
        <f>SUM(F12:F13)</f>
        <v>20474542.438973382</v>
      </c>
      <c r="G14" s="70">
        <f t="shared" ref="G14:N14" si="1">SUM(G12:G13)</f>
        <v>5250058.3269828744</v>
      </c>
      <c r="H14" s="70">
        <f t="shared" si="1"/>
        <v>152715729.08807662</v>
      </c>
      <c r="I14" s="70">
        <f t="shared" si="1"/>
        <v>140197957.26751623</v>
      </c>
      <c r="J14" s="70">
        <f t="shared" si="1"/>
        <v>53259335.388055839</v>
      </c>
      <c r="K14" s="70">
        <f t="shared" si="1"/>
        <v>41300910.565740973</v>
      </c>
      <c r="L14" s="70">
        <f t="shared" si="1"/>
        <v>1358009.9246541341</v>
      </c>
      <c r="M14" s="66"/>
      <c r="N14" s="70">
        <f t="shared" si="1"/>
        <v>414556543.00000006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24.95" customHeight="1" thickBot="1" x14ac:dyDescent="0.35">
      <c r="D15" s="251"/>
      <c r="E15" s="201" t="s">
        <v>337</v>
      </c>
      <c r="F15" s="72">
        <f t="shared" ref="F15:L15" si="2">F14+R15</f>
        <v>24451924.113424614</v>
      </c>
      <c r="G15" s="72">
        <f t="shared" si="2"/>
        <v>6269933.9037769027</v>
      </c>
      <c r="H15" s="72">
        <f t="shared" si="2"/>
        <v>182382264.69373536</v>
      </c>
      <c r="I15" s="72">
        <f t="shared" si="2"/>
        <v>167432792.31662005</v>
      </c>
      <c r="J15" s="72">
        <f t="shared" si="2"/>
        <v>63605486.233540952</v>
      </c>
      <c r="K15" s="72">
        <f t="shared" si="2"/>
        <v>49324019.522239059</v>
      </c>
      <c r="L15" s="72">
        <f t="shared" si="2"/>
        <v>1621816.7376337887</v>
      </c>
      <c r="M15" s="67"/>
      <c r="N15" s="72">
        <f>SUM(F15:M15)</f>
        <v>495088237.52097064</v>
      </c>
      <c r="O15" s="64"/>
      <c r="P15" s="93"/>
      <c r="Q15" s="94">
        <f>SUMIFS(리스추정치!D:D,리스추정치!B:B,B2,리스추정치!C:C,B3)</f>
        <v>80531694.520970702</v>
      </c>
      <c r="R15" s="95">
        <f t="shared" ref="R15:X15" si="3">$Q$15*(F14/$N$14)</f>
        <v>3977381.6744512329</v>
      </c>
      <c r="S15" s="95">
        <f t="shared" si="3"/>
        <v>1019875.576794028</v>
      </c>
      <c r="T15" s="95">
        <f t="shared" si="3"/>
        <v>29666535.605658755</v>
      </c>
      <c r="U15" s="95">
        <f t="shared" si="3"/>
        <v>27234835.04910383</v>
      </c>
      <c r="V15" s="95">
        <f t="shared" si="3"/>
        <v>10346150.845485115</v>
      </c>
      <c r="W15" s="95">
        <f t="shared" si="3"/>
        <v>8023108.9564980827</v>
      </c>
      <c r="X15" s="96">
        <f t="shared" si="3"/>
        <v>263806.81297965458</v>
      </c>
    </row>
    <row r="16" spans="2:24" ht="24.95" customHeight="1" x14ac:dyDescent="0.3">
      <c r="D16" s="251"/>
      <c r="E16" s="201" t="s">
        <v>338</v>
      </c>
      <c r="F16" s="208">
        <f>F15/F8</f>
        <v>961.17338492042006</v>
      </c>
      <c r="G16" s="208">
        <f>G15/F8</f>
        <v>246.46295995217321</v>
      </c>
      <c r="H16" s="209">
        <f>H15/H8</f>
        <v>7427.4335434068744</v>
      </c>
      <c r="I16" s="209">
        <f t="shared" ref="I16:N16" si="4">I15/I8</f>
        <v>7339.8446272742394</v>
      </c>
      <c r="J16" s="209">
        <f t="shared" si="4"/>
        <v>5032.4944693653506</v>
      </c>
      <c r="K16" s="209">
        <f t="shared" si="4"/>
        <v>12236.963813651852</v>
      </c>
      <c r="L16" s="209">
        <f t="shared" si="4"/>
        <v>835.64556670528759</v>
      </c>
      <c r="M16" s="209"/>
      <c r="N16" s="209">
        <f t="shared" si="4"/>
        <v>5415.7211402120702</v>
      </c>
      <c r="O16" s="64"/>
      <c r="P16" s="93"/>
      <c r="Q16" s="63"/>
    </row>
    <row r="17" spans="4:17" ht="24.95" customHeight="1" x14ac:dyDescent="0.3">
      <c r="D17" s="251"/>
      <c r="E17" s="201" t="s">
        <v>339</v>
      </c>
      <c r="F17" s="209">
        <f>F9/F8</f>
        <v>10.808792255871344</v>
      </c>
      <c r="G17" s="209">
        <f>G9/F8</f>
        <v>2.7715779220319767</v>
      </c>
      <c r="H17" s="209">
        <f>H9/H8</f>
        <v>83.524562190849849</v>
      </c>
      <c r="I17" s="209">
        <f t="shared" ref="I17:N17" si="5">I9/I8</f>
        <v>82.539588602059752</v>
      </c>
      <c r="J17" s="209">
        <f t="shared" si="5"/>
        <v>56.592481753638232</v>
      </c>
      <c r="K17" s="209">
        <f t="shared" si="5"/>
        <v>137.60971930712475</v>
      </c>
      <c r="L17" s="209">
        <f t="shared" si="5"/>
        <v>9.3971800215890902</v>
      </c>
      <c r="M17" s="209"/>
      <c r="N17" s="209">
        <f t="shared" si="5"/>
        <v>60.902024170310902</v>
      </c>
      <c r="O17" s="64"/>
      <c r="P17" s="93"/>
      <c r="Q17" s="63"/>
    </row>
    <row r="18" spans="4:17" ht="24.95" customHeight="1" x14ac:dyDescent="0.3">
      <c r="D18" s="251" t="s">
        <v>285</v>
      </c>
      <c r="E18" s="201" t="s">
        <v>488</v>
      </c>
      <c r="F18" s="89">
        <f>SUMIFS(LNG사용량!D:D,LNG사용량!B:B,B2,LNG사용량!C:C,B3)</f>
        <v>75807.462479289956</v>
      </c>
      <c r="G18" s="89">
        <f>SUMIFS(LNG사용량!E:E,LNG사용량!B:B,B2,LNG사용량!C:C,B3)</f>
        <v>80383</v>
      </c>
      <c r="H18" s="89"/>
      <c r="I18" s="89">
        <f>SUMIFS(LNG사용량!F:F,LNG사용량!B:B,B2,LNG사용량!C:C,B3)</f>
        <v>442310</v>
      </c>
      <c r="J18" s="89">
        <f>SUMIFS(LNG사용량!G:G,LNG사용량!B:B,B2,LNG사용량!C:C,B3)</f>
        <v>311000</v>
      </c>
      <c r="K18" s="89">
        <f>SUMIFS(LNG사용량!H:H,LNG사용량!B:B,B2,LNG사용량!C:C,B3)</f>
        <v>236921.53752071006</v>
      </c>
      <c r="L18" s="89"/>
      <c r="M18" s="89">
        <f>SUMIFS(LNG사용량!I:I,LNG사용량!B:B,B2,LNG사용량!C:C,B3)</f>
        <v>1594.2851000000001</v>
      </c>
      <c r="N18" s="89">
        <f>SUM(F18:M18)</f>
        <v>1148016.2851</v>
      </c>
      <c r="O18" s="64"/>
      <c r="P18" s="93"/>
      <c r="Q18" s="63"/>
    </row>
    <row r="19" spans="4:17" ht="24.95" customHeight="1" x14ac:dyDescent="0.3">
      <c r="D19" s="251"/>
      <c r="E19" s="201" t="s">
        <v>341</v>
      </c>
      <c r="F19" s="203">
        <f>SUMIFS(LNG금액!D:D,LNG금액!B:B,B2,LNG금액!C:C,B3)</f>
        <v>46971352.546275847</v>
      </c>
      <c r="G19" s="203">
        <f>SUMIFS(LNG금액!E:E,LNG금액!B:B,B2,LNG금액!C:C,B3)</f>
        <v>49806418.896540493</v>
      </c>
      <c r="H19" s="203"/>
      <c r="I19" s="203">
        <f>SUMIFS(LNG금액!F:F,LNG금액!B:B,B2,LNG금액!C:C,B3)</f>
        <v>274061395.34638947</v>
      </c>
      <c r="J19" s="203">
        <f>SUMIFS(LNG금액!G:G,LNG금액!B:B,B2,LNG금액!C:C,B3)</f>
        <v>192699902.67623869</v>
      </c>
      <c r="K19" s="203">
        <f>SUMIFS(LNG금액!H:H,LNG금액!B:B,B2,LNG금액!C:C,B3)</f>
        <v>146799862.45062912</v>
      </c>
      <c r="L19" s="203"/>
      <c r="M19" s="203">
        <f>SUMIFS(LNG금액!I:I,LNG금액!B:B,B2,LNG금액!C:C,B3)</f>
        <v>987841.10484944517</v>
      </c>
      <c r="N19" s="203">
        <f>SUM(F19:M19)</f>
        <v>711326773.02092302</v>
      </c>
      <c r="O19" s="64"/>
      <c r="P19" s="93"/>
      <c r="Q19" s="63"/>
    </row>
    <row r="20" spans="4:17" ht="24.95" customHeight="1" x14ac:dyDescent="0.3">
      <c r="D20" s="251"/>
      <c r="E20" s="201" t="s">
        <v>342</v>
      </c>
      <c r="F20" s="209">
        <f>F19/F8</f>
        <v>1846.3828740744116</v>
      </c>
      <c r="G20" s="209">
        <f>G19/F8</f>
        <v>1957.8256508357617</v>
      </c>
      <c r="H20" s="209"/>
      <c r="I20" s="209">
        <f>I19/I8</f>
        <v>12014.182122535154</v>
      </c>
      <c r="J20" s="209">
        <f t="shared" ref="J20:L20" si="6">J19/J8</f>
        <v>15246.502336366548</v>
      </c>
      <c r="K20" s="209">
        <f t="shared" si="6"/>
        <v>36420.077318464879</v>
      </c>
      <c r="L20" s="209">
        <f t="shared" si="6"/>
        <v>0</v>
      </c>
      <c r="M20" s="209"/>
      <c r="N20" s="209">
        <f>N19/(N8-H8-L8)</f>
        <v>10956.831201911024</v>
      </c>
      <c r="O20" s="64"/>
      <c r="P20" s="93"/>
      <c r="Q20" s="63"/>
    </row>
    <row r="21" spans="4:17" ht="24.95" customHeight="1" x14ac:dyDescent="0.3">
      <c r="D21" s="251"/>
      <c r="E21" s="201" t="s">
        <v>489</v>
      </c>
      <c r="F21" s="209">
        <f>F18/F8</f>
        <v>2.9798929104905474</v>
      </c>
      <c r="G21" s="209">
        <f>G18/F8</f>
        <v>3.1597513488780904</v>
      </c>
      <c r="H21" s="209"/>
      <c r="I21" s="209">
        <f>I18/I8</f>
        <v>19.389789969879214</v>
      </c>
      <c r="J21" s="209">
        <f t="shared" ref="J21:K21" si="7">J18/J8</f>
        <v>24.606458855231576</v>
      </c>
      <c r="K21" s="209">
        <f t="shared" si="7"/>
        <v>58.778670298930237</v>
      </c>
      <c r="L21" s="209"/>
      <c r="M21" s="209"/>
      <c r="N21" s="209">
        <f>N18/(N8-H8-L8)</f>
        <v>17.683322391291004</v>
      </c>
      <c r="O21" s="64"/>
      <c r="P21" s="93"/>
      <c r="Q21" s="63"/>
    </row>
    <row r="22" spans="4:17" ht="24.95" customHeight="1" x14ac:dyDescent="0.3">
      <c r="D22" s="211" t="s">
        <v>321</v>
      </c>
      <c r="E22" s="201" t="s">
        <v>344</v>
      </c>
      <c r="F22" s="64">
        <f>SUMIFS(LNG사용량!K:K,LNG사용량!B:B,B2,LNG사용량!C:C,B3)/1000</f>
        <v>980.04600000000005</v>
      </c>
      <c r="G22" s="64"/>
      <c r="H22" s="64"/>
      <c r="I22" s="64"/>
      <c r="J22" s="64"/>
      <c r="K22" s="64">
        <f>SUMIFS(LNG사용량!L:L,LNG사용량!B:B,B2,LNG사용량!C:C,B3)/1000</f>
        <v>656.23699999999997</v>
      </c>
      <c r="L22" s="64"/>
      <c r="M22" s="64"/>
      <c r="N22" s="64">
        <f>SUM(F22:M22)</f>
        <v>1636.2829999999999</v>
      </c>
      <c r="O22" s="101" t="s">
        <v>326</v>
      </c>
      <c r="P22" s="63"/>
      <c r="Q22" s="63"/>
    </row>
    <row r="23" spans="4:17" ht="24.95" customHeight="1" x14ac:dyDescent="0.3">
      <c r="D23" s="251" t="s">
        <v>327</v>
      </c>
      <c r="E23" s="201" t="s">
        <v>488</v>
      </c>
      <c r="F23" s="89">
        <f>SUMIFS(용수사용량!F:F,용수사용량!C:C,B2,용수사용량!E:E,B3,용수사용량!D:D,B4)</f>
        <v>790.70553863367945</v>
      </c>
      <c r="G23" s="89">
        <f>SUMIFS(용수사용량!G:G,용수사용량!C:C,B2,용수사용량!E:E,B3,용수사용량!D:D,B4)</f>
        <v>721.98918381301667</v>
      </c>
      <c r="H23" s="89">
        <f>SUMIFS(용수사용량!H:H,용수사용량!C:C,B2,용수사용량!E:E,B3,용수사용량!D:D,B4)</f>
        <v>198.66973332504506</v>
      </c>
      <c r="I23" s="89">
        <f>SUMIFS(용수사용량!I:I,용수사용량!C:C,B2,용수사용량!E:E,B3,용수사용량!D:D,B4)</f>
        <v>359.47535276931683</v>
      </c>
      <c r="J23" s="89">
        <f>SUMIFS(용수사용량!J:J,용수사용량!C:C,B2,용수사용량!E:E,B3,용수사용량!D:D,B4)</f>
        <v>764.52787965437938</v>
      </c>
      <c r="K23" s="89">
        <f>SUMIFS(용수사용량!K:K,용수사용량!C:C,B2,용수사용량!E:E,B3,용수사용량!D:D,B4)</f>
        <v>924.63231180456273</v>
      </c>
      <c r="L23" s="89"/>
      <c r="M23" s="89"/>
      <c r="N23" s="89">
        <f>SUM(F23:M23)</f>
        <v>3760</v>
      </c>
      <c r="O23" s="254" t="s">
        <v>486</v>
      </c>
      <c r="P23" s="63"/>
      <c r="Q23" s="63"/>
    </row>
    <row r="24" spans="4:17" ht="24.95" customHeight="1" x14ac:dyDescent="0.3">
      <c r="D24" s="251"/>
      <c r="E24" s="201" t="s">
        <v>345</v>
      </c>
      <c r="F24" s="89">
        <f>SUMIFS(용수사용량!R:R,용수사용량!O:O,B2,용수사용량!Q:Q,B3,용수사용량!P:P,B4)</f>
        <v>3545710.7969167652</v>
      </c>
      <c r="G24" s="89">
        <f>SUMIFS(용수사용량!S:S,용수사용량!O:O,B2,용수사용량!Q:Q,B3,용수사용량!P:P,B4)</f>
        <v>3237570.3965935227</v>
      </c>
      <c r="H24" s="89">
        <f>SUMIFS(용수사용량!T:T,용수사용량!O:O,B2,용수사용량!Q:Q,B3,용수사용량!P:P,B4)</f>
        <v>890882.10977808165</v>
      </c>
      <c r="I24" s="89">
        <f>SUMIFS(용수사용량!U:U,용수사용량!O:O,B2,용수사용량!Q:Q,B3,용수사용량!P:P,B4)</f>
        <v>1611972.5703984583</v>
      </c>
      <c r="J24" s="89">
        <f>SUMIFS(용수사용량!V:V,용수사용량!O:O,B2,용수사용량!Q:Q,B3,용수사용량!P:P,B4)</f>
        <v>3428323.9777460061</v>
      </c>
      <c r="K24" s="89">
        <f>SUMIFS(용수사용량!W:W,용수사용량!O:O,B2,용수사용량!Q:Q,B3,용수사용량!P:P,B4)</f>
        <v>4146270.1485671662</v>
      </c>
      <c r="L24" s="89"/>
      <c r="M24" s="89"/>
      <c r="N24" s="89">
        <f>SUM(F24:M24)</f>
        <v>16860730</v>
      </c>
      <c r="O24" s="255"/>
      <c r="P24" s="63"/>
      <c r="Q24" s="63"/>
    </row>
    <row r="25" spans="4:17" ht="24.95" customHeight="1" x14ac:dyDescent="0.3">
      <c r="D25" s="251"/>
      <c r="E25" s="201" t="s">
        <v>342</v>
      </c>
      <c r="F25" s="209">
        <f>F24/F8</f>
        <v>139.37728715386783</v>
      </c>
      <c r="G25" s="209">
        <f>G24/F8</f>
        <v>127.26468815202415</v>
      </c>
      <c r="H25" s="209">
        <f>H24/H8</f>
        <v>36.280762696407592</v>
      </c>
      <c r="I25" s="209">
        <f t="shared" ref="I25:K25" si="8">I24/I8</f>
        <v>70.664939922752012</v>
      </c>
      <c r="J25" s="209">
        <f t="shared" si="8"/>
        <v>271.25052379681978</v>
      </c>
      <c r="K25" s="209">
        <f t="shared" si="8"/>
        <v>1028.662267615169</v>
      </c>
      <c r="L25" s="209"/>
      <c r="M25" s="209"/>
      <c r="N25" s="209">
        <f>N24/N8</f>
        <v>184.4378536594501</v>
      </c>
      <c r="O25" s="255"/>
      <c r="P25" s="63"/>
      <c r="Q25" s="63"/>
    </row>
    <row r="26" spans="4:17" ht="24.95" customHeight="1" x14ac:dyDescent="0.3">
      <c r="D26" s="251"/>
      <c r="E26" s="201" t="s">
        <v>490</v>
      </c>
      <c r="F26" s="209">
        <f>F23/F8</f>
        <v>3.1081607955203781E-2</v>
      </c>
      <c r="G26" s="209">
        <f>G23/F8</f>
        <v>2.8380457278635668E-2</v>
      </c>
      <c r="H26" s="209">
        <f t="shared" ref="H26:K26" si="9">H23/H8</f>
        <v>8.090733185247171E-3</v>
      </c>
      <c r="I26" s="209">
        <f t="shared" si="9"/>
        <v>1.5758521375382178E-2</v>
      </c>
      <c r="J26" s="209">
        <f t="shared" si="9"/>
        <v>6.0489787184543169E-2</v>
      </c>
      <c r="K26" s="209">
        <f t="shared" si="9"/>
        <v>0.22939517602340087</v>
      </c>
      <c r="L26" s="209"/>
      <c r="M26" s="209"/>
      <c r="N26" s="209">
        <f>N23/N8</f>
        <v>4.1130267180574762E-2</v>
      </c>
      <c r="O26" s="255"/>
      <c r="P26" s="63"/>
      <c r="Q26" s="63"/>
    </row>
    <row r="27" spans="4:17" ht="24.95" customHeight="1" x14ac:dyDescent="0.3">
      <c r="D27" s="251" t="s">
        <v>328</v>
      </c>
      <c r="E27" s="201" t="s">
        <v>488</v>
      </c>
      <c r="F27" s="89">
        <f>SUMIFS(용수사용량!F:F,용수사용량!C:C,B2,용수사용량!E:E,B3,용수사용량!D:D,B5)</f>
        <v>5813.7886492198668</v>
      </c>
      <c r="G27" s="89">
        <f>SUMIFS(용수사용량!G:G,용수사용량!C:C,B2,용수사용량!E:E,B3,용수사용량!D:D,B5)</f>
        <v>5308.5406850251757</v>
      </c>
      <c r="H27" s="89">
        <f>SUMIFS(용수사용량!H:H,용수사용량!C:C,B2,용수사용량!E:E,B3,용수사용량!D:D,B5)</f>
        <v>1460.7509168894137</v>
      </c>
      <c r="I27" s="89">
        <f>SUMIFS(용수사용량!I:I,용수사용량!C:C,B2,용수사용량!E:E,B3,용수사용량!D:D,B5)</f>
        <v>2643.09989432461</v>
      </c>
      <c r="J27" s="89">
        <f>SUMIFS(용수사용량!J:J,용수사용량!C:C,B2,용수사용량!E:E,B3,용수사용량!D:D,B5)</f>
        <v>5621.3132342885565</v>
      </c>
      <c r="K27" s="89">
        <f>SUMIFS(용수사용량!K:K,용수사용량!C:C,B2,용수사용량!E:E,B3,용수사용량!D:D,B5)</f>
        <v>6798.5066202523776</v>
      </c>
      <c r="L27" s="89"/>
      <c r="M27" s="89"/>
      <c r="N27" s="89">
        <f>SUM(F27:M27)</f>
        <v>27646</v>
      </c>
      <c r="O27" s="255"/>
      <c r="P27" s="63"/>
      <c r="Q27" s="63"/>
    </row>
    <row r="28" spans="4:17" ht="24.95" customHeight="1" x14ac:dyDescent="0.3">
      <c r="D28" s="251"/>
      <c r="E28" s="201" t="s">
        <v>347</v>
      </c>
      <c r="F28" s="89">
        <f>SUMIFS(용수사용량!R:R,용수사용량!O:O,B2,용수사용량!Q:Q,B3,용수사용량!P:P,B5)</f>
        <v>3250380.1752968235</v>
      </c>
      <c r="G28" s="89">
        <f>SUMIFS(용수사용량!S:S,용수사용량!O:O,B2,용수사용량!Q:Q,B3,용수사용량!P:P,B5)</f>
        <v>2967905.5162553615</v>
      </c>
      <c r="H28" s="89">
        <f>SUMIFS(용수사용량!T:T,용수사용량!O:O,B2,용수사용량!Q:Q,B3,용수사용량!P:P,B5)</f>
        <v>816678.43600422703</v>
      </c>
      <c r="I28" s="89">
        <f>SUMIFS(용수사용량!U:U,용수사용량!O:O,B2,용수사용량!Q:Q,B3,용수사용량!P:P,B5)</f>
        <v>1477707.5700876482</v>
      </c>
      <c r="J28" s="89">
        <f>SUMIFS(용수사용량!V:V,용수사용량!O:O,B2,용수사용량!Q:Q,B3,용수사용량!P:P,B5)</f>
        <v>3142770.7813762664</v>
      </c>
      <c r="K28" s="89">
        <f>SUMIFS(용수사용량!W:W,용수사용량!O:O,B2,용수사용량!Q:Q,B3,용수사용량!P:P,B5)</f>
        <v>3800917.5209796731</v>
      </c>
      <c r="L28" s="89"/>
      <c r="M28" s="89"/>
      <c r="N28" s="89">
        <f>SUM(F28:M28)</f>
        <v>15456360</v>
      </c>
      <c r="O28" s="255"/>
      <c r="P28" s="217">
        <f>N28/N27</f>
        <v>559.08124140924542</v>
      </c>
      <c r="Q28" s="63"/>
    </row>
    <row r="29" spans="4:17" ht="24.95" customHeight="1" x14ac:dyDescent="0.3">
      <c r="D29" s="251"/>
      <c r="E29" s="201" t="s">
        <v>342</v>
      </c>
      <c r="F29" s="209">
        <f>F28/F8</f>
        <v>127.76822391874826</v>
      </c>
      <c r="G29" s="209">
        <f>G28/F8</f>
        <v>116.66451187851416</v>
      </c>
      <c r="H29" s="209">
        <f t="shared" ref="H29:N29" si="10">H28/H8</f>
        <v>33.258852333810367</v>
      </c>
      <c r="I29" s="209">
        <f t="shared" si="10"/>
        <v>64.779090278085661</v>
      </c>
      <c r="J29" s="209">
        <f t="shared" si="10"/>
        <v>248.65742740629935</v>
      </c>
      <c r="K29" s="209">
        <f t="shared" si="10"/>
        <v>942.98255927687558</v>
      </c>
      <c r="L29" s="209"/>
      <c r="M29" s="209"/>
      <c r="N29" s="209">
        <f t="shared" si="10"/>
        <v>169.07558947849697</v>
      </c>
      <c r="O29" s="255"/>
      <c r="P29" s="63"/>
      <c r="Q29" s="63"/>
    </row>
    <row r="30" spans="4:17" ht="24.95" customHeight="1" x14ac:dyDescent="0.3">
      <c r="D30" s="251"/>
      <c r="E30" s="201" t="s">
        <v>491</v>
      </c>
      <c r="F30" s="209">
        <f>F27/F8</f>
        <v>0.22853248232169246</v>
      </c>
      <c r="G30" s="209">
        <f>G27/F8</f>
        <v>0.20867184093754301</v>
      </c>
      <c r="H30" s="209">
        <f t="shared" ref="H30:N30" si="11">H27/H8</f>
        <v>5.9488406818974278E-2</v>
      </c>
      <c r="I30" s="209">
        <f t="shared" si="11"/>
        <v>0.11586704307016375</v>
      </c>
      <c r="J30" s="209">
        <f t="shared" si="11"/>
        <v>0.44476081289996822</v>
      </c>
      <c r="K30" s="209">
        <f t="shared" si="11"/>
        <v>1.6866646373252498</v>
      </c>
      <c r="L30" s="209"/>
      <c r="M30" s="209"/>
      <c r="N30" s="209">
        <f t="shared" si="11"/>
        <v>0.30241685278568348</v>
      </c>
      <c r="O30" s="255"/>
      <c r="P30" s="63"/>
      <c r="Q30" s="63"/>
    </row>
    <row r="31" spans="4:17" ht="24.95" customHeight="1" x14ac:dyDescent="0.3">
      <c r="D31" s="251" t="s">
        <v>399</v>
      </c>
      <c r="E31" s="201" t="s">
        <v>488</v>
      </c>
      <c r="F31" s="89">
        <f>SUMIFS(용수사용량!F:F,용수사용량!C:C,B2,용수사용량!E:E,B3,용수사용량!D:D,B6)</f>
        <v>4645.1847454466342</v>
      </c>
      <c r="G31" s="89">
        <f>SUMIFS(용수사용량!G:G,용수사용량!C:C,B2,용수사용량!E:E,B3,용수사용량!D:D,B6)</f>
        <v>4241.4944365015226</v>
      </c>
      <c r="H31" s="89">
        <f>SUMIFS(용수사용량!H:H,용수사용량!C:C,B2,용수사용량!E:E,B3,용수사용량!D:D,B6)</f>
        <v>1167.1318455896064</v>
      </c>
      <c r="I31" s="89">
        <f>SUMIFS(용수사용량!I:I,용수사용량!C:C,B2,용수사용량!E:E,B3,용수사용량!D:D,B6)</f>
        <v>2111.8220923727231</v>
      </c>
      <c r="J31" s="89">
        <f>SUMIFS(용수사용량!J:J,용수사용량!C:C,B2,용수사용량!E:E,B3,용수사용량!D:D,B6)</f>
        <v>4491.3979610865917</v>
      </c>
      <c r="K31" s="89">
        <f>SUMIFS(용수사용량!K:K,용수사용량!C:C,B2,용수사용량!E:E,B3,용수사용량!D:D,B6)</f>
        <v>5431.9689190029221</v>
      </c>
      <c r="L31" s="89"/>
      <c r="M31" s="89"/>
      <c r="N31" s="89">
        <f>SUM(F31:M31)</f>
        <v>22089</v>
      </c>
      <c r="O31" s="255"/>
      <c r="P31" s="63"/>
      <c r="Q31" s="63"/>
    </row>
    <row r="32" spans="4:17" ht="24.95" customHeight="1" x14ac:dyDescent="0.3">
      <c r="D32" s="251"/>
      <c r="E32" s="201" t="s">
        <v>400</v>
      </c>
      <c r="F32" s="89">
        <f>SUMIFS(용수사용량!R:R,용수사용량!O:O,B2,용수사용량!Q:Q,B3,용수사용량!P:P,'20.5월'!B6)</f>
        <v>3251629.3218126437</v>
      </c>
      <c r="G32" s="89">
        <f>SUMIFS(용수사용량!S:S,용수사용량!O:O,B2,용수사용량!Q:Q,B3,용수사용량!P:P,'20.5월'!B6)</f>
        <v>2969046.1055510659</v>
      </c>
      <c r="H32" s="89">
        <f>SUMIFS(용수사용량!T:T,용수사용량!O:O,B2,용수사용량!Q:Q,B3,용수사용량!P:P,'20.5월'!B6)</f>
        <v>816992.2919127245</v>
      </c>
      <c r="I32" s="89">
        <f>SUMIFS(용수사용량!U:U,용수사용량!O:O,B2,용수사용량!Q:Q,B3,용수사용량!P:P,'20.5월'!B6)</f>
        <v>1478275.4646609062</v>
      </c>
      <c r="J32" s="89">
        <f>SUMIFS(용수사용량!V:V,용수사용량!O:O,B2,용수사용량!Q:Q,B3,용수사용량!P:P,'20.5월'!B6)</f>
        <v>3143978.5727606141</v>
      </c>
      <c r="K32" s="89">
        <f>SUMIFS(용수사용량!W:W,용수사용량!O:O,B2,용수사용량!Q:Q,B3,용수사용량!P:P,'20.5월'!B6)</f>
        <v>3802378.2433020454</v>
      </c>
      <c r="L32" s="89"/>
      <c r="M32" s="89"/>
      <c r="N32" s="89">
        <f>SUM(F32:M32)</f>
        <v>15462300</v>
      </c>
      <c r="O32" s="255"/>
      <c r="P32" s="63">
        <f>N32/N31</f>
        <v>700</v>
      </c>
      <c r="Q32" s="63"/>
    </row>
    <row r="33" spans="4:17" ht="24.95" customHeight="1" x14ac:dyDescent="0.3">
      <c r="D33" s="251"/>
      <c r="E33" s="201" t="s">
        <v>342</v>
      </c>
      <c r="F33" s="209">
        <f>F32/F8</f>
        <v>127.8173262462094</v>
      </c>
      <c r="G33" s="209">
        <f>G32/F8</f>
        <v>116.70934696261924</v>
      </c>
      <c r="H33" s="209">
        <f>H32/H8</f>
        <v>33.271633970810463</v>
      </c>
      <c r="I33" s="209">
        <f t="shared" ref="I33:K33" si="12">I32/I8</f>
        <v>64.803985388981872</v>
      </c>
      <c r="J33" s="209">
        <f t="shared" si="12"/>
        <v>248.75298839988344</v>
      </c>
      <c r="K33" s="209">
        <f t="shared" si="12"/>
        <v>943.34495484750835</v>
      </c>
      <c r="L33" s="209"/>
      <c r="M33" s="209"/>
      <c r="N33" s="209">
        <f>N32/N8</f>
        <v>169.14056654952159</v>
      </c>
      <c r="O33" s="255"/>
      <c r="P33" s="63"/>
      <c r="Q33" s="63"/>
    </row>
    <row r="34" spans="4:17" ht="24.95" customHeight="1" x14ac:dyDescent="0.3">
      <c r="D34" s="251"/>
      <c r="E34" s="201" t="s">
        <v>492</v>
      </c>
      <c r="F34" s="209">
        <f>F31/F8</f>
        <v>0.18259618035172775</v>
      </c>
      <c r="G34" s="209">
        <f>G31/F8</f>
        <v>0.16672763851802747</v>
      </c>
      <c r="H34" s="209">
        <f>H31/H8</f>
        <v>4.7530905672586374E-2</v>
      </c>
      <c r="I34" s="209">
        <f t="shared" ref="I34:K34" si="13">I31/I8</f>
        <v>9.2577121984259811E-2</v>
      </c>
      <c r="J34" s="209">
        <f t="shared" si="13"/>
        <v>0.35536141199983351</v>
      </c>
      <c r="K34" s="209">
        <f t="shared" si="13"/>
        <v>1.3476356497821547</v>
      </c>
      <c r="L34" s="209"/>
      <c r="M34" s="209"/>
      <c r="N34" s="209">
        <f>N31/N8</f>
        <v>0.24162938078503085</v>
      </c>
      <c r="O34" s="25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workbookViewId="0">
      <selection activeCell="F8" sqref="F8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504</v>
      </c>
    </row>
    <row r="4" spans="2:24" ht="16.5" customHeight="1" thickTop="1" thickBot="1" x14ac:dyDescent="0.35">
      <c r="B4" s="30" t="s">
        <v>397</v>
      </c>
      <c r="D4" s="252" t="s">
        <v>503</v>
      </c>
      <c r="E4" s="252"/>
      <c r="F4" s="252"/>
      <c r="G4" s="252"/>
      <c r="H4" s="252"/>
      <c r="I4" s="252"/>
      <c r="J4" s="252"/>
      <c r="K4" s="252"/>
      <c r="L4" s="257"/>
      <c r="M4" s="76" t="s">
        <v>243</v>
      </c>
      <c r="N4" s="77" t="s">
        <v>244</v>
      </c>
      <c r="O4" s="78" t="s">
        <v>245</v>
      </c>
      <c r="P4" s="91"/>
      <c r="Q4" s="214"/>
    </row>
    <row r="5" spans="2:24" ht="39.950000000000003" customHeight="1" thickTop="1" thickBot="1" x14ac:dyDescent="0.35">
      <c r="B5" s="30" t="s">
        <v>328</v>
      </c>
      <c r="D5" s="252"/>
      <c r="E5" s="252"/>
      <c r="F5" s="252"/>
      <c r="G5" s="252"/>
      <c r="H5" s="252"/>
      <c r="I5" s="252"/>
      <c r="J5" s="252"/>
      <c r="K5" s="252"/>
      <c r="L5" s="257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24.95" customHeight="1" x14ac:dyDescent="0.3">
      <c r="D7" s="253" t="s">
        <v>59</v>
      </c>
      <c r="E7" s="253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250</v>
      </c>
      <c r="N7" s="216" t="s">
        <v>89</v>
      </c>
      <c r="O7" s="216" t="s">
        <v>251</v>
      </c>
      <c r="P7" s="92"/>
      <c r="Q7" s="63"/>
    </row>
    <row r="8" spans="2:24" ht="24.95" customHeight="1" x14ac:dyDescent="0.3">
      <c r="D8" s="251" t="s">
        <v>283</v>
      </c>
      <c r="E8" s="201" t="s">
        <v>330</v>
      </c>
      <c r="F8" s="74">
        <f>SUMIFS(생산량!D:D,생산량!B:B,B2,생산량!C:C,B3)</f>
        <v>29493.7</v>
      </c>
      <c r="G8" s="74"/>
      <c r="H8" s="74">
        <f>SUMIFS(생산량!E:E,생산량!B:B,B2,생산량!C:C,B3)</f>
        <v>26319.439999999999</v>
      </c>
      <c r="I8" s="74">
        <f>SUMIFS(생산량!F:F,생산량!B:B,B2,생산량!C:C,B3)</f>
        <v>24990.17</v>
      </c>
      <c r="J8" s="74">
        <f>SUMIFS(생산량!G:G,생산량!B:B,B2,생산량!C:C,B3)</f>
        <v>13592.15</v>
      </c>
      <c r="K8" s="74">
        <f>SUMIFS(생산량!H:H,생산량!B:B,B2,생산량!C:C,B3)</f>
        <v>5254.96</v>
      </c>
      <c r="L8" s="74">
        <f>SUMIFS(생산량!I:I,생산량!B:B,B2,생산량!C:C,B3)</f>
        <v>2557.9339999999997</v>
      </c>
      <c r="M8" s="64"/>
      <c r="N8" s="69">
        <f>SUM(F8:M8)</f>
        <v>102208.35399999999</v>
      </c>
      <c r="O8" s="64"/>
      <c r="P8" s="93"/>
      <c r="Q8" s="63" t="s">
        <v>493</v>
      </c>
    </row>
    <row r="9" spans="2:24" ht="24.95" customHeight="1" x14ac:dyDescent="0.3">
      <c r="D9" s="251"/>
      <c r="E9" s="202" t="s">
        <v>331</v>
      </c>
      <c r="F9" s="70">
        <f>F10+F11</f>
        <v>326729</v>
      </c>
      <c r="G9" s="70">
        <f t="shared" ref="G9:N9" si="0">G10+G11</f>
        <v>65657</v>
      </c>
      <c r="H9" s="70">
        <f t="shared" si="0"/>
        <v>1938895</v>
      </c>
      <c r="I9" s="70">
        <f t="shared" si="0"/>
        <v>1869862</v>
      </c>
      <c r="J9" s="70">
        <f t="shared" si="0"/>
        <v>860713</v>
      </c>
      <c r="K9" s="70">
        <f t="shared" si="0"/>
        <v>593895</v>
      </c>
      <c r="L9" s="70">
        <f t="shared" si="0"/>
        <v>20873</v>
      </c>
      <c r="M9" s="66">
        <f t="shared" si="0"/>
        <v>0</v>
      </c>
      <c r="N9" s="70">
        <f t="shared" si="0"/>
        <v>5676624.0000000009</v>
      </c>
      <c r="O9" s="64"/>
      <c r="P9" s="93"/>
      <c r="Q9" s="213">
        <f>F9+G9</f>
        <v>392386</v>
      </c>
    </row>
    <row r="10" spans="2:24" ht="24.95" customHeight="1" x14ac:dyDescent="0.3">
      <c r="D10" s="251"/>
      <c r="E10" s="201" t="s">
        <v>332</v>
      </c>
      <c r="F10" s="69">
        <f>SUMIFS('라인별전력(본+ESS)'!Y:Y,'라인별전력(본+ESS)'!W:W,B2,'라인별전력(본+ESS)'!X:X,B3)</f>
        <v>316984.90103290265</v>
      </c>
      <c r="G10" s="69">
        <f>SUMIFS('라인별전력(본+ESS)'!Z:Z,'라인별전력(본+ESS)'!W:W,B2,'라인별전력(본+ESS)'!X:X,B3)</f>
        <v>63698.899231832162</v>
      </c>
      <c r="H10" s="69">
        <f>SUMIFS('라인별전력(본+ESS)'!AA:AA,'라인별전력(본+ESS)'!W:W,B2,'라인별전력(본+ESS)'!X:X,B3)</f>
        <v>1881070.9783587921</v>
      </c>
      <c r="I10" s="69">
        <f>SUMIFS('라인별전력(본+ESS)'!AB:AB,'라인별전력(본+ESS)'!W:W,B2,'라인별전력(본+ESS)'!X:X,B3)</f>
        <v>1814096.7621949243</v>
      </c>
      <c r="J10" s="69">
        <f>SUMIFS('라인별전력(본+ESS)'!AC:AC,'라인별전력(본+ESS)'!W:W,B2,'라인별전력(본+ESS)'!X:X,B3)</f>
        <v>835043.79814076109</v>
      </c>
      <c r="K10" s="69">
        <f>SUMIFS('라인별전력(본+ESS)'!AD:AD,'라인별전력(본+ESS)'!W:W,B2,'라인별전력(본+ESS)'!X:X,B3)</f>
        <v>576183.16035287874</v>
      </c>
      <c r="L10" s="69">
        <f>SUMIFS('라인별전력(본+ESS)'!AE:AE,'라인별전력(본+ESS)'!W:W,B2,'라인별전력(본+ESS)'!X:X,B3)</f>
        <v>20250.500687908869</v>
      </c>
      <c r="M10" s="64"/>
      <c r="N10" s="69">
        <f>SUM(F10:M10)</f>
        <v>5507329.0000000009</v>
      </c>
      <c r="O10" s="64"/>
      <c r="P10" s="93"/>
      <c r="Q10" s="213">
        <f>SUM(F12:G13)</f>
        <v>39267378.98523961</v>
      </c>
    </row>
    <row r="11" spans="2:24" ht="24.95" customHeight="1" x14ac:dyDescent="0.3">
      <c r="D11" s="251"/>
      <c r="E11" s="201" t="s">
        <v>333</v>
      </c>
      <c r="F11" s="69">
        <f>SUMIFS('라인별전력(본+ESS)'!N:N,'라인별전력(본+ESS)'!L:L,B2,'라인별전력(본+ESS)'!M:M,B3)</f>
        <v>9744.0989670973449</v>
      </c>
      <c r="G11" s="69">
        <f>SUMIFS('라인별전력(본+ESS)'!O:O,'라인별전력(본+ESS)'!L:L,B2,'라인별전력(본+ESS)'!M:M,B3)</f>
        <v>1958.1007681678411</v>
      </c>
      <c r="H11" s="69">
        <f>SUMIFS('라인별전력(본+ESS)'!P:P,'라인별전력(본+ESS)'!L:L,B2,'라인별전력(본+ESS)'!M:M,B3)</f>
        <v>57824.021641207888</v>
      </c>
      <c r="I11" s="69">
        <f>SUMIFS('라인별전력(본+ESS)'!Q:Q,'라인별전력(본+ESS)'!L:L,B2,'라인별전력(본+ESS)'!M:M,B3)</f>
        <v>55765.237805075703</v>
      </c>
      <c r="J11" s="69">
        <f>SUMIFS('라인별전력(본+ESS)'!R:R,'라인별전력(본+ESS)'!L:L,B2,'라인별전력(본+ESS)'!M:M,B3)</f>
        <v>25669.201859238878</v>
      </c>
      <c r="K11" s="69">
        <f>SUMIFS('라인별전력(본+ESS)'!S:S,'라인별전력(본+ESS)'!L:L,B2,'라인별전력(본+ESS)'!M:M,B3)</f>
        <v>17711.839647121251</v>
      </c>
      <c r="L11" s="69">
        <f>SUMIFS('라인별전력(본+ESS)'!T:T,'라인별전력(본+ESS)'!L:L,B2,'라인별전력(본+ESS)'!M:M,B3)</f>
        <v>622.49931209113038</v>
      </c>
      <c r="M11" s="64"/>
      <c r="N11" s="69">
        <f>SUM(F11:M11)</f>
        <v>169295.00000000003</v>
      </c>
      <c r="O11" s="64"/>
      <c r="P11" s="93"/>
      <c r="Q11" s="63"/>
    </row>
    <row r="12" spans="2:24" ht="24.95" customHeight="1" x14ac:dyDescent="0.3">
      <c r="D12" s="251"/>
      <c r="E12" s="201" t="s">
        <v>334</v>
      </c>
      <c r="F12" s="71">
        <f>SUMIFS('라인별전력금액(본+ESS)'!Y:Y,'라인별전력금액(본+ESS)'!W:W,B2,'라인별전력금액(본+ESS)'!X:X,B3)</f>
        <v>32464843.575235598</v>
      </c>
      <c r="G12" s="71">
        <f>SUMIFS('라인별전력금액(본+ESS)'!Z:Z,'라인별전력금액(본+ESS)'!W:W,B2,'라인별전력금액(본+ESS)'!X:X,B3)</f>
        <v>6523890.5472708084</v>
      </c>
      <c r="H12" s="71">
        <f>SUMIFS('라인별전력금액(본+ESS)'!AA:AA,'라인별전력금액(본+ESS)'!W:W,B2,'라인별전력금액(본+ESS)'!X:X,B3)</f>
        <v>192654838.97605184</v>
      </c>
      <c r="I12" s="71">
        <f>SUMIFS('라인별전력금액(본+ESS)'!AB:AB,'라인별전력금액(본+ESS)'!W:W,B2,'라인별전력금액(본+ESS)'!X:X,B3)</f>
        <v>185795498.21802533</v>
      </c>
      <c r="J12" s="71">
        <f>SUMIFS('라인별전력금액(본+ESS)'!AC:AC,'라인별전력금액(본+ESS)'!W:W,B2,'라인별전력금액(본+ESS)'!X:X,B3)</f>
        <v>85523210.085948184</v>
      </c>
      <c r="K12" s="71">
        <f>SUMIFS('라인별전력금액(본+ESS)'!AD:AD,'라인별전력금액(본+ESS)'!W:W,B2,'라인별전력금액(본+ESS)'!X:X,B3)</f>
        <v>59011316.029842921</v>
      </c>
      <c r="L12" s="71">
        <f>SUMIFS('라인별전력금액(본+ESS)'!AE:AE,'라인별전력금액(본+ESS)'!W:W,B2,'라인별전력금액(본+ESS)'!X:X,B3)</f>
        <v>2074008.3676254409</v>
      </c>
      <c r="M12" s="68"/>
      <c r="N12" s="71">
        <f>SUM(F12:M12)</f>
        <v>564047605.80000019</v>
      </c>
      <c r="O12" s="64"/>
      <c r="P12" s="93"/>
      <c r="Q12" s="63"/>
    </row>
    <row r="13" spans="2:24" ht="24.95" customHeight="1" thickBot="1" x14ac:dyDescent="0.35">
      <c r="D13" s="251"/>
      <c r="E13" s="201" t="s">
        <v>335</v>
      </c>
      <c r="F13" s="71">
        <f>SUMIFS('라인별전력금액(본+ESS)'!N:N,'라인별전력금액(본+ESS)'!L:L,B2,'라인별전력금액(본+ESS)'!M:M,B3)</f>
        <v>232019.89203477278</v>
      </c>
      <c r="G13" s="71">
        <f>SUMIFS('라인별전력금액(본+ESS)'!O:O,'라인별전력금액(본+ESS)'!L:L,B2,'라인별전력금액(본+ESS)'!M:M,B3)</f>
        <v>46624.970698429221</v>
      </c>
      <c r="H13" s="71">
        <f>SUMIFS('라인별전력금액(본+ESS)'!P:P,'라인별전력금액(본+ESS)'!L:L,B2,'라인별전력금액(본+ESS)'!M:M,B3)</f>
        <v>1376866.481294164</v>
      </c>
      <c r="I13" s="71">
        <f>SUMIFS('라인별전력금액(본+ESS)'!Q:Q,'라인별전력금액(본+ESS)'!L:L,B2,'라인별전력금액(본+ESS)'!M:M,B3)</f>
        <v>1327844.1135005597</v>
      </c>
      <c r="J13" s="71">
        <f>SUMIFS('라인별전력금액(본+ESS)'!R:R,'라인별전력금액(본+ESS)'!L:L,B2,'라인별전력금액(본+ESS)'!M:M,B3)</f>
        <v>611217.66764788388</v>
      </c>
      <c r="K13" s="71">
        <f>SUMIFS('라인별전력금액(본+ESS)'!S:S,'라인별전력금액(본+ESS)'!L:L,B2,'라인별전력금액(본+ESS)'!M:M,B3)</f>
        <v>421742.34236933797</v>
      </c>
      <c r="L13" s="71">
        <f>SUMIFS('라인별전력금액(본+ESS)'!T:T,'라인별전력금액(본+ESS)'!L:L,B2,'라인별전력금액(본+ESS)'!M:M,B3)</f>
        <v>14822.53245485345</v>
      </c>
      <c r="M13" s="68"/>
      <c r="N13" s="71">
        <f>SUM(F13:M13)</f>
        <v>4031138.0000000009</v>
      </c>
      <c r="O13" s="64"/>
      <c r="P13" s="93"/>
      <c r="Q13" s="63"/>
    </row>
    <row r="14" spans="2:24" ht="24.95" customHeight="1" x14ac:dyDescent="0.3">
      <c r="D14" s="251"/>
      <c r="E14" s="201" t="s">
        <v>336</v>
      </c>
      <c r="F14" s="70">
        <f>SUM(F12:F13)</f>
        <v>32696863.467270371</v>
      </c>
      <c r="G14" s="70">
        <f t="shared" ref="G14:N14" si="1">SUM(G12:G13)</f>
        <v>6570515.5179692376</v>
      </c>
      <c r="H14" s="70">
        <f t="shared" si="1"/>
        <v>194031705.45734599</v>
      </c>
      <c r="I14" s="70">
        <f t="shared" si="1"/>
        <v>187123342.33152589</v>
      </c>
      <c r="J14" s="70">
        <f t="shared" si="1"/>
        <v>86134427.753596067</v>
      </c>
      <c r="K14" s="70">
        <f t="shared" si="1"/>
        <v>59433058.372212261</v>
      </c>
      <c r="L14" s="70">
        <f t="shared" si="1"/>
        <v>2088830.9000802943</v>
      </c>
      <c r="M14" s="66"/>
      <c r="N14" s="70">
        <f t="shared" si="1"/>
        <v>568078743.80000019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24.95" customHeight="1" thickBot="1" x14ac:dyDescent="0.35">
      <c r="D15" s="251"/>
      <c r="E15" s="201" t="s">
        <v>337</v>
      </c>
      <c r="F15" s="72">
        <f t="shared" ref="F15:L15" si="2">F14+R15</f>
        <v>38089465.977531508</v>
      </c>
      <c r="G15" s="72">
        <f t="shared" si="2"/>
        <v>7654172.3192210868</v>
      </c>
      <c r="H15" s="72">
        <f t="shared" si="2"/>
        <v>226032813.54427052</v>
      </c>
      <c r="I15" s="72">
        <f t="shared" si="2"/>
        <v>217985073.35338777</v>
      </c>
      <c r="J15" s="72">
        <f t="shared" si="2"/>
        <v>100340338.72083311</v>
      </c>
      <c r="K15" s="72">
        <f t="shared" si="2"/>
        <v>69235186.949202776</v>
      </c>
      <c r="L15" s="72">
        <f t="shared" si="2"/>
        <v>2433335.9553299989</v>
      </c>
      <c r="M15" s="67"/>
      <c r="N15" s="72">
        <f>SUM(F15:M15)</f>
        <v>661770386.81977677</v>
      </c>
      <c r="O15" s="64"/>
      <c r="P15" s="93"/>
      <c r="Q15" s="94">
        <f>SUMIFS(리스추정치!D:D,리스추정치!B:B,B2,리스추정치!C:C,B3)</f>
        <v>93691643.019776657</v>
      </c>
      <c r="R15" s="95">
        <f t="shared" ref="R15:X15" si="3">$Q$15*(F14/$N$14)</f>
        <v>5392602.5102611342</v>
      </c>
      <c r="S15" s="95">
        <f t="shared" si="3"/>
        <v>1083656.8012518487</v>
      </c>
      <c r="T15" s="95">
        <f t="shared" si="3"/>
        <v>32001108.086924527</v>
      </c>
      <c r="U15" s="95">
        <f t="shared" si="3"/>
        <v>30861731.021861866</v>
      </c>
      <c r="V15" s="95">
        <f t="shared" si="3"/>
        <v>14205910.967237044</v>
      </c>
      <c r="W15" s="95">
        <f t="shared" si="3"/>
        <v>9802128.5769905224</v>
      </c>
      <c r="X15" s="96">
        <f t="shared" si="3"/>
        <v>344505.05524970434</v>
      </c>
    </row>
    <row r="16" spans="2:24" ht="24.95" customHeight="1" x14ac:dyDescent="0.3">
      <c r="D16" s="251"/>
      <c r="E16" s="201" t="s">
        <v>338</v>
      </c>
      <c r="F16" s="208">
        <f>F15/F8</f>
        <v>1291.4441381559961</v>
      </c>
      <c r="G16" s="208">
        <f>G15/F8</f>
        <v>259.51889112661644</v>
      </c>
      <c r="H16" s="209">
        <f>H15/H8</f>
        <v>8588.0555796122753</v>
      </c>
      <c r="I16" s="209">
        <f t="shared" ref="I16:N16" si="4">I15/I8</f>
        <v>8722.8327519735867</v>
      </c>
      <c r="J16" s="209">
        <f t="shared" si="4"/>
        <v>7382.2271473485143</v>
      </c>
      <c r="K16" s="209">
        <f t="shared" si="4"/>
        <v>13175.207223119258</v>
      </c>
      <c r="L16" s="209">
        <f t="shared" si="4"/>
        <v>951.28957796800034</v>
      </c>
      <c r="M16" s="209"/>
      <c r="N16" s="209">
        <f t="shared" si="4"/>
        <v>6474.7191488846092</v>
      </c>
      <c r="O16" s="64"/>
      <c r="P16" s="93"/>
      <c r="Q16" s="63"/>
    </row>
    <row r="17" spans="4:17" ht="24.95" customHeight="1" x14ac:dyDescent="0.3">
      <c r="D17" s="251"/>
      <c r="E17" s="201" t="s">
        <v>339</v>
      </c>
      <c r="F17" s="209">
        <f>F9/F8</f>
        <v>11.077925116211258</v>
      </c>
      <c r="G17" s="209">
        <f>G9/F8</f>
        <v>2.2261364291357135</v>
      </c>
      <c r="H17" s="209">
        <f>H9/H8</f>
        <v>73.667790804059663</v>
      </c>
      <c r="I17" s="209">
        <f t="shared" ref="I17:N17" si="5">I9/I8</f>
        <v>74.823900757777963</v>
      </c>
      <c r="J17" s="209">
        <f t="shared" si="5"/>
        <v>63.324271730373781</v>
      </c>
      <c r="K17" s="209">
        <f t="shared" si="5"/>
        <v>113.0160838522082</v>
      </c>
      <c r="L17" s="209">
        <f t="shared" si="5"/>
        <v>8.1601010815759913</v>
      </c>
      <c r="M17" s="209"/>
      <c r="N17" s="209">
        <f t="shared" si="5"/>
        <v>55.539726234119783</v>
      </c>
      <c r="O17" s="64"/>
      <c r="P17" s="93"/>
      <c r="Q17" s="63"/>
    </row>
    <row r="18" spans="4:17" ht="24.95" customHeight="1" x14ac:dyDescent="0.3">
      <c r="D18" s="251" t="s">
        <v>285</v>
      </c>
      <c r="E18" s="201" t="s">
        <v>488</v>
      </c>
      <c r="F18" s="89">
        <f>SUMIFS(LNG사용량!D:D,LNG사용량!B:B,B2,LNG사용량!C:C,B3)</f>
        <v>73679.692894836277</v>
      </c>
      <c r="G18" s="89">
        <f>SUMIFS(LNG사용량!E:E,LNG사용량!B:B,B2,LNG사용량!C:C,B3)</f>
        <v>87794</v>
      </c>
      <c r="H18" s="89"/>
      <c r="I18" s="89">
        <f>SUMIFS(LNG사용량!F:F,LNG사용량!B:B,B2,LNG사용량!C:C,B3)</f>
        <v>530122</v>
      </c>
      <c r="J18" s="89">
        <f>SUMIFS(LNG사용량!G:G,LNG사용량!B:B,B2,LNG사용량!C:C,B3)</f>
        <v>367088</v>
      </c>
      <c r="K18" s="89">
        <f>SUMIFS(LNG사용량!H:H,LNG사용량!B:B,B2,LNG사용량!C:C,B3)</f>
        <v>303270.30710516369</v>
      </c>
      <c r="L18" s="89"/>
      <c r="M18" s="89">
        <f>SUMIFS(LNG사용량!I:I,LNG사용량!B:B,B2,LNG사용량!C:C,B3)</f>
        <v>2963.9526999999998</v>
      </c>
      <c r="N18" s="89">
        <f>SUM(F18:M18)</f>
        <v>1364917.9527</v>
      </c>
      <c r="O18" s="64"/>
      <c r="P18" s="93"/>
      <c r="Q18" s="63"/>
    </row>
    <row r="19" spans="4:17" ht="24.95" customHeight="1" x14ac:dyDescent="0.3">
      <c r="D19" s="251"/>
      <c r="E19" s="201" t="s">
        <v>341</v>
      </c>
      <c r="F19" s="203">
        <f>SUMIFS(LNG금액!D:D,LNG금액!B:B,B2,LNG금액!C:C,B3)</f>
        <v>44819953.806514353</v>
      </c>
      <c r="G19" s="203">
        <f>SUMIFS(LNG금액!E:E,LNG금액!B:B,B2,LNG금액!C:C,B3)</f>
        <v>53405801.108664691</v>
      </c>
      <c r="H19" s="203"/>
      <c r="I19" s="203">
        <f>SUMIFS(LNG금액!F:F,LNG금액!B:B,B2,LNG금액!C:C,B3)</f>
        <v>322477505.24326885</v>
      </c>
      <c r="J19" s="203">
        <f>SUMIFS(LNG금액!G:G,LNG금액!B:B,B2,LNG금액!C:C,B3)</f>
        <v>223302602.88148966</v>
      </c>
      <c r="K19" s="203">
        <f>SUMIFS(LNG금액!H:H,LNG금액!B:B,B2,LNG금액!C:C,B3)</f>
        <v>184481783.53215519</v>
      </c>
      <c r="L19" s="203"/>
      <c r="M19" s="203">
        <f>SUMIFS(LNG금액!I:I,LNG금액!B:B,B2,LNG금액!C:C,B3)</f>
        <v>1802996.4279072566</v>
      </c>
      <c r="N19" s="203">
        <f>SUM(F19:M19)</f>
        <v>830290642.99999988</v>
      </c>
      <c r="O19" s="64"/>
      <c r="P19" s="93"/>
      <c r="Q19" s="63"/>
    </row>
    <row r="20" spans="4:17" ht="24.95" customHeight="1" x14ac:dyDescent="0.3">
      <c r="D20" s="251"/>
      <c r="E20" s="201" t="s">
        <v>342</v>
      </c>
      <c r="F20" s="209">
        <f>F19/F8</f>
        <v>1519.6450023738748</v>
      </c>
      <c r="G20" s="209">
        <f>G19/F8</f>
        <v>1810.7528424261686</v>
      </c>
      <c r="H20" s="209"/>
      <c r="I20" s="209">
        <f>I19/I8</f>
        <v>12904.174130999063</v>
      </c>
      <c r="J20" s="209">
        <f t="shared" ref="J20:L20" si="6">J19/J8</f>
        <v>16428.791830688278</v>
      </c>
      <c r="K20" s="209">
        <f t="shared" si="6"/>
        <v>35106.220319879729</v>
      </c>
      <c r="L20" s="209">
        <f t="shared" si="6"/>
        <v>0</v>
      </c>
      <c r="M20" s="209"/>
      <c r="N20" s="209">
        <f>N19/(N8-H8-L8)</f>
        <v>11322.508481408539</v>
      </c>
      <c r="O20" s="64"/>
      <c r="P20" s="93"/>
      <c r="Q20" s="63"/>
    </row>
    <row r="21" spans="4:17" ht="24.95" customHeight="1" x14ac:dyDescent="0.3">
      <c r="D21" s="251"/>
      <c r="E21" s="201" t="s">
        <v>489</v>
      </c>
      <c r="F21" s="209">
        <f>F18/F8</f>
        <v>2.4981502115650556</v>
      </c>
      <c r="G21" s="209">
        <f>G18/F8</f>
        <v>2.9767034993913954</v>
      </c>
      <c r="H21" s="209"/>
      <c r="I21" s="209">
        <f>I18/I8</f>
        <v>21.213221038512344</v>
      </c>
      <c r="J21" s="209">
        <f t="shared" ref="J21:K21" si="7">J18/J8</f>
        <v>27.007353509194648</v>
      </c>
      <c r="K21" s="209">
        <f t="shared" si="7"/>
        <v>57.711249392034134</v>
      </c>
      <c r="L21" s="209"/>
      <c r="M21" s="209"/>
      <c r="N21" s="209">
        <f>N18/(N8-H8-L8)</f>
        <v>18.613114848594687</v>
      </c>
      <c r="O21" s="64"/>
      <c r="P21" s="93"/>
      <c r="Q21" s="63"/>
    </row>
    <row r="22" spans="4:17" ht="24.95" customHeight="1" x14ac:dyDescent="0.3">
      <c r="D22" s="215" t="s">
        <v>321</v>
      </c>
      <c r="E22" s="201" t="s">
        <v>344</v>
      </c>
      <c r="F22" s="64">
        <f>SUMIFS(LNG사용량!K:K,LNG사용량!B:B,B2,LNG사용량!C:C,B3)/1000</f>
        <v>962.85500000000002</v>
      </c>
      <c r="G22" s="64"/>
      <c r="H22" s="64"/>
      <c r="I22" s="64"/>
      <c r="J22" s="64"/>
      <c r="K22" s="64">
        <f>SUMIFS(LNG사용량!L:L,LNG사용량!B:B,B2,LNG사용량!C:C,B3)/1000</f>
        <v>603.92100000000005</v>
      </c>
      <c r="L22" s="64"/>
      <c r="M22" s="64"/>
      <c r="N22" s="64">
        <f>SUM(F22:M22)</f>
        <v>1566.7760000000001</v>
      </c>
      <c r="O22" s="101" t="s">
        <v>326</v>
      </c>
      <c r="P22" s="63"/>
      <c r="Q22" s="63"/>
    </row>
    <row r="23" spans="4:17" ht="24.95" customHeight="1" x14ac:dyDescent="0.3">
      <c r="D23" s="251" t="s">
        <v>327</v>
      </c>
      <c r="E23" s="201" t="s">
        <v>488</v>
      </c>
      <c r="F23" s="89">
        <f>SUMIFS(용수사용량!F:F,용수사용량!C:C,B2,용수사용량!E:E,B3,용수사용량!D:D,B4)</f>
        <v>981.62341301612719</v>
      </c>
      <c r="G23" s="89">
        <f>SUMIFS(용수사용량!G:G,용수사용량!C:C,B2,용수사용량!E:E,B3,용수사용량!D:D,B4)</f>
        <v>408.57251515498109</v>
      </c>
      <c r="H23" s="89">
        <f>SUMIFS(용수사용량!H:H,용수사용량!C:C,B2,용수사용량!E:E,B3,용수사용량!D:D,B4)</f>
        <v>54.521960425483243</v>
      </c>
      <c r="I23" s="89">
        <f>SUMIFS(용수사용량!I:I,용수사용량!C:C,B2,용수사용량!E:E,B3,용수사용량!D:D,B4)</f>
        <v>453.74133592588356</v>
      </c>
      <c r="J23" s="89">
        <f>SUMIFS(용수사용량!J:J,용수사용량!C:C,B2,용수사용량!E:E,B3,용수사용량!D:D,B4)</f>
        <v>963.82963513668085</v>
      </c>
      <c r="K23" s="89">
        <f>SUMIFS(용수사용량!K:K,용수사용량!C:C,B2,용수사용량!E:E,B3,용수사용량!D:D,B4)</f>
        <v>1126.7111403408442</v>
      </c>
      <c r="L23" s="89"/>
      <c r="M23" s="89"/>
      <c r="N23" s="89">
        <f>SUM(F23:M23)</f>
        <v>3989</v>
      </c>
      <c r="O23" s="254" t="s">
        <v>486</v>
      </c>
      <c r="P23" s="63"/>
      <c r="Q23" s="63"/>
    </row>
    <row r="24" spans="4:17" ht="24.95" customHeight="1" x14ac:dyDescent="0.3">
      <c r="D24" s="251"/>
      <c r="E24" s="201" t="s">
        <v>345</v>
      </c>
      <c r="F24" s="89">
        <f>SUMIFS(용수사용량!R:R,용수사용량!O:O,B2,용수사용량!Q:Q,B3,용수사용량!P:P,B4)</f>
        <v>4410609.4515612489</v>
      </c>
      <c r="G24" s="89">
        <f>SUMIFS(용수사용량!S:S,용수사용량!O:O,B2,용수사용량!Q:Q,B3,용수사용량!P:P,B4)</f>
        <v>1835789.3394715772</v>
      </c>
      <c r="H24" s="89">
        <f>SUMIFS(용수사용량!T:T,용수사용량!O:O,B2,용수사용량!Q:Q,B3,용수사용량!P:P,B4)</f>
        <v>244976.91353082468</v>
      </c>
      <c r="I24" s="89">
        <f>SUMIFS(용수사용량!U:U,용수사용량!O:O,B2,용수사용량!Q:Q,B3,용수사용량!P:P,B4)</f>
        <v>2038740.9247397918</v>
      </c>
      <c r="J24" s="89">
        <f>SUMIFS(용수사용량!V:V,용수사용량!O:O,B2,용수사용량!Q:Q,B3,용수사용량!P:P,B4)</f>
        <v>4330658.8270616494</v>
      </c>
      <c r="K24" s="89">
        <f>SUMIFS(용수사용량!W:W,용수사용량!O:O,B2,용수사용량!Q:Q,B3,용수사용량!P:P,B4)</f>
        <v>5062514.5436349083</v>
      </c>
      <c r="L24" s="89"/>
      <c r="M24" s="89"/>
      <c r="N24" s="89">
        <f>SUM(F24:M24)</f>
        <v>17923290</v>
      </c>
      <c r="O24" s="255"/>
      <c r="P24" s="63"/>
      <c r="Q24" s="63"/>
    </row>
    <row r="25" spans="4:17" ht="24.95" customHeight="1" x14ac:dyDescent="0.3">
      <c r="D25" s="251"/>
      <c r="E25" s="201" t="s">
        <v>342</v>
      </c>
      <c r="F25" s="209">
        <f>F24/F8</f>
        <v>149.54412133985389</v>
      </c>
      <c r="G25" s="209">
        <f>G24/F8</f>
        <v>62.243439767529239</v>
      </c>
      <c r="H25" s="209">
        <f>H24/H8</f>
        <v>9.3078315317812503</v>
      </c>
      <c r="I25" s="209">
        <f t="shared" ref="I25:K25" si="8">I24/I8</f>
        <v>81.581714919898175</v>
      </c>
      <c r="J25" s="209">
        <f t="shared" si="8"/>
        <v>318.61470238789667</v>
      </c>
      <c r="K25" s="209">
        <f t="shared" si="8"/>
        <v>963.37832136398913</v>
      </c>
      <c r="L25" s="209"/>
      <c r="M25" s="209"/>
      <c r="N25" s="209">
        <f>N24/N8</f>
        <v>175.3603232862942</v>
      </c>
      <c r="O25" s="255"/>
      <c r="P25" s="63"/>
      <c r="Q25" s="63"/>
    </row>
    <row r="26" spans="4:17" ht="24.95" customHeight="1" x14ac:dyDescent="0.3">
      <c r="D26" s="251"/>
      <c r="E26" s="201" t="s">
        <v>490</v>
      </c>
      <c r="F26" s="209">
        <f>F23/F8</f>
        <v>3.3282477716126739E-2</v>
      </c>
      <c r="G26" s="209">
        <f>G23/F8</f>
        <v>1.3852874178383217E-2</v>
      </c>
      <c r="H26" s="209">
        <f t="shared" ref="H26:K26" si="9">H23/H8</f>
        <v>2.0715471311503302E-3</v>
      </c>
      <c r="I26" s="209">
        <f t="shared" si="9"/>
        <v>1.8156792687920233E-2</v>
      </c>
      <c r="J26" s="209">
        <f t="shared" si="9"/>
        <v>7.0910756218602711E-2</v>
      </c>
      <c r="K26" s="209">
        <f t="shared" si="9"/>
        <v>0.21440908024815492</v>
      </c>
      <c r="L26" s="209"/>
      <c r="M26" s="209"/>
      <c r="N26" s="209">
        <f>N23/N8</f>
        <v>3.9028120930310647E-2</v>
      </c>
      <c r="O26" s="255"/>
      <c r="P26" s="63"/>
      <c r="Q26" s="63"/>
    </row>
    <row r="27" spans="4:17" ht="24.95" customHeight="1" x14ac:dyDescent="0.3">
      <c r="D27" s="251" t="s">
        <v>328</v>
      </c>
      <c r="E27" s="201" t="s">
        <v>488</v>
      </c>
      <c r="F27" s="89">
        <f>SUMIFS(용수사용량!F:F,용수사용량!C:C,B2,용수사용량!E:E,B3,용수사용량!D:D,B5)</f>
        <v>7578.6052270387736</v>
      </c>
      <c r="G27" s="89">
        <f>SUMIFS(용수사용량!G:G,용수사용량!C:C,B2,용수사용량!E:E,B3,용수사용량!D:D,B5)</f>
        <v>3154.3764726066565</v>
      </c>
      <c r="H27" s="89">
        <f>SUMIFS(용수사용량!H:H,용수사용량!C:C,B2,용수사용량!E:E,B3,용수사용량!D:D,B5)</f>
        <v>420.93577719318313</v>
      </c>
      <c r="I27" s="89">
        <f>SUMIFS(용수사용량!I:I,용수사용량!C:C,B2,용수사용량!E:E,B3,용수사용량!D:D,B5)</f>
        <v>3503.101509779252</v>
      </c>
      <c r="J27" s="89">
        <f>SUMIFS(용수사용량!J:J,용수사용량!C:C,B2,용수사용량!E:E,B3,용수사용량!D:D,B5)</f>
        <v>7441.2286972435095</v>
      </c>
      <c r="K27" s="89">
        <f>SUMIFS(용수사용량!K:K,용수사용량!C:C,B2,용수사용량!E:E,B3,용수사용량!D:D,B5)</f>
        <v>8698.7523161386252</v>
      </c>
      <c r="L27" s="89"/>
      <c r="M27" s="89"/>
      <c r="N27" s="89">
        <f>SUM(F27:M27)</f>
        <v>30797</v>
      </c>
      <c r="O27" s="255"/>
      <c r="P27" s="63"/>
      <c r="Q27" s="63"/>
    </row>
    <row r="28" spans="4:17" ht="24.95" customHeight="1" x14ac:dyDescent="0.3">
      <c r="D28" s="251"/>
      <c r="E28" s="201" t="s">
        <v>347</v>
      </c>
      <c r="F28" s="89">
        <f>SUMIFS(용수사용량!R:R,용수사용량!O:O,B2,용수사용량!Q:Q,B3,용수사용량!P:P,B5)</f>
        <v>4237768.4296008237</v>
      </c>
      <c r="G28" s="89">
        <f>SUMIFS(용수사용량!S:S,용수사용량!O:O,B2,용수사용량!Q:Q,B3,용수사용량!P:P,B5)</f>
        <v>1763849.2348164245</v>
      </c>
      <c r="H28" s="89">
        <f>SUMIFS(용수사용량!T:T,용수사용량!O:O,B2,용수사용량!Q:Q,B3,용수사용량!P:P,B5)</f>
        <v>235376.86606428001</v>
      </c>
      <c r="I28" s="89">
        <f>SUMIFS(용수사용량!U:U,용수사용량!O:O,B2,용수사용량!Q:Q,B3,용수사용량!P:P,B5)</f>
        <v>1958847.642685577</v>
      </c>
      <c r="J28" s="89">
        <f>SUMIFS(용수사용량!V:V,용수사용량!O:O,B2,용수사용량!Q:Q,B3,용수사용량!P:P,B5)</f>
        <v>4160950.8749857028</v>
      </c>
      <c r="K28" s="89">
        <f>SUMIFS(용수사용량!W:W,용수사용량!O:O,B2,용수사용량!Q:Q,B3,용수사용량!P:P,B5)</f>
        <v>4864126.9518471919</v>
      </c>
      <c r="L28" s="89"/>
      <c r="M28" s="89"/>
      <c r="N28" s="89">
        <f>SUM(F28:M28)</f>
        <v>17220920</v>
      </c>
      <c r="O28" s="255"/>
      <c r="P28" s="217">
        <f>N28/N27</f>
        <v>559.1752443419814</v>
      </c>
      <c r="Q28" s="63"/>
    </row>
    <row r="29" spans="4:17" ht="24.95" customHeight="1" x14ac:dyDescent="0.3">
      <c r="D29" s="251"/>
      <c r="E29" s="201" t="s">
        <v>342</v>
      </c>
      <c r="F29" s="209">
        <f>F28/F8</f>
        <v>143.68385213116102</v>
      </c>
      <c r="G29" s="209">
        <f>G28/F8</f>
        <v>59.804271244924323</v>
      </c>
      <c r="H29" s="209">
        <f t="shared" ref="H29:N29" si="10">H28/H8</f>
        <v>8.9430803263397713</v>
      </c>
      <c r="I29" s="209">
        <f t="shared" si="10"/>
        <v>78.384726581915089</v>
      </c>
      <c r="J29" s="209">
        <f t="shared" si="10"/>
        <v>306.12896966158428</v>
      </c>
      <c r="K29" s="209">
        <f t="shared" si="10"/>
        <v>925.62587571498011</v>
      </c>
      <c r="L29" s="209"/>
      <c r="M29" s="209"/>
      <c r="N29" s="209">
        <f t="shared" si="10"/>
        <v>168.48838011812617</v>
      </c>
      <c r="O29" s="255"/>
      <c r="P29" s="63"/>
      <c r="Q29" s="63"/>
    </row>
    <row r="30" spans="4:17" ht="24.95" customHeight="1" x14ac:dyDescent="0.3">
      <c r="D30" s="251"/>
      <c r="E30" s="201" t="s">
        <v>491</v>
      </c>
      <c r="F30" s="209">
        <f>F27/F8</f>
        <v>0.2569567476118213</v>
      </c>
      <c r="G30" s="209">
        <f>G27/F8</f>
        <v>0.10695085637294258</v>
      </c>
      <c r="H30" s="209">
        <f t="shared" ref="H30:N30" si="11">H27/H8</f>
        <v>1.5993340937086167E-2</v>
      </c>
      <c r="I30" s="209">
        <f t="shared" si="11"/>
        <v>0.14017917884429165</v>
      </c>
      <c r="J30" s="209">
        <f t="shared" si="11"/>
        <v>0.54746516903091191</v>
      </c>
      <c r="K30" s="209">
        <f t="shared" si="11"/>
        <v>1.6553412996747121</v>
      </c>
      <c r="L30" s="209"/>
      <c r="M30" s="209"/>
      <c r="N30" s="209">
        <f t="shared" si="11"/>
        <v>0.30131587873922716</v>
      </c>
      <c r="O30" s="255"/>
      <c r="P30" s="63"/>
      <c r="Q30" s="63"/>
    </row>
    <row r="31" spans="4:17" ht="24.95" customHeight="1" x14ac:dyDescent="0.3">
      <c r="D31" s="251" t="s">
        <v>355</v>
      </c>
      <c r="E31" s="201" t="s">
        <v>488</v>
      </c>
      <c r="F31" s="89">
        <f>SUMIFS(용수사용량!F:F,용수사용량!C:C,B2,용수사용량!E:E,B3,용수사용량!D:D,B6)</f>
        <v>4988.0939036943837</v>
      </c>
      <c r="G31" s="89">
        <f>SUMIFS(용수사용량!G:G,용수사용량!C:C,B2,용수사용량!E:E,B3,용수사용량!D:D,B6)</f>
        <v>2076.1506347935492</v>
      </c>
      <c r="H31" s="89">
        <f>SUMIFS(용수사용량!H:H,용수사용량!C:C,B2,용수사용량!E:E,B3,용수사용량!D:D,B6)</f>
        <v>277.05192725609061</v>
      </c>
      <c r="I31" s="89">
        <f>SUMIFS(용수사용량!I:I,용수사용량!C:C,B2,용수사용량!E:E,B3,용수사용량!D:D,B6)</f>
        <v>2305.6748255747452</v>
      </c>
      <c r="J31" s="89">
        <f>SUMIFS(용수사용량!J:J,용수사용량!C:C,B2,용수사용량!E:E,B3,용수사용량!D:D,B6)</f>
        <v>4897.6752830836094</v>
      </c>
      <c r="K31" s="89">
        <f>SUMIFS(용수사용량!K:K,용수사용량!C:C,B2,용수사용량!E:E,B3,용수사용량!D:D,B6)</f>
        <v>5725.353425597621</v>
      </c>
      <c r="L31" s="89"/>
      <c r="M31" s="89"/>
      <c r="N31" s="89">
        <f>SUM(F31:M31)</f>
        <v>20270</v>
      </c>
      <c r="O31" s="255"/>
      <c r="P31" s="63"/>
      <c r="Q31" s="63"/>
    </row>
    <row r="32" spans="4:17" ht="24.95" customHeight="1" x14ac:dyDescent="0.3">
      <c r="D32" s="251"/>
      <c r="E32" s="201" t="s">
        <v>400</v>
      </c>
      <c r="F32" s="89">
        <f>SUMIFS(용수사용량!R:R,용수사용량!O:O,B2,용수사용량!Q:Q,B3,용수사용량!P:P,'20.6월'!B6)</f>
        <v>3491665.732586069</v>
      </c>
      <c r="G32" s="89">
        <f>SUMIFS(용수사용량!S:S,용수사용량!O:O,B2,용수사용량!Q:Q,B3,용수사용량!P:P,'20.6월'!B6)</f>
        <v>1453305.4443554843</v>
      </c>
      <c r="H32" s="89">
        <f>SUMIFS(용수사용량!T:T,용수사용량!O:O,B2,용수사용량!Q:Q,B3,용수사용량!P:P,'20.6월'!B6)</f>
        <v>193936.34907926343</v>
      </c>
      <c r="I32" s="89">
        <f>SUMIFS(용수사용량!U:U,용수사용량!O:O,B2,용수사용량!Q:Q,B3,용수사용량!P:P,'20.6월'!B6)</f>
        <v>1613972.3779023218</v>
      </c>
      <c r="J32" s="89">
        <f>SUMIFS(용수사용량!V:V,용수사용량!O:O,B2,용수사용량!Q:Q,B3,용수사용량!P:P,'20.6월'!B6)</f>
        <v>3428372.6981585268</v>
      </c>
      <c r="K32" s="89">
        <f>SUMIFS(용수사용량!W:W,용수사용량!O:O,B2,용수사용량!Q:Q,B3,용수사용량!P:P,'20.6월'!B6)</f>
        <v>4007747.3979183347</v>
      </c>
      <c r="L32" s="89"/>
      <c r="M32" s="89"/>
      <c r="N32" s="89">
        <f>SUM(F32:M32)</f>
        <v>14188999.999999998</v>
      </c>
      <c r="O32" s="255"/>
      <c r="P32" s="63">
        <f>N32/N31</f>
        <v>699.99999999999989</v>
      </c>
      <c r="Q32" s="63"/>
    </row>
    <row r="33" spans="4:17" ht="24.95" customHeight="1" x14ac:dyDescent="0.3">
      <c r="D33" s="251"/>
      <c r="E33" s="201" t="s">
        <v>342</v>
      </c>
      <c r="F33" s="209">
        <f>F32/F8</f>
        <v>118.38683286892011</v>
      </c>
      <c r="G33" s="209">
        <f>G32/F8</f>
        <v>49.275114494128722</v>
      </c>
      <c r="H33" s="209">
        <f>H32/H8</f>
        <v>7.3685590984938676</v>
      </c>
      <c r="I33" s="209">
        <f t="shared" ref="I33:K33" si="12">I32/I8</f>
        <v>64.584289658786716</v>
      </c>
      <c r="J33" s="209">
        <f t="shared" si="12"/>
        <v>252.23181749454847</v>
      </c>
      <c r="K33" s="209">
        <f t="shared" si="12"/>
        <v>762.65992470320134</v>
      </c>
      <c r="L33" s="209"/>
      <c r="M33" s="209"/>
      <c r="N33" s="209">
        <f>N32/N8</f>
        <v>138.82426870899417</v>
      </c>
      <c r="O33" s="255"/>
      <c r="P33" s="63"/>
      <c r="Q33" s="63"/>
    </row>
    <row r="34" spans="4:17" ht="24.95" customHeight="1" x14ac:dyDescent="0.3">
      <c r="D34" s="251"/>
      <c r="E34" s="201" t="s">
        <v>492</v>
      </c>
      <c r="F34" s="209">
        <f>F31/F8</f>
        <v>0.16912404695560013</v>
      </c>
      <c r="G34" s="209">
        <f>G31/F8</f>
        <v>7.0393020705898174E-2</v>
      </c>
      <c r="H34" s="209">
        <f>H31/H8</f>
        <v>1.0526512997848382E-2</v>
      </c>
      <c r="I34" s="209">
        <f t="shared" ref="I34:K34" si="13">I31/I8</f>
        <v>9.2263270941123868E-2</v>
      </c>
      <c r="J34" s="209">
        <f t="shared" si="13"/>
        <v>0.36033116784935493</v>
      </c>
      <c r="K34" s="209">
        <f t="shared" si="13"/>
        <v>1.0895141781474305</v>
      </c>
      <c r="L34" s="209"/>
      <c r="M34" s="209"/>
      <c r="N34" s="209">
        <f>N31/N8</f>
        <v>0.19832038386999171</v>
      </c>
      <c r="O34" s="25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Z39"/>
  <sheetViews>
    <sheetView workbookViewId="0">
      <pane xSplit="1" ySplit="15" topLeftCell="B31" activePane="bottomRight" state="frozen"/>
      <selection pane="topRight" activeCell="B1" sqref="B1"/>
      <selection pane="bottomLeft" activeCell="A16" sqref="A16"/>
      <selection pane="bottomRight" activeCell="Y15" sqref="Y15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7"/>
    <col min="11" max="11" width="9" style="6"/>
    <col min="12" max="12" width="9" style="7"/>
    <col min="13" max="13" width="9" style="6"/>
    <col min="14" max="14" width="9" style="7"/>
    <col min="15" max="15" width="9" style="6"/>
    <col min="16" max="16" width="9" style="7"/>
    <col min="17" max="17" width="9" style="6"/>
  </cols>
  <sheetData>
    <row r="1" spans="2:26" ht="17.25" thickTop="1" x14ac:dyDescent="0.3">
      <c r="B1" s="235" t="s">
        <v>19</v>
      </c>
      <c r="C1" s="235" t="s">
        <v>0</v>
      </c>
      <c r="D1" s="235" t="s">
        <v>1</v>
      </c>
      <c r="E1" s="235"/>
      <c r="F1" s="235"/>
      <c r="G1" s="235"/>
      <c r="H1" s="235"/>
      <c r="I1" s="235"/>
      <c r="J1" s="235" t="s">
        <v>2</v>
      </c>
      <c r="K1" s="235"/>
      <c r="L1" s="235"/>
      <c r="M1" s="235"/>
      <c r="N1" s="235" t="s">
        <v>3</v>
      </c>
      <c r="O1" s="235"/>
      <c r="P1" s="235"/>
      <c r="Q1" s="235"/>
      <c r="R1" s="235" t="s">
        <v>4</v>
      </c>
      <c r="S1" s="232" t="s">
        <v>14</v>
      </c>
      <c r="T1" s="232" t="s">
        <v>15</v>
      </c>
    </row>
    <row r="2" spans="2:26" x14ac:dyDescent="0.3">
      <c r="B2" s="233"/>
      <c r="C2" s="233"/>
      <c r="D2" s="236" t="s">
        <v>5</v>
      </c>
      <c r="E2" s="236"/>
      <c r="F2" s="236" t="s">
        <v>6</v>
      </c>
      <c r="G2" s="236"/>
      <c r="H2" s="236" t="s">
        <v>7</v>
      </c>
      <c r="I2" s="236"/>
      <c r="J2" s="236" t="s">
        <v>8</v>
      </c>
      <c r="K2" s="236"/>
      <c r="L2" s="236" t="s">
        <v>9</v>
      </c>
      <c r="M2" s="236"/>
      <c r="N2" s="236" t="s">
        <v>10</v>
      </c>
      <c r="O2" s="236"/>
      <c r="P2" s="236" t="s">
        <v>11</v>
      </c>
      <c r="Q2" s="236"/>
      <c r="R2" s="233"/>
      <c r="S2" s="233"/>
      <c r="T2" s="233"/>
    </row>
    <row r="3" spans="2:26" ht="17.25" thickBot="1" x14ac:dyDescent="0.35">
      <c r="B3" s="234"/>
      <c r="C3" s="234"/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4" t="s">
        <v>13</v>
      </c>
      <c r="L3" s="4" t="s">
        <v>12</v>
      </c>
      <c r="M3" s="4" t="s">
        <v>13</v>
      </c>
      <c r="N3" s="4" t="s">
        <v>12</v>
      </c>
      <c r="O3" s="4" t="s">
        <v>13</v>
      </c>
      <c r="P3" s="4" t="s">
        <v>12</v>
      </c>
      <c r="Q3" s="4" t="s">
        <v>13</v>
      </c>
      <c r="R3" s="234"/>
      <c r="S3" s="234"/>
      <c r="T3" s="234"/>
    </row>
    <row r="4" spans="2:26" ht="17.25" thickTop="1" x14ac:dyDescent="0.3">
      <c r="B4" t="s">
        <v>20</v>
      </c>
      <c r="C4" s="1" t="s">
        <v>26</v>
      </c>
      <c r="D4" s="5">
        <v>3791.87</v>
      </c>
      <c r="E4" s="6">
        <v>4011.04</v>
      </c>
      <c r="F4" s="5">
        <v>2231.36</v>
      </c>
      <c r="G4" s="6">
        <v>2367.9699999999998</v>
      </c>
      <c r="H4" s="5">
        <v>1227.27</v>
      </c>
      <c r="I4" s="6">
        <v>1305.47</v>
      </c>
      <c r="J4" s="7">
        <v>685.34</v>
      </c>
      <c r="K4" s="6">
        <v>727.34</v>
      </c>
      <c r="L4" s="7">
        <v>380.86</v>
      </c>
      <c r="M4" s="6">
        <v>404.92</v>
      </c>
      <c r="N4" s="7">
        <v>15.047000000000001</v>
      </c>
      <c r="O4" s="6">
        <v>15.837</v>
      </c>
      <c r="P4" s="7">
        <v>14.997999999999999</v>
      </c>
      <c r="Q4" s="6">
        <v>15.77</v>
      </c>
      <c r="R4">
        <v>-0.01</v>
      </c>
      <c r="S4" s="8">
        <f t="shared" ref="S4:S28" si="0">(O4-N4)*14400</f>
        <v>11375.999999999987</v>
      </c>
      <c r="T4" s="8">
        <f t="shared" ref="T4:T28" si="1">(Q4-P4)*14400</f>
        <v>11116.800000000003</v>
      </c>
      <c r="U4" s="8">
        <f t="shared" ref="U4:U28" si="2">MAX(S4:T4,S4)</f>
        <v>11375.999999999987</v>
      </c>
      <c r="W4" t="s">
        <v>51</v>
      </c>
      <c r="X4" t="s">
        <v>16</v>
      </c>
      <c r="Y4" t="s">
        <v>17</v>
      </c>
      <c r="Z4" t="s">
        <v>18</v>
      </c>
    </row>
    <row r="5" spans="2:26" x14ac:dyDescent="0.3">
      <c r="B5" t="s">
        <v>20</v>
      </c>
      <c r="C5" s="1" t="s">
        <v>28</v>
      </c>
      <c r="D5" s="7">
        <v>4011.04</v>
      </c>
      <c r="E5" s="6">
        <v>4238.08</v>
      </c>
      <c r="F5" s="7">
        <v>2367.9699999999998</v>
      </c>
      <c r="G5" s="6">
        <v>2481.8200000000002</v>
      </c>
      <c r="H5" s="7">
        <v>1305.47</v>
      </c>
      <c r="I5" s="6">
        <v>1371.9</v>
      </c>
      <c r="J5" s="7">
        <v>727.34</v>
      </c>
      <c r="K5" s="6">
        <v>762.95</v>
      </c>
      <c r="L5" s="7">
        <v>404.92</v>
      </c>
      <c r="M5" s="6">
        <v>425.64</v>
      </c>
      <c r="N5" s="7">
        <v>15.837</v>
      </c>
      <c r="O5" s="6">
        <v>16.62</v>
      </c>
      <c r="P5" s="7">
        <v>15.77</v>
      </c>
      <c r="Q5" s="6">
        <v>16.564</v>
      </c>
      <c r="R5">
        <v>-0.01</v>
      </c>
      <c r="S5" s="8">
        <f t="shared" si="0"/>
        <v>11275.200000000019</v>
      </c>
      <c r="T5" s="8">
        <f t="shared" si="1"/>
        <v>11433.600000000008</v>
      </c>
      <c r="U5" s="8">
        <f t="shared" si="2"/>
        <v>11433.600000000008</v>
      </c>
      <c r="W5" t="s">
        <v>24</v>
      </c>
      <c r="X5" t="s">
        <v>26</v>
      </c>
      <c r="Y5" s="8">
        <f>SUMIFS(U:U,$B:$B,W5,$C:$C,X5)</f>
        <v>11419.19999999999</v>
      </c>
      <c r="Z5">
        <f>RANK(Y5,$Y$5:$Y$10)</f>
        <v>2</v>
      </c>
    </row>
    <row r="6" spans="2:26" x14ac:dyDescent="0.3">
      <c r="B6" t="s">
        <v>20</v>
      </c>
      <c r="C6" s="1" t="s">
        <v>30</v>
      </c>
      <c r="D6" s="7">
        <v>4238.08</v>
      </c>
      <c r="E6" s="6">
        <v>4448.45</v>
      </c>
      <c r="F6" s="7">
        <v>2481.8200000000002</v>
      </c>
      <c r="G6" s="6">
        <v>2610.2800000000002</v>
      </c>
      <c r="H6" s="7">
        <v>1371.9</v>
      </c>
      <c r="I6" s="6">
        <v>1441.24</v>
      </c>
      <c r="J6" s="7">
        <v>762.95</v>
      </c>
      <c r="K6" s="6">
        <v>797.76</v>
      </c>
      <c r="L6" s="7">
        <v>425.64</v>
      </c>
      <c r="M6" s="6">
        <v>444.78</v>
      </c>
      <c r="N6" s="7">
        <v>16.62</v>
      </c>
      <c r="O6" s="6">
        <v>17.343</v>
      </c>
      <c r="P6" s="7">
        <v>16.564</v>
      </c>
      <c r="Q6" s="6">
        <v>17.308</v>
      </c>
      <c r="R6">
        <v>-0.01</v>
      </c>
      <c r="S6" s="8">
        <f t="shared" si="0"/>
        <v>10411.199999999986</v>
      </c>
      <c r="T6" s="8">
        <f t="shared" si="1"/>
        <v>10713.599999999997</v>
      </c>
      <c r="U6" s="8">
        <f t="shared" si="2"/>
        <v>10713.599999999997</v>
      </c>
      <c r="W6" t="s">
        <v>24</v>
      </c>
      <c r="X6" t="s">
        <v>28</v>
      </c>
      <c r="Y6" s="8">
        <f t="shared" ref="Y6:Y10" si="3">SUMIFS(U:U,$B:$B,W6,$C:$C,X6)</f>
        <v>11102.400000000012</v>
      </c>
      <c r="Z6">
        <f t="shared" ref="Z6:Z10" si="4">RANK(Y6,$Y$5:$Y$10)</f>
        <v>4</v>
      </c>
    </row>
    <row r="7" spans="2:26" x14ac:dyDescent="0.3">
      <c r="B7" t="s">
        <v>20</v>
      </c>
      <c r="C7" s="1" t="s">
        <v>32</v>
      </c>
      <c r="D7" s="7">
        <v>4448.45</v>
      </c>
      <c r="E7" s="6">
        <v>4643.12</v>
      </c>
      <c r="F7" s="7">
        <v>2610.2800000000002</v>
      </c>
      <c r="G7" s="6">
        <v>2732.91</v>
      </c>
      <c r="H7" s="7">
        <v>1441.24</v>
      </c>
      <c r="I7" s="6">
        <v>1508.28</v>
      </c>
      <c r="J7" s="7">
        <v>797.76</v>
      </c>
      <c r="K7" s="6">
        <v>834.15</v>
      </c>
      <c r="L7" s="7">
        <v>444.78</v>
      </c>
      <c r="M7" s="6">
        <v>464.68</v>
      </c>
      <c r="N7" s="7">
        <v>17.343</v>
      </c>
      <c r="O7" s="6">
        <v>18.146999999999998</v>
      </c>
      <c r="P7" s="7">
        <v>17.308</v>
      </c>
      <c r="Q7" s="6">
        <v>18.105</v>
      </c>
      <c r="R7">
        <v>-0.01</v>
      </c>
      <c r="S7" s="8">
        <f t="shared" si="0"/>
        <v>11577.599999999979</v>
      </c>
      <c r="T7" s="8">
        <f t="shared" si="1"/>
        <v>11476.800000000008</v>
      </c>
      <c r="U7" s="8">
        <f t="shared" si="2"/>
        <v>11577.599999999979</v>
      </c>
      <c r="W7" t="s">
        <v>118</v>
      </c>
      <c r="X7" t="s">
        <v>52</v>
      </c>
      <c r="Y7" s="8">
        <v>11448.000000000025</v>
      </c>
      <c r="Z7">
        <f t="shared" si="4"/>
        <v>1</v>
      </c>
    </row>
    <row r="8" spans="2:26" x14ac:dyDescent="0.3">
      <c r="B8" t="s">
        <v>20</v>
      </c>
      <c r="C8" s="1" t="s">
        <v>34</v>
      </c>
      <c r="D8" s="7">
        <v>4643.12</v>
      </c>
      <c r="E8" s="6">
        <v>4883.01</v>
      </c>
      <c r="F8" s="7">
        <v>2732.91</v>
      </c>
      <c r="G8" s="6">
        <v>2859.59</v>
      </c>
      <c r="H8" s="7">
        <v>1508.28</v>
      </c>
      <c r="I8" s="6">
        <v>1582.16</v>
      </c>
      <c r="J8" s="7">
        <v>834.15</v>
      </c>
      <c r="K8" s="6">
        <v>873.26</v>
      </c>
      <c r="L8" s="7">
        <v>464.68</v>
      </c>
      <c r="M8" s="6">
        <v>487.71</v>
      </c>
      <c r="N8" s="7">
        <v>18.146999999999998</v>
      </c>
      <c r="O8" s="6">
        <v>18.925999999999998</v>
      </c>
      <c r="P8" s="7">
        <v>18.105</v>
      </c>
      <c r="Q8" s="6">
        <v>18.867000000000001</v>
      </c>
      <c r="R8">
        <v>-0.01</v>
      </c>
      <c r="S8" s="8">
        <f t="shared" si="0"/>
        <v>11217.599999999999</v>
      </c>
      <c r="T8" s="8">
        <f t="shared" si="1"/>
        <v>10972.800000000007</v>
      </c>
      <c r="U8" s="8">
        <f t="shared" si="2"/>
        <v>11217.599999999999</v>
      </c>
      <c r="W8" t="s">
        <v>118</v>
      </c>
      <c r="X8" t="s">
        <v>53</v>
      </c>
      <c r="Y8" s="8">
        <f t="shared" si="3"/>
        <v>10958.40000000004</v>
      </c>
      <c r="Z8">
        <f t="shared" si="4"/>
        <v>6</v>
      </c>
    </row>
    <row r="9" spans="2:26" x14ac:dyDescent="0.3">
      <c r="B9" t="s">
        <v>20</v>
      </c>
      <c r="C9" s="1" t="s">
        <v>36</v>
      </c>
      <c r="D9" s="7">
        <v>4883.01</v>
      </c>
      <c r="E9" s="6">
        <v>5096.37</v>
      </c>
      <c r="F9" s="7">
        <v>2859.59</v>
      </c>
      <c r="G9" s="6">
        <v>2985.54</v>
      </c>
      <c r="H9" s="7">
        <v>1582.16</v>
      </c>
      <c r="I9" s="6">
        <v>1650.25</v>
      </c>
      <c r="J9" s="7">
        <v>873.26</v>
      </c>
      <c r="K9" s="6">
        <v>911.04</v>
      </c>
      <c r="L9" s="7">
        <v>487.71</v>
      </c>
      <c r="M9" s="6">
        <v>508.85</v>
      </c>
      <c r="N9" s="7">
        <v>18.925999999999998</v>
      </c>
      <c r="O9" s="6">
        <v>19.667999999999999</v>
      </c>
      <c r="P9" s="7">
        <v>18.867000000000001</v>
      </c>
      <c r="Q9" s="6">
        <v>19.617000000000001</v>
      </c>
      <c r="R9">
        <v>-0.01</v>
      </c>
      <c r="S9" s="8">
        <f t="shared" si="0"/>
        <v>10684.800000000012</v>
      </c>
      <c r="T9" s="8">
        <f t="shared" si="1"/>
        <v>10800</v>
      </c>
      <c r="U9" s="8">
        <f t="shared" si="2"/>
        <v>10800</v>
      </c>
      <c r="W9" t="s">
        <v>50</v>
      </c>
      <c r="X9" t="s">
        <v>54</v>
      </c>
      <c r="Y9" s="8">
        <f t="shared" si="3"/>
        <v>11087.999999999995</v>
      </c>
      <c r="Z9">
        <f t="shared" si="4"/>
        <v>5</v>
      </c>
    </row>
    <row r="10" spans="2:26" x14ac:dyDescent="0.3">
      <c r="B10" t="s">
        <v>20</v>
      </c>
      <c r="C10" s="1" t="s">
        <v>38</v>
      </c>
      <c r="D10" s="7">
        <v>5096.37</v>
      </c>
      <c r="E10" s="6">
        <v>5336.52</v>
      </c>
      <c r="F10" s="7">
        <v>2985.54</v>
      </c>
      <c r="G10" s="6">
        <v>3127</v>
      </c>
      <c r="H10" s="7">
        <v>1650.25</v>
      </c>
      <c r="I10" s="6">
        <v>1720.43</v>
      </c>
      <c r="J10" s="7">
        <v>911.04</v>
      </c>
      <c r="K10" s="6">
        <v>952.78</v>
      </c>
      <c r="L10" s="7">
        <v>508.85</v>
      </c>
      <c r="M10" s="6">
        <v>533.35</v>
      </c>
      <c r="N10" s="7">
        <v>19.667999999999999</v>
      </c>
      <c r="O10" s="6">
        <v>20.43</v>
      </c>
      <c r="P10" s="7">
        <v>19.617000000000001</v>
      </c>
      <c r="Q10" s="6">
        <v>20.343</v>
      </c>
      <c r="R10">
        <v>-0.01</v>
      </c>
      <c r="S10" s="8">
        <f t="shared" si="0"/>
        <v>10972.800000000007</v>
      </c>
      <c r="T10" s="8">
        <f t="shared" si="1"/>
        <v>10454.399999999987</v>
      </c>
      <c r="U10" s="8">
        <f t="shared" si="2"/>
        <v>10972.800000000007</v>
      </c>
      <c r="W10" t="s">
        <v>50</v>
      </c>
      <c r="X10" t="s">
        <v>55</v>
      </c>
      <c r="Y10" s="8">
        <f t="shared" si="3"/>
        <v>11246.400000000034</v>
      </c>
      <c r="Z10">
        <f t="shared" si="4"/>
        <v>3</v>
      </c>
    </row>
    <row r="11" spans="2:26" x14ac:dyDescent="0.3">
      <c r="B11" t="s">
        <v>20</v>
      </c>
      <c r="C11" s="1" t="s">
        <v>40</v>
      </c>
      <c r="D11" s="7">
        <v>5336.52</v>
      </c>
      <c r="E11" s="6">
        <v>5546.15</v>
      </c>
      <c r="F11" s="7">
        <v>3127</v>
      </c>
      <c r="G11" s="6">
        <v>3245</v>
      </c>
      <c r="H11" s="7">
        <v>1720.43</v>
      </c>
      <c r="I11" s="6">
        <v>1777</v>
      </c>
      <c r="J11" s="7">
        <v>952.78</v>
      </c>
      <c r="K11" s="6">
        <v>985.83</v>
      </c>
      <c r="L11" s="7">
        <v>533.35</v>
      </c>
      <c r="M11" s="6">
        <v>554.07000000000005</v>
      </c>
      <c r="N11" s="7">
        <v>20.43</v>
      </c>
      <c r="O11" s="6">
        <v>21.199000000000002</v>
      </c>
      <c r="P11" s="7">
        <v>20.343</v>
      </c>
      <c r="Q11" s="6">
        <v>21.007000000000001</v>
      </c>
      <c r="R11">
        <v>-0.01</v>
      </c>
      <c r="S11" s="8">
        <f t="shared" si="0"/>
        <v>11073.600000000028</v>
      </c>
      <c r="T11" s="8">
        <f t="shared" si="1"/>
        <v>9561.6000000000204</v>
      </c>
      <c r="U11" s="8">
        <f t="shared" si="2"/>
        <v>11073.600000000028</v>
      </c>
    </row>
    <row r="12" spans="2:26" x14ac:dyDescent="0.3">
      <c r="B12" t="s">
        <v>20</v>
      </c>
      <c r="C12" s="1" t="s">
        <v>42</v>
      </c>
      <c r="D12" s="7">
        <v>5546.15</v>
      </c>
      <c r="E12" s="6">
        <v>5784.99</v>
      </c>
      <c r="F12" s="7">
        <v>3245</v>
      </c>
      <c r="G12" s="6">
        <v>3364.08</v>
      </c>
      <c r="H12" s="7">
        <v>1777</v>
      </c>
      <c r="I12" s="6">
        <v>1822.87</v>
      </c>
      <c r="J12" s="7">
        <v>985.83</v>
      </c>
      <c r="K12" s="6">
        <v>1020.93</v>
      </c>
      <c r="L12" s="7">
        <v>554.07000000000005</v>
      </c>
      <c r="M12" s="6">
        <v>572.41999999999996</v>
      </c>
      <c r="N12" s="7">
        <v>21.199000000000002</v>
      </c>
      <c r="O12" s="6">
        <v>21.966000000000001</v>
      </c>
      <c r="P12" s="7">
        <v>21.007000000000001</v>
      </c>
      <c r="Q12" s="6">
        <v>21.684000000000001</v>
      </c>
      <c r="R12">
        <v>-0.01</v>
      </c>
      <c r="S12" s="8">
        <f t="shared" si="0"/>
        <v>11044.799999999992</v>
      </c>
      <c r="T12" s="8">
        <f t="shared" si="1"/>
        <v>9748.7999999999938</v>
      </c>
      <c r="U12" s="8">
        <f t="shared" si="2"/>
        <v>11044.799999999992</v>
      </c>
    </row>
    <row r="13" spans="2:26" x14ac:dyDescent="0.3">
      <c r="B13" t="s">
        <v>20</v>
      </c>
      <c r="C13" s="1" t="s">
        <v>44</v>
      </c>
      <c r="D13" s="7">
        <v>5784.99</v>
      </c>
      <c r="E13" s="6">
        <v>6025.06</v>
      </c>
      <c r="F13" s="7">
        <v>3364.08</v>
      </c>
      <c r="G13" s="6">
        <v>3493.27</v>
      </c>
      <c r="H13" s="7">
        <v>1822.87</v>
      </c>
      <c r="I13" s="6">
        <v>1879.86</v>
      </c>
      <c r="J13" s="7">
        <v>1020.93</v>
      </c>
      <c r="K13" s="6">
        <v>1058.5</v>
      </c>
      <c r="L13" s="7">
        <v>572.41999999999996</v>
      </c>
      <c r="M13" s="6">
        <v>594.89</v>
      </c>
      <c r="N13" s="7">
        <v>21.966000000000001</v>
      </c>
      <c r="O13" s="6">
        <v>22.713000000000001</v>
      </c>
      <c r="P13" s="7">
        <v>21.684000000000001</v>
      </c>
      <c r="Q13" s="6">
        <v>22.388000000000002</v>
      </c>
      <c r="R13">
        <v>-0.01</v>
      </c>
      <c r="S13" s="8">
        <f t="shared" si="0"/>
        <v>10756.8</v>
      </c>
      <c r="T13" s="8">
        <f t="shared" si="1"/>
        <v>10137.600000000009</v>
      </c>
      <c r="U13" s="8">
        <f t="shared" si="2"/>
        <v>10756.8</v>
      </c>
    </row>
    <row r="14" spans="2:26" ht="17.25" thickBot="1" x14ac:dyDescent="0.35">
      <c r="B14" t="s">
        <v>20</v>
      </c>
      <c r="C14" s="1" t="s">
        <v>46</v>
      </c>
      <c r="D14" s="7">
        <v>6025.06</v>
      </c>
      <c r="E14" s="6">
        <v>6242.15</v>
      </c>
      <c r="F14" s="7">
        <v>3493.27</v>
      </c>
      <c r="G14" s="6">
        <v>3623.56</v>
      </c>
      <c r="H14" s="7">
        <v>1879.86</v>
      </c>
      <c r="I14" s="6">
        <v>1944.02</v>
      </c>
      <c r="J14" s="7">
        <v>1058.5</v>
      </c>
      <c r="K14" s="6">
        <v>1095.68</v>
      </c>
      <c r="L14" s="7">
        <v>594.89</v>
      </c>
      <c r="M14" s="6">
        <v>618.95000000000005</v>
      </c>
      <c r="N14" s="7">
        <v>22.713000000000001</v>
      </c>
      <c r="O14" s="6">
        <v>23.478000000000002</v>
      </c>
      <c r="P14" s="7">
        <v>22.388000000000002</v>
      </c>
      <c r="Q14" s="6">
        <v>23.082999999999998</v>
      </c>
      <c r="R14">
        <v>-0.01</v>
      </c>
      <c r="S14" s="8">
        <f t="shared" si="0"/>
        <v>11016.000000000007</v>
      </c>
      <c r="T14" s="8">
        <f t="shared" si="1"/>
        <v>10007.999999999953</v>
      </c>
      <c r="U14" s="8">
        <f t="shared" si="2"/>
        <v>11016.000000000007</v>
      </c>
    </row>
    <row r="15" spans="2:26" ht="18" thickTop="1" thickBot="1" x14ac:dyDescent="0.35">
      <c r="B15" t="s">
        <v>20</v>
      </c>
      <c r="C15" s="1" t="s">
        <v>48</v>
      </c>
      <c r="D15" s="7">
        <v>6242.15</v>
      </c>
      <c r="E15" s="6">
        <v>6462.89</v>
      </c>
      <c r="F15" s="7">
        <v>3623.56</v>
      </c>
      <c r="G15" s="6">
        <v>3738.3</v>
      </c>
      <c r="H15" s="7">
        <v>1944.02</v>
      </c>
      <c r="I15" s="6">
        <v>1996.28</v>
      </c>
      <c r="J15" s="7">
        <v>1095.68</v>
      </c>
      <c r="K15" s="6">
        <v>1127.67</v>
      </c>
      <c r="L15" s="7">
        <v>618.95000000000005</v>
      </c>
      <c r="M15" s="6">
        <v>637.34</v>
      </c>
      <c r="N15" s="7">
        <v>23.478000000000002</v>
      </c>
      <c r="O15" s="6">
        <v>24.266999999999999</v>
      </c>
      <c r="P15" s="7">
        <v>23.082999999999998</v>
      </c>
      <c r="Q15" s="6">
        <v>23.835000000000001</v>
      </c>
      <c r="R15">
        <v>-0.01</v>
      </c>
      <c r="S15" s="8">
        <f t="shared" si="0"/>
        <v>11361.599999999969</v>
      </c>
      <c r="T15" s="8">
        <f t="shared" si="1"/>
        <v>10828.800000000036</v>
      </c>
      <c r="U15" s="8">
        <f t="shared" si="2"/>
        <v>11361.599999999969</v>
      </c>
      <c r="X15" s="10" t="s">
        <v>56</v>
      </c>
      <c r="Y15" s="11">
        <f>MAX(Y5:Y14)</f>
        <v>11448.000000000025</v>
      </c>
    </row>
    <row r="16" spans="2:26" ht="17.25" thickTop="1" x14ac:dyDescent="0.3">
      <c r="B16" t="s">
        <v>22</v>
      </c>
      <c r="C16" s="1" t="s">
        <v>25</v>
      </c>
      <c r="D16" s="7">
        <v>6462.89</v>
      </c>
      <c r="E16" s="6">
        <v>6671.8</v>
      </c>
      <c r="F16" s="7">
        <v>3738.3</v>
      </c>
      <c r="G16" s="6">
        <v>3868.45</v>
      </c>
      <c r="H16" s="7">
        <v>1996.28</v>
      </c>
      <c r="I16" s="6">
        <v>2058.85</v>
      </c>
      <c r="J16" s="7">
        <v>1127.67</v>
      </c>
      <c r="K16" s="6">
        <v>1163.69</v>
      </c>
      <c r="L16" s="7">
        <v>637.34</v>
      </c>
      <c r="M16" s="6">
        <v>659.74</v>
      </c>
      <c r="N16" s="7">
        <v>24.266999999999999</v>
      </c>
      <c r="O16" s="6">
        <v>25.024999999999999</v>
      </c>
      <c r="P16" s="7">
        <v>23.835000000000001</v>
      </c>
      <c r="Q16" s="6">
        <v>24.584</v>
      </c>
      <c r="R16">
        <v>-0.01</v>
      </c>
      <c r="S16" s="8">
        <f t="shared" si="0"/>
        <v>10915.199999999988</v>
      </c>
      <c r="T16" s="8">
        <f t="shared" si="1"/>
        <v>10785.599999999982</v>
      </c>
      <c r="U16" s="8">
        <f t="shared" si="2"/>
        <v>10915.199999999988</v>
      </c>
    </row>
    <row r="17" spans="2:21" x14ac:dyDescent="0.3">
      <c r="B17" t="s">
        <v>22</v>
      </c>
      <c r="C17" s="1" t="s">
        <v>27</v>
      </c>
      <c r="D17" s="7">
        <v>6671.8</v>
      </c>
      <c r="E17" s="6">
        <v>6885.88</v>
      </c>
      <c r="F17" s="7">
        <v>3868.45</v>
      </c>
      <c r="G17" s="6">
        <v>3974.25</v>
      </c>
      <c r="H17" s="7">
        <v>2058.85</v>
      </c>
      <c r="I17" s="6">
        <v>2106.1999999999998</v>
      </c>
      <c r="J17" s="7">
        <v>1163.69</v>
      </c>
      <c r="K17" s="6">
        <v>1195.1199999999999</v>
      </c>
      <c r="L17" s="7">
        <v>659.74</v>
      </c>
      <c r="M17" s="6">
        <v>677.67</v>
      </c>
      <c r="N17" s="7">
        <v>25.024999999999999</v>
      </c>
      <c r="O17" s="6">
        <v>25.765000000000001</v>
      </c>
      <c r="P17" s="7">
        <v>24.584</v>
      </c>
      <c r="Q17" s="6">
        <v>25.303000000000001</v>
      </c>
      <c r="R17">
        <v>-0.01</v>
      </c>
      <c r="S17" s="8">
        <f t="shared" si="0"/>
        <v>10656.000000000029</v>
      </c>
      <c r="T17" s="8">
        <f t="shared" si="1"/>
        <v>10353.600000000017</v>
      </c>
      <c r="U17" s="8">
        <f t="shared" si="2"/>
        <v>10656.000000000029</v>
      </c>
    </row>
    <row r="18" spans="2:21" x14ac:dyDescent="0.3">
      <c r="B18" t="s">
        <v>22</v>
      </c>
      <c r="C18" s="1" t="s">
        <v>29</v>
      </c>
      <c r="D18" s="7">
        <v>6885.88</v>
      </c>
      <c r="E18" s="6">
        <v>7110.59</v>
      </c>
      <c r="F18" s="7">
        <v>3974.25</v>
      </c>
      <c r="G18" s="6">
        <v>4100.09</v>
      </c>
      <c r="H18" s="7">
        <v>2106.1999999999998</v>
      </c>
      <c r="I18" s="6">
        <v>2158.5700000000002</v>
      </c>
      <c r="J18" s="7">
        <v>1195.1199999999999</v>
      </c>
      <c r="K18" s="6">
        <v>1232.43</v>
      </c>
      <c r="L18" s="7">
        <v>677.67</v>
      </c>
      <c r="M18" s="6">
        <v>698.38</v>
      </c>
      <c r="N18" s="7">
        <v>25.765000000000001</v>
      </c>
      <c r="O18" s="6">
        <v>26.492000000000001</v>
      </c>
      <c r="P18" s="7">
        <v>25.303000000000001</v>
      </c>
      <c r="Q18" s="6">
        <v>25.984999999999999</v>
      </c>
      <c r="R18">
        <v>-0.01</v>
      </c>
      <c r="S18" s="8">
        <f t="shared" si="0"/>
        <v>10468.800000000005</v>
      </c>
      <c r="T18" s="8">
        <f t="shared" si="1"/>
        <v>9820.7999999999793</v>
      </c>
      <c r="U18" s="8">
        <f t="shared" si="2"/>
        <v>10468.800000000005</v>
      </c>
    </row>
    <row r="19" spans="2:21" x14ac:dyDescent="0.3">
      <c r="B19" t="s">
        <v>22</v>
      </c>
      <c r="C19" s="1" t="s">
        <v>31</v>
      </c>
      <c r="D19" s="7">
        <v>7110.59</v>
      </c>
      <c r="E19" s="6">
        <v>7319.82</v>
      </c>
      <c r="F19" s="7">
        <v>4100.09</v>
      </c>
      <c r="G19" s="6">
        <v>4237.09</v>
      </c>
      <c r="H19" s="7">
        <v>2158.5700000000002</v>
      </c>
      <c r="I19" s="6">
        <v>2224.3200000000002</v>
      </c>
      <c r="J19" s="7">
        <v>1232.43</v>
      </c>
      <c r="K19" s="6">
        <v>1273.3699999999999</v>
      </c>
      <c r="L19" s="7">
        <v>698.38</v>
      </c>
      <c r="M19" s="6">
        <v>724.46</v>
      </c>
      <c r="N19" s="7">
        <v>26.492000000000001</v>
      </c>
      <c r="O19" s="6">
        <v>27.242000000000001</v>
      </c>
      <c r="P19" s="7">
        <v>25.984999999999999</v>
      </c>
      <c r="Q19" s="6">
        <v>26.704000000000001</v>
      </c>
      <c r="R19">
        <v>-0.01</v>
      </c>
      <c r="S19" s="8">
        <f t="shared" si="0"/>
        <v>10800</v>
      </c>
      <c r="T19" s="8">
        <f t="shared" si="1"/>
        <v>10353.600000000017</v>
      </c>
      <c r="U19" s="8">
        <f t="shared" si="2"/>
        <v>10800</v>
      </c>
    </row>
    <row r="20" spans="2:21" x14ac:dyDescent="0.3">
      <c r="B20" t="s">
        <v>22</v>
      </c>
      <c r="C20" s="1" t="s">
        <v>33</v>
      </c>
      <c r="D20" s="7">
        <v>7319.82</v>
      </c>
      <c r="E20" s="6">
        <v>7516.94</v>
      </c>
      <c r="F20" s="7">
        <v>4237.09</v>
      </c>
      <c r="G20" s="6">
        <v>4356.1099999999997</v>
      </c>
      <c r="H20" s="7">
        <v>2224.3200000000002</v>
      </c>
      <c r="I20" s="6">
        <v>2281.13</v>
      </c>
      <c r="J20" s="7">
        <v>1273.3699999999999</v>
      </c>
      <c r="K20" s="6">
        <v>1308.49</v>
      </c>
      <c r="L20" s="7">
        <v>724.46</v>
      </c>
      <c r="M20" s="6">
        <v>746.59</v>
      </c>
      <c r="N20" s="7">
        <v>27.242000000000001</v>
      </c>
      <c r="O20" s="6">
        <v>27.988</v>
      </c>
      <c r="P20" s="7">
        <v>26.704000000000001</v>
      </c>
      <c r="Q20" s="6">
        <v>27.449000000000002</v>
      </c>
      <c r="R20">
        <v>-0.01</v>
      </c>
      <c r="S20" s="8">
        <f t="shared" si="0"/>
        <v>10742.399999999981</v>
      </c>
      <c r="T20" s="8">
        <f t="shared" si="1"/>
        <v>10728.000000000015</v>
      </c>
      <c r="U20" s="8">
        <f t="shared" si="2"/>
        <v>10742.399999999981</v>
      </c>
    </row>
    <row r="21" spans="2:21" x14ac:dyDescent="0.3">
      <c r="B21" t="s">
        <v>22</v>
      </c>
      <c r="C21" s="1" t="s">
        <v>35</v>
      </c>
      <c r="D21" s="7">
        <v>7516.94</v>
      </c>
      <c r="E21" s="6">
        <v>7642.72</v>
      </c>
      <c r="F21" s="7">
        <v>4356.1099999999997</v>
      </c>
      <c r="G21" s="6">
        <v>4422.88</v>
      </c>
      <c r="H21" s="7">
        <v>2281.13</v>
      </c>
      <c r="I21" s="6">
        <v>2304.3200000000002</v>
      </c>
      <c r="J21" s="7">
        <v>1308.49</v>
      </c>
      <c r="K21" s="6">
        <v>1323.71</v>
      </c>
      <c r="L21" s="7">
        <v>746.59</v>
      </c>
      <c r="M21" s="6">
        <v>754.3</v>
      </c>
      <c r="N21" s="7">
        <v>27.988</v>
      </c>
      <c r="O21" s="6">
        <v>28.745000000000001</v>
      </c>
      <c r="P21" s="7">
        <v>27.449000000000002</v>
      </c>
      <c r="Q21" s="6">
        <v>28.126000000000001</v>
      </c>
      <c r="R21">
        <v>-0.01</v>
      </c>
      <c r="S21" s="8">
        <f t="shared" si="0"/>
        <v>10900.800000000021</v>
      </c>
      <c r="T21" s="8">
        <f t="shared" si="1"/>
        <v>9748.7999999999938</v>
      </c>
      <c r="U21" s="8">
        <f t="shared" si="2"/>
        <v>10900.800000000021</v>
      </c>
    </row>
    <row r="22" spans="2:21" x14ac:dyDescent="0.3">
      <c r="B22" t="s">
        <v>22</v>
      </c>
      <c r="C22" s="1" t="s">
        <v>37</v>
      </c>
      <c r="D22" s="7">
        <v>7642.72</v>
      </c>
      <c r="E22" s="6">
        <v>7877.4</v>
      </c>
      <c r="F22" s="7">
        <v>4422.88</v>
      </c>
      <c r="G22" s="6">
        <v>4566.58</v>
      </c>
      <c r="H22" s="7">
        <v>2304.3200000000002</v>
      </c>
      <c r="I22" s="6">
        <v>2371.59</v>
      </c>
      <c r="J22" s="7">
        <v>1323.71</v>
      </c>
      <c r="K22" s="6">
        <v>1371.63</v>
      </c>
      <c r="L22" s="7">
        <v>754.3</v>
      </c>
      <c r="M22" s="6">
        <v>782.05</v>
      </c>
      <c r="N22" s="7">
        <v>28.745000000000001</v>
      </c>
      <c r="O22" s="6">
        <v>29.504000000000001</v>
      </c>
      <c r="P22" s="7">
        <v>28.126000000000001</v>
      </c>
      <c r="Q22" s="6">
        <v>28.805</v>
      </c>
      <c r="R22">
        <v>-0.01</v>
      </c>
      <c r="S22" s="8">
        <f t="shared" si="0"/>
        <v>10929.600000000006</v>
      </c>
      <c r="T22" s="8">
        <f t="shared" si="1"/>
        <v>9777.5999999999785</v>
      </c>
      <c r="U22" s="8">
        <f t="shared" si="2"/>
        <v>10929.600000000006</v>
      </c>
    </row>
    <row r="23" spans="2:21" x14ac:dyDescent="0.3">
      <c r="B23" t="s">
        <v>22</v>
      </c>
      <c r="C23" s="1" t="s">
        <v>39</v>
      </c>
      <c r="D23" s="7">
        <v>7877.4</v>
      </c>
      <c r="E23" s="6">
        <v>8099.21</v>
      </c>
      <c r="F23" s="7">
        <v>4566.58</v>
      </c>
      <c r="G23" s="6">
        <v>4692.47</v>
      </c>
      <c r="H23" s="7">
        <v>2371.59</v>
      </c>
      <c r="I23" s="6">
        <v>2427.8000000000002</v>
      </c>
      <c r="J23" s="7">
        <v>1371.63</v>
      </c>
      <c r="K23" s="6">
        <v>1415.02</v>
      </c>
      <c r="L23" s="7">
        <v>782.05</v>
      </c>
      <c r="M23" s="6">
        <v>805.29</v>
      </c>
      <c r="N23" s="7">
        <v>29.504000000000001</v>
      </c>
      <c r="O23" s="6">
        <v>30.260999999999999</v>
      </c>
      <c r="P23" s="7">
        <v>28.805</v>
      </c>
      <c r="Q23" s="6">
        <v>29.559000000000001</v>
      </c>
      <c r="R23">
        <v>-0.01</v>
      </c>
      <c r="S23" s="8">
        <f t="shared" si="0"/>
        <v>10900.79999999997</v>
      </c>
      <c r="T23" s="8">
        <f t="shared" si="1"/>
        <v>10857.600000000019</v>
      </c>
      <c r="U23" s="8">
        <f t="shared" si="2"/>
        <v>10900.79999999997</v>
      </c>
    </row>
    <row r="24" spans="2:21" x14ac:dyDescent="0.3">
      <c r="B24" t="s">
        <v>22</v>
      </c>
      <c r="C24" s="1" t="s">
        <v>41</v>
      </c>
      <c r="D24" s="7">
        <v>8099.21</v>
      </c>
      <c r="E24" s="6">
        <v>8341.7199999999993</v>
      </c>
      <c r="F24" s="7">
        <v>4692.47</v>
      </c>
      <c r="G24" s="6">
        <v>4807.71</v>
      </c>
      <c r="H24" s="7">
        <v>2427.8000000000002</v>
      </c>
      <c r="I24" s="6">
        <v>2485.41</v>
      </c>
      <c r="J24" s="7">
        <v>1415.02</v>
      </c>
      <c r="K24" s="6">
        <v>1453.29</v>
      </c>
      <c r="L24" s="7">
        <v>805.29</v>
      </c>
      <c r="M24" s="6">
        <v>828.18</v>
      </c>
      <c r="N24" s="7">
        <v>30.260999999999999</v>
      </c>
      <c r="O24" s="6">
        <v>31.030999999999999</v>
      </c>
      <c r="P24" s="7">
        <v>29.559000000000001</v>
      </c>
      <c r="Q24" s="6">
        <v>30.283000000000001</v>
      </c>
      <c r="R24">
        <v>-0.01</v>
      </c>
      <c r="S24" s="8">
        <f t="shared" si="0"/>
        <v>11087.999999999995</v>
      </c>
      <c r="T24" s="8">
        <f t="shared" si="1"/>
        <v>10425.600000000002</v>
      </c>
      <c r="U24" s="8">
        <f t="shared" si="2"/>
        <v>11087.999999999995</v>
      </c>
    </row>
    <row r="25" spans="2:21" x14ac:dyDescent="0.3">
      <c r="B25" t="s">
        <v>22</v>
      </c>
      <c r="C25" s="1" t="s">
        <v>43</v>
      </c>
      <c r="D25" s="7">
        <v>8341.7199999999993</v>
      </c>
      <c r="E25" s="6">
        <v>8572.09</v>
      </c>
      <c r="F25" s="7">
        <v>4807.71</v>
      </c>
      <c r="G25" s="6">
        <v>4932.34</v>
      </c>
      <c r="H25" s="7">
        <v>2485.41</v>
      </c>
      <c r="I25" s="6">
        <v>2547.37</v>
      </c>
      <c r="J25" s="7">
        <v>1453.29</v>
      </c>
      <c r="K25" s="6">
        <v>1493.45</v>
      </c>
      <c r="L25" s="7">
        <v>828.18</v>
      </c>
      <c r="M25" s="6">
        <v>852.98</v>
      </c>
      <c r="N25" s="7">
        <v>31.030999999999999</v>
      </c>
      <c r="O25" s="6">
        <v>31.788</v>
      </c>
      <c r="P25" s="7">
        <v>30.283000000000001</v>
      </c>
      <c r="Q25" s="6">
        <v>31.015999999999998</v>
      </c>
      <c r="R25">
        <v>-0.01</v>
      </c>
      <c r="S25" s="8">
        <f t="shared" si="0"/>
        <v>10900.800000000021</v>
      </c>
      <c r="T25" s="8">
        <f t="shared" si="1"/>
        <v>10555.199999999957</v>
      </c>
      <c r="U25" s="8">
        <f t="shared" si="2"/>
        <v>10900.800000000021</v>
      </c>
    </row>
    <row r="26" spans="2:21" x14ac:dyDescent="0.3">
      <c r="B26" t="s">
        <v>22</v>
      </c>
      <c r="C26" s="1" t="s">
        <v>45</v>
      </c>
      <c r="D26" s="7">
        <v>8572.09</v>
      </c>
      <c r="E26" s="6">
        <v>8789.31</v>
      </c>
      <c r="F26" s="7">
        <v>4932.34</v>
      </c>
      <c r="G26" s="6">
        <v>5075.6499999999996</v>
      </c>
      <c r="H26" s="7">
        <v>2547.37</v>
      </c>
      <c r="I26" s="6">
        <v>2614.42</v>
      </c>
      <c r="J26" s="7">
        <v>1493.45</v>
      </c>
      <c r="K26" s="6">
        <v>1538.28</v>
      </c>
      <c r="L26" s="7">
        <v>852.98</v>
      </c>
      <c r="M26" s="6">
        <v>877.24</v>
      </c>
      <c r="N26" s="7">
        <v>31.788</v>
      </c>
      <c r="O26" s="6">
        <v>32.552</v>
      </c>
      <c r="P26" s="7">
        <v>31.015999999999998</v>
      </c>
      <c r="Q26" s="6">
        <v>31.745000000000001</v>
      </c>
      <c r="R26">
        <v>-0.01</v>
      </c>
      <c r="S26" s="8">
        <f t="shared" si="0"/>
        <v>11001.599999999991</v>
      </c>
      <c r="T26" s="8">
        <f t="shared" si="1"/>
        <v>10497.60000000004</v>
      </c>
      <c r="U26" s="8">
        <f t="shared" si="2"/>
        <v>11001.599999999991</v>
      </c>
    </row>
    <row r="27" spans="2:21" x14ac:dyDescent="0.3">
      <c r="B27" t="s">
        <v>22</v>
      </c>
      <c r="C27" s="1" t="s">
        <v>47</v>
      </c>
      <c r="D27" s="7">
        <v>8789.31</v>
      </c>
      <c r="E27" s="6">
        <v>9025.66</v>
      </c>
      <c r="F27" s="7">
        <v>5075.6499999999996</v>
      </c>
      <c r="G27" s="6">
        <v>5204.54</v>
      </c>
      <c r="H27" s="7">
        <v>2614.42</v>
      </c>
      <c r="I27" s="6">
        <v>2677.87</v>
      </c>
      <c r="J27" s="7">
        <v>1538.28</v>
      </c>
      <c r="K27" s="6">
        <v>1577.21</v>
      </c>
      <c r="L27" s="7">
        <v>877.24</v>
      </c>
      <c r="M27" s="6">
        <v>899.24</v>
      </c>
      <c r="N27" s="7">
        <v>32.552</v>
      </c>
      <c r="O27" s="6">
        <v>33.332000000000001</v>
      </c>
      <c r="P27" s="7">
        <v>31.745000000000001</v>
      </c>
      <c r="Q27" s="6">
        <v>32.526000000000003</v>
      </c>
      <c r="R27">
        <v>-0.01</v>
      </c>
      <c r="S27" s="8">
        <f t="shared" si="0"/>
        <v>11232.000000000016</v>
      </c>
      <c r="T27" s="8">
        <f t="shared" si="1"/>
        <v>11246.400000000034</v>
      </c>
      <c r="U27" s="8">
        <f t="shared" si="2"/>
        <v>11246.400000000034</v>
      </c>
    </row>
    <row r="28" spans="2:21" x14ac:dyDescent="0.3">
      <c r="B28" t="s">
        <v>24</v>
      </c>
      <c r="C28" s="1" t="s">
        <v>25</v>
      </c>
      <c r="D28" s="7">
        <v>9025.66</v>
      </c>
      <c r="E28" s="6">
        <v>9247.09</v>
      </c>
      <c r="F28" s="7">
        <v>5204.54</v>
      </c>
      <c r="G28" s="6">
        <v>5316.34</v>
      </c>
      <c r="H28" s="7">
        <v>2677.87</v>
      </c>
      <c r="I28" s="6">
        <v>2740.91</v>
      </c>
      <c r="J28" s="7">
        <v>1577.21</v>
      </c>
      <c r="K28" s="6">
        <v>1610.12</v>
      </c>
      <c r="L28" s="7">
        <v>899.24</v>
      </c>
      <c r="M28" s="6">
        <v>919.19</v>
      </c>
      <c r="N28" s="7">
        <v>33.332000000000001</v>
      </c>
      <c r="O28" s="6">
        <v>34.112000000000002</v>
      </c>
      <c r="P28" s="7">
        <v>32.526000000000003</v>
      </c>
      <c r="Q28" s="6">
        <v>33.319000000000003</v>
      </c>
      <c r="R28">
        <v>-0.01</v>
      </c>
      <c r="S28" s="8">
        <f t="shared" si="0"/>
        <v>11232.000000000016</v>
      </c>
      <c r="T28" s="8">
        <f t="shared" si="1"/>
        <v>11419.19999999999</v>
      </c>
      <c r="U28" s="8">
        <f t="shared" si="2"/>
        <v>11419.19999999999</v>
      </c>
    </row>
    <row r="29" spans="2:21" x14ac:dyDescent="0.3">
      <c r="B29" t="s">
        <v>24</v>
      </c>
      <c r="C29" s="1" t="s">
        <v>27</v>
      </c>
      <c r="D29" s="7">
        <v>9247.09</v>
      </c>
      <c r="E29" s="6">
        <v>9464.44</v>
      </c>
      <c r="F29" s="7">
        <v>5316.34</v>
      </c>
      <c r="G29" s="6">
        <v>5448.85</v>
      </c>
      <c r="H29" s="7">
        <v>2740.91</v>
      </c>
      <c r="I29" s="6">
        <v>2800.42</v>
      </c>
      <c r="J29" s="7">
        <v>1610.12</v>
      </c>
      <c r="K29" s="6">
        <v>1648.91</v>
      </c>
      <c r="L29" s="7">
        <v>919.19</v>
      </c>
      <c r="M29" s="6">
        <v>939.79</v>
      </c>
      <c r="N29" s="7">
        <v>34.112000000000002</v>
      </c>
      <c r="O29" s="6">
        <v>34.883000000000003</v>
      </c>
      <c r="P29" s="7">
        <v>33.319000000000003</v>
      </c>
      <c r="Q29" s="6">
        <v>34.048999999999999</v>
      </c>
      <c r="R29">
        <v>-0.01</v>
      </c>
      <c r="S29" s="8">
        <f t="shared" ref="S29:S34" si="5">(O29-N29)*14400</f>
        <v>11102.400000000012</v>
      </c>
      <c r="T29" s="8">
        <f t="shared" ref="T29:T34" si="6">(Q29-P29)*14400</f>
        <v>10511.999999999955</v>
      </c>
      <c r="U29" s="8">
        <f t="shared" ref="U29:U34" si="7">MAX(S29:T29,S29)</f>
        <v>11102.400000000012</v>
      </c>
    </row>
    <row r="30" spans="2:21" x14ac:dyDescent="0.3">
      <c r="B30" t="s">
        <v>24</v>
      </c>
      <c r="C30" s="1" t="s">
        <v>29</v>
      </c>
      <c r="D30" s="7">
        <v>9464.44</v>
      </c>
      <c r="E30" s="6">
        <v>9678.07</v>
      </c>
      <c r="F30" s="7">
        <v>5448.85</v>
      </c>
      <c r="G30" s="6">
        <v>5573.41</v>
      </c>
      <c r="H30" s="7">
        <v>2800.42</v>
      </c>
      <c r="I30" s="6">
        <v>2859.2</v>
      </c>
      <c r="J30" s="7">
        <v>1648.91</v>
      </c>
      <c r="K30" s="6">
        <v>1684.72</v>
      </c>
      <c r="L30" s="7">
        <v>939.79</v>
      </c>
      <c r="M30" s="6">
        <v>961.09</v>
      </c>
      <c r="N30" s="7">
        <v>34.883000000000003</v>
      </c>
      <c r="O30" s="6">
        <v>35.665999999999997</v>
      </c>
      <c r="P30" s="7">
        <v>34.048999999999999</v>
      </c>
      <c r="Q30" s="6">
        <v>34.768000000000001</v>
      </c>
      <c r="R30" s="30">
        <v>-0.01</v>
      </c>
      <c r="S30" s="8">
        <f t="shared" si="5"/>
        <v>11275.199999999915</v>
      </c>
      <c r="T30" s="8">
        <f t="shared" si="6"/>
        <v>10353.600000000017</v>
      </c>
      <c r="U30" s="8">
        <f t="shared" si="7"/>
        <v>11275.199999999915</v>
      </c>
    </row>
    <row r="31" spans="2:21" x14ac:dyDescent="0.3">
      <c r="B31" t="s">
        <v>24</v>
      </c>
      <c r="C31" s="1" t="s">
        <v>31</v>
      </c>
      <c r="D31" s="7">
        <f>E30</f>
        <v>9678.07</v>
      </c>
      <c r="E31" s="6">
        <v>9887.31</v>
      </c>
      <c r="F31" s="7">
        <f>G30</f>
        <v>5573.41</v>
      </c>
      <c r="G31" s="6">
        <v>5690.28</v>
      </c>
      <c r="H31" s="7">
        <f>I30</f>
        <v>2859.2</v>
      </c>
      <c r="I31" s="6">
        <v>2917.58</v>
      </c>
      <c r="J31" s="7">
        <f>K30</f>
        <v>1684.72</v>
      </c>
      <c r="K31" s="6">
        <v>1718.83</v>
      </c>
      <c r="L31" s="7">
        <f>M30</f>
        <v>961.09</v>
      </c>
      <c r="M31" s="6">
        <v>982.08</v>
      </c>
      <c r="N31" s="7">
        <f>O30</f>
        <v>35.665999999999997</v>
      </c>
      <c r="O31" s="6">
        <v>36.441000000000003</v>
      </c>
      <c r="P31" s="7">
        <f>Q30</f>
        <v>34.768000000000001</v>
      </c>
      <c r="Q31" s="6">
        <v>35.469000000000001</v>
      </c>
      <c r="R31" s="30">
        <v>-0.01</v>
      </c>
      <c r="S31" s="8">
        <f t="shared" si="5"/>
        <v>11160.000000000082</v>
      </c>
      <c r="T31" s="8">
        <f t="shared" si="6"/>
        <v>10094.400000000007</v>
      </c>
      <c r="U31" s="8">
        <f t="shared" si="7"/>
        <v>11160.000000000082</v>
      </c>
    </row>
    <row r="32" spans="2:21" x14ac:dyDescent="0.3">
      <c r="B32" t="s">
        <v>24</v>
      </c>
      <c r="C32" s="1" t="s">
        <v>33</v>
      </c>
      <c r="D32" s="7">
        <f>E31</f>
        <v>9887.31</v>
      </c>
      <c r="E32" s="6">
        <f>98.91+10000</f>
        <v>10098.91</v>
      </c>
      <c r="F32" s="7">
        <f>G31</f>
        <v>5690.28</v>
      </c>
      <c r="G32" s="6">
        <v>5810.81</v>
      </c>
      <c r="H32" s="7">
        <f>I31</f>
        <v>2917.58</v>
      </c>
      <c r="I32" s="6">
        <v>2972.08</v>
      </c>
      <c r="J32" s="7">
        <f>K31</f>
        <v>1718.83</v>
      </c>
      <c r="K32" s="6">
        <v>1754.14</v>
      </c>
      <c r="L32" s="7">
        <f>M31</f>
        <v>982.08</v>
      </c>
      <c r="M32" s="6">
        <v>1001.57</v>
      </c>
      <c r="N32" s="7">
        <f>O31</f>
        <v>36.441000000000003</v>
      </c>
      <c r="O32" s="6">
        <v>37.18</v>
      </c>
      <c r="P32" s="7">
        <f>Q31</f>
        <v>35.469000000000001</v>
      </c>
      <c r="Q32" s="6">
        <v>36.137</v>
      </c>
      <c r="R32" s="30">
        <v>-0.01</v>
      </c>
      <c r="S32" s="8">
        <f t="shared" si="5"/>
        <v>10641.59999999996</v>
      </c>
      <c r="T32" s="8">
        <f t="shared" si="6"/>
        <v>9619.1999999999898</v>
      </c>
      <c r="U32" s="8">
        <f t="shared" si="7"/>
        <v>10641.59999999996</v>
      </c>
    </row>
    <row r="33" spans="2:21" x14ac:dyDescent="0.3">
      <c r="B33" t="s">
        <v>24</v>
      </c>
      <c r="C33" s="1" t="s">
        <v>35</v>
      </c>
      <c r="D33" s="7">
        <f>E32</f>
        <v>10098.91</v>
      </c>
      <c r="E33" s="6">
        <v>10313.959999999999</v>
      </c>
      <c r="F33" s="7">
        <f>G32</f>
        <v>5810.81</v>
      </c>
      <c r="G33" s="6">
        <v>5930.49</v>
      </c>
      <c r="H33" s="7">
        <f>I32</f>
        <v>2972.08</v>
      </c>
      <c r="I33" s="6">
        <v>3031.56</v>
      </c>
      <c r="J33" s="7">
        <f>K32</f>
        <v>1754.14</v>
      </c>
      <c r="K33" s="6">
        <v>1789.59</v>
      </c>
      <c r="L33" s="7">
        <f>M32</f>
        <v>1001.57</v>
      </c>
      <c r="M33" s="6">
        <v>1022.38</v>
      </c>
      <c r="N33" s="7">
        <f>O32</f>
        <v>37.18</v>
      </c>
      <c r="O33" s="6">
        <v>37.936999999999998</v>
      </c>
      <c r="P33" s="7">
        <f>Q32</f>
        <v>36.137</v>
      </c>
      <c r="Q33" s="6">
        <v>36.835999999999999</v>
      </c>
      <c r="R33" s="30">
        <v>-0.01</v>
      </c>
      <c r="S33" s="8">
        <f t="shared" si="5"/>
        <v>10900.79999999997</v>
      </c>
      <c r="T33" s="8">
        <f t="shared" si="6"/>
        <v>10065.599999999973</v>
      </c>
      <c r="U33" s="8">
        <f t="shared" si="7"/>
        <v>10900.79999999997</v>
      </c>
    </row>
    <row r="34" spans="2:21" x14ac:dyDescent="0.3">
      <c r="B34" t="s">
        <v>24</v>
      </c>
      <c r="C34" s="1" t="s">
        <v>37</v>
      </c>
      <c r="D34" s="7">
        <f>E33</f>
        <v>10313.959999999999</v>
      </c>
      <c r="E34" s="6">
        <f>534.08+10000</f>
        <v>10534.08</v>
      </c>
      <c r="F34" s="7">
        <f>G33</f>
        <v>5930.49</v>
      </c>
      <c r="G34" s="6">
        <v>6068.7</v>
      </c>
      <c r="H34" s="7">
        <f>I33</f>
        <v>3031.56</v>
      </c>
      <c r="I34" s="6">
        <v>3102.98</v>
      </c>
      <c r="J34" s="7">
        <f>K33</f>
        <v>1789.59</v>
      </c>
      <c r="K34" s="6">
        <v>1831.37</v>
      </c>
      <c r="L34" s="7">
        <f>M33</f>
        <v>1022.38</v>
      </c>
      <c r="M34" s="6">
        <v>1047.67</v>
      </c>
      <c r="N34" s="7">
        <f>O33</f>
        <v>37.936999999999998</v>
      </c>
      <c r="O34" s="6">
        <v>38.731999999999999</v>
      </c>
      <c r="P34" s="7">
        <f>Q33</f>
        <v>36.835999999999999</v>
      </c>
      <c r="Q34" s="6">
        <v>37.579000000000001</v>
      </c>
      <c r="R34" s="30">
        <v>-0.01</v>
      </c>
      <c r="S34" s="8">
        <f t="shared" si="5"/>
        <v>11448.000000000025</v>
      </c>
      <c r="T34" s="8">
        <f t="shared" si="6"/>
        <v>10699.20000000003</v>
      </c>
      <c r="U34" s="8">
        <f t="shared" si="7"/>
        <v>11448.000000000025</v>
      </c>
    </row>
    <row r="35" spans="2:21" x14ac:dyDescent="0.3">
      <c r="B35" t="s">
        <v>24</v>
      </c>
      <c r="C35" s="1" t="s">
        <v>39</v>
      </c>
      <c r="D35" s="7">
        <f>E34</f>
        <v>10534.08</v>
      </c>
      <c r="E35" s="6">
        <v>10749.71</v>
      </c>
      <c r="F35" s="7">
        <f>G34</f>
        <v>6068.7</v>
      </c>
      <c r="G35" s="6">
        <v>6196.8</v>
      </c>
      <c r="H35" s="7">
        <f>I34</f>
        <v>3102.98</v>
      </c>
      <c r="I35" s="6">
        <v>3164.07</v>
      </c>
      <c r="J35" s="7">
        <f>K34</f>
        <v>1831.37</v>
      </c>
      <c r="K35" s="6">
        <v>1869.22</v>
      </c>
      <c r="L35" s="7">
        <f>M34</f>
        <v>1047.67</v>
      </c>
      <c r="M35" s="6">
        <v>1068.42</v>
      </c>
      <c r="N35" s="7">
        <f>O34</f>
        <v>38.731999999999999</v>
      </c>
      <c r="O35" s="6">
        <v>39.493000000000002</v>
      </c>
      <c r="P35" s="7">
        <f>Q34</f>
        <v>37.579000000000001</v>
      </c>
      <c r="Q35" s="6">
        <v>38.290999999999997</v>
      </c>
      <c r="R35" s="30">
        <v>-0.01</v>
      </c>
      <c r="S35" s="8">
        <f t="shared" ref="S35" si="8">(O35-N35)*14400</f>
        <v>10958.40000000004</v>
      </c>
      <c r="T35" s="8">
        <f t="shared" ref="T35" si="9">(Q35-P35)*14400</f>
        <v>10252.799999999945</v>
      </c>
      <c r="U35" s="8">
        <f t="shared" ref="U35" si="10">MAX(S35:T35,S35)</f>
        <v>10958.40000000004</v>
      </c>
    </row>
    <row r="36" spans="2:21" x14ac:dyDescent="0.3">
      <c r="B36" t="s">
        <v>24</v>
      </c>
      <c r="C36" s="1" t="s">
        <v>41</v>
      </c>
    </row>
    <row r="37" spans="2:21" x14ac:dyDescent="0.3">
      <c r="B37" t="s">
        <v>24</v>
      </c>
      <c r="C37" s="1" t="s">
        <v>43</v>
      </c>
    </row>
    <row r="38" spans="2:21" x14ac:dyDescent="0.3">
      <c r="B38" t="s">
        <v>24</v>
      </c>
      <c r="C38" s="1" t="s">
        <v>45</v>
      </c>
    </row>
    <row r="39" spans="2:21" x14ac:dyDescent="0.3">
      <c r="B39" t="s">
        <v>24</v>
      </c>
      <c r="C39" s="1" t="s">
        <v>47</v>
      </c>
    </row>
  </sheetData>
  <mergeCells count="15">
    <mergeCell ref="T1:T3"/>
    <mergeCell ref="B1:B3"/>
    <mergeCell ref="N1:Q1"/>
    <mergeCell ref="N2:O2"/>
    <mergeCell ref="P2:Q2"/>
    <mergeCell ref="R1:R3"/>
    <mergeCell ref="C1:C3"/>
    <mergeCell ref="S1:S3"/>
    <mergeCell ref="D1:I1"/>
    <mergeCell ref="D2:E2"/>
    <mergeCell ref="F2:G2"/>
    <mergeCell ref="H2:I2"/>
    <mergeCell ref="J1:M1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workbookViewId="0">
      <selection activeCell="F8" sqref="F8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508</v>
      </c>
    </row>
    <row r="4" spans="2:24" ht="16.5" customHeight="1" thickTop="1" thickBot="1" x14ac:dyDescent="0.35">
      <c r="B4" s="30" t="s">
        <v>397</v>
      </c>
      <c r="D4" s="252" t="s">
        <v>509</v>
      </c>
      <c r="E4" s="252"/>
      <c r="F4" s="252"/>
      <c r="G4" s="252"/>
      <c r="H4" s="252"/>
      <c r="I4" s="252"/>
      <c r="J4" s="252"/>
      <c r="K4" s="252"/>
      <c r="L4" s="257"/>
      <c r="M4" s="76" t="s">
        <v>243</v>
      </c>
      <c r="N4" s="77" t="s">
        <v>244</v>
      </c>
      <c r="O4" s="78" t="s">
        <v>245</v>
      </c>
      <c r="P4" s="91"/>
      <c r="Q4" s="218"/>
    </row>
    <row r="5" spans="2:24" ht="39.950000000000003" customHeight="1" thickTop="1" thickBot="1" x14ac:dyDescent="0.35">
      <c r="B5" s="30" t="s">
        <v>328</v>
      </c>
      <c r="D5" s="252"/>
      <c r="E5" s="252"/>
      <c r="F5" s="252"/>
      <c r="G5" s="252"/>
      <c r="H5" s="252"/>
      <c r="I5" s="252"/>
      <c r="J5" s="252"/>
      <c r="K5" s="252"/>
      <c r="L5" s="257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24.95" customHeight="1" x14ac:dyDescent="0.3">
      <c r="D7" s="253" t="s">
        <v>59</v>
      </c>
      <c r="E7" s="253"/>
      <c r="F7" s="220" t="s">
        <v>120</v>
      </c>
      <c r="G7" s="220" t="s">
        <v>81</v>
      </c>
      <c r="H7" s="220" t="s">
        <v>121</v>
      </c>
      <c r="I7" s="220" t="s">
        <v>78</v>
      </c>
      <c r="J7" s="220" t="s">
        <v>87</v>
      </c>
      <c r="K7" s="220" t="s">
        <v>88</v>
      </c>
      <c r="L7" s="220" t="s">
        <v>82</v>
      </c>
      <c r="M7" s="220" t="s">
        <v>250</v>
      </c>
      <c r="N7" s="220" t="s">
        <v>89</v>
      </c>
      <c r="O7" s="220" t="s">
        <v>251</v>
      </c>
      <c r="P7" s="92"/>
      <c r="Q7" s="63"/>
    </row>
    <row r="8" spans="2:24" ht="24.95" customHeight="1" x14ac:dyDescent="0.3">
      <c r="D8" s="251" t="s">
        <v>283</v>
      </c>
      <c r="E8" s="201" t="s">
        <v>330</v>
      </c>
      <c r="F8" s="74">
        <f>SUMIFS(생산량!D:D,생산량!B:B,B2,생산량!C:C,B3)</f>
        <v>32433.26</v>
      </c>
      <c r="G8" s="74"/>
      <c r="H8" s="74">
        <f>SUMIFS(생산량!E:E,생산량!B:B,B2,생산량!C:C,B3)</f>
        <v>31018.73</v>
      </c>
      <c r="I8" s="74">
        <f>SUMIFS(생산량!F:F,생산량!B:B,B2,생산량!C:C,B3)</f>
        <v>30848.92</v>
      </c>
      <c r="J8" s="74">
        <f>SUMIFS(생산량!G:G,생산량!B:B,B2,생산량!C:C,B3)</f>
        <v>15058.49</v>
      </c>
      <c r="K8" s="74">
        <f>SUMIFS(생산량!H:H,생산량!B:B,B2,생산량!C:C,B3)</f>
        <v>4973.76</v>
      </c>
      <c r="L8" s="74">
        <f>SUMIFS(생산량!I:I,생산량!B:B,B2,생산량!C:C,B3)</f>
        <v>1729.174</v>
      </c>
      <c r="M8" s="64"/>
      <c r="N8" s="69">
        <f>SUM(F8:M8)</f>
        <v>116062.334</v>
      </c>
      <c r="O8" s="64"/>
      <c r="P8" s="93"/>
      <c r="Q8" s="63" t="s">
        <v>120</v>
      </c>
    </row>
    <row r="9" spans="2:24" ht="24.95" customHeight="1" x14ac:dyDescent="0.3">
      <c r="D9" s="251"/>
      <c r="E9" s="202" t="s">
        <v>331</v>
      </c>
      <c r="F9" s="70">
        <f>F10+F11</f>
        <v>301972</v>
      </c>
      <c r="G9" s="70">
        <f t="shared" ref="G9:N9" si="0">G10+G11</f>
        <v>75433</v>
      </c>
      <c r="H9" s="70">
        <f t="shared" si="0"/>
        <v>2220993</v>
      </c>
      <c r="I9" s="70">
        <f t="shared" si="0"/>
        <v>2159261</v>
      </c>
      <c r="J9" s="70">
        <f t="shared" si="0"/>
        <v>806560</v>
      </c>
      <c r="K9" s="70">
        <f t="shared" si="0"/>
        <v>607602</v>
      </c>
      <c r="L9" s="70">
        <f t="shared" si="0"/>
        <v>16579</v>
      </c>
      <c r="M9" s="66">
        <f t="shared" si="0"/>
        <v>0</v>
      </c>
      <c r="N9" s="70">
        <f t="shared" si="0"/>
        <v>6188399.9999999991</v>
      </c>
      <c r="O9" s="64"/>
      <c r="P9" s="93"/>
      <c r="Q9" s="213">
        <f>F9+G9</f>
        <v>377405</v>
      </c>
    </row>
    <row r="10" spans="2:24" ht="24.95" customHeight="1" x14ac:dyDescent="0.3">
      <c r="D10" s="251"/>
      <c r="E10" s="201" t="s">
        <v>332</v>
      </c>
      <c r="F10" s="69">
        <f>SUMIFS('라인별전력(본+ESS)'!Y:Y,'라인별전력(본+ESS)'!W:W,B2,'라인별전력(본+ESS)'!X:X,B3)</f>
        <v>292386.13103354664</v>
      </c>
      <c r="G10" s="69">
        <f>SUMIFS('라인별전력(본+ESS)'!Z:Z,'라인별전력(본+ESS)'!W:W,B2,'라인별전력(본+ESS)'!X:X,B3)</f>
        <v>73038.437412255182</v>
      </c>
      <c r="H10" s="69">
        <f>SUMIFS('라인별전력(본+ESS)'!AA:AA,'라인별전력(본+ESS)'!W:W,B2,'라인별전력(본+ESS)'!X:X,B3)</f>
        <v>2150489.2848429321</v>
      </c>
      <c r="I10" s="69">
        <f>SUMIFS('라인별전력(본+ESS)'!AB:AB,'라인별전력(본+ESS)'!W:W,B2,'라인별전력(본+ESS)'!X:X,B3)</f>
        <v>2090716.9197197983</v>
      </c>
      <c r="J10" s="69">
        <f>SUMIFS('라인별전력(본+ESS)'!AC:AC,'라인별전력(본+ESS)'!W:W,B2,'라인별전력(본+ESS)'!X:X,B3)</f>
        <v>780956.37292999809</v>
      </c>
      <c r="K10" s="69">
        <f>SUMIFS('라인별전력(본+ESS)'!AD:AD,'라인별전력(본+ESS)'!W:W,B2,'라인별전력(본+ESS)'!X:X,B3)</f>
        <v>588314.14166957536</v>
      </c>
      <c r="L10" s="69">
        <f>SUMIFS('라인별전력(본+ESS)'!AE:AE,'라인별전력(본+ESS)'!W:W,B2,'라인별전력(본+ESS)'!X:X,B3)</f>
        <v>16052.712391894513</v>
      </c>
      <c r="M10" s="64"/>
      <c r="N10" s="69">
        <f>SUM(F10:M10)</f>
        <v>5991953.9999999991</v>
      </c>
      <c r="O10" s="64"/>
      <c r="P10" s="93"/>
      <c r="Q10" s="213">
        <f>SUM(F12:G13)</f>
        <v>38747696.879878469</v>
      </c>
    </row>
    <row r="11" spans="2:24" ht="24.95" customHeight="1" x14ac:dyDescent="0.3">
      <c r="D11" s="251"/>
      <c r="E11" s="201" t="s">
        <v>333</v>
      </c>
      <c r="F11" s="69">
        <f>SUMIFS('라인별전력(본+ESS)'!N:N,'라인별전력(본+ESS)'!L:L,B2,'라인별전력(본+ESS)'!M:M,B3)</f>
        <v>9585.8689664533613</v>
      </c>
      <c r="G11" s="69">
        <f>SUMIFS('라인별전력(본+ESS)'!O:O,'라인별전력(본+ESS)'!L:L,B2,'라인별전력(본+ESS)'!M:M,B3)</f>
        <v>2394.5625877448119</v>
      </c>
      <c r="H11" s="69">
        <f>SUMIFS('라인별전력(본+ESS)'!P:P,'라인별전력(본+ESS)'!L:L,B2,'라인별전력(본+ESS)'!M:M,B3)</f>
        <v>70503.715157068058</v>
      </c>
      <c r="I11" s="69">
        <f>SUMIFS('라인별전력(본+ESS)'!Q:Q,'라인별전력(본+ESS)'!L:L,B2,'라인별전력(본+ESS)'!M:M,B3)</f>
        <v>68544.080280201655</v>
      </c>
      <c r="J11" s="69">
        <f>SUMIFS('라인별전력(본+ESS)'!R:R,'라인별전력(본+ESS)'!L:L,B2,'라인별전력(본+ESS)'!M:M,B3)</f>
        <v>25603.627070001934</v>
      </c>
      <c r="K11" s="69">
        <f>SUMIFS('라인별전력(본+ESS)'!S:S,'라인별전력(본+ESS)'!L:L,B2,'라인별전력(본+ESS)'!M:M,B3)</f>
        <v>19287.85833042466</v>
      </c>
      <c r="L11" s="69">
        <f>SUMIFS('라인별전력(본+ESS)'!T:T,'라인별전력(본+ESS)'!L:L,B2,'라인별전력(본+ESS)'!M:M,B3)</f>
        <v>526.28760810548761</v>
      </c>
      <c r="M11" s="64"/>
      <c r="N11" s="69">
        <f>SUM(F11:M11)</f>
        <v>196445.99999999997</v>
      </c>
      <c r="O11" s="64"/>
      <c r="P11" s="93"/>
      <c r="Q11" s="63"/>
    </row>
    <row r="12" spans="2:24" ht="24.95" customHeight="1" x14ac:dyDescent="0.3">
      <c r="D12" s="251"/>
      <c r="E12" s="201" t="s">
        <v>334</v>
      </c>
      <c r="F12" s="71">
        <f>SUMIFS('라인별전력금액(본+ESS)'!Y:Y,'라인별전력금액(본+ESS)'!W:W,B2,'라인별전력금액(본+ESS)'!X:X,B3)</f>
        <v>30776540.82593238</v>
      </c>
      <c r="G12" s="71">
        <f>SUMIFS('라인별전력금액(본+ESS)'!Z:Z,'라인별전력금액(본+ESS)'!W:W,B2,'라인별전력금액(본+ESS)'!X:X,B3)</f>
        <v>7688020.0949841617</v>
      </c>
      <c r="H12" s="71">
        <f>SUMIFS('라인별전력금액(본+ESS)'!AA:AA,'라인별전력금액(본+ESS)'!W:W,B2,'라인별전력금액(본+ESS)'!X:X,B3)</f>
        <v>226360330.55584639</v>
      </c>
      <c r="I12" s="71">
        <f>SUMIFS('라인별전력금액(본+ESS)'!AB:AB,'라인별전력금액(본+ESS)'!W:W,B2,'라인별전력금액(본+ESS)'!X:X,B3)</f>
        <v>220068696.1716437</v>
      </c>
      <c r="J12" s="71">
        <f>SUMIFS('라인별전력금액(본+ESS)'!AC:AC,'라인별전력금액(본+ESS)'!W:W,B2,'라인별전력금액(본+ESS)'!X:X,B3)</f>
        <v>82203405.509663224</v>
      </c>
      <c r="K12" s="71">
        <f>SUMIFS('라인별전력금액(본+ESS)'!AD:AD,'라인별전력금액(본+ESS)'!W:W,B2,'라인별전력금액(본+ESS)'!X:X,B3)</f>
        <v>61925899.61624974</v>
      </c>
      <c r="L12" s="71">
        <f>SUMIFS('라인별전력금액(본+ESS)'!AE:AE,'라인별전력금액(본+ESS)'!W:W,B2,'라인별전력금액(본+ESS)'!X:X,B3)</f>
        <v>1689707.2256803047</v>
      </c>
      <c r="M12" s="68"/>
      <c r="N12" s="71">
        <f>SUM(F12:M12)</f>
        <v>630712600</v>
      </c>
      <c r="O12" s="64"/>
      <c r="P12" s="93"/>
      <c r="Q12" s="63"/>
    </row>
    <row r="13" spans="2:24" ht="24.95" customHeight="1" thickBot="1" x14ac:dyDescent="0.35">
      <c r="D13" s="251"/>
      <c r="E13" s="201" t="s">
        <v>335</v>
      </c>
      <c r="F13" s="71">
        <f>SUMIFS('라인별전력금액(본+ESS)'!N:N,'라인별전력금액(본+ESS)'!L:L,B2,'라인별전력금액(본+ESS)'!M:M,B3)</f>
        <v>226544.77762523424</v>
      </c>
      <c r="G13" s="71">
        <f>SUMIFS('라인별전력금액(본+ESS)'!O:O,'라인별전력금액(본+ESS)'!L:L,B2,'라인별전력금액(본+ESS)'!M:M,B3)</f>
        <v>56591.181336694441</v>
      </c>
      <c r="H13" s="71">
        <f>SUMIFS('라인별전력금액(본+ESS)'!P:P,'라인별전력금액(본+ESS)'!L:L,B2,'라인별전력금액(본+ESS)'!M:M,B3)</f>
        <v>1666228.5420244327</v>
      </c>
      <c r="I13" s="71">
        <f>SUMIFS('라인별전력금액(본+ESS)'!Q:Q,'라인별전력금액(본+ESS)'!L:L,B2,'라인별전력금액(본+ESS)'!M:M,B3)</f>
        <v>1619916.0951341216</v>
      </c>
      <c r="J13" s="71">
        <f>SUMIFS('라인별전력금액(본+ESS)'!R:R,'라인별전력금액(본+ESS)'!L:L,B2,'라인별전력금액(본+ESS)'!M:M,B3)</f>
        <v>605095.69046603306</v>
      </c>
      <c r="K13" s="71">
        <f>SUMIFS('라인별전력금액(본+ESS)'!S:S,'라인별전력금액(본+ESS)'!L:L,B2,'라인별전력금액(본+ESS)'!M:M,B3)</f>
        <v>455833.85206127586</v>
      </c>
      <c r="L13" s="71">
        <f>SUMIFS('라인별전력금액(본+ESS)'!T:T,'라인별전력금액(본+ESS)'!L:L,B2,'라인별전력금액(본+ESS)'!M:M,B3)</f>
        <v>12437.861352207354</v>
      </c>
      <c r="M13" s="68"/>
      <c r="N13" s="71">
        <f>SUM(F13:M13)</f>
        <v>4642648</v>
      </c>
      <c r="O13" s="64"/>
      <c r="P13" s="93"/>
      <c r="Q13" s="63"/>
    </row>
    <row r="14" spans="2:24" ht="24.95" customHeight="1" x14ac:dyDescent="0.3">
      <c r="D14" s="251"/>
      <c r="E14" s="201" t="s">
        <v>336</v>
      </c>
      <c r="F14" s="70">
        <f>SUM(F12:F13)</f>
        <v>31003085.603557613</v>
      </c>
      <c r="G14" s="70">
        <f t="shared" ref="G14:N14" si="1">SUM(G12:G13)</f>
        <v>7744611.2763208561</v>
      </c>
      <c r="H14" s="70">
        <f t="shared" si="1"/>
        <v>228026559.09787083</v>
      </c>
      <c r="I14" s="70">
        <f t="shared" si="1"/>
        <v>221688612.26677781</v>
      </c>
      <c r="J14" s="70">
        <f t="shared" si="1"/>
        <v>82808501.200129256</v>
      </c>
      <c r="K14" s="70">
        <f t="shared" si="1"/>
        <v>62381733.468311019</v>
      </c>
      <c r="L14" s="70">
        <f t="shared" si="1"/>
        <v>1702145.0870325121</v>
      </c>
      <c r="M14" s="66"/>
      <c r="N14" s="70">
        <f t="shared" si="1"/>
        <v>635355248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24.95" customHeight="1" thickBot="1" x14ac:dyDescent="0.35">
      <c r="D15" s="251"/>
      <c r="E15" s="201" t="s">
        <v>337</v>
      </c>
      <c r="F15" s="72">
        <f t="shared" ref="F15:L15" si="2">F14+R15</f>
        <v>35589635.335631549</v>
      </c>
      <c r="G15" s="72">
        <f t="shared" si="2"/>
        <v>8890337.3898000307</v>
      </c>
      <c r="H15" s="72">
        <f t="shared" si="2"/>
        <v>261760464.39070621</v>
      </c>
      <c r="I15" s="72">
        <f t="shared" si="2"/>
        <v>254484891.2629354</v>
      </c>
      <c r="J15" s="72">
        <f t="shared" si="2"/>
        <v>95059065.993890107</v>
      </c>
      <c r="K15" s="72">
        <f t="shared" si="2"/>
        <v>71610393.047038808</v>
      </c>
      <c r="L15" s="72">
        <f t="shared" si="2"/>
        <v>1953957.8644027775</v>
      </c>
      <c r="M15" s="67"/>
      <c r="N15" s="72">
        <f>SUM(F15:M15)</f>
        <v>729348745.28440475</v>
      </c>
      <c r="O15" s="64"/>
      <c r="P15" s="93"/>
      <c r="Q15" s="94">
        <f>SUMIFS(리스추정치!D:D,리스추정치!B:B,B2,리스추정치!C:C,B3)</f>
        <v>93993497.284405008</v>
      </c>
      <c r="R15" s="95">
        <f t="shared" ref="R15:X15" si="3">$Q$15*(F14/$N$14)</f>
        <v>4586549.7320739347</v>
      </c>
      <c r="S15" s="95">
        <f t="shared" si="3"/>
        <v>1145726.113479174</v>
      </c>
      <c r="T15" s="95">
        <f t="shared" si="3"/>
        <v>33733905.292835385</v>
      </c>
      <c r="U15" s="95">
        <f t="shared" si="3"/>
        <v>32796278.996157587</v>
      </c>
      <c r="V15" s="95">
        <f t="shared" si="3"/>
        <v>12250564.793760857</v>
      </c>
      <c r="W15" s="95">
        <f t="shared" si="3"/>
        <v>9228659.5787277874</v>
      </c>
      <c r="X15" s="96">
        <f t="shared" si="3"/>
        <v>251812.77737026539</v>
      </c>
    </row>
    <row r="16" spans="2:24" ht="24.95" customHeight="1" x14ac:dyDescent="0.3">
      <c r="D16" s="251"/>
      <c r="E16" s="201" t="s">
        <v>338</v>
      </c>
      <c r="F16" s="208">
        <f>F15/F8</f>
        <v>1097.3190895898701</v>
      </c>
      <c r="G16" s="208">
        <f>G15/F8</f>
        <v>274.11174176755685</v>
      </c>
      <c r="H16" s="209">
        <f>H15/H8</f>
        <v>8438.7872872521293</v>
      </c>
      <c r="I16" s="209">
        <f t="shared" ref="I16:N16" si="4">I15/I8</f>
        <v>8249.3938608850949</v>
      </c>
      <c r="J16" s="209">
        <f t="shared" si="4"/>
        <v>6312.655916621793</v>
      </c>
      <c r="K16" s="209">
        <f t="shared" si="4"/>
        <v>14397.637410538266</v>
      </c>
      <c r="L16" s="209">
        <f t="shared" si="4"/>
        <v>1129.9949365435621</v>
      </c>
      <c r="M16" s="209"/>
      <c r="N16" s="209">
        <f t="shared" si="4"/>
        <v>6284.112339877679</v>
      </c>
      <c r="O16" s="64"/>
      <c r="P16" s="93"/>
      <c r="Q16" s="63"/>
    </row>
    <row r="17" spans="4:17" ht="24.95" customHeight="1" x14ac:dyDescent="0.3">
      <c r="D17" s="251"/>
      <c r="E17" s="201" t="s">
        <v>339</v>
      </c>
      <c r="F17" s="209">
        <f>F9/F8</f>
        <v>9.3105657587303909</v>
      </c>
      <c r="G17" s="209">
        <f>G9/F8</f>
        <v>2.3257914868872263</v>
      </c>
      <c r="H17" s="209">
        <f>H9/H8</f>
        <v>71.601674214257002</v>
      </c>
      <c r="I17" s="209">
        <f t="shared" ref="I17:N17" si="5">I9/I8</f>
        <v>69.994703218135356</v>
      </c>
      <c r="J17" s="209">
        <f t="shared" si="5"/>
        <v>53.561811310430194</v>
      </c>
      <c r="K17" s="209">
        <f t="shared" si="5"/>
        <v>122.16150357073923</v>
      </c>
      <c r="L17" s="209">
        <f t="shared" si="5"/>
        <v>9.5878147601108967</v>
      </c>
      <c r="M17" s="209"/>
      <c r="N17" s="209">
        <f t="shared" si="5"/>
        <v>53.319623918643572</v>
      </c>
      <c r="O17" s="64"/>
      <c r="P17" s="93"/>
      <c r="Q17" s="63"/>
    </row>
    <row r="18" spans="4:17" ht="24.95" customHeight="1" x14ac:dyDescent="0.3">
      <c r="D18" s="251" t="s">
        <v>285</v>
      </c>
      <c r="E18" s="201" t="s">
        <v>488</v>
      </c>
      <c r="F18" s="89">
        <f>SUMIFS(LNG사용량!D:D,LNG사용량!B:B,B2,LNG사용량!C:C,B3)</f>
        <v>83516.149237919162</v>
      </c>
      <c r="G18" s="89">
        <f>SUMIFS(LNG사용량!E:E,LNG사용량!B:B,B2,LNG사용량!C:C,B3)</f>
        <v>94492</v>
      </c>
      <c r="H18" s="89"/>
      <c r="I18" s="89">
        <f>SUMIFS(LNG사용량!F:F,LNG사용량!B:B,B2,LNG사용량!C:C,B3)</f>
        <v>595238</v>
      </c>
      <c r="J18" s="89">
        <f>SUMIFS(LNG사용량!G:G,LNG사용량!B:B,B2,LNG사용량!C:C,B3)</f>
        <v>366605</v>
      </c>
      <c r="K18" s="89">
        <f>SUMIFS(LNG사용량!H:H,LNG사용량!B:B,B2,LNG사용량!C:C,B3)</f>
        <v>281076.85076208087</v>
      </c>
      <c r="L18" s="89"/>
      <c r="M18" s="89">
        <f>SUMIFS(LNG사용량!I:I,LNG사용량!B:B,B2,LNG사용량!C:C,B3)</f>
        <v>3614.8442999999997</v>
      </c>
      <c r="N18" s="89">
        <f>SUM(F18:M18)</f>
        <v>1424542.8443</v>
      </c>
      <c r="O18" s="64"/>
      <c r="P18" s="93"/>
      <c r="Q18" s="63"/>
    </row>
    <row r="19" spans="4:17" ht="24.95" customHeight="1" x14ac:dyDescent="0.3">
      <c r="D19" s="251"/>
      <c r="E19" s="201" t="s">
        <v>341</v>
      </c>
      <c r="F19" s="203">
        <f>SUMIFS(LNG금액!D:D,LNG금액!B:B,B2,LNG금액!C:C,B3)</f>
        <v>42784618.61318668</v>
      </c>
      <c r="G19" s="203">
        <f>SUMIFS(LNG금액!E:E,LNG금액!B:B,B2,LNG금액!C:C,B3)</f>
        <v>48407454.353291295</v>
      </c>
      <c r="H19" s="203"/>
      <c r="I19" s="203">
        <f>SUMIFS(LNG금액!F:F,LNG금액!B:B,B2,LNG금액!C:C,B3)</f>
        <v>304935405.26546592</v>
      </c>
      <c r="J19" s="203">
        <f>SUMIFS(LNG금액!G:G,LNG금액!B:B,B2,LNG금액!C:C,B3)</f>
        <v>187808648.38492525</v>
      </c>
      <c r="K19" s="203">
        <f>SUMIFS(LNG금액!H:H,LNG금액!B:B,B2,LNG금액!C:C,B3)</f>
        <v>143993299.14735958</v>
      </c>
      <c r="L19" s="203"/>
      <c r="M19" s="203">
        <f>SUMIFS(LNG금액!I:I,LNG금액!B:B,B2,LNG금액!C:C,B3)</f>
        <v>1851854.2357713375</v>
      </c>
      <c r="N19" s="203">
        <f>SUM(F19:M19)</f>
        <v>729781280.00000012</v>
      </c>
      <c r="O19" s="64"/>
      <c r="P19" s="93"/>
      <c r="Q19" s="63"/>
    </row>
    <row r="20" spans="4:17" ht="24.95" customHeight="1" x14ac:dyDescent="0.3">
      <c r="D20" s="251"/>
      <c r="E20" s="201" t="s">
        <v>342</v>
      </c>
      <c r="F20" s="209">
        <f>F19/F8</f>
        <v>1319.1587467059026</v>
      </c>
      <c r="G20" s="209">
        <f>G19/F8</f>
        <v>1492.5250916278937</v>
      </c>
      <c r="H20" s="209"/>
      <c r="I20" s="209">
        <f>I19/I8</f>
        <v>9884.8000275363265</v>
      </c>
      <c r="J20" s="209">
        <f t="shared" ref="J20:L20" si="6">J19/J8</f>
        <v>12471.944290890073</v>
      </c>
      <c r="K20" s="209">
        <f t="shared" si="6"/>
        <v>28950.592539117202</v>
      </c>
      <c r="L20" s="209">
        <f t="shared" si="6"/>
        <v>0</v>
      </c>
      <c r="M20" s="209"/>
      <c r="N20" s="209">
        <f>N19/(N8-H8-L8)</f>
        <v>8759.3623337517893</v>
      </c>
      <c r="O20" s="64"/>
      <c r="P20" s="93"/>
      <c r="Q20" s="63"/>
    </row>
    <row r="21" spans="4:17" ht="24.95" customHeight="1" x14ac:dyDescent="0.3">
      <c r="D21" s="251"/>
      <c r="E21" s="201" t="s">
        <v>489</v>
      </c>
      <c r="F21" s="209">
        <f>F18/F8</f>
        <v>2.5750155623554081</v>
      </c>
      <c r="G21" s="209">
        <f>G18/F8</f>
        <v>2.913428992336879</v>
      </c>
      <c r="H21" s="209"/>
      <c r="I21" s="209">
        <f>I18/I8</f>
        <v>19.295262200427114</v>
      </c>
      <c r="J21" s="209">
        <f t="shared" ref="J21:K21" si="7">J18/J8</f>
        <v>24.345402493875547</v>
      </c>
      <c r="K21" s="209">
        <f t="shared" si="7"/>
        <v>56.51194483893088</v>
      </c>
      <c r="L21" s="209"/>
      <c r="M21" s="209"/>
      <c r="N21" s="209">
        <f>N18/(N8-H8-L8)</f>
        <v>17.098392731007099</v>
      </c>
      <c r="O21" s="64"/>
      <c r="P21" s="93"/>
      <c r="Q21" s="63"/>
    </row>
    <row r="22" spans="4:17" ht="24.95" customHeight="1" x14ac:dyDescent="0.3">
      <c r="D22" s="219" t="s">
        <v>321</v>
      </c>
      <c r="E22" s="201" t="s">
        <v>344</v>
      </c>
      <c r="F22" s="64">
        <f>SUMIFS(LNG사용량!K:K,LNG사용량!B:B,B2,LNG사용량!C:C,B3)/1000</f>
        <v>1146.1990000000001</v>
      </c>
      <c r="G22" s="64"/>
      <c r="H22" s="64"/>
      <c r="I22" s="64"/>
      <c r="J22" s="64"/>
      <c r="K22" s="64">
        <f>SUMIFS(LNG사용량!L:L,LNG사용량!B:B,B2,LNG사용량!C:C,B3)/1000</f>
        <v>471.67399999999998</v>
      </c>
      <c r="L22" s="64"/>
      <c r="M22" s="64"/>
      <c r="N22" s="64">
        <f>SUM(F22:M22)</f>
        <v>1617.873</v>
      </c>
      <c r="O22" s="101" t="s">
        <v>326</v>
      </c>
      <c r="P22" s="63"/>
      <c r="Q22" s="63"/>
    </row>
    <row r="23" spans="4:17" ht="24.95" customHeight="1" x14ac:dyDescent="0.3">
      <c r="D23" s="251" t="s">
        <v>327</v>
      </c>
      <c r="E23" s="201" t="s">
        <v>488</v>
      </c>
      <c r="F23" s="89">
        <f>SUMIFS(용수사용량!F:F,용수사용량!C:C,B2,용수사용량!E:E,B3,용수사용량!D:D,B4)</f>
        <v>1005.2647461650853</v>
      </c>
      <c r="G23" s="89">
        <f>SUMIFS(용수사용량!G:G,용수사용량!C:C,B2,용수사용량!E:E,B3,용수사용량!D:D,B4)</f>
        <v>486.81997580350622</v>
      </c>
      <c r="H23" s="89">
        <f>SUMIFS(용수사용량!H:H,용수사용량!C:C,B2,용수사용량!E:E,B3,용수사용량!D:D,B4)</f>
        <v>143.65731144996309</v>
      </c>
      <c r="I23" s="89">
        <f>SUMIFS(용수사용량!I:I,용수사용량!C:C,B2,용수사용량!E:E,B3,용수사용량!D:D,B4)</f>
        <v>529.3308128652294</v>
      </c>
      <c r="J23" s="89">
        <f>SUMIFS(용수사용량!J:J,용수사용량!C:C,B2,용수사용량!E:E,B3,용수사용량!D:D,B4)</f>
        <v>980.17638330898046</v>
      </c>
      <c r="K23" s="89">
        <f>SUMIFS(용수사용량!K:K,용수사용량!C:C,B2,용수사용량!E:E,B3,용수사용량!D:D,B4)</f>
        <v>1065.7507704072357</v>
      </c>
      <c r="L23" s="89"/>
      <c r="M23" s="89"/>
      <c r="N23" s="89">
        <f>SUM(F23:M23)</f>
        <v>4211</v>
      </c>
      <c r="O23" s="254" t="s">
        <v>486</v>
      </c>
      <c r="P23" s="63"/>
      <c r="Q23" s="63"/>
    </row>
    <row r="24" spans="4:17" ht="24.95" customHeight="1" x14ac:dyDescent="0.3">
      <c r="D24" s="251"/>
      <c r="E24" s="201" t="s">
        <v>345</v>
      </c>
      <c r="F24" s="89">
        <f>SUMIFS(용수사용량!R:R,용수사용량!O:O,B2,용수사용량!Q:Q,B3,용수사용량!P:P,B4)</f>
        <v>4524615.2177684493</v>
      </c>
      <c r="G24" s="89">
        <f>SUMIFS(용수사용량!S:S,용수사용량!O:O,B2,용수사용량!Q:Q,B3,용수사용량!P:P,B4)</f>
        <v>2191137.2891937546</v>
      </c>
      <c r="H24" s="89">
        <f>SUMIFS(용수사용량!T:T,용수사용량!O:O,B2,용수사용량!Q:Q,B3,용수사용량!P:P,B4)</f>
        <v>646589.92569850083</v>
      </c>
      <c r="I24" s="89">
        <f>SUMIFS(용수사용량!U:U,용수사용량!O:O,B2,용수사용량!Q:Q,B3,용수사용량!P:P,B4)</f>
        <v>2382475.1243494311</v>
      </c>
      <c r="J24" s="89">
        <f>SUMIFS(용수사용량!V:V,용수사용량!O:O,B2,용수사용량!Q:Q,B3,용수사용량!P:P,B4)</f>
        <v>4411694.5281683523</v>
      </c>
      <c r="K24" s="89">
        <f>SUMIFS(용수사용량!W:W,용수사용량!O:O,B2,용수사용량!Q:Q,B3,용수사용량!P:P,B4)</f>
        <v>4796857.9148215121</v>
      </c>
      <c r="L24" s="89"/>
      <c r="M24" s="89"/>
      <c r="N24" s="89">
        <f>SUM(F24:M24)</f>
        <v>18953370</v>
      </c>
      <c r="O24" s="255"/>
      <c r="P24" s="63"/>
      <c r="Q24" s="63"/>
    </row>
    <row r="25" spans="4:17" ht="24.95" customHeight="1" x14ac:dyDescent="0.3">
      <c r="D25" s="251"/>
      <c r="E25" s="201" t="s">
        <v>342</v>
      </c>
      <c r="F25" s="209">
        <f>F24/F8</f>
        <v>139.50540950149474</v>
      </c>
      <c r="G25" s="209">
        <f>G24/F8</f>
        <v>67.558342553099962</v>
      </c>
      <c r="H25" s="209">
        <f>H24/H8</f>
        <v>20.84514503651506</v>
      </c>
      <c r="I25" s="209">
        <f t="shared" ref="I25:K25" si="8">I24/I8</f>
        <v>77.230422470200949</v>
      </c>
      <c r="J25" s="209">
        <f t="shared" si="8"/>
        <v>292.97057860172913</v>
      </c>
      <c r="K25" s="209">
        <f t="shared" si="8"/>
        <v>964.43292696501476</v>
      </c>
      <c r="L25" s="209"/>
      <c r="M25" s="209"/>
      <c r="N25" s="209">
        <f>N24/N8</f>
        <v>163.3033676541435</v>
      </c>
      <c r="O25" s="255"/>
      <c r="P25" s="63"/>
      <c r="Q25" s="63"/>
    </row>
    <row r="26" spans="4:17" ht="24.95" customHeight="1" x14ac:dyDescent="0.3">
      <c r="D26" s="251"/>
      <c r="E26" s="201" t="s">
        <v>490</v>
      </c>
      <c r="F26" s="209">
        <f>F23/F8</f>
        <v>3.0994872120936511E-2</v>
      </c>
      <c r="G26" s="209">
        <f>G23/F8</f>
        <v>1.5009899584670373E-2</v>
      </c>
      <c r="H26" s="209">
        <f t="shared" ref="H26:K26" si="9">H23/H8</f>
        <v>4.6313086141812733E-3</v>
      </c>
      <c r="I26" s="209">
        <f t="shared" si="9"/>
        <v>1.7158811811409588E-2</v>
      </c>
      <c r="J26" s="209">
        <f t="shared" si="9"/>
        <v>6.5091279624250542E-2</v>
      </c>
      <c r="K26" s="209">
        <f t="shared" si="9"/>
        <v>0.21427466753667962</v>
      </c>
      <c r="L26" s="209"/>
      <c r="M26" s="209"/>
      <c r="N26" s="209">
        <f>N23/N8</f>
        <v>3.6282227445124444E-2</v>
      </c>
      <c r="O26" s="255"/>
      <c r="P26" s="63"/>
      <c r="Q26" s="63"/>
    </row>
    <row r="27" spans="4:17" ht="24.95" customHeight="1" x14ac:dyDescent="0.3">
      <c r="D27" s="251" t="s">
        <v>328</v>
      </c>
      <c r="E27" s="201" t="s">
        <v>488</v>
      </c>
      <c r="F27" s="89">
        <f>SUMIFS(용수사용량!F:F,용수사용량!C:C,B2,용수사용량!E:E,B3,용수사용량!D:D,B5)</f>
        <v>8362.4849342585931</v>
      </c>
      <c r="G27" s="89">
        <f>SUMIFS(용수사용량!G:G,용수사용량!C:C,B2,용수사용량!E:E,B3,용수사용량!D:D,B5)</f>
        <v>4049.7040494886778</v>
      </c>
      <c r="H27" s="89">
        <f>SUMIFS(용수사용량!H:H,용수사용량!C:C,B2,용수사용량!E:E,B3,용수사용량!D:D,B5)</f>
        <v>1195.0405177136565</v>
      </c>
      <c r="I27" s="89">
        <f>SUMIFS(용수사용량!I:I,용수사용량!C:C,B2,용수사용량!E:E,B3,용수사용량!D:D,B5)</f>
        <v>4403.3384884039388</v>
      </c>
      <c r="J27" s="89">
        <f>SUMIFS(용수사용량!J:J,용수사용량!C:C,B2,용수사용량!E:E,B3,용수사용량!D:D,B5)</f>
        <v>8153.7826424397017</v>
      </c>
      <c r="K27" s="89">
        <f>SUMIFS(용수사용량!K:K,용수사용량!C:C,B2,용수사용량!E:E,B3,용수사용량!D:D,B5)</f>
        <v>8865.6493676954324</v>
      </c>
      <c r="L27" s="89"/>
      <c r="M27" s="89"/>
      <c r="N27" s="89">
        <f>SUM(F27:M27)</f>
        <v>35030</v>
      </c>
      <c r="O27" s="255"/>
      <c r="P27" s="63"/>
      <c r="Q27" s="63"/>
    </row>
    <row r="28" spans="4:17" ht="24.95" customHeight="1" x14ac:dyDescent="0.3">
      <c r="D28" s="251"/>
      <c r="E28" s="201" t="s">
        <v>347</v>
      </c>
      <c r="F28" s="89">
        <f>SUMIFS(용수사용량!R:R,용수사용량!O:O,B2,용수사용량!Q:Q,B3,용수사용량!P:P,B5)</f>
        <v>4676927.9857560322</v>
      </c>
      <c r="G28" s="89">
        <f>SUMIFS(용수사용량!S:S,용수사용량!O:O,B2,용수사용량!Q:Q,B3,용수사용량!P:P,B5)</f>
        <v>2264897.85655588</v>
      </c>
      <c r="H28" s="89">
        <f>SUMIFS(용수사용량!T:T,용수사용량!O:O,B2,용수사용량!Q:Q,B3,용수사용량!P:P,B5)</f>
        <v>668356.17467129114</v>
      </c>
      <c r="I28" s="89">
        <f>SUMIFS(용수사용량!U:U,용수사용량!O:O,B2,용수사용량!Q:Q,B3,용수사용량!P:P,B5)</f>
        <v>2462676.7245708518</v>
      </c>
      <c r="J28" s="89">
        <f>SUMIFS(용수사용량!V:V,용수사용량!O:O,B2,용수사용량!Q:Q,B3,용수사용량!P:P,B5)</f>
        <v>4560206.0308619235</v>
      </c>
      <c r="K28" s="89">
        <f>SUMIFS(용수사용량!W:W,용수사용량!O:O,B2,용수사용량!Q:Q,B3,용수사용량!P:P,B5)</f>
        <v>4958335.2275840221</v>
      </c>
      <c r="L28" s="89"/>
      <c r="M28" s="89"/>
      <c r="N28" s="89">
        <f>SUM(F28:M28)</f>
        <v>19591400</v>
      </c>
      <c r="O28" s="255"/>
      <c r="P28" s="217">
        <f>N28/N27</f>
        <v>559.27490722238076</v>
      </c>
      <c r="Q28" s="63"/>
    </row>
    <row r="29" spans="4:17" ht="24.95" customHeight="1" x14ac:dyDescent="0.3">
      <c r="D29" s="251"/>
      <c r="E29" s="201" t="s">
        <v>342</v>
      </c>
      <c r="F29" s="209">
        <f>F28/F8</f>
        <v>144.20160001665059</v>
      </c>
      <c r="G29" s="209">
        <f>G28/F8</f>
        <v>69.832568682762087</v>
      </c>
      <c r="H29" s="209">
        <f t="shared" ref="H29:N29" si="10">H28/H8</f>
        <v>21.546858129629779</v>
      </c>
      <c r="I29" s="209">
        <f t="shared" si="10"/>
        <v>79.830241206851071</v>
      </c>
      <c r="J29" s="209">
        <f t="shared" si="10"/>
        <v>302.83288901223983</v>
      </c>
      <c r="K29" s="209">
        <f t="shared" si="10"/>
        <v>996.89877026314537</v>
      </c>
      <c r="L29" s="209"/>
      <c r="M29" s="209"/>
      <c r="N29" s="209">
        <f t="shared" si="10"/>
        <v>168.80067223187154</v>
      </c>
      <c r="O29" s="255"/>
      <c r="P29" s="63"/>
      <c r="Q29" s="63"/>
    </row>
    <row r="30" spans="4:17" ht="24.95" customHeight="1" x14ac:dyDescent="0.3">
      <c r="D30" s="251"/>
      <c r="E30" s="201" t="s">
        <v>491</v>
      </c>
      <c r="F30" s="209">
        <f>F27/F8</f>
        <v>0.2578367063396832</v>
      </c>
      <c r="G30" s="209">
        <f>G27/F8</f>
        <v>0.12486268877962554</v>
      </c>
      <c r="H30" s="209">
        <f t="shared" ref="H30:N30" si="11">H27/H8</f>
        <v>3.8526416707378303E-2</v>
      </c>
      <c r="I30" s="209">
        <f t="shared" si="11"/>
        <v>0.14273882159906859</v>
      </c>
      <c r="J30" s="209">
        <f t="shared" si="11"/>
        <v>0.54147412140524731</v>
      </c>
      <c r="K30" s="209">
        <f t="shared" si="11"/>
        <v>1.7824843514153139</v>
      </c>
      <c r="L30" s="209"/>
      <c r="M30" s="209"/>
      <c r="N30" s="209">
        <f t="shared" si="11"/>
        <v>0.30182057169382792</v>
      </c>
      <c r="O30" s="255"/>
      <c r="P30" s="63"/>
      <c r="Q30" s="63"/>
    </row>
    <row r="31" spans="4:17" ht="24.95" customHeight="1" x14ac:dyDescent="0.3">
      <c r="D31" s="251" t="s">
        <v>355</v>
      </c>
      <c r="E31" s="201" t="s">
        <v>488</v>
      </c>
      <c r="F31" s="89">
        <f>SUMIFS(용수사용량!F:F,용수사용량!C:C,B2,용수사용량!E:E,B3,용수사용량!D:D,B6)</f>
        <v>5829.1509313367496</v>
      </c>
      <c r="G31" s="89">
        <f>SUMIFS(용수사용량!G:G,용수사용량!C:C,B2,용수사용량!E:E,B3,용수사용량!D:D,B6)</f>
        <v>2822.8853405770633</v>
      </c>
      <c r="H31" s="89">
        <f>SUMIFS(용수사용량!H:H,용수사용량!C:C,B2,용수사용량!E:E,B3,용수사용량!D:D,B6)</f>
        <v>833.01454072315346</v>
      </c>
      <c r="I31" s="89">
        <f>SUMIFS(용수사용량!I:I,용수사용량!C:C,B2,용수사용량!E:E,B3,용수사용량!D:D,B6)</f>
        <v>3069.3896434441162</v>
      </c>
      <c r="J31" s="89">
        <f>SUMIFS(용수사용량!J:J,용수사용량!C:C,B2,용수사용량!E:E,B3,용수사용량!D:D,B6)</f>
        <v>5683.6729821037006</v>
      </c>
      <c r="K31" s="89">
        <f>SUMIFS(용수사용량!K:K,용수사용량!C:C,B2,용수사용량!E:E,B3,용수사용량!D:D,B6)</f>
        <v>6179.8865618152176</v>
      </c>
      <c r="L31" s="89"/>
      <c r="M31" s="89"/>
      <c r="N31" s="89">
        <f>SUM(F31:M31)</f>
        <v>24418</v>
      </c>
      <c r="O31" s="255"/>
      <c r="P31" s="63"/>
      <c r="Q31" s="63"/>
    </row>
    <row r="32" spans="4:17" ht="24.95" customHeight="1" x14ac:dyDescent="0.3">
      <c r="D32" s="251"/>
      <c r="E32" s="201" t="s">
        <v>400</v>
      </c>
      <c r="F32" s="89">
        <f>SUMIFS(용수사용량!R:R,용수사용량!O:O,B2,용수사용량!Q:Q,B3,용수사용량!P:P,'20.7월'!B6)</f>
        <v>4080405.6519357245</v>
      </c>
      <c r="G32" s="89">
        <f>SUMIFS(용수사용량!S:S,용수사용량!O:O,B2,용수사용량!Q:Q,B3,용수사용량!P:P,'20.7월'!B6)</f>
        <v>1976019.7384039445</v>
      </c>
      <c r="H32" s="89">
        <f>SUMIFS(용수사용량!T:T,용수사용량!O:O,B2,용수사용량!Q:Q,B3,용수사용량!P:P,'20.7월'!B6)</f>
        <v>583110.17850620742</v>
      </c>
      <c r="I32" s="89">
        <f>SUMIFS(용수사용량!U:U,용수사용량!O:O,B2,용수사용량!Q:Q,B3,용수사용량!P:P,'20.7월'!B6)</f>
        <v>2148572.7504108814</v>
      </c>
      <c r="J32" s="89">
        <f>SUMIFS(용수사용량!V:V,용수사용량!O:O,B2,용수사용량!Q:Q,B3,용수사용량!P:P,'20.7월'!B6)</f>
        <v>3978571.0874725906</v>
      </c>
      <c r="K32" s="89">
        <f>SUMIFS(용수사용량!W:W,용수사용량!O:O,B2,용수사용량!Q:Q,B3,용수사용량!P:P,'20.7월'!B6)</f>
        <v>4325920.593270652</v>
      </c>
      <c r="L32" s="89"/>
      <c r="M32" s="89"/>
      <c r="N32" s="89">
        <f>SUM(F32:M32)</f>
        <v>17092600</v>
      </c>
      <c r="O32" s="255"/>
      <c r="P32" s="63">
        <f>N32/N31</f>
        <v>700</v>
      </c>
      <c r="Q32" s="63"/>
    </row>
    <row r="33" spans="4:17" ht="24.95" customHeight="1" x14ac:dyDescent="0.3">
      <c r="D33" s="251"/>
      <c r="E33" s="201" t="s">
        <v>342</v>
      </c>
      <c r="F33" s="209">
        <f>F32/F8</f>
        <v>125.80929736744702</v>
      </c>
      <c r="G33" s="209">
        <f>G32/F8</f>
        <v>60.925720646149806</v>
      </c>
      <c r="H33" s="209">
        <f>H32/H8</f>
        <v>18.798647736583909</v>
      </c>
      <c r="I33" s="209">
        <f t="shared" ref="I33:K33" si="12">I32/I8</f>
        <v>69.648232431180134</v>
      </c>
      <c r="J33" s="209">
        <f t="shared" si="12"/>
        <v>264.20783806826518</v>
      </c>
      <c r="K33" s="209">
        <f t="shared" si="12"/>
        <v>869.74855909224652</v>
      </c>
      <c r="L33" s="209"/>
      <c r="M33" s="209"/>
      <c r="N33" s="209">
        <f>N32/N8</f>
        <v>147.27086222477655</v>
      </c>
      <c r="O33" s="255"/>
      <c r="P33" s="63"/>
      <c r="Q33" s="63"/>
    </row>
    <row r="34" spans="4:17" ht="24.95" customHeight="1" x14ac:dyDescent="0.3">
      <c r="D34" s="251"/>
      <c r="E34" s="201" t="s">
        <v>492</v>
      </c>
      <c r="F34" s="209">
        <f>F31/F8</f>
        <v>0.17972756766778147</v>
      </c>
      <c r="G34" s="209">
        <f>G31/F8</f>
        <v>8.703674378021399E-2</v>
      </c>
      <c r="H34" s="209">
        <f>H31/H8</f>
        <v>2.6855211052262729E-2</v>
      </c>
      <c r="I34" s="209">
        <f t="shared" ref="I34:K34" si="13">I31/I8</f>
        <v>9.9497474901685909E-2</v>
      </c>
      <c r="J34" s="209">
        <f t="shared" si="13"/>
        <v>0.37743976866895024</v>
      </c>
      <c r="K34" s="209">
        <f t="shared" si="13"/>
        <v>1.2424979415603521</v>
      </c>
      <c r="L34" s="209"/>
      <c r="M34" s="209"/>
      <c r="N34" s="209">
        <f>N31/N8</f>
        <v>0.21038694603539507</v>
      </c>
      <c r="O34" s="25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abSelected="1" topLeftCell="B1" workbookViewId="0">
      <selection activeCell="J15" sqref="J1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517</v>
      </c>
    </row>
    <row r="4" spans="2:24" ht="16.5" customHeight="1" thickTop="1" thickBot="1" x14ac:dyDescent="0.35">
      <c r="B4" s="30" t="s">
        <v>353</v>
      </c>
      <c r="D4" s="252" t="s">
        <v>518</v>
      </c>
      <c r="E4" s="252"/>
      <c r="F4" s="252"/>
      <c r="G4" s="252"/>
      <c r="H4" s="252"/>
      <c r="I4" s="252"/>
      <c r="J4" s="252"/>
      <c r="K4" s="252"/>
      <c r="L4" s="257"/>
      <c r="M4" s="76" t="s">
        <v>243</v>
      </c>
      <c r="N4" s="77" t="s">
        <v>244</v>
      </c>
      <c r="O4" s="78" t="s">
        <v>245</v>
      </c>
      <c r="P4" s="91"/>
      <c r="Q4" s="222"/>
    </row>
    <row r="5" spans="2:24" ht="39.950000000000003" customHeight="1" thickTop="1" thickBot="1" x14ac:dyDescent="0.35">
      <c r="B5" s="30" t="s">
        <v>328</v>
      </c>
      <c r="D5" s="252"/>
      <c r="E5" s="252"/>
      <c r="F5" s="252"/>
      <c r="G5" s="252"/>
      <c r="H5" s="252"/>
      <c r="I5" s="252"/>
      <c r="J5" s="252"/>
      <c r="K5" s="252"/>
      <c r="L5" s="257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24.95" customHeight="1" x14ac:dyDescent="0.3">
      <c r="D7" s="253" t="s">
        <v>59</v>
      </c>
      <c r="E7" s="253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250</v>
      </c>
      <c r="N7" s="224" t="s">
        <v>89</v>
      </c>
      <c r="O7" s="224" t="s">
        <v>251</v>
      </c>
      <c r="P7" s="92"/>
      <c r="Q7" s="63"/>
    </row>
    <row r="8" spans="2:24" ht="24.95" customHeight="1" x14ac:dyDescent="0.3">
      <c r="D8" s="251" t="s">
        <v>283</v>
      </c>
      <c r="E8" s="201" t="s">
        <v>330</v>
      </c>
      <c r="F8" s="74">
        <f>SUMIFS(생산량!D:D,생산량!B:B,B2,생산량!C:C,B3)</f>
        <v>28571.633000000002</v>
      </c>
      <c r="G8" s="74"/>
      <c r="H8" s="74">
        <f>SUMIFS(생산량!E:E,생산량!B:B,B2,생산량!C:C,B3)</f>
        <v>28360.402999999998</v>
      </c>
      <c r="I8" s="74">
        <f>SUMIFS(생산량!F:F,생산량!B:B,B2,생산량!C:C,B3)</f>
        <v>27730.79</v>
      </c>
      <c r="J8" s="74">
        <f>SUMIFS(생산량!G:G,생산량!B:B,B2,생산량!C:C,B3)</f>
        <v>12414.97</v>
      </c>
      <c r="K8" s="74">
        <f>SUMIFS(생산량!H:H,생산량!B:B,B2,생산량!C:C,B3)</f>
        <v>4617.4399999999996</v>
      </c>
      <c r="L8" s="74">
        <f>SUMIFS(생산량!I:I,생산량!B:B,B2,생산량!C:C,B3)</f>
        <v>1921.671</v>
      </c>
      <c r="M8" s="64"/>
      <c r="N8" s="69">
        <f>SUM(F8:M8)</f>
        <v>103616.90700000001</v>
      </c>
      <c r="O8" s="64"/>
      <c r="P8" s="93"/>
      <c r="Q8" s="63" t="s">
        <v>120</v>
      </c>
    </row>
    <row r="9" spans="2:24" ht="24.95" customHeight="1" x14ac:dyDescent="0.3">
      <c r="D9" s="251"/>
      <c r="E9" s="202" t="s">
        <v>331</v>
      </c>
      <c r="F9" s="70">
        <f>F10+F11</f>
        <v>333761</v>
      </c>
      <c r="G9" s="70">
        <f t="shared" ref="G9:N9" si="0">G10+G11</f>
        <v>62065</v>
      </c>
      <c r="H9" s="70">
        <f t="shared" si="0"/>
        <v>2068184</v>
      </c>
      <c r="I9" s="70">
        <f t="shared" si="0"/>
        <v>2065029</v>
      </c>
      <c r="J9" s="70">
        <f t="shared" si="0"/>
        <v>747372</v>
      </c>
      <c r="K9" s="70">
        <f t="shared" si="0"/>
        <v>537210</v>
      </c>
      <c r="L9" s="70">
        <f t="shared" si="0"/>
        <v>15787</v>
      </c>
      <c r="M9" s="66">
        <f t="shared" si="0"/>
        <v>0</v>
      </c>
      <c r="N9" s="70">
        <f t="shared" si="0"/>
        <v>5829407.9999999991</v>
      </c>
      <c r="O9" s="64"/>
      <c r="P9" s="93"/>
      <c r="Q9" s="213">
        <f>F9+G9</f>
        <v>395826</v>
      </c>
    </row>
    <row r="10" spans="2:24" ht="24.95" customHeight="1" x14ac:dyDescent="0.3">
      <c r="D10" s="251"/>
      <c r="E10" s="201" t="s">
        <v>332</v>
      </c>
      <c r="F10" s="69">
        <f>SUMIFS('라인별전력(본+ESS)'!Y:Y,'라인별전력(본+ESS)'!W:W,B2,'라인별전력(본+ESS)'!X:X,B3)</f>
        <v>323353.46984668082</v>
      </c>
      <c r="G10" s="69">
        <f>SUMIFS('라인별전력(본+ESS)'!Z:Z,'라인별전력(본+ESS)'!W:W,B2,'라인별전력(본+ESS)'!X:X,B3)</f>
        <v>60129.652973337943</v>
      </c>
      <c r="H10" s="69">
        <f>SUMIFS('라인별전력(본+ESS)'!AA:AA,'라인별전력(본+ESS)'!W:W,B2,'라인별전력(본+ESS)'!X:X,B3)</f>
        <v>2003692.6803352931</v>
      </c>
      <c r="I10" s="69">
        <f>SUMIFS('라인별전력(본+ESS)'!AB:AB,'라인별전력(본+ESS)'!W:W,B2,'라인별전력(본+ESS)'!X:X,B3)</f>
        <v>2000636.061385307</v>
      </c>
      <c r="J10" s="69">
        <f>SUMIFS('라인별전력(본+ESS)'!AC:AC,'라인별전력(본+ESS)'!W:W,B2,'라인별전력(본+ESS)'!X:X,B3)</f>
        <v>724067.01042438613</v>
      </c>
      <c r="K10" s="69">
        <f>SUMIFS('라인별전력(본+ESS)'!AD:AD,'라인별전력(본+ESS)'!W:W,B2,'라인별전력(본+ESS)'!X:X,B3)</f>
        <v>520458.40447606344</v>
      </c>
      <c r="L10" s="69">
        <f>SUMIFS('라인별전력(본+ESS)'!AE:AE,'라인별전력(본+ESS)'!W:W,B2,'라인별전력(본+ESS)'!X:X,B3)</f>
        <v>15294.720558931542</v>
      </c>
      <c r="M10" s="64"/>
      <c r="N10" s="69">
        <f>SUM(F10:M10)</f>
        <v>5647631.9999999991</v>
      </c>
      <c r="O10" s="64"/>
      <c r="P10" s="93"/>
      <c r="Q10" s="213">
        <f>SUM(F12:G13)</f>
        <v>39808398.724849522</v>
      </c>
    </row>
    <row r="11" spans="2:24" ht="24.95" customHeight="1" x14ac:dyDescent="0.3">
      <c r="D11" s="251"/>
      <c r="E11" s="201" t="s">
        <v>333</v>
      </c>
      <c r="F11" s="69">
        <f>SUMIFS('라인별전력(본+ESS)'!N:N,'라인별전력(본+ESS)'!L:L,B2,'라인별전력(본+ESS)'!M:M,B3)</f>
        <v>10407.53015331917</v>
      </c>
      <c r="G11" s="69">
        <f>SUMIFS('라인별전력(본+ESS)'!O:O,'라인별전력(본+ESS)'!L:L,B2,'라인별전력(본+ESS)'!M:M,B3)</f>
        <v>1935.3470266620554</v>
      </c>
      <c r="H11" s="69">
        <f>SUMIFS('라인별전력(본+ESS)'!P:P,'라인별전력(본+ESS)'!L:L,B2,'라인별전력(본+ESS)'!M:M,B3)</f>
        <v>64491.319664706949</v>
      </c>
      <c r="I11" s="69">
        <f>SUMIFS('라인별전력(본+ESS)'!Q:Q,'라인별전력(본+ESS)'!L:L,B2,'라인별전력(본+ESS)'!M:M,B3)</f>
        <v>64392.938614692954</v>
      </c>
      <c r="J11" s="69">
        <f>SUMIFS('라인별전력(본+ESS)'!R:R,'라인별전력(본+ESS)'!L:L,B2,'라인별전력(본+ESS)'!M:M,B3)</f>
        <v>23304.98957561385</v>
      </c>
      <c r="K11" s="69">
        <f>SUMIFS('라인별전력(본+ESS)'!S:S,'라인별전력(본+ESS)'!L:L,B2,'라인별전력(본+ESS)'!M:M,B3)</f>
        <v>16751.595523936565</v>
      </c>
      <c r="L11" s="69">
        <f>SUMIFS('라인별전력(본+ESS)'!T:T,'라인별전력(본+ESS)'!L:L,B2,'라인별전력(본+ESS)'!M:M,B3)</f>
        <v>492.27944106845837</v>
      </c>
      <c r="M11" s="64"/>
      <c r="N11" s="69">
        <f>SUM(F11:M11)</f>
        <v>181776</v>
      </c>
      <c r="O11" s="64"/>
      <c r="P11" s="93"/>
      <c r="Q11" s="63"/>
    </row>
    <row r="12" spans="2:24" ht="24.95" customHeight="1" x14ac:dyDescent="0.3">
      <c r="D12" s="251"/>
      <c r="E12" s="201" t="s">
        <v>334</v>
      </c>
      <c r="F12" s="71">
        <f>SUMIFS('라인별전력금액(본+ESS)'!Y:Y,'라인별전력금액(본+ESS)'!W:W,B2,'라인별전력금액(본+ESS)'!X:X,B3)</f>
        <v>33320051.004869547</v>
      </c>
      <c r="G12" s="71">
        <f>SUMIFS('라인별전력금액(본+ESS)'!Z:Z,'라인별전력금액(본+ESS)'!W:W,B2,'라인별전력금액(본+ESS)'!X:X,B3)</f>
        <v>6196077.3296377594</v>
      </c>
      <c r="H12" s="71">
        <f>SUMIFS('라인별전력금액(본+ESS)'!AA:AA,'라인별전력금액(본+ESS)'!W:W,B2,'라인별전력금액(본+ESS)'!X:X,B3)</f>
        <v>206471086.69813165</v>
      </c>
      <c r="I12" s="71">
        <f>SUMIFS('라인별전력금액(본+ESS)'!AB:AB,'라인별전력금액(본+ESS)'!W:W,B2,'라인별전력금액(본+ESS)'!X:X,B3)</f>
        <v>206156116.52210641</v>
      </c>
      <c r="J12" s="71">
        <f>SUMIFS('라인별전력금액(본+ESS)'!AC:AC,'라인별전력금액(본+ESS)'!W:W,B2,'라인별전력금액(본+ESS)'!X:X,B3)</f>
        <v>74611692.677129328</v>
      </c>
      <c r="K12" s="71">
        <f>SUMIFS('라인별전력금액(본+ESS)'!AD:AD,'라인별전력금액(본+ESS)'!W:W,B2,'라인별전력금액(본+ESS)'!X:X,B3)</f>
        <v>53630785.50317733</v>
      </c>
      <c r="L12" s="71">
        <f>SUMIFS('라인별전력금액(본+ESS)'!AE:AE,'라인별전력금액(본+ESS)'!W:W,B2,'라인별전력금액(본+ESS)'!X:X,B3)</f>
        <v>1576048.8649478983</v>
      </c>
      <c r="M12" s="68"/>
      <c r="N12" s="71">
        <f>SUM(F12:M12)</f>
        <v>581961858.5999999</v>
      </c>
      <c r="O12" s="64"/>
      <c r="P12" s="93"/>
      <c r="Q12" s="63"/>
    </row>
    <row r="13" spans="2:24" ht="24.95" customHeight="1" thickBot="1" x14ac:dyDescent="0.35">
      <c r="D13" s="251"/>
      <c r="E13" s="201" t="s">
        <v>335</v>
      </c>
      <c r="F13" s="71">
        <f>SUMIFS('라인별전력금액(본+ESS)'!N:N,'라인별전력금액(본+ESS)'!L:L,B2,'라인별전력금액(본+ESS)'!M:M,B3)</f>
        <v>246442.77473184242</v>
      </c>
      <c r="G13" s="71">
        <f>SUMIFS('라인별전력금액(본+ESS)'!O:O,'라인별전력금액(본+ESS)'!L:L,B2,'라인별전력금액(본+ESS)'!M:M,B3)</f>
        <v>45827.615610367291</v>
      </c>
      <c r="H13" s="71">
        <f>SUMIFS('라인별전력금액(본+ESS)'!P:P,'라인별전력금액(본+ESS)'!L:L,B2,'라인별전력금액(본+ESS)'!M:M,B3)</f>
        <v>1527107.7316283232</v>
      </c>
      <c r="I13" s="71">
        <f>SUMIFS('라인별전력금액(본+ESS)'!Q:Q,'라인별전력금액(본+ESS)'!L:L,B2,'라인별전력금액(본+ESS)'!M:M,B3)</f>
        <v>1524778.1396320176</v>
      </c>
      <c r="J13" s="71">
        <f>SUMIFS('라인별전력금액(본+ESS)'!R:R,'라인별전력금액(본+ESS)'!L:L,B2,'라인별전력금액(본+ESS)'!M:M,B3)</f>
        <v>551845.270828187</v>
      </c>
      <c r="K13" s="71">
        <f>SUMIFS('라인별전력금액(본+ESS)'!S:S,'라인별전력금액(본+ESS)'!L:L,B2,'라인별전력금액(본+ESS)'!M:M,B3)</f>
        <v>396665.64701595774</v>
      </c>
      <c r="L13" s="71">
        <f>SUMIFS('라인별전력금액(본+ESS)'!T:T,'라인별전력금액(본+ESS)'!L:L,B2,'라인별전력금액(본+ESS)'!M:M,B3)</f>
        <v>11656.820553304899</v>
      </c>
      <c r="M13" s="68"/>
      <c r="N13" s="71">
        <f>SUM(F13:M13)</f>
        <v>4304324</v>
      </c>
      <c r="O13" s="64"/>
      <c r="P13" s="93"/>
      <c r="Q13" s="63"/>
    </row>
    <row r="14" spans="2:24" ht="24.95" customHeight="1" x14ac:dyDescent="0.3">
      <c r="D14" s="251"/>
      <c r="E14" s="201" t="s">
        <v>336</v>
      </c>
      <c r="F14" s="70">
        <f>SUM(F12:F13)</f>
        <v>33566493.779601388</v>
      </c>
      <c r="G14" s="70">
        <f t="shared" ref="G14:N14" si="1">SUM(G12:G13)</f>
        <v>6241904.945248127</v>
      </c>
      <c r="H14" s="70">
        <f t="shared" si="1"/>
        <v>207998194.42975998</v>
      </c>
      <c r="I14" s="70">
        <f t="shared" si="1"/>
        <v>207680894.66173843</v>
      </c>
      <c r="J14" s="70">
        <f t="shared" si="1"/>
        <v>75163537.947957516</v>
      </c>
      <c r="K14" s="70">
        <f t="shared" si="1"/>
        <v>54027451.150193289</v>
      </c>
      <c r="L14" s="70">
        <f t="shared" si="1"/>
        <v>1587705.6855012032</v>
      </c>
      <c r="M14" s="66"/>
      <c r="N14" s="70">
        <f t="shared" si="1"/>
        <v>586266182.5999999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24.95" customHeight="1" thickBot="1" x14ac:dyDescent="0.35">
      <c r="D15" s="251"/>
      <c r="E15" s="201" t="s">
        <v>337</v>
      </c>
      <c r="F15" s="72">
        <f t="shared" ref="F15:L15" si="2">F14+R15</f>
        <v>38759372.007628813</v>
      </c>
      <c r="G15" s="72">
        <f t="shared" si="2"/>
        <v>7207553.9792051269</v>
      </c>
      <c r="H15" s="72">
        <f t="shared" si="2"/>
        <v>240176392.79671919</v>
      </c>
      <c r="I15" s="72">
        <f t="shared" si="2"/>
        <v>239810005.41567686</v>
      </c>
      <c r="J15" s="72">
        <f t="shared" si="2"/>
        <v>86791654.435615793</v>
      </c>
      <c r="K15" s="72">
        <f t="shared" si="2"/>
        <v>62385725.822424658</v>
      </c>
      <c r="L15" s="72">
        <f t="shared" si="2"/>
        <v>1833330.4546799539</v>
      </c>
      <c r="M15" s="67"/>
      <c r="N15" s="72">
        <f>SUM(F15:M15)</f>
        <v>676964034.91195035</v>
      </c>
      <c r="O15" s="64"/>
      <c r="P15" s="93"/>
      <c r="Q15" s="94">
        <f>SUMIFS(리스추정치!D:D,리스추정치!B:B,B2,리스추정치!C:C,B3)</f>
        <v>90697852.311950475</v>
      </c>
      <c r="R15" s="95">
        <f t="shared" ref="R15:X15" si="3">$Q$15*(F14/$N$14)</f>
        <v>5192878.2280274266</v>
      </c>
      <c r="S15" s="95">
        <f t="shared" si="3"/>
        <v>965649.03395699966</v>
      </c>
      <c r="T15" s="95">
        <f t="shared" si="3"/>
        <v>32178198.366959214</v>
      </c>
      <c r="U15" s="95">
        <f t="shared" si="3"/>
        <v>32129110.75393844</v>
      </c>
      <c r="V15" s="95">
        <f t="shared" si="3"/>
        <v>11628116.487658273</v>
      </c>
      <c r="W15" s="95">
        <f t="shared" si="3"/>
        <v>8358274.6722313687</v>
      </c>
      <c r="X15" s="96">
        <f t="shared" si="3"/>
        <v>245624.76917875058</v>
      </c>
    </row>
    <row r="16" spans="2:24" ht="24.95" customHeight="1" x14ac:dyDescent="0.3">
      <c r="D16" s="251"/>
      <c r="E16" s="201" t="s">
        <v>338</v>
      </c>
      <c r="F16" s="208">
        <f>F15/F8</f>
        <v>1356.5683140207216</v>
      </c>
      <c r="G16" s="208">
        <f>G15/F8</f>
        <v>252.26258433338853</v>
      </c>
      <c r="H16" s="209">
        <f>H15/H8</f>
        <v>8468.7228456069261</v>
      </c>
      <c r="I16" s="209">
        <f t="shared" ref="I16:N16" si="4">I15/I8</f>
        <v>8647.7884479914519</v>
      </c>
      <c r="J16" s="209">
        <f t="shared" si="4"/>
        <v>6990.8871657052568</v>
      </c>
      <c r="K16" s="209">
        <f t="shared" si="4"/>
        <v>13510.890411662016</v>
      </c>
      <c r="L16" s="209">
        <f t="shared" si="4"/>
        <v>954.02930818020036</v>
      </c>
      <c r="M16" s="209"/>
      <c r="N16" s="209">
        <f t="shared" si="4"/>
        <v>6533.3356738003222</v>
      </c>
      <c r="O16" s="64"/>
      <c r="P16" s="93"/>
      <c r="Q16" s="63"/>
    </row>
    <row r="17" spans="4:17" ht="24.95" customHeight="1" x14ac:dyDescent="0.3">
      <c r="D17" s="251"/>
      <c r="E17" s="201" t="s">
        <v>339</v>
      </c>
      <c r="F17" s="209">
        <f>F9/F8</f>
        <v>11.6815514184996</v>
      </c>
      <c r="G17" s="209">
        <f>G9/F8</f>
        <v>2.1722594574835816</v>
      </c>
      <c r="H17" s="209">
        <f>H9/H8</f>
        <v>72.925056812486062</v>
      </c>
      <c r="I17" s="209">
        <f t="shared" ref="I17:N17" si="5">I9/I8</f>
        <v>74.467009414445101</v>
      </c>
      <c r="J17" s="209">
        <f t="shared" si="5"/>
        <v>60.199259442431199</v>
      </c>
      <c r="K17" s="209">
        <f t="shared" si="5"/>
        <v>116.3436882774871</v>
      </c>
      <c r="L17" s="209">
        <f t="shared" si="5"/>
        <v>8.2152460020471771</v>
      </c>
      <c r="M17" s="209"/>
      <c r="N17" s="209">
        <f t="shared" si="5"/>
        <v>56.259235763522632</v>
      </c>
      <c r="O17" s="64"/>
      <c r="P17" s="93"/>
      <c r="Q17" s="63"/>
    </row>
    <row r="18" spans="4:17" ht="24.95" customHeight="1" x14ac:dyDescent="0.3">
      <c r="D18" s="251" t="s">
        <v>285</v>
      </c>
      <c r="E18" s="201" t="s">
        <v>488</v>
      </c>
      <c r="F18" s="89">
        <f>SUMIFS(LNG사용량!D:D,LNG사용량!B:B,B2,LNG사용량!C:C,B3)</f>
        <v>72673.119067804975</v>
      </c>
      <c r="G18" s="89">
        <f>SUMIFS(LNG사용량!E:E,LNG사용량!B:B,B2,LNG사용량!C:C,B3)</f>
        <v>82216</v>
      </c>
      <c r="H18" s="89"/>
      <c r="I18" s="89">
        <f>SUMIFS(LNG사용량!F:F,LNG사용량!B:B,B2,LNG사용량!C:C,B3)</f>
        <v>557203</v>
      </c>
      <c r="J18" s="89">
        <f>SUMIFS(LNG사용량!G:G,LNG사용량!B:B,B2,LNG사용량!C:C,B3)</f>
        <v>306144</v>
      </c>
      <c r="K18" s="89">
        <f>SUMIFS(LNG사용량!H:H,LNG사용량!B:B,B2,LNG사용량!C:C,B3)</f>
        <v>227982.88093219502</v>
      </c>
      <c r="L18" s="89"/>
      <c r="M18" s="89">
        <f>SUMIFS(LNG사용량!I:I,LNG사용량!B:B,B2,LNG사용량!C:C,B3)</f>
        <v>5099.3163999999997</v>
      </c>
      <c r="N18" s="89">
        <f>SUM(F18:M18)</f>
        <v>1251318.3163999999</v>
      </c>
      <c r="O18" s="64"/>
      <c r="P18" s="93"/>
      <c r="Q18" s="63"/>
    </row>
    <row r="19" spans="4:17" ht="24.95" customHeight="1" x14ac:dyDescent="0.3">
      <c r="D19" s="251"/>
      <c r="E19" s="201" t="s">
        <v>341</v>
      </c>
      <c r="F19" s="203">
        <f>SUMIFS(LNG금액!D:D,LNG금액!B:B,B2,LNG금액!C:C,B3)</f>
        <v>38380010.833816059</v>
      </c>
      <c r="G19" s="203">
        <f>SUMIFS(LNG금액!E:E,LNG금액!B:B,B2,LNG금액!C:C,B3)</f>
        <v>43419781.773353413</v>
      </c>
      <c r="H19" s="203"/>
      <c r="I19" s="203">
        <f>SUMIFS(LNG금액!F:F,LNG금액!B:B,B2,LNG금액!C:C,B3)</f>
        <v>294269152.76172328</v>
      </c>
      <c r="J19" s="203">
        <f>SUMIFS(LNG금액!G:G,LNG금액!B:B,B2,LNG금액!C:C,B3)</f>
        <v>161680277.21151003</v>
      </c>
      <c r="K19" s="203">
        <f>SUMIFS(LNG금액!H:H,LNG금액!B:B,B2,LNG금액!C:C,B3)</f>
        <v>120401952.63861443</v>
      </c>
      <c r="L19" s="203"/>
      <c r="M19" s="203">
        <f>SUMIFS(LNG금액!I:I,LNG금액!B:B,B2,LNG금액!C:C,B3)</f>
        <v>2693042.7809828036</v>
      </c>
      <c r="N19" s="203">
        <f>SUM(F19:M19)</f>
        <v>660844218.00000012</v>
      </c>
      <c r="O19" s="64"/>
      <c r="P19" s="93"/>
      <c r="Q19" s="63"/>
    </row>
    <row r="20" spans="4:17" ht="24.95" customHeight="1" x14ac:dyDescent="0.3">
      <c r="D20" s="251"/>
      <c r="E20" s="201" t="s">
        <v>342</v>
      </c>
      <c r="F20" s="209">
        <f>F19/F8</f>
        <v>1343.2907679381174</v>
      </c>
      <c r="G20" s="209">
        <f>G19/F8</f>
        <v>1519.6814887463174</v>
      </c>
      <c r="H20" s="209"/>
      <c r="I20" s="209">
        <f>I19/I8</f>
        <v>10611.639724714776</v>
      </c>
      <c r="J20" s="209">
        <f t="shared" ref="J20:L20" si="6">J19/J8</f>
        <v>13023.009899460896</v>
      </c>
      <c r="K20" s="209">
        <f t="shared" si="6"/>
        <v>26075.477459071357</v>
      </c>
      <c r="L20" s="209">
        <f t="shared" si="6"/>
        <v>0</v>
      </c>
      <c r="M20" s="209"/>
      <c r="N20" s="209">
        <f>N19/(N8-H8-L8)</f>
        <v>9011.3277819832219</v>
      </c>
      <c r="O20" s="64"/>
      <c r="P20" s="93"/>
      <c r="Q20" s="63"/>
    </row>
    <row r="21" spans="4:17" ht="24.95" customHeight="1" x14ac:dyDescent="0.3">
      <c r="D21" s="251"/>
      <c r="E21" s="201" t="s">
        <v>489</v>
      </c>
      <c r="F21" s="209">
        <f>F18/F8</f>
        <v>2.5435409683375454</v>
      </c>
      <c r="G21" s="209">
        <f>G18/F8</f>
        <v>2.8775394112055128</v>
      </c>
      <c r="H21" s="209"/>
      <c r="I21" s="209">
        <f>I18/I8</f>
        <v>20.093297017502927</v>
      </c>
      <c r="J21" s="209">
        <f t="shared" ref="J21:K21" si="7">J18/J8</f>
        <v>24.659262164950864</v>
      </c>
      <c r="K21" s="209">
        <f t="shared" si="7"/>
        <v>49.374302845774942</v>
      </c>
      <c r="L21" s="209"/>
      <c r="M21" s="209"/>
      <c r="N21" s="209">
        <f>N18/(N8-H8-L8)</f>
        <v>17.063082647232587</v>
      </c>
      <c r="O21" s="64"/>
      <c r="P21" s="93"/>
      <c r="Q21" s="63"/>
    </row>
    <row r="22" spans="4:17" ht="24.95" customHeight="1" x14ac:dyDescent="0.3">
      <c r="D22" s="223" t="s">
        <v>321</v>
      </c>
      <c r="E22" s="201" t="s">
        <v>344</v>
      </c>
      <c r="F22" s="64">
        <f>SUMIFS(LNG사용량!K:K,LNG사용량!B:B,B2,LNG사용량!C:C,B3)/1000</f>
        <v>915.02099999999996</v>
      </c>
      <c r="G22" s="64"/>
      <c r="H22" s="64"/>
      <c r="I22" s="64"/>
      <c r="J22" s="64"/>
      <c r="K22" s="64">
        <f>SUMIFS(LNG사용량!L:L,LNG사용량!B:B,B2,LNG사용량!C:C,B3)/1000</f>
        <v>454.392</v>
      </c>
      <c r="L22" s="64"/>
      <c r="M22" s="64"/>
      <c r="N22" s="64">
        <f>SUM(F22:M22)</f>
        <v>1369.413</v>
      </c>
      <c r="O22" s="101" t="s">
        <v>326</v>
      </c>
      <c r="P22" s="63"/>
      <c r="Q22" s="63"/>
    </row>
    <row r="23" spans="4:17" ht="24.95" customHeight="1" x14ac:dyDescent="0.3">
      <c r="D23" s="251" t="s">
        <v>327</v>
      </c>
      <c r="E23" s="201" t="s">
        <v>488</v>
      </c>
      <c r="F23" s="89">
        <f>SUMIFS(용수사용량!F:F,용수사용량!C:C,B2,용수사용량!E:E,B3,용수사용량!D:D,B4)</f>
        <v>942.1138782460597</v>
      </c>
      <c r="G23" s="89">
        <f>SUMIFS(용수사용량!G:G,용수사용량!C:C,B2,용수사용량!E:E,B3,용수사용량!D:D,B4)</f>
        <v>336.2920391656026</v>
      </c>
      <c r="H23" s="89">
        <f>SUMIFS(용수사용량!H:H,용수사용량!C:C,B2,용수사용량!E:E,B3,용수사용량!D:D,B4)</f>
        <v>134.68220519370016</v>
      </c>
      <c r="I23" s="89">
        <f>SUMIFS(용수사용량!I:I,용수사용량!C:C,B2,용수사용량!E:E,B3,용수사용량!D:D,B4)</f>
        <v>194.05704555129859</v>
      </c>
      <c r="J23" s="89">
        <f>SUMIFS(용수사용량!J:J,용수사용량!C:C,B2,용수사용량!E:E,B3,용수사용량!D:D,B4)</f>
        <v>1469.5410813112005</v>
      </c>
      <c r="K23" s="89">
        <f>SUMIFS(용수사용량!K:K,용수사용량!C:C,B2,용수사용량!E:E,B3,용수사용량!D:D,B4)</f>
        <v>549.31375053213844</v>
      </c>
      <c r="L23" s="89"/>
      <c r="M23" s="89"/>
      <c r="N23" s="89">
        <f>SUM(F23:M23)</f>
        <v>3626</v>
      </c>
      <c r="O23" s="254" t="s">
        <v>486</v>
      </c>
      <c r="P23" s="63"/>
      <c r="Q23" s="63"/>
    </row>
    <row r="24" spans="4:17" ht="24.95" customHeight="1" x14ac:dyDescent="0.3">
      <c r="D24" s="251"/>
      <c r="E24" s="201" t="s">
        <v>345</v>
      </c>
      <c r="F24" s="89">
        <f>SUMIFS(용수사용량!R:R,용수사용량!O:O,B2,용수사용량!Q:Q,B3,용수사용량!P:P,B4)</f>
        <v>4219238.5563765625</v>
      </c>
      <c r="G24" s="89">
        <f>SUMIFS(용수사용량!S:S,용수사용량!O:O,B2,용수사용량!Q:Q,B3,용수사용량!P:P,B4)</f>
        <v>1506077.3125342103</v>
      </c>
      <c r="H24" s="89">
        <f>SUMIFS(용수사용량!T:T,용수사용량!O:O,B2,용수사용량!Q:Q,B3,용수사용량!P:P,B4)</f>
        <v>603171.61877394957</v>
      </c>
      <c r="I24" s="89">
        <f>SUMIFS(용수사용량!U:U,용수사용량!O:O,B2,용수사용량!Q:Q,B3,용수사용량!P:P,B4)</f>
        <v>869080.67870826554</v>
      </c>
      <c r="J24" s="89">
        <f>SUMIFS(용수사용량!V:V,용수사용량!O:O,B2,용수사용량!Q:Q,B3,용수사용량!P:P,B4)</f>
        <v>6581310.9578544255</v>
      </c>
      <c r="K24" s="89">
        <f>SUMIFS(용수사용량!W:W,용수사용량!O:O,B2,용수사용량!Q:Q,B3,용수사용량!P:P,B4)</f>
        <v>2460090.8757525869</v>
      </c>
      <c r="L24" s="89"/>
      <c r="M24" s="89"/>
      <c r="N24" s="89">
        <f>SUM(F24:M24)</f>
        <v>16238970</v>
      </c>
      <c r="O24" s="255"/>
      <c r="P24" s="63"/>
      <c r="Q24" s="63"/>
    </row>
    <row r="25" spans="4:17" ht="24.95" customHeight="1" x14ac:dyDescent="0.3">
      <c r="D25" s="251"/>
      <c r="E25" s="201" t="s">
        <v>342</v>
      </c>
      <c r="F25" s="209">
        <f>F24/F8</f>
        <v>147.67229287792415</v>
      </c>
      <c r="G25" s="209">
        <f>G24/F8</f>
        <v>52.712328781984922</v>
      </c>
      <c r="H25" s="209">
        <f>H24/H8</f>
        <v>21.268090540672134</v>
      </c>
      <c r="I25" s="209">
        <f t="shared" ref="I25:K25" si="8">I24/I8</f>
        <v>31.339917784825658</v>
      </c>
      <c r="J25" s="209">
        <f t="shared" si="8"/>
        <v>530.11090303516039</v>
      </c>
      <c r="K25" s="209">
        <f t="shared" si="8"/>
        <v>532.78242397358429</v>
      </c>
      <c r="L25" s="209"/>
      <c r="M25" s="209"/>
      <c r="N25" s="209">
        <f>N24/N8</f>
        <v>156.72123855231462</v>
      </c>
      <c r="O25" s="255"/>
      <c r="P25" s="63"/>
      <c r="Q25" s="63"/>
    </row>
    <row r="26" spans="4:17" ht="24.95" customHeight="1" x14ac:dyDescent="0.3">
      <c r="D26" s="251"/>
      <c r="E26" s="201" t="s">
        <v>490</v>
      </c>
      <c r="F26" s="209">
        <f>F23/F8</f>
        <v>3.2973749811432189E-2</v>
      </c>
      <c r="G26" s="209">
        <f>G23/F8</f>
        <v>1.1770137155464743E-2</v>
      </c>
      <c r="H26" s="209">
        <f t="shared" ref="H26:K26" si="9">H23/H8</f>
        <v>4.7489524459049526E-3</v>
      </c>
      <c r="I26" s="209">
        <f t="shared" si="9"/>
        <v>6.9978909923337409E-3</v>
      </c>
      <c r="J26" s="209">
        <f t="shared" si="9"/>
        <v>0.11836847622758659</v>
      </c>
      <c r="K26" s="209">
        <f t="shared" si="9"/>
        <v>0.11896500020187344</v>
      </c>
      <c r="L26" s="209"/>
      <c r="M26" s="209"/>
      <c r="N26" s="209">
        <f>N23/N8</f>
        <v>3.4994289107664639E-2</v>
      </c>
      <c r="O26" s="255"/>
      <c r="P26" s="63"/>
      <c r="Q26" s="63"/>
    </row>
    <row r="27" spans="4:17" ht="24.95" customHeight="1" x14ac:dyDescent="0.3">
      <c r="D27" s="251" t="s">
        <v>328</v>
      </c>
      <c r="E27" s="201" t="s">
        <v>488</v>
      </c>
      <c r="F27" s="89">
        <f>SUMIFS(용수사용량!F:F,용수사용량!C:C,B2,용수사용량!E:E,B3,용수사용량!D:D,B5)</f>
        <v>7741.3907893936421</v>
      </c>
      <c r="G27" s="89">
        <f>SUMIFS(용수사용량!G:G,용수사용량!C:C,B2,용수사용량!E:E,B3,용수사용량!D:D,B5)</f>
        <v>2763.3263394757669</v>
      </c>
      <c r="H27" s="89">
        <f>SUMIFS(용수사용량!H:H,용수사용량!C:C,B2,용수사용량!E:E,B3,용수사용량!D:D,B5)</f>
        <v>1106.6895487441523</v>
      </c>
      <c r="I27" s="89">
        <f>SUMIFS(용수사용량!I:I,용수사용량!C:C,B2,용수사용량!E:E,B3,용수사용량!D:D,B5)</f>
        <v>1594.5751991729016</v>
      </c>
      <c r="J27" s="89">
        <f>SUMIFS(용수사용량!J:J,용수사용량!C:C,B2,용수사용량!E:E,B3,용수사용량!D:D,B5)</f>
        <v>12075.283099191181</v>
      </c>
      <c r="K27" s="89">
        <f>SUMIFS(용수사용량!K:K,용수사용량!C:C,B2,용수사용량!E:E,B3,용수사용량!D:D,B5)</f>
        <v>4513.7350240223568</v>
      </c>
      <c r="L27" s="89"/>
      <c r="M27" s="89"/>
      <c r="N27" s="89">
        <f>SUM(F27:M27)</f>
        <v>29795</v>
      </c>
      <c r="O27" s="255"/>
      <c r="P27" s="63"/>
      <c r="Q27" s="63"/>
    </row>
    <row r="28" spans="4:17" ht="24.95" customHeight="1" x14ac:dyDescent="0.3">
      <c r="D28" s="251"/>
      <c r="E28" s="201" t="s">
        <v>347</v>
      </c>
      <c r="F28" s="89">
        <f>SUMIFS(용수사용량!R:R,용수사용량!O:O,B2,용수사용량!Q:Q,B3,용수사용량!P:P,B5)</f>
        <v>4328579.3681201609</v>
      </c>
      <c r="G28" s="89">
        <f>SUMIFS(용수사용량!S:S,용수사용량!O:O,B2,용수사용량!Q:Q,B3,용수사용량!P:P,B5)</f>
        <v>1545107.0364288767</v>
      </c>
      <c r="H28" s="89">
        <f>SUMIFS(용수사용량!T:T,용수사용량!O:O,B2,용수사용량!Q:Q,B3,용수사용량!P:P,B5)</f>
        <v>618802.70327799383</v>
      </c>
      <c r="I28" s="89">
        <f>SUMIFS(용수사용량!U:U,용수사용량!O:O,B2,용수사용량!Q:Q,B3,용수사용량!P:P,B5)</f>
        <v>891602.74889010587</v>
      </c>
      <c r="J28" s="89">
        <f>SUMIFS(용수사용량!V:V,용수사용량!O:O,B2,용수사용량!Q:Q,B3,용수사용량!P:P,B5)</f>
        <v>6751864.4529587254</v>
      </c>
      <c r="K28" s="89">
        <f>SUMIFS(용수사용량!W:W,용수사용량!O:O,B2,용수사용량!Q:Q,B3,용수사용량!P:P,B5)</f>
        <v>2523843.690324137</v>
      </c>
      <c r="L28" s="89"/>
      <c r="M28" s="89"/>
      <c r="N28" s="89">
        <f>SUM(F28:M28)</f>
        <v>16659800</v>
      </c>
      <c r="O28" s="255"/>
      <c r="P28" s="217">
        <f>N28/N27</f>
        <v>559.14750797113606</v>
      </c>
      <c r="Q28" s="63"/>
    </row>
    <row r="29" spans="4:17" ht="24.95" customHeight="1" x14ac:dyDescent="0.3">
      <c r="D29" s="251"/>
      <c r="E29" s="201" t="s">
        <v>342</v>
      </c>
      <c r="F29" s="209">
        <f>F28/F8</f>
        <v>151.49919390747323</v>
      </c>
      <c r="G29" s="209">
        <f>G28/F8</f>
        <v>54.078359344349572</v>
      </c>
      <c r="H29" s="209">
        <f t="shared" ref="H29:N29" si="10">H28/H8</f>
        <v>21.819249299031252</v>
      </c>
      <c r="I29" s="209">
        <f t="shared" si="10"/>
        <v>32.152086142879661</v>
      </c>
      <c r="J29" s="209">
        <f t="shared" si="10"/>
        <v>543.84863217218617</v>
      </c>
      <c r="K29" s="209">
        <f t="shared" si="10"/>
        <v>546.58938509739971</v>
      </c>
      <c r="L29" s="209"/>
      <c r="M29" s="209"/>
      <c r="N29" s="209">
        <f t="shared" si="10"/>
        <v>160.78264138882275</v>
      </c>
      <c r="O29" s="255"/>
      <c r="P29" s="63"/>
      <c r="Q29" s="63"/>
    </row>
    <row r="30" spans="4:17" ht="24.95" customHeight="1" x14ac:dyDescent="0.3">
      <c r="D30" s="251"/>
      <c r="E30" s="201" t="s">
        <v>491</v>
      </c>
      <c r="F30" s="209">
        <f>F27/F8</f>
        <v>0.27094673900485988</v>
      </c>
      <c r="G30" s="209">
        <f>G27/F8</f>
        <v>9.6715729880604534E-2</v>
      </c>
      <c r="H30" s="209">
        <f t="shared" ref="H30:N30" si="11">H27/H8</f>
        <v>3.9022349179740227E-2</v>
      </c>
      <c r="I30" s="209">
        <f t="shared" si="11"/>
        <v>5.7501975211413078E-2</v>
      </c>
      <c r="J30" s="209">
        <f t="shared" si="11"/>
        <v>0.97263892697212984</v>
      </c>
      <c r="K30" s="209">
        <f t="shared" si="11"/>
        <v>0.97754059046189168</v>
      </c>
      <c r="L30" s="209"/>
      <c r="M30" s="209"/>
      <c r="N30" s="209">
        <f t="shared" si="11"/>
        <v>0.28754959844535793</v>
      </c>
      <c r="O30" s="255"/>
      <c r="P30" s="63"/>
      <c r="Q30" s="63"/>
    </row>
    <row r="31" spans="4:17" ht="24.95" customHeight="1" x14ac:dyDescent="0.3">
      <c r="D31" s="251" t="s">
        <v>355</v>
      </c>
      <c r="E31" s="201" t="s">
        <v>488</v>
      </c>
      <c r="F31" s="89">
        <f>SUMIFS(용수사용량!F:F,용수사용량!C:C,B2,용수사용량!E:E,B3,용수사용량!D:D,B6)</f>
        <v>6105.812503800993</v>
      </c>
      <c r="G31" s="89">
        <f>SUMIFS(용수사용량!G:G,용수사용량!C:C,B2,용수사용량!E:E,B3,용수사용량!D:D,B6)</f>
        <v>2179.4988749011754</v>
      </c>
      <c r="H31" s="89">
        <f>SUMIFS(용수사용량!H:H,용수사용량!C:C,B2,용수사용량!E:E,B3,용수사용량!D:D,B6)</f>
        <v>872.87143465304837</v>
      </c>
      <c r="I31" s="89">
        <f>SUMIFS(용수사용량!I:I,용수사용량!C:C,B2,용수사용량!E:E,B3,용수사용량!D:D,B6)</f>
        <v>1257.6780392872356</v>
      </c>
      <c r="J31" s="89">
        <f>SUMIFS(용수사용량!J:J,용수사용량!C:C,B2,용수사용량!E:E,B3,용수사용량!D:D,B6)</f>
        <v>9524.0527884206331</v>
      </c>
      <c r="K31" s="89">
        <f>SUMIFS(용수사용량!K:K,용수사용량!C:C,B2,용수사용량!E:E,B3,용수사용량!D:D,B6)</f>
        <v>3560.0863589369151</v>
      </c>
      <c r="L31" s="89"/>
      <c r="M31" s="89"/>
      <c r="N31" s="89">
        <f>SUM(F31:M31)</f>
        <v>23500</v>
      </c>
      <c r="O31" s="255"/>
      <c r="P31" s="63"/>
      <c r="Q31" s="63"/>
    </row>
    <row r="32" spans="4:17" ht="24.95" customHeight="1" x14ac:dyDescent="0.3">
      <c r="D32" s="251"/>
      <c r="E32" s="201" t="s">
        <v>400</v>
      </c>
      <c r="F32" s="89">
        <f>SUMIFS(용수사용량!R:R,용수사용량!O:O,B2,용수사용량!Q:Q,B3,용수사용량!P:P,'20.8월'!B6)</f>
        <v>4274068.7526606955</v>
      </c>
      <c r="G32" s="89">
        <f>SUMIFS(용수사용량!S:S,용수사용량!O:O,B2,용수사용량!Q:Q,B3,용수사용량!P:P,'20.8월'!B6)</f>
        <v>1525649.2124308227</v>
      </c>
      <c r="H32" s="89">
        <f>SUMIFS(용수사용량!T:T,용수사용량!O:O,B2,용수사용량!Q:Q,B3,용수사용량!P:P,'20.8월'!B6)</f>
        <v>611010.00425713393</v>
      </c>
      <c r="I32" s="89">
        <f>SUMIFS(용수사용량!U:U,용수사용량!O:O,B2,용수사용량!Q:Q,B3,용수사용량!P:P,'20.8월'!B6)</f>
        <v>880374.62750106491</v>
      </c>
      <c r="J32" s="89">
        <f>SUMIFS(용수사용량!V:V,용수사용량!O:O,B2,용수사용량!Q:Q,B3,용수사용량!P:P,'20.8월'!B6)</f>
        <v>6666836.9518944426</v>
      </c>
      <c r="K32" s="89">
        <f>SUMIFS(용수사용량!W:W,용수사용량!O:O,B2,용수사용량!Q:Q,B3,용수사용량!P:P,'20.8월'!B6)</f>
        <v>2492060.4512558407</v>
      </c>
      <c r="L32" s="89"/>
      <c r="M32" s="89"/>
      <c r="N32" s="89">
        <f>SUM(F32:M32)</f>
        <v>16450000.000000002</v>
      </c>
      <c r="O32" s="255"/>
      <c r="P32" s="63">
        <f>N32/N31</f>
        <v>700.00000000000011</v>
      </c>
      <c r="Q32" s="63"/>
    </row>
    <row r="33" spans="4:17" ht="24.95" customHeight="1" x14ac:dyDescent="0.3">
      <c r="D33" s="251"/>
      <c r="E33" s="201" t="s">
        <v>342</v>
      </c>
      <c r="F33" s="209">
        <f>F32/F8</f>
        <v>149.59133601711514</v>
      </c>
      <c r="G33" s="209">
        <f>G32/F8</f>
        <v>53.397340377108392</v>
      </c>
      <c r="H33" s="209">
        <f>H32/H8</f>
        <v>21.544475382001234</v>
      </c>
      <c r="I33" s="209">
        <f t="shared" ref="I33:K33" si="12">I32/I8</f>
        <v>31.747188864834534</v>
      </c>
      <c r="J33" s="209">
        <f t="shared" si="12"/>
        <v>536.99984388963026</v>
      </c>
      <c r="K33" s="209">
        <f t="shared" si="12"/>
        <v>539.70608199691628</v>
      </c>
      <c r="L33" s="209"/>
      <c r="M33" s="209"/>
      <c r="N33" s="209">
        <f>N32/N8</f>
        <v>158.75787529538979</v>
      </c>
      <c r="O33" s="255"/>
      <c r="P33" s="63"/>
      <c r="Q33" s="63"/>
    </row>
    <row r="34" spans="4:17" ht="24.95" customHeight="1" x14ac:dyDescent="0.3">
      <c r="D34" s="251"/>
      <c r="E34" s="201" t="s">
        <v>492</v>
      </c>
      <c r="F34" s="209">
        <f>F31/F8</f>
        <v>0.21370190859587873</v>
      </c>
      <c r="G34" s="209">
        <f>G31/F8</f>
        <v>7.6281914824440564E-2</v>
      </c>
      <c r="H34" s="209">
        <f>H31/H8</f>
        <v>3.0777821974287474E-2</v>
      </c>
      <c r="I34" s="209">
        <f t="shared" ref="I34:K34" si="13">I31/I8</f>
        <v>4.5353126949763622E-2</v>
      </c>
      <c r="J34" s="209">
        <f t="shared" si="13"/>
        <v>0.76714263412804329</v>
      </c>
      <c r="K34" s="209">
        <f t="shared" si="13"/>
        <v>0.7710086885670232</v>
      </c>
      <c r="L34" s="209"/>
      <c r="M34" s="209"/>
      <c r="N34" s="209">
        <f>N31/N8</f>
        <v>0.22679696470769967</v>
      </c>
      <c r="O34" s="25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213">
        <f>F9+G9</f>
        <v>395826</v>
      </c>
      <c r="H36" s="213">
        <f>H9</f>
        <v>2068184</v>
      </c>
      <c r="I36" s="213">
        <f t="shared" ref="I36:L36" si="14">I9</f>
        <v>2065029</v>
      </c>
      <c r="J36" s="213">
        <f t="shared" si="14"/>
        <v>747372</v>
      </c>
      <c r="K36" s="213">
        <f t="shared" si="14"/>
        <v>537210</v>
      </c>
      <c r="L36" s="213">
        <f t="shared" si="14"/>
        <v>15787</v>
      </c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>
        <f>G36/1000</f>
        <v>395.82600000000002</v>
      </c>
      <c r="H37" s="63">
        <f t="shared" ref="H37:L37" si="15">H36/1000</f>
        <v>2068.1840000000002</v>
      </c>
      <c r="I37" s="63">
        <f t="shared" si="15"/>
        <v>2065.029</v>
      </c>
      <c r="J37" s="63">
        <f t="shared" si="15"/>
        <v>747.37199999999996</v>
      </c>
      <c r="K37" s="63">
        <f t="shared" si="15"/>
        <v>537.21</v>
      </c>
      <c r="L37" s="63">
        <f t="shared" si="15"/>
        <v>15.787000000000001</v>
      </c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217">
        <f>F18+G18</f>
        <v>154889.11906780498</v>
      </c>
      <c r="H39" s="63"/>
      <c r="I39" s="217">
        <f>I18</f>
        <v>557203</v>
      </c>
      <c r="J39" s="217">
        <f t="shared" ref="J39" si="16">J18</f>
        <v>306144</v>
      </c>
      <c r="K39" s="217">
        <f>K18+M18</f>
        <v>233082.19733219504</v>
      </c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231">
        <f>G39/1000</f>
        <v>154.88911906780498</v>
      </c>
      <c r="H40" s="63"/>
      <c r="I40" s="231">
        <f t="shared" ref="I40:K40" si="17">I39/1000</f>
        <v>557.20299999999997</v>
      </c>
      <c r="J40" s="231">
        <f t="shared" si="17"/>
        <v>306.14400000000001</v>
      </c>
      <c r="K40" s="231">
        <f t="shared" si="17"/>
        <v>233.08219733219502</v>
      </c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258">
        <f>G17+F17</f>
        <v>13.853810875983182</v>
      </c>
      <c r="H42" s="258">
        <f>H17</f>
        <v>72.925056812486062</v>
      </c>
      <c r="I42" s="258">
        <f t="shared" ref="I42:L42" si="18">I17</f>
        <v>74.467009414445101</v>
      </c>
      <c r="J42" s="258">
        <f t="shared" si="18"/>
        <v>60.199259442431199</v>
      </c>
      <c r="K42" s="258">
        <f t="shared" si="18"/>
        <v>116.3436882774871</v>
      </c>
      <c r="L42" s="258">
        <f t="shared" si="18"/>
        <v>8.2152460020471771</v>
      </c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217">
        <f>F18+G18</f>
        <v>154889.11906780498</v>
      </c>
      <c r="H44" s="63"/>
      <c r="I44" s="217">
        <f>I18</f>
        <v>557203</v>
      </c>
      <c r="J44" s="217">
        <f>J18</f>
        <v>306144</v>
      </c>
      <c r="K44" s="217">
        <f>K18+M18</f>
        <v>233082.19733219504</v>
      </c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9" workbookViewId="0">
      <selection activeCell="D28" sqref="D28:N31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412</v>
      </c>
    </row>
    <row r="3" spans="2:24" ht="17.25" thickBot="1" x14ac:dyDescent="0.35">
      <c r="B3" s="52" t="s">
        <v>465</v>
      </c>
    </row>
    <row r="4" spans="2:24" ht="16.5" customHeight="1" thickTop="1" thickBot="1" x14ac:dyDescent="0.35">
      <c r="B4" s="30" t="s">
        <v>397</v>
      </c>
      <c r="E4" s="252" t="s">
        <v>464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82"/>
    </row>
    <row r="5" spans="2:24" ht="39.950000000000003" customHeight="1" thickTop="1" thickBot="1" x14ac:dyDescent="0.35">
      <c r="B5" s="30" t="s">
        <v>398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399</v>
      </c>
    </row>
    <row r="7" spans="2:24" ht="30" customHeight="1" x14ac:dyDescent="0.3">
      <c r="D7" s="253" t="s">
        <v>59</v>
      </c>
      <c r="E7" s="25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250</v>
      </c>
      <c r="N7" s="84" t="s">
        <v>89</v>
      </c>
      <c r="O7" s="8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220852.77300000002</v>
      </c>
      <c r="G8" s="74"/>
      <c r="H8" s="74">
        <f>SUMIFS(생산량!E:E,생산량!B:B,B2,생산량!C:C,B3)</f>
        <v>208128.55300000001</v>
      </c>
      <c r="I8" s="74">
        <f>SUMIFS(생산량!F:F,생산량!B:B,B2,생산량!C:C,B3)</f>
        <v>207362.18000000002</v>
      </c>
      <c r="J8" s="74">
        <f>SUMIFS(생산량!G:G,생산량!B:B,B2,생산량!C:C,B3)</f>
        <v>105032.208</v>
      </c>
      <c r="K8" s="74">
        <f>SUMIFS(생산량!H:H,생산량!B:B,B2,생산량!C:C,B3)</f>
        <v>38060.666000000005</v>
      </c>
      <c r="L8" s="74">
        <f>SUMIFS(생산량!I:I,생산량!B:B,B2,생산량!C:C,B3)</f>
        <v>6103.4779999999992</v>
      </c>
      <c r="M8" s="64"/>
      <c r="N8" s="69">
        <f>SUM(F8:M8)</f>
        <v>785539.85800000001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770253</v>
      </c>
      <c r="G9" s="70">
        <f t="shared" ref="G9:N9" si="0">G10+G11</f>
        <v>182605</v>
      </c>
      <c r="H9" s="70">
        <f t="shared" si="0"/>
        <v>5823043</v>
      </c>
      <c r="I9" s="70">
        <f t="shared" si="0"/>
        <v>6035523</v>
      </c>
      <c r="J9" s="70">
        <f t="shared" si="0"/>
        <v>2743070.0000000005</v>
      </c>
      <c r="K9" s="70">
        <f t="shared" si="0"/>
        <v>1717016</v>
      </c>
      <c r="L9" s="70">
        <f t="shared" si="0"/>
        <v>46073.999999999993</v>
      </c>
      <c r="M9" s="66">
        <f t="shared" si="0"/>
        <v>0</v>
      </c>
      <c r="N9" s="70">
        <f t="shared" si="0"/>
        <v>17317584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745111.6128433214</v>
      </c>
      <c r="G10" s="69">
        <f>SUMIFS('라인별전력(본+ESS)'!Z:Z,'라인별전력(본+ESS)'!W:W,B2,'라인별전력(본+ESS)'!X:X,B3)</f>
        <v>176592.32682078736</v>
      </c>
      <c r="H10" s="69">
        <f>SUMIFS('라인별전력(본+ESS)'!AA:AA,'라인별전력(본+ESS)'!W:W,B2,'라인별전력(본+ESS)'!X:X,B3)</f>
        <v>5631276.9149056207</v>
      </c>
      <c r="I10" s="69">
        <f>SUMIFS('라인별전력(본+ESS)'!AB:AB,'라인별전력(본+ESS)'!W:W,B2,'라인별전력(본+ESS)'!X:X,B3)</f>
        <v>5838032.0519716321</v>
      </c>
      <c r="J10" s="69">
        <f>SUMIFS('라인별전력(본+ESS)'!AC:AC,'라인별전력(본+ESS)'!W:W,B2,'라인별전력(본+ESS)'!X:X,B3)</f>
        <v>2657273.1580907814</v>
      </c>
      <c r="K10" s="69">
        <f>SUMIFS('라인별전력(본+ESS)'!AD:AD,'라인별전력(본+ESS)'!W:W,B2,'라인별전력(본+ESS)'!X:X,B3)</f>
        <v>1661619.1964748129</v>
      </c>
      <c r="L10" s="69">
        <f>SUMIFS('라인별전력(본+ESS)'!AE:AE,'라인별전력(본+ESS)'!W:W,B2,'라인별전력(본+ESS)'!X:X,B3)</f>
        <v>44572.73889304405</v>
      </c>
      <c r="M10" s="64"/>
      <c r="N10" s="69">
        <f>SUM(F10:M10)</f>
        <v>16754478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25141.387156678586</v>
      </c>
      <c r="G11" s="69">
        <f>SUMIFS('라인별전력(본+ESS)'!O:O,'라인별전력(본+ESS)'!L:L,B2,'라인별전력(본+ESS)'!M:M,B3)</f>
        <v>6012.673179212632</v>
      </c>
      <c r="H11" s="69">
        <f>SUMIFS('라인별전력(본+ESS)'!P:P,'라인별전력(본+ESS)'!L:L,B2,'라인별전력(본+ESS)'!M:M,B3)</f>
        <v>191766.08509437932</v>
      </c>
      <c r="I11" s="69">
        <f>SUMIFS('라인별전력(본+ESS)'!Q:Q,'라인별전력(본+ESS)'!L:L,B2,'라인별전력(본+ESS)'!M:M,B3)</f>
        <v>197490.94802836754</v>
      </c>
      <c r="J11" s="69">
        <f>SUMIFS('라인별전력(본+ESS)'!R:R,'라인별전력(본+ESS)'!L:L,B2,'라인별전력(본+ESS)'!M:M,B3)</f>
        <v>85796.841909218958</v>
      </c>
      <c r="K11" s="69">
        <f>SUMIFS('라인별전력(본+ESS)'!S:S,'라인별전력(본+ESS)'!L:L,B2,'라인별전력(본+ESS)'!M:M,B3)</f>
        <v>55396.803525187017</v>
      </c>
      <c r="L11" s="69">
        <f>SUMIFS('라인별전력(본+ESS)'!T:T,'라인별전력(본+ESS)'!L:L,B2,'라인별전력(본+ESS)'!M:M,B3)</f>
        <v>1501.2611069559443</v>
      </c>
      <c r="M11" s="64"/>
      <c r="N11" s="69">
        <f>SUM(F11:M11)</f>
        <v>563105.99999999988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70435598.323564112</v>
      </c>
      <c r="G12" s="71">
        <f>SUMIFS('라인별전력금액(본+ESS)'!Z:Z,'라인별전력금액(본+ESS)'!W:W,B2,'라인별전력금액(본+ESS)'!X:X,B3)</f>
        <v>16770528.389149465</v>
      </c>
      <c r="H12" s="71">
        <f>SUMIFS('라인별전력금액(본+ESS)'!AA:AA,'라인별전력금액(본+ESS)'!W:W,B2,'라인별전력금액(본+ESS)'!X:X,B3)</f>
        <v>532793844.17951328</v>
      </c>
      <c r="I12" s="71">
        <f>SUMIFS('라인별전력금액(본+ESS)'!AB:AB,'라인별전력금액(본+ESS)'!W:W,B2,'라인별전력금액(본+ESS)'!X:X,B3)</f>
        <v>549367145.85662937</v>
      </c>
      <c r="J12" s="71">
        <f>SUMIFS('라인별전력금액(본+ESS)'!AC:AC,'라인별전력금액(본+ESS)'!W:W,B2,'라인별전력금액(본+ESS)'!X:X,B3)</f>
        <v>255433654.72852087</v>
      </c>
      <c r="K12" s="71">
        <f>SUMIFS('라인별전력금액(본+ESS)'!AD:AD,'라인별전력금액(본+ESS)'!W:W,B2,'라인별전력금액(본+ESS)'!X:X,B3)</f>
        <v>157462674.18151394</v>
      </c>
      <c r="L12" s="71">
        <f>SUMIFS('라인별전력금액(본+ESS)'!AE:AE,'라인별전력금액(본+ESS)'!W:W,B2,'라인별전력금액(본+ESS)'!X:X,B3)</f>
        <v>4212885.6411090726</v>
      </c>
      <c r="M12" s="68"/>
      <c r="N12" s="71">
        <f>SUM(F12:M12)</f>
        <v>1586476331.3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634404.00674533541</v>
      </c>
      <c r="G13" s="71">
        <f>SUMIFS('라인별전력금액(본+ESS)'!O:O,'라인별전력금액(본+ESS)'!L:L,B2,'라인별전력금액(본+ESS)'!M:M,B3)</f>
        <v>152326.11690012238</v>
      </c>
      <c r="H13" s="71">
        <f>SUMIFS('라인별전력금액(본+ESS)'!P:P,'라인별전력금액(본+ESS)'!L:L,B2,'라인별전력금액(본+ESS)'!M:M,B3)</f>
        <v>4846542.6083763912</v>
      </c>
      <c r="I13" s="71">
        <f>SUMIFS('라인별전력금액(본+ESS)'!Q:Q,'라인별전력금액(본+ESS)'!L:L,B2,'라인별전력금액(본+ESS)'!M:M,B3)</f>
        <v>4969995.9010693245</v>
      </c>
      <c r="J13" s="71">
        <f>SUMIFS('라인별전력금액(본+ESS)'!R:R,'라인별전력금액(본+ESS)'!L:L,B2,'라인별전력금액(본+ESS)'!M:M,B3)</f>
        <v>2179297.2826998932</v>
      </c>
      <c r="K13" s="71">
        <f>SUMIFS('라인별전력금액(본+ESS)'!S:S,'라인별전력금액(본+ESS)'!L:L,B2,'라인별전력금액(본+ESS)'!M:M,B3)</f>
        <v>1398300.0256690793</v>
      </c>
      <c r="L13" s="71">
        <f>SUMIFS('라인별전력금액(본+ESS)'!T:T,'라인별전력금액(본+ESS)'!L:L,B2,'라인별전력금액(본+ESS)'!M:M,B3)</f>
        <v>37871.058539853693</v>
      </c>
      <c r="M13" s="68"/>
      <c r="N13" s="71">
        <f>SUM(F13:M13)</f>
        <v>14218737.000000002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71070002.330309451</v>
      </c>
      <c r="G14" s="70">
        <f t="shared" ref="G14:N14" si="1">SUM(G12:G13)</f>
        <v>16922854.506049588</v>
      </c>
      <c r="H14" s="70">
        <f t="shared" si="1"/>
        <v>537640386.78788972</v>
      </c>
      <c r="I14" s="70">
        <f t="shared" si="1"/>
        <v>554337141.75769866</v>
      </c>
      <c r="J14" s="70">
        <f t="shared" si="1"/>
        <v>257612952.01122075</v>
      </c>
      <c r="K14" s="70">
        <f t="shared" si="1"/>
        <v>158860974.207183</v>
      </c>
      <c r="L14" s="70">
        <f t="shared" si="1"/>
        <v>4250756.699648926</v>
      </c>
      <c r="M14" s="66"/>
      <c r="N14" s="70">
        <f t="shared" si="1"/>
        <v>1600695068.3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82515178.50082019</v>
      </c>
      <c r="G15" s="72">
        <f t="shared" si="2"/>
        <v>19648125.995833367</v>
      </c>
      <c r="H15" s="72">
        <f t="shared" si="2"/>
        <v>624222471.23147893</v>
      </c>
      <c r="I15" s="72">
        <f t="shared" si="2"/>
        <v>643608086.42134464</v>
      </c>
      <c r="J15" s="72">
        <f t="shared" si="2"/>
        <v>299099170.14683384</v>
      </c>
      <c r="K15" s="72">
        <f t="shared" si="2"/>
        <v>184444086.30516532</v>
      </c>
      <c r="L15" s="72">
        <f t="shared" si="2"/>
        <v>4935302.3263586154</v>
      </c>
      <c r="M15" s="67"/>
      <c r="N15" s="72">
        <f>SUM(F15:M15)</f>
        <v>1858472420.9278347</v>
      </c>
      <c r="O15" s="64"/>
      <c r="P15" s="93"/>
      <c r="Q15" s="94">
        <f>SUMIFS(리스추정치!E:E,리스추정치!B:B,B2,리스추정치!C:C,B3)</f>
        <v>257777352.62783474</v>
      </c>
      <c r="R15" s="95">
        <f t="shared" ref="R15:X15" si="3">$Q$15*(F14/$N$14)</f>
        <v>11445176.170510737</v>
      </c>
      <c r="S15" s="95">
        <f t="shared" si="3"/>
        <v>2725271.4897837779</v>
      </c>
      <c r="T15" s="95">
        <f t="shared" si="3"/>
        <v>86582084.443589166</v>
      </c>
      <c r="U15" s="95">
        <f t="shared" si="3"/>
        <v>89270944.663645968</v>
      </c>
      <c r="V15" s="95">
        <f t="shared" si="3"/>
        <v>41486218.135613106</v>
      </c>
      <c r="W15" s="95">
        <f t="shared" si="3"/>
        <v>25583112.097982325</v>
      </c>
      <c r="X15" s="96">
        <f t="shared" si="3"/>
        <v>684545.62670968915</v>
      </c>
    </row>
    <row r="16" spans="2:24" ht="30" customHeight="1" x14ac:dyDescent="0.3">
      <c r="D16" s="251"/>
      <c r="E16" s="102" t="s">
        <v>338</v>
      </c>
      <c r="F16" s="189">
        <f>F15/F8</f>
        <v>373.62074915319351</v>
      </c>
      <c r="G16" s="189">
        <f>G15/F8</f>
        <v>88.964814563742721</v>
      </c>
      <c r="H16" s="188">
        <f>H15/H8</f>
        <v>2999.2159280109868</v>
      </c>
      <c r="I16" s="188">
        <f t="shared" ref="I16:N16" si="4">I15/I8</f>
        <v>3103.7872307348648</v>
      </c>
      <c r="J16" s="188">
        <f t="shared" si="4"/>
        <v>2847.690016635981</v>
      </c>
      <c r="K16" s="188">
        <f t="shared" si="4"/>
        <v>4846.0551453609696</v>
      </c>
      <c r="L16" s="188">
        <f t="shared" si="4"/>
        <v>808.60491777943923</v>
      </c>
      <c r="M16" s="188"/>
      <c r="N16" s="188">
        <f t="shared" si="4"/>
        <v>2365.8537526784985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188">
        <f>F9/F8</f>
        <v>3.487631101647974</v>
      </c>
      <c r="G17" s="188">
        <f>G9/F8</f>
        <v>0.82681778236037806</v>
      </c>
      <c r="H17" s="188">
        <f>H9/H8</f>
        <v>27.978107357523402</v>
      </c>
      <c r="I17" s="188">
        <f t="shared" ref="I17:N17" si="5">I9/I8</f>
        <v>29.106189952285412</v>
      </c>
      <c r="J17" s="188">
        <f t="shared" si="5"/>
        <v>26.116465151337202</v>
      </c>
      <c r="K17" s="188">
        <f t="shared" si="5"/>
        <v>45.112610483484438</v>
      </c>
      <c r="L17" s="188">
        <f t="shared" si="5"/>
        <v>7.5488106944925502</v>
      </c>
      <c r="M17" s="188"/>
      <c r="N17" s="188">
        <f t="shared" si="5"/>
        <v>22.045455521621665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335265.39810594113</v>
      </c>
      <c r="G18" s="89">
        <f>SUMIFS(LNG사용량!E:E,LNG사용량!B:B,B2,LNG사용량!C:C,B3)</f>
        <v>221819</v>
      </c>
      <c r="H18" s="89"/>
      <c r="I18" s="89">
        <f>SUMIFS(LNG사용량!F:F,LNG사용량!B:B,B2,LNG사용량!C:C,B3)</f>
        <v>1500802</v>
      </c>
      <c r="J18" s="89">
        <f>SUMIFS(LNG사용량!G:G,LNG사용량!B:B,B2,LNG사용량!C:C,B3)</f>
        <v>950219</v>
      </c>
      <c r="K18" s="89">
        <f>SUMIFS(LNG사용량!H:H,LNG사용량!B:B,B2,LNG사용량!C:C,B3)</f>
        <v>884052.60189405875</v>
      </c>
      <c r="L18" s="89"/>
      <c r="M18" s="89">
        <f>SUMIFS(LNG사용량!I:I,LNG사용량!B:B,B2,LNG사용량!C:C,B3)</f>
        <v>14449.394200000002</v>
      </c>
      <c r="N18" s="89">
        <f>SUM(F18:M18)</f>
        <v>3906607.3942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213625114.0532518</v>
      </c>
      <c r="G19" s="89">
        <f>SUMIFS(LNG금액!E:E,LNG금액!B:B,B2,LNG금액!C:C,B3)</f>
        <v>141389905.81628159</v>
      </c>
      <c r="H19" s="89"/>
      <c r="I19" s="89">
        <f>SUMIFS(LNG금액!F:F,LNG금액!B:B,B2,LNG금액!C:C,B3)</f>
        <v>956092756.02330256</v>
      </c>
      <c r="J19" s="89">
        <f>SUMIFS(LNG금액!G:G,LNG금액!B:B,B2,LNG금액!C:C,B3)</f>
        <v>605255282.09198403</v>
      </c>
      <c r="K19" s="89">
        <f>SUMIFS(LNG금액!H:H,LNG금액!B:B,B2,LNG금액!C:C,B3)</f>
        <v>563354099.44697189</v>
      </c>
      <c r="L19" s="89"/>
      <c r="M19" s="89">
        <f>SUMIFS(LNG금액!I:I,LNG금액!B:B,B2,LNG금액!C:C,B3)</f>
        <v>9206276.3333186768</v>
      </c>
      <c r="N19" s="89">
        <f>SUM(F19:M19)</f>
        <v>2488923433.765111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967.2738591932997</v>
      </c>
      <c r="G20" s="188">
        <f>G19/F8</f>
        <v>640.19982133654969</v>
      </c>
      <c r="H20" s="188"/>
      <c r="I20" s="188">
        <f>I19/I8</f>
        <v>4610.7383517249982</v>
      </c>
      <c r="J20" s="188">
        <f t="shared" ref="J20:L20" si="6">J19/J8</f>
        <v>5762.5683932302372</v>
      </c>
      <c r="K20" s="188">
        <f t="shared" si="6"/>
        <v>14801.477710531177</v>
      </c>
      <c r="L20" s="188">
        <f t="shared" si="6"/>
        <v>0</v>
      </c>
      <c r="M20" s="188"/>
      <c r="N20" s="188">
        <f>N19/(N8-H8-L8)</f>
        <v>4356.5365572439659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1.5180493029441886</v>
      </c>
      <c r="G21" s="188">
        <f>G18/F8</f>
        <v>1.0043749824232453</v>
      </c>
      <c r="H21" s="188"/>
      <c r="I21" s="188">
        <f>I18/I8</f>
        <v>7.2375878764391839</v>
      </c>
      <c r="J21" s="188">
        <f t="shared" ref="J21:K21" si="7">J18/J8</f>
        <v>9.0469296808460893</v>
      </c>
      <c r="K21" s="188">
        <f t="shared" si="7"/>
        <v>23.227460126264177</v>
      </c>
      <c r="L21" s="188"/>
      <c r="M21" s="188"/>
      <c r="N21" s="188">
        <f>N18/(N8-H8-L8)</f>
        <v>6.8380078297089399</v>
      </c>
      <c r="O21" s="64"/>
      <c r="P21" s="93"/>
      <c r="Q21" s="63"/>
    </row>
    <row r="22" spans="4:17" ht="30" customHeight="1" x14ac:dyDescent="0.3">
      <c r="D22" s="99" t="s">
        <v>321</v>
      </c>
      <c r="E22" s="102" t="s">
        <v>344</v>
      </c>
      <c r="F22" s="64">
        <f>SUMIFS(LNG사용량!K:K,LNG사용량!B:B,B2,LNG사용량!C:C,B3)/1000</f>
        <v>1982.3989999999999</v>
      </c>
      <c r="G22" s="64"/>
      <c r="H22" s="64"/>
      <c r="I22" s="64"/>
      <c r="J22" s="64"/>
      <c r="K22" s="64">
        <f>SUMIFS(LNG사용량!L:L,LNG사용량!B:B,B2,LNG사용량!C:C,B3)/1000</f>
        <v>1597.2560000000001</v>
      </c>
      <c r="L22" s="64"/>
      <c r="M22" s="64"/>
      <c r="N22" s="64">
        <f>SUM(F22:M22)</f>
        <v>3579.6549999999997</v>
      </c>
      <c r="O22" s="101" t="s">
        <v>326</v>
      </c>
      <c r="P22" s="63"/>
      <c r="Q22" s="63"/>
    </row>
    <row r="23" spans="4:17" ht="30" hidden="1" customHeight="1" x14ac:dyDescent="0.3">
      <c r="D23" s="99"/>
      <c r="E23" s="102"/>
      <c r="F23" s="199">
        <f>F22/N22</f>
        <v>0.55379610604932594</v>
      </c>
      <c r="G23" s="64"/>
      <c r="H23" s="64"/>
      <c r="I23" s="64"/>
      <c r="J23" s="64"/>
      <c r="K23" s="199">
        <f>K22/N22</f>
        <v>0.44620389395067406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51" t="s">
        <v>327</v>
      </c>
      <c r="E24" s="102" t="s">
        <v>340</v>
      </c>
      <c r="F24" s="89">
        <f>SUMIFS(용수사용량!F:F,용수사용량!C:C,B2,용수사용량!E:E,B3,용수사용량!D:D,B4)</f>
        <v>3694.1499999999996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521.95999999999992</v>
      </c>
      <c r="I24" s="89">
        <f>SUMIFS(용수사용량!I:I,용수사용량!C:C,B2,용수사용량!E:E,B3,용수사용량!D:D,B4)</f>
        <v>1366.57</v>
      </c>
      <c r="J24" s="89">
        <f>SUMIFS(용수사용량!J:J,용수사용량!C:C,B2,용수사용량!E:E,B3,용수사용량!D:D,B4)</f>
        <v>2816.05</v>
      </c>
      <c r="K24" s="89">
        <f>SUMIFS(용수사용량!K:K,용수사용량!C:C,B2,용수사용량!E:E,B3,용수사용량!D:D,B4)</f>
        <v>2710.2700000000004</v>
      </c>
      <c r="L24" s="89"/>
      <c r="M24" s="89"/>
      <c r="N24" s="89">
        <f>SUM(F24:M24)</f>
        <v>11109</v>
      </c>
      <c r="O24" s="64"/>
      <c r="P24" s="63"/>
      <c r="Q24" s="63"/>
    </row>
    <row r="25" spans="4:17" ht="30" customHeight="1" x14ac:dyDescent="0.3">
      <c r="D25" s="251"/>
      <c r="E25" s="102" t="s">
        <v>345</v>
      </c>
      <c r="F25" s="89">
        <f>SUMIFS(용수사용량!R:R,용수사용량!O:O,B2,용수사용량!Q:Q,B3,용수사용량!P:P,B4)</f>
        <v>16555186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2339900.6</v>
      </c>
      <c r="I25" s="89">
        <f>SUMIFS(용수사용량!U:U,용수사용량!O:O,B2,용수사용량!Q:Q,B3,용수사용량!P:P,B4)</f>
        <v>6124186.9000000004</v>
      </c>
      <c r="J25" s="89">
        <f>SUMIFS(용수사용량!V:V,용수사용량!O:O,B2,용수사용량!Q:Q,B3,용수사용량!P:P,B4)</f>
        <v>12621362.800000001</v>
      </c>
      <c r="K25" s="89">
        <f>SUMIFS(용수사용량!W:W,용수사용량!O:O,B2,용수사용량!Q:Q,B3,용수사용량!P:P,B4)</f>
        <v>12148113.700000001</v>
      </c>
      <c r="L25" s="89"/>
      <c r="M25" s="89"/>
      <c r="N25" s="89">
        <f>SUM(F25:M25)</f>
        <v>49788750</v>
      </c>
      <c r="O25" s="64"/>
      <c r="P25" s="63"/>
      <c r="Q25" s="63"/>
    </row>
    <row r="26" spans="4:17" ht="30" customHeight="1" x14ac:dyDescent="0.3">
      <c r="D26" s="251"/>
      <c r="E26" s="102" t="s">
        <v>342</v>
      </c>
      <c r="F26" s="188">
        <f>F25/F8</f>
        <v>74.960281345437295</v>
      </c>
      <c r="G26" s="188">
        <f>G25/F8</f>
        <v>0</v>
      </c>
      <c r="H26" s="188">
        <f>H25/H8</f>
        <v>11.242573718369146</v>
      </c>
      <c r="I26" s="188">
        <f t="shared" ref="I26:K26" si="8">I25/I8</f>
        <v>29.533769851377912</v>
      </c>
      <c r="J26" s="188">
        <f t="shared" si="8"/>
        <v>120.16659499341384</v>
      </c>
      <c r="K26" s="188">
        <f t="shared" si="8"/>
        <v>319.17764392246841</v>
      </c>
      <c r="L26" s="188"/>
      <c r="M26" s="188"/>
      <c r="N26" s="188">
        <f>N25/N8</f>
        <v>63.381570639538445</v>
      </c>
      <c r="O26" s="64"/>
      <c r="P26" s="63"/>
      <c r="Q26" s="63"/>
    </row>
    <row r="27" spans="4:17" ht="30" customHeight="1" x14ac:dyDescent="0.3">
      <c r="D27" s="251"/>
      <c r="E27" s="102" t="s">
        <v>346</v>
      </c>
      <c r="F27" s="188">
        <f>F24/F8</f>
        <v>1.6726753981033324E-2</v>
      </c>
      <c r="G27" s="188">
        <f>G24/F8</f>
        <v>0</v>
      </c>
      <c r="H27" s="188">
        <f t="shared" ref="H27:K27" si="9">H24/H8</f>
        <v>2.5078731028317864E-3</v>
      </c>
      <c r="I27" s="188">
        <f t="shared" si="9"/>
        <v>6.590256718944601E-3</v>
      </c>
      <c r="J27" s="188">
        <f t="shared" si="9"/>
        <v>2.6811299634870098E-2</v>
      </c>
      <c r="K27" s="188">
        <f t="shared" si="9"/>
        <v>7.1209211105239201E-2</v>
      </c>
      <c r="L27" s="188"/>
      <c r="M27" s="188"/>
      <c r="N27" s="188">
        <f>N24/N8</f>
        <v>1.4141866751718662E-2</v>
      </c>
      <c r="O27" s="64"/>
      <c r="P27" s="63"/>
      <c r="Q27" s="63"/>
    </row>
    <row r="28" spans="4:17" ht="30" customHeight="1" x14ac:dyDescent="0.3">
      <c r="D28" s="251" t="s">
        <v>328</v>
      </c>
      <c r="E28" s="102" t="s">
        <v>340</v>
      </c>
      <c r="F28" s="89">
        <f>SUMIFS(용수사용량!F:F,용수사용량!C:C,B2,용수사용량!E:E,B3,용수사용량!D:D,B5)</f>
        <v>33584.25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4710.1200000000008</v>
      </c>
      <c r="I28" s="89">
        <f>SUMIFS(용수사용량!I:I,용수사용량!C:C,B2,용수사용량!E:E,B3,용수사용량!D:D,B5)</f>
        <v>12425.71</v>
      </c>
      <c r="J28" s="89">
        <f>SUMIFS(용수사용량!J:J,용수사용량!C:C,B2,용수사용량!E:E,B3,용수사용량!D:D,B5)</f>
        <v>25538.83</v>
      </c>
      <c r="K28" s="89">
        <f>SUMIFS(용수사용량!K:K,용수사용량!C:C,B2,용수사용량!E:E,B3,용수사용량!D:D,B5)</f>
        <v>24540.09</v>
      </c>
      <c r="L28" s="89"/>
      <c r="M28" s="89"/>
      <c r="N28" s="89">
        <f>SUM(F28:M28)</f>
        <v>100799</v>
      </c>
      <c r="O28" s="64"/>
      <c r="P28" s="63"/>
      <c r="Q28" s="63"/>
    </row>
    <row r="29" spans="4:17" ht="30" customHeight="1" x14ac:dyDescent="0.3">
      <c r="D29" s="251"/>
      <c r="E29" s="102" t="s">
        <v>347</v>
      </c>
      <c r="F29" s="89">
        <f>SUMIFS(용수사용량!R:R,용수사용량!O:O,B2,용수사용량!Q:Q,B3,용수사용량!P:P,B5)</f>
        <v>18781780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2634111.2000000002</v>
      </c>
      <c r="I29" s="89">
        <f>SUMIFS(용수사용량!U:U,용수사용량!O:O,B2,용수사용량!Q:Q,B3,용수사용량!P:P,B5)</f>
        <v>6948999.6000000006</v>
      </c>
      <c r="J29" s="89">
        <f>SUMIFS(용수사용량!V:V,용수사용량!O:O,B2,용수사용량!Q:Q,B3,용수사용량!P:P,B5)</f>
        <v>14282440.800000001</v>
      </c>
      <c r="K29" s="89">
        <f>SUMIFS(용수사용량!W:W,용수사용량!O:O,B2,용수사용량!Q:Q,B3,용수사용량!P:P,B5)</f>
        <v>13723908.400000002</v>
      </c>
      <c r="L29" s="89"/>
      <c r="M29" s="89"/>
      <c r="N29" s="89">
        <f>SUM(F29:M29)</f>
        <v>56371240</v>
      </c>
      <c r="O29" s="64"/>
      <c r="P29" s="63"/>
      <c r="Q29" s="63"/>
    </row>
    <row r="30" spans="4:17" ht="30" customHeight="1" x14ac:dyDescent="0.3">
      <c r="D30" s="251"/>
      <c r="E30" s="102" t="s">
        <v>342</v>
      </c>
      <c r="F30" s="188">
        <f>F29/F8</f>
        <v>85.042083669015099</v>
      </c>
      <c r="G30" s="188">
        <f>G29/F8</f>
        <v>0</v>
      </c>
      <c r="H30" s="188">
        <f t="shared" ref="H30:N30" si="10">H29/H8</f>
        <v>12.656174090635224</v>
      </c>
      <c r="I30" s="188">
        <f t="shared" si="10"/>
        <v>33.511412736883841</v>
      </c>
      <c r="J30" s="188">
        <f t="shared" si="10"/>
        <v>135.98153434992057</v>
      </c>
      <c r="K30" s="188">
        <f t="shared" si="10"/>
        <v>360.57982800406069</v>
      </c>
      <c r="L30" s="188"/>
      <c r="M30" s="188"/>
      <c r="N30" s="188">
        <f t="shared" si="10"/>
        <v>71.761145441457657</v>
      </c>
      <c r="O30" s="64"/>
      <c r="P30" s="63"/>
      <c r="Q30" s="63"/>
    </row>
    <row r="31" spans="4:17" ht="30" customHeight="1" x14ac:dyDescent="0.3">
      <c r="D31" s="251"/>
      <c r="E31" s="102" t="s">
        <v>329</v>
      </c>
      <c r="F31" s="188">
        <f>F28/F8</f>
        <v>0.15206623645155679</v>
      </c>
      <c r="G31" s="188">
        <f>G28/F8</f>
        <v>0</v>
      </c>
      <c r="H31" s="188">
        <f t="shared" ref="H31:N31" si="11">H28/H8</f>
        <v>2.2630820865794422E-2</v>
      </c>
      <c r="I31" s="188">
        <f t="shared" si="11"/>
        <v>5.9922740009774191E-2</v>
      </c>
      <c r="J31" s="188">
        <f t="shared" si="11"/>
        <v>0.24315236712913815</v>
      </c>
      <c r="K31" s="188">
        <f t="shared" si="11"/>
        <v>0.64476249574823508</v>
      </c>
      <c r="L31" s="188"/>
      <c r="M31" s="188"/>
      <c r="N31" s="188">
        <f t="shared" si="11"/>
        <v>0.12831812284692498</v>
      </c>
      <c r="O31" s="64"/>
      <c r="P31" s="63"/>
      <c r="Q31" s="63"/>
    </row>
    <row r="32" spans="4:17" ht="30" customHeight="1" x14ac:dyDescent="0.3">
      <c r="D32" s="251" t="s">
        <v>399</v>
      </c>
      <c r="E32" s="102" t="s">
        <v>340</v>
      </c>
      <c r="F32" s="89">
        <f>SUMIFS(용수사용량!F:F,용수사용량!C:C,B2,용수사용량!E:E,B3,용수사용량!D:D,B6)</f>
        <v>23686.949999999997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3326.1</v>
      </c>
      <c r="I32" s="89">
        <f>SUMIFS(용수사용량!I:I,용수사용량!C:C,B2,용수사용량!E:E,B3,용수사용량!D:D,B6)</f>
        <v>8763.6200000000008</v>
      </c>
      <c r="J32" s="89">
        <f>SUMIFS(용수사용량!J:J,용수사용량!C:C,B2,용수사용량!E:E,B3,용수사용량!D:D,B6)</f>
        <v>18019.73</v>
      </c>
      <c r="K32" s="89">
        <f>SUMIFS(용수사용량!K:K,용수사용량!C:C,B2,용수사용량!E:E,B3,용수사용량!D:D,B6)</f>
        <v>17319.599999999999</v>
      </c>
      <c r="L32" s="89"/>
      <c r="M32" s="89"/>
      <c r="N32" s="89">
        <f>SUM(F32:M32)</f>
        <v>71116</v>
      </c>
      <c r="O32" s="64"/>
      <c r="P32" s="63"/>
      <c r="Q32" s="63"/>
    </row>
    <row r="33" spans="4:17" ht="30" customHeight="1" x14ac:dyDescent="0.3">
      <c r="D33" s="251"/>
      <c r="E33" s="102" t="s">
        <v>400</v>
      </c>
      <c r="F33" s="89">
        <f>SUMIFS(용수사용량!R:R,용수사용량!O:O,B2,용수사용량!Q:Q,B3,용수사용량!P:P,'20.1Q'!B6)</f>
        <v>16580865</v>
      </c>
      <c r="G33" s="89">
        <f>SUMIFS(용수사용량!S:S,용수사용량!O:O,B2,용수사용량!Q:Q,B3,용수사용량!P:P,'20.1Q'!B6)</f>
        <v>0</v>
      </c>
      <c r="H33" s="89">
        <f>SUMIFS(용수사용량!T:T,용수사용량!O:O,B2,용수사용량!Q:Q,B3,용수사용량!P:P,'20.1Q'!B6)</f>
        <v>2328270</v>
      </c>
      <c r="I33" s="89">
        <f>SUMIFS(용수사용량!U:U,용수사용량!O:O,B2,용수사용량!Q:Q,B3,용수사용량!P:P,'20.1Q'!B6)</f>
        <v>6134534</v>
      </c>
      <c r="J33" s="89">
        <f>SUMIFS(용수사용량!V:V,용수사용량!O:O,B2,용수사용량!Q:Q,B3,용수사용량!P:P,'20.1Q'!B6)</f>
        <v>12613811</v>
      </c>
      <c r="K33" s="89">
        <f>SUMIFS(용수사용량!W:W,용수사용량!O:O,B2,용수사용량!Q:Q,B3,용수사용량!P:P,'20.1Q'!B6)</f>
        <v>12123720</v>
      </c>
      <c r="L33" s="89"/>
      <c r="M33" s="89"/>
      <c r="N33" s="89">
        <f>SUM(F33:M33)</f>
        <v>49781200</v>
      </c>
      <c r="O33" s="64"/>
      <c r="P33" s="63"/>
      <c r="Q33" s="63"/>
    </row>
    <row r="34" spans="4:17" ht="30" customHeight="1" x14ac:dyDescent="0.3">
      <c r="D34" s="251"/>
      <c r="E34" s="102" t="s">
        <v>342</v>
      </c>
      <c r="F34" s="188">
        <f>F33/F8</f>
        <v>75.076553374315111</v>
      </c>
      <c r="G34" s="188">
        <f>G33/F8</f>
        <v>0</v>
      </c>
      <c r="H34" s="188">
        <f>H33/H8</f>
        <v>11.186691909591087</v>
      </c>
      <c r="I34" s="188">
        <f t="shared" ref="I34:K34" si="12">I33/I8</f>
        <v>29.583668535892127</v>
      </c>
      <c r="J34" s="188">
        <f t="shared" si="12"/>
        <v>120.09469514341734</v>
      </c>
      <c r="K34" s="188">
        <f t="shared" si="12"/>
        <v>318.53672765473937</v>
      </c>
      <c r="L34" s="188"/>
      <c r="M34" s="188"/>
      <c r="N34" s="188">
        <f>N33/N8</f>
        <v>63.37195941494798</v>
      </c>
      <c r="O34" s="64"/>
      <c r="P34" s="63"/>
      <c r="Q34" s="63"/>
    </row>
    <row r="35" spans="4:17" ht="30" customHeight="1" x14ac:dyDescent="0.3">
      <c r="D35" s="251"/>
      <c r="E35" s="102" t="s">
        <v>401</v>
      </c>
      <c r="F35" s="188">
        <f>F32/F8</f>
        <v>0.10725221910616443</v>
      </c>
      <c r="G35" s="188">
        <f>G32/F8</f>
        <v>0</v>
      </c>
      <c r="H35" s="188">
        <f>H32/H8</f>
        <v>1.598098844227298E-2</v>
      </c>
      <c r="I35" s="188">
        <f t="shared" ref="I35:K35" si="13">I32/I8</f>
        <v>4.2262383622703042E-2</v>
      </c>
      <c r="J35" s="188">
        <f t="shared" si="13"/>
        <v>0.17156385020488191</v>
      </c>
      <c r="K35" s="188">
        <f t="shared" si="13"/>
        <v>0.45505246807819905</v>
      </c>
      <c r="L35" s="188"/>
      <c r="M35" s="188"/>
      <c r="N35" s="188">
        <f>N32/N8</f>
        <v>9.0531370592782823E-2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workbookViewId="0">
      <selection activeCell="D28" sqref="D28:N31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413</v>
      </c>
    </row>
    <row r="3" spans="2:24" ht="17.25" thickBot="1" x14ac:dyDescent="0.35">
      <c r="B3" s="52" t="s">
        <v>506</v>
      </c>
    </row>
    <row r="4" spans="2:24" ht="16.5" customHeight="1" thickTop="1" thickBot="1" x14ac:dyDescent="0.35">
      <c r="B4" s="30" t="s">
        <v>397</v>
      </c>
      <c r="E4" s="252" t="s">
        <v>505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214"/>
    </row>
    <row r="5" spans="2:24" ht="39.950000000000003" customHeight="1" thickTop="1" thickBot="1" x14ac:dyDescent="0.35">
      <c r="B5" s="30" t="s">
        <v>328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30" customHeight="1" x14ac:dyDescent="0.3">
      <c r="D7" s="253" t="s">
        <v>59</v>
      </c>
      <c r="E7" s="253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250</v>
      </c>
      <c r="N7" s="216" t="s">
        <v>89</v>
      </c>
      <c r="O7" s="216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80868.709999999992</v>
      </c>
      <c r="G8" s="74"/>
      <c r="H8" s="74">
        <f>SUMIFS(생산량!E:E,생산량!B:B,B2,생산량!C:C,B3)</f>
        <v>77340.400000000009</v>
      </c>
      <c r="I8" s="74">
        <f>SUMIFS(생산량!F:F,생산량!B:B,B2,생산량!C:C,B3)</f>
        <v>72495.7</v>
      </c>
      <c r="J8" s="74">
        <f>SUMIFS(생산량!G:G,생산량!B:B,B2,생산량!C:C,B3)</f>
        <v>39136.428</v>
      </c>
      <c r="K8" s="74">
        <f>SUMIFS(생산량!H:H,생산량!B:B,B2,생산량!C:C,B3)</f>
        <v>13839.311999999998</v>
      </c>
      <c r="L8" s="74">
        <f>SUMIFS(생산량!I:I,생산량!B:B,B2,생산량!C:C,B3)</f>
        <v>6767.7039999999997</v>
      </c>
      <c r="M8" s="64"/>
      <c r="N8" s="69">
        <f>SUM(F8:M8)</f>
        <v>290448.25400000002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856689</v>
      </c>
      <c r="G9" s="70">
        <f t="shared" ref="G9:N9" si="0">G10+G11</f>
        <v>192898</v>
      </c>
      <c r="H9" s="70">
        <f t="shared" si="0"/>
        <v>5963186</v>
      </c>
      <c r="I9" s="70">
        <f t="shared" si="0"/>
        <v>5643841</v>
      </c>
      <c r="J9" s="70">
        <f t="shared" si="0"/>
        <v>2337796</v>
      </c>
      <c r="K9" s="70">
        <f t="shared" si="0"/>
        <v>1726599.9999999998</v>
      </c>
      <c r="L9" s="70">
        <f t="shared" si="0"/>
        <v>59742</v>
      </c>
      <c r="M9" s="66">
        <f t="shared" si="0"/>
        <v>0</v>
      </c>
      <c r="N9" s="70">
        <f t="shared" si="0"/>
        <v>16780752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826156.15118615574</v>
      </c>
      <c r="G10" s="69">
        <f>SUMIFS('라인별전력(본+ESS)'!Z:Z,'라인별전력(본+ESS)'!W:W,B2,'라인별전력(본+ESS)'!X:X,B3)</f>
        <v>185946.55898670931</v>
      </c>
      <c r="H10" s="69">
        <f>SUMIFS('라인별전력(본+ESS)'!AA:AA,'라인별전력(본+ESS)'!W:W,B2,'라인별전력(본+ESS)'!X:X,B3)</f>
        <v>5747518.0167303719</v>
      </c>
      <c r="I10" s="69">
        <f>SUMIFS('라인별전력(본+ESS)'!AB:AB,'라인별전력(본+ESS)'!W:W,B2,'라인별전력(본+ESS)'!X:X,B3)</f>
        <v>5440068.3036586689</v>
      </c>
      <c r="J10" s="69">
        <f>SUMIFS('라인별전력(본+ESS)'!AC:AC,'라인별전력(본+ESS)'!W:W,B2,'라인별전력(본+ESS)'!X:X,B3)</f>
        <v>2254208.648070618</v>
      </c>
      <c r="K10" s="69">
        <f>SUMIFS('라인별전력(본+ESS)'!AD:AD,'라인별전력(본+ESS)'!W:W,B2,'라인별전력(본+ESS)'!X:X,B3)</f>
        <v>1664470.6520954845</v>
      </c>
      <c r="L10" s="69">
        <f>SUMIFS('라인별전력(본+ESS)'!AE:AE,'라인별전력(본+ESS)'!W:W,B2,'라인별전력(본+ESS)'!X:X,B3)</f>
        <v>57595.669271991232</v>
      </c>
      <c r="M10" s="64"/>
      <c r="N10" s="69">
        <f>SUM(F10:M10)</f>
        <v>16175964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30532.848813844292</v>
      </c>
      <c r="G11" s="69">
        <f>SUMIFS('라인별전력(본+ESS)'!O:O,'라인별전력(본+ESS)'!L:L,B2,'라인별전력(본+ESS)'!M:M,B3)</f>
        <v>6951.4410132906987</v>
      </c>
      <c r="H11" s="69">
        <f>SUMIFS('라인별전력(본+ESS)'!P:P,'라인별전력(본+ESS)'!L:L,B2,'라인별전력(본+ESS)'!M:M,B3)</f>
        <v>215667.98326962793</v>
      </c>
      <c r="I11" s="69">
        <f>SUMIFS('라인별전력(본+ESS)'!Q:Q,'라인별전력(본+ESS)'!L:L,B2,'라인별전력(본+ESS)'!M:M,B3)</f>
        <v>203772.69634133123</v>
      </c>
      <c r="J11" s="69">
        <f>SUMIFS('라인별전력(본+ESS)'!R:R,'라인별전력(본+ESS)'!L:L,B2,'라인별전력(본+ESS)'!M:M,B3)</f>
        <v>83587.351929381854</v>
      </c>
      <c r="K11" s="69">
        <f>SUMIFS('라인별전력(본+ESS)'!S:S,'라인별전력(본+ESS)'!L:L,B2,'라인별전력(본+ESS)'!M:M,B3)</f>
        <v>62129.347904515264</v>
      </c>
      <c r="L11" s="69">
        <f>SUMIFS('라인별전력(본+ESS)'!T:T,'라인별전력(본+ESS)'!L:L,B2,'라인별전력(본+ESS)'!M:M,B3)</f>
        <v>2146.3307280087706</v>
      </c>
      <c r="M11" s="64"/>
      <c r="N11" s="69">
        <f>SUM(F11:M11)</f>
        <v>604788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71458035.604320258</v>
      </c>
      <c r="G12" s="71">
        <f>SUMIFS('라인별전력금액(본+ESS)'!Z:Z,'라인별전력금액(본+ESS)'!W:W,B2,'라인별전력금액(본+ESS)'!X:X,B3)</f>
        <v>15885577.480904421</v>
      </c>
      <c r="H12" s="71">
        <f>SUMIFS('라인별전력금액(본+ESS)'!AA:AA,'라인별전력금액(본+ESS)'!W:W,B2,'라인별전력금액(본+ESS)'!X:X,B3)</f>
        <v>488755887.00166249</v>
      </c>
      <c r="I12" s="71">
        <f>SUMIFS('라인별전력금액(본+ESS)'!AB:AB,'라인별전력금액(본+ESS)'!W:W,B2,'라인별전력금액(본+ESS)'!X:X,B3)</f>
        <v>463482612.86775225</v>
      </c>
      <c r="J12" s="71">
        <f>SUMIFS('라인별전력금액(본+ESS)'!AC:AC,'라인별전력금액(본+ESS)'!W:W,B2,'라인별전력금액(본+ESS)'!X:X,B3)</f>
        <v>194208032.69105208</v>
      </c>
      <c r="K12" s="71">
        <f>SUMIFS('라인별전력금액(본+ESS)'!AD:AD,'라인별전력금액(본+ESS)'!W:W,B2,'라인별전력금액(본+ESS)'!X:X,B3)</f>
        <v>142356007.15368745</v>
      </c>
      <c r="L12" s="71">
        <f>SUMIFS('라인별전력금액(본+ESS)'!AE:AE,'라인별전력금액(본+ESS)'!W:W,B2,'라인별전력금액(본+ESS)'!X:X,B3)</f>
        <v>4934069.500621222</v>
      </c>
      <c r="M12" s="68"/>
      <c r="N12" s="71">
        <f>SUM(F12:M12)</f>
        <v>1381080222.3000002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719780.27167889208</v>
      </c>
      <c r="G13" s="71">
        <f>SUMIFS('라인별전력금액(본+ESS)'!O:O,'라인별전력금액(본+ESS)'!L:L,B2,'라인별전력금액(본+ESS)'!M:M,B3)</f>
        <v>163786.17695705258</v>
      </c>
      <c r="H13" s="71">
        <f>SUMIFS('라인별전력금액(본+ESS)'!P:P,'라인별전력금액(본+ESS)'!L:L,B2,'라인별전력금액(본+ESS)'!M:M,B3)</f>
        <v>5080280.9994031321</v>
      </c>
      <c r="I13" s="71">
        <f>SUMIFS('라인별전력금액(본+ESS)'!Q:Q,'라인별전력금액(본+ESS)'!L:L,B2,'라인별전력금액(본+ESS)'!M:M,B3)</f>
        <v>4800434.2381669283</v>
      </c>
      <c r="J13" s="71">
        <f>SUMIFS('라인별전력금액(본+ESS)'!R:R,'라인별전력금액(본+ESS)'!L:L,B2,'라인별전력금액(본+ESS)'!M:M,B3)</f>
        <v>1970089.7078560954</v>
      </c>
      <c r="K13" s="71">
        <f>SUMIFS('라인별전력금액(본+ESS)'!S:S,'라인별전력금액(본+ESS)'!L:L,B2,'라인별전력금액(본+ESS)'!M:M,B3)</f>
        <v>1463868.5456723131</v>
      </c>
      <c r="L13" s="71">
        <f>SUMIFS('라인별전력금액(본+ESS)'!T:T,'라인별전력금액(본+ESS)'!L:L,B2,'라인별전력금액(본+ESS)'!M:M,B3)</f>
        <v>50574.060265588152</v>
      </c>
      <c r="M13" s="68"/>
      <c r="N13" s="71">
        <f>SUM(F13:M13)</f>
        <v>14248814.000000002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72177815.875999153</v>
      </c>
      <c r="G14" s="70">
        <f t="shared" ref="G14:N14" si="1">SUM(G12:G13)</f>
        <v>16049363.657861473</v>
      </c>
      <c r="H14" s="70">
        <f t="shared" si="1"/>
        <v>493836168.00106561</v>
      </c>
      <c r="I14" s="70">
        <f t="shared" si="1"/>
        <v>468283047.10591918</v>
      </c>
      <c r="J14" s="70">
        <f t="shared" si="1"/>
        <v>196178122.39890817</v>
      </c>
      <c r="K14" s="70">
        <f t="shared" si="1"/>
        <v>143819875.69935977</v>
      </c>
      <c r="L14" s="70">
        <f t="shared" si="1"/>
        <v>4984643.5608868105</v>
      </c>
      <c r="M14" s="66"/>
      <c r="N14" s="70">
        <f t="shared" si="1"/>
        <v>1395329036.3000002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85337019.504274324</v>
      </c>
      <c r="G15" s="72">
        <f t="shared" si="2"/>
        <v>18975426.769010093</v>
      </c>
      <c r="H15" s="72">
        <f t="shared" si="2"/>
        <v>583870628.24155664</v>
      </c>
      <c r="I15" s="72">
        <f t="shared" si="2"/>
        <v>553658752.89234293</v>
      </c>
      <c r="J15" s="72">
        <f t="shared" si="2"/>
        <v>231944622.51710239</v>
      </c>
      <c r="K15" s="72">
        <f t="shared" si="2"/>
        <v>170040605.81084573</v>
      </c>
      <c r="L15" s="72">
        <f t="shared" si="2"/>
        <v>5893426.1118131233</v>
      </c>
      <c r="M15" s="67"/>
      <c r="N15" s="72">
        <f>SUM(F15:M15)</f>
        <v>1649720481.8469453</v>
      </c>
      <c r="O15" s="64"/>
      <c r="P15" s="93"/>
      <c r="Q15" s="94">
        <f>SUMIFS(리스추정치!E:E,리스추정치!B:B,B2,리스추정치!C:C,B3)</f>
        <v>254391445.5469451</v>
      </c>
      <c r="R15" s="95">
        <f t="shared" ref="R15:X15" si="3">$Q$15*(F14/$N$14)</f>
        <v>13159203.628275175</v>
      </c>
      <c r="S15" s="95">
        <f t="shared" si="3"/>
        <v>2926063.1111486214</v>
      </c>
      <c r="T15" s="95">
        <f t="shared" si="3"/>
        <v>90034460.240491092</v>
      </c>
      <c r="U15" s="95">
        <f t="shared" si="3"/>
        <v>85375705.786423713</v>
      </c>
      <c r="V15" s="95">
        <f t="shared" si="3"/>
        <v>35766500.118194215</v>
      </c>
      <c r="W15" s="95">
        <f t="shared" si="3"/>
        <v>26220730.111485954</v>
      </c>
      <c r="X15" s="96">
        <f t="shared" si="3"/>
        <v>908782.55092631257</v>
      </c>
    </row>
    <row r="16" spans="2:24" ht="30" customHeight="1" x14ac:dyDescent="0.3">
      <c r="D16" s="251"/>
      <c r="E16" s="102" t="s">
        <v>338</v>
      </c>
      <c r="F16" s="189">
        <f>F15/F8</f>
        <v>1055.2538738935532</v>
      </c>
      <c r="G16" s="189">
        <f>G15/F8</f>
        <v>234.64485545781667</v>
      </c>
      <c r="H16" s="188">
        <f>H15/H8</f>
        <v>7549.3613718258066</v>
      </c>
      <c r="I16" s="188">
        <f t="shared" ref="I16:N16" si="4">I15/I8</f>
        <v>7637.1254142292983</v>
      </c>
      <c r="J16" s="188">
        <f t="shared" si="4"/>
        <v>5926.5659737036394</v>
      </c>
      <c r="K16" s="188">
        <f t="shared" si="4"/>
        <v>12286.78172808343</v>
      </c>
      <c r="L16" s="188">
        <f t="shared" si="4"/>
        <v>870.81617514789707</v>
      </c>
      <c r="M16" s="188"/>
      <c r="N16" s="188">
        <f t="shared" si="4"/>
        <v>5679.9118573697651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188">
        <f>F9/F8</f>
        <v>10.593578158969025</v>
      </c>
      <c r="G17" s="188">
        <f>G9/F8</f>
        <v>2.3853230748950986</v>
      </c>
      <c r="H17" s="188">
        <f>H9/H8</f>
        <v>77.103118163340241</v>
      </c>
      <c r="I17" s="188">
        <f t="shared" ref="I17:N17" si="5">I9/I8</f>
        <v>77.850700110489313</v>
      </c>
      <c r="J17" s="188">
        <f t="shared" si="5"/>
        <v>59.734526615459131</v>
      </c>
      <c r="K17" s="188">
        <f t="shared" si="5"/>
        <v>124.76053722901833</v>
      </c>
      <c r="L17" s="188">
        <f t="shared" si="5"/>
        <v>8.8275137328701145</v>
      </c>
      <c r="M17" s="188"/>
      <c r="N17" s="188">
        <f t="shared" si="5"/>
        <v>57.775358498109611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233298.72221949906</v>
      </c>
      <c r="G18" s="89">
        <f>SUMIFS(LNG사용량!E:E,LNG사용량!B:B,B2,LNG사용량!C:C,B3)</f>
        <v>236782</v>
      </c>
      <c r="H18" s="89"/>
      <c r="I18" s="89">
        <f>SUMIFS(LNG사용량!F:F,LNG사용량!B:B,B2,LNG사용량!C:C,B3)</f>
        <v>1440919</v>
      </c>
      <c r="J18" s="89">
        <f>SUMIFS(LNG사용량!G:G,LNG사용량!B:B,B2,LNG사용량!C:C,B3)</f>
        <v>993422</v>
      </c>
      <c r="K18" s="89">
        <f>SUMIFS(LNG사용량!H:H,LNG사용량!B:B,B2,LNG사용량!C:C,B3)</f>
        <v>825070.27778050094</v>
      </c>
      <c r="L18" s="89"/>
      <c r="M18" s="89">
        <f>SUMIFS(LNG사용량!I:I,LNG사용량!B:B,B2,LNG사용량!C:C,B3)</f>
        <v>7759.7858999999999</v>
      </c>
      <c r="N18" s="89">
        <f>SUM(F18:M18)</f>
        <v>3737251.7859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143395044.26108009</v>
      </c>
      <c r="G19" s="89">
        <f>SUMIFS(LNG금액!E:E,LNG금액!B:B,B2,LNG금액!C:C,B3)</f>
        <v>145453101.21590748</v>
      </c>
      <c r="H19" s="89"/>
      <c r="I19" s="89">
        <f>SUMIFS(LNG금액!F:F,LNG금액!B:B,B2,LNG금액!C:C,B3)</f>
        <v>884991691.43228328</v>
      </c>
      <c r="J19" s="89">
        <f>SUMIFS(LNG금액!G:G,LNG금액!B:B,B2,LNG금액!C:C,B3)</f>
        <v>610157246.98613143</v>
      </c>
      <c r="K19" s="89">
        <f>SUMIFS(LNG금액!H:H,LNG금액!B:B,B2,LNG금액!C:C,B3)</f>
        <v>506684547.43859076</v>
      </c>
      <c r="L19" s="89"/>
      <c r="M19" s="89">
        <f>SUMIFS(LNG금액!I:I,LNG금액!B:B,B2,LNG금액!C:C,B3)</f>
        <v>4762067.2242143163</v>
      </c>
      <c r="N19" s="89">
        <f>SUM(F19:M19)</f>
        <v>2295443698.5582075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1773.1832776988788</v>
      </c>
      <c r="G20" s="188">
        <f>G19/F8</f>
        <v>1798.6326382096054</v>
      </c>
      <c r="H20" s="188"/>
      <c r="I20" s="188">
        <f>I19/I8</f>
        <v>12207.505982179402</v>
      </c>
      <c r="J20" s="188">
        <f t="shared" ref="J20:L20" si="6">J19/J8</f>
        <v>15590.519579000194</v>
      </c>
      <c r="K20" s="188">
        <f t="shared" si="6"/>
        <v>36611.975179011126</v>
      </c>
      <c r="L20" s="188">
        <f t="shared" si="6"/>
        <v>0</v>
      </c>
      <c r="M20" s="188"/>
      <c r="N20" s="188">
        <f>N19/(N8-H8-L8)</f>
        <v>11124.561548289112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2.8849071812756639</v>
      </c>
      <c r="G21" s="188">
        <f>G18/F8</f>
        <v>2.9279804265456941</v>
      </c>
      <c r="H21" s="188"/>
      <c r="I21" s="188">
        <f>I18/I8</f>
        <v>19.875923675473167</v>
      </c>
      <c r="J21" s="188">
        <f t="shared" ref="J21:K21" si="7">J18/J8</f>
        <v>25.383563364546198</v>
      </c>
      <c r="K21" s="188">
        <f t="shared" si="7"/>
        <v>59.617868126717646</v>
      </c>
      <c r="L21" s="188"/>
      <c r="M21" s="188"/>
      <c r="N21" s="188">
        <f>N18/(N8-H8-L8)</f>
        <v>18.112092028138974</v>
      </c>
      <c r="O21" s="64"/>
      <c r="P21" s="93"/>
      <c r="Q21" s="63"/>
    </row>
    <row r="22" spans="4:17" ht="30" customHeight="1" x14ac:dyDescent="0.3">
      <c r="D22" s="215" t="s">
        <v>321</v>
      </c>
      <c r="E22" s="102" t="s">
        <v>344</v>
      </c>
      <c r="F22" s="64">
        <f>SUMIFS(LNG사용량!K:K,LNG사용량!B:B,B2,LNG사용량!C:C,B3)/1000</f>
        <v>2959.8719999999998</v>
      </c>
      <c r="G22" s="64"/>
      <c r="H22" s="64"/>
      <c r="I22" s="64"/>
      <c r="J22" s="64"/>
      <c r="K22" s="64">
        <f>SUMIFS(LNG사용량!L:L,LNG사용량!B:B,B2,LNG사용량!C:C,B3)/1000</f>
        <v>2001.94</v>
      </c>
      <c r="L22" s="64"/>
      <c r="M22" s="64"/>
      <c r="N22" s="64">
        <f>SUM(F22:M22)</f>
        <v>4961.8119999999999</v>
      </c>
      <c r="O22" s="101" t="s">
        <v>326</v>
      </c>
      <c r="P22" s="63"/>
      <c r="Q22" s="63"/>
    </row>
    <row r="23" spans="4:17" ht="30" hidden="1" customHeight="1" x14ac:dyDescent="0.3">
      <c r="D23" s="215"/>
      <c r="E23" s="102"/>
      <c r="F23" s="199">
        <f>F22/N22</f>
        <v>0.59653046104931018</v>
      </c>
      <c r="G23" s="64"/>
      <c r="H23" s="64"/>
      <c r="I23" s="64"/>
      <c r="J23" s="64"/>
      <c r="K23" s="199">
        <f>K22/N22</f>
        <v>0.40346953895068982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51" t="s">
        <v>327</v>
      </c>
      <c r="E24" s="102" t="s">
        <v>340</v>
      </c>
      <c r="F24" s="89">
        <f>SUMIFS(용수사용량!F:F,용수사용량!C:C,B2,용수사용량!E:E,B3,용수사용량!D:D,B4)</f>
        <v>2586.2555002428121</v>
      </c>
      <c r="G24" s="89">
        <f>SUMIFS(용수사용량!G:G,용수사용량!C:C,B2,용수사용량!E:E,B3,용수사용량!D:D,B4)</f>
        <v>1436.0795448728795</v>
      </c>
      <c r="H24" s="89">
        <f>SUMIFS(용수사용량!H:H,용수사용량!C:C,B2,용수사용량!E:E,B3,용수사용량!D:D,B4)</f>
        <v>427.38750423331169</v>
      </c>
      <c r="I24" s="89">
        <f>SUMIFS(용수사용량!I:I,용수사용량!C:C,B2,용수사용량!E:E,B3,용수사용량!D:D,B4)</f>
        <v>1319.2622699232863</v>
      </c>
      <c r="J24" s="89">
        <f>SUMIFS(용수사용량!J:J,용수사용량!C:C,B2,용수사용량!E:E,B3,용수사용량!D:D,B4)</f>
        <v>2750.9139294273991</v>
      </c>
      <c r="K24" s="89">
        <f>SUMIFS(용수사용량!K:K,용수사용량!C:C,B2,용수사용량!E:E,B3,용수사용량!D:D,B4)</f>
        <v>2984.1012513003116</v>
      </c>
      <c r="L24" s="89"/>
      <c r="M24" s="89"/>
      <c r="N24" s="89">
        <f>SUM(F24:M24)</f>
        <v>11504</v>
      </c>
      <c r="O24" s="64"/>
      <c r="P24" s="63"/>
      <c r="Q24" s="63"/>
    </row>
    <row r="25" spans="4:17" ht="30" customHeight="1" x14ac:dyDescent="0.3">
      <c r="D25" s="251"/>
      <c r="E25" s="102" t="s">
        <v>345</v>
      </c>
      <c r="F25" s="89">
        <f>SUMIFS(용수사용량!R:R,용수사용량!O:O,B2,용수사용량!Q:Q,B3,용수사용량!P:P,B4)</f>
        <v>11605990.735756624</v>
      </c>
      <c r="G25" s="89">
        <f>SUMIFS(용수사용량!S:S,용수사용량!O:O,B2,용수사용량!Q:Q,B3,용수사용량!P:P,B4)</f>
        <v>6443310.7070261706</v>
      </c>
      <c r="H25" s="89">
        <f>SUMIFS(용수사용량!T:T,용수사용량!O:O,B2,용수사용량!Q:Q,B3,용수사용량!P:P,B4)</f>
        <v>1916958.1404535617</v>
      </c>
      <c r="I25" s="89">
        <f>SUMIFS(용수사용량!U:U,용수사용량!O:O,B2,용수사용량!Q:Q,B3,용수사용량!P:P,B4)</f>
        <v>5919836.7056030529</v>
      </c>
      <c r="J25" s="89">
        <f>SUMIFS(용수사용량!V:V,용수사용량!O:O,B2,용수사용량!Q:Q,B3,용수사용량!P:P,B4)</f>
        <v>12344155.723085098</v>
      </c>
      <c r="K25" s="89">
        <f>SUMIFS(용수사용량!W:W,용수사용량!O:O,B2,용수사용량!Q:Q,B3,용수사용량!P:P,B4)</f>
        <v>13391297.988075491</v>
      </c>
      <c r="L25" s="89"/>
      <c r="M25" s="89"/>
      <c r="N25" s="89">
        <f>SUM(F25:M25)</f>
        <v>51621550</v>
      </c>
      <c r="O25" s="64"/>
      <c r="P25" s="63"/>
      <c r="Q25" s="63"/>
    </row>
    <row r="26" spans="4:17" ht="30" customHeight="1" x14ac:dyDescent="0.3">
      <c r="D26" s="251"/>
      <c r="E26" s="102" t="s">
        <v>342</v>
      </c>
      <c r="F26" s="188">
        <f>F25/F8</f>
        <v>143.51645693070441</v>
      </c>
      <c r="G26" s="188">
        <f>G25/F8</f>
        <v>79.676190049602269</v>
      </c>
      <c r="H26" s="188">
        <f>H25/H8</f>
        <v>24.78598688982164</v>
      </c>
      <c r="I26" s="188">
        <f t="shared" ref="I26:K26" si="8">I25/I8</f>
        <v>81.657763227378354</v>
      </c>
      <c r="J26" s="188">
        <f t="shared" si="8"/>
        <v>315.41344864393596</v>
      </c>
      <c r="K26" s="188">
        <f t="shared" si="8"/>
        <v>967.62743610921507</v>
      </c>
      <c r="L26" s="188"/>
      <c r="M26" s="188"/>
      <c r="N26" s="188">
        <f>N25/N8</f>
        <v>177.73062598613521</v>
      </c>
      <c r="O26" s="64"/>
      <c r="P26" s="63"/>
      <c r="Q26" s="63"/>
    </row>
    <row r="27" spans="4:17" ht="30" customHeight="1" x14ac:dyDescent="0.3">
      <c r="D27" s="251"/>
      <c r="E27" s="102" t="s">
        <v>346</v>
      </c>
      <c r="F27" s="188">
        <f>F24/F8</f>
        <v>3.1980916973237392E-2</v>
      </c>
      <c r="G27" s="188">
        <f>G24/F8</f>
        <v>1.7758160664030374E-2</v>
      </c>
      <c r="H27" s="188">
        <f t="shared" ref="H27:K27" si="9">H24/H8</f>
        <v>5.5260575874098352E-3</v>
      </c>
      <c r="I27" s="188">
        <f t="shared" si="9"/>
        <v>1.8197800282268969E-2</v>
      </c>
      <c r="J27" s="188">
        <f t="shared" si="9"/>
        <v>7.0290368079258508E-2</v>
      </c>
      <c r="K27" s="188">
        <f t="shared" si="9"/>
        <v>0.21562497119078694</v>
      </c>
      <c r="L27" s="188"/>
      <c r="M27" s="188"/>
      <c r="N27" s="188">
        <f>N24/N8</f>
        <v>3.96077436912394E-2</v>
      </c>
      <c r="O27" s="64"/>
      <c r="P27" s="63"/>
      <c r="Q27" s="63"/>
    </row>
    <row r="28" spans="4:17" ht="30" customHeight="1" x14ac:dyDescent="0.3">
      <c r="D28" s="251" t="s">
        <v>328</v>
      </c>
      <c r="E28" s="102" t="s">
        <v>340</v>
      </c>
      <c r="F28" s="89">
        <f>SUMIFS(용수사용량!F:F,용수사용량!C:C,B2,용수사용량!E:E,B3,용수사용량!D:D,B5)</f>
        <v>20627.994973085035</v>
      </c>
      <c r="G28" s="89">
        <f>SUMIFS(용수사용량!G:G,용수사용량!C:C,B2,용수사용량!E:E,B3,용수사용량!D:D,B5)</f>
        <v>11178.893512931661</v>
      </c>
      <c r="H28" s="89">
        <f>SUMIFS(용수사용량!H:H,용수사용량!C:C,B2,용수사용량!E:E,B3,용수사용량!D:D,B5)</f>
        <v>3430.2433784303444</v>
      </c>
      <c r="I28" s="89">
        <f>SUMIFS(용수사용량!I:I,용수사용량!C:C,B2,용수사용량!E:E,B3,용수사용량!D:D,B5)</f>
        <v>10644.818593710981</v>
      </c>
      <c r="J28" s="89">
        <f>SUMIFS(용수사용량!J:J,용수사용량!C:C,B2,용수사용량!E:E,B3,용수사용량!D:D,B5)</f>
        <v>22152.809754960996</v>
      </c>
      <c r="K28" s="89">
        <f>SUMIFS(용수사용량!K:K,용수사용량!C:C,B2,용수사용량!E:E,B3,용수사용량!D:D,B5)</f>
        <v>23789.239786880978</v>
      </c>
      <c r="L28" s="89"/>
      <c r="M28" s="89"/>
      <c r="N28" s="89">
        <f>SUM(F28:M28)</f>
        <v>91823.999999999985</v>
      </c>
      <c r="O28" s="64"/>
      <c r="P28" s="63"/>
      <c r="Q28" s="63"/>
    </row>
    <row r="29" spans="4:17" ht="30" customHeight="1" x14ac:dyDescent="0.3">
      <c r="D29" s="251"/>
      <c r="E29" s="102" t="s">
        <v>347</v>
      </c>
      <c r="F29" s="89">
        <f>SUMIFS(용수사용량!R:R,용수사용량!O:O,B2,용수사용량!Q:Q,B3,용수사용량!P:P,B5)</f>
        <v>11534579.564171225</v>
      </c>
      <c r="G29" s="89">
        <f>SUMIFS(용수사용량!S:S,용수사용량!O:O,B2,용수사용량!Q:Q,B3,용수사용량!P:P,B5)</f>
        <v>6250634.8913217187</v>
      </c>
      <c r="H29" s="89">
        <f>SUMIFS(용수사용량!T:T,용수사용량!O:O,B2,용수사용량!Q:Q,B3,용수사용량!P:P,B5)</f>
        <v>1918068.7301005127</v>
      </c>
      <c r="I29" s="89">
        <f>SUMIFS(용수사용량!U:U,용수사용량!O:O,B2,용수사용량!Q:Q,B3,용수사용량!P:P,B5)</f>
        <v>5952357.7876181416</v>
      </c>
      <c r="J29" s="89">
        <f>SUMIFS(용수사용량!V:V,용수사용량!O:O,B2,용수사용량!Q:Q,B3,용수사용량!P:P,B5)</f>
        <v>12387354.744557599</v>
      </c>
      <c r="K29" s="89">
        <f>SUMIFS(용수사용량!W:W,용수사용량!O:O,B2,용수사용량!Q:Q,B3,용수사용량!P:P,B5)</f>
        <v>13302244.282230804</v>
      </c>
      <c r="L29" s="89"/>
      <c r="M29" s="89"/>
      <c r="N29" s="89">
        <f>SUM(F29:M29)</f>
        <v>51345240</v>
      </c>
      <c r="O29" s="64"/>
      <c r="P29" s="63"/>
      <c r="Q29" s="63"/>
    </row>
    <row r="30" spans="4:17" ht="30" customHeight="1" x14ac:dyDescent="0.3">
      <c r="D30" s="251"/>
      <c r="E30" s="102" t="s">
        <v>342</v>
      </c>
      <c r="F30" s="188">
        <f>F29/F8</f>
        <v>142.63340622313905</v>
      </c>
      <c r="G30" s="188">
        <f>G29/F8</f>
        <v>77.293614443976153</v>
      </c>
      <c r="H30" s="188">
        <f t="shared" ref="H30:N30" si="10">H29/H8</f>
        <v>24.800346650657517</v>
      </c>
      <c r="I30" s="188">
        <f t="shared" si="10"/>
        <v>82.106356482082958</v>
      </c>
      <c r="J30" s="188">
        <f t="shared" si="10"/>
        <v>316.51725457820521</v>
      </c>
      <c r="K30" s="188">
        <f t="shared" si="10"/>
        <v>961.19259990892647</v>
      </c>
      <c r="L30" s="188"/>
      <c r="M30" s="188"/>
      <c r="N30" s="188">
        <f t="shared" si="10"/>
        <v>176.77930334537317</v>
      </c>
      <c r="O30" s="64"/>
      <c r="P30" s="63"/>
      <c r="Q30" s="63"/>
    </row>
    <row r="31" spans="4:17" ht="30" customHeight="1" x14ac:dyDescent="0.3">
      <c r="D31" s="251"/>
      <c r="E31" s="102" t="s">
        <v>329</v>
      </c>
      <c r="F31" s="188">
        <f>F28/F8</f>
        <v>0.25508005473421103</v>
      </c>
      <c r="G31" s="188">
        <f>G28/F8</f>
        <v>0.13823509133423376</v>
      </c>
      <c r="H31" s="188">
        <f t="shared" ref="H31:N31" si="11">H28/H8</f>
        <v>4.4352542505990966E-2</v>
      </c>
      <c r="I31" s="188">
        <f t="shared" si="11"/>
        <v>0.14683379281407011</v>
      </c>
      <c r="J31" s="188">
        <f t="shared" si="11"/>
        <v>0.56604066561621302</v>
      </c>
      <c r="K31" s="188">
        <f t="shared" si="11"/>
        <v>1.7189611583929159</v>
      </c>
      <c r="L31" s="188"/>
      <c r="M31" s="188"/>
      <c r="N31" s="188">
        <f t="shared" si="11"/>
        <v>0.31614581508209028</v>
      </c>
      <c r="O31" s="64"/>
      <c r="P31" s="63"/>
      <c r="Q31" s="63"/>
    </row>
    <row r="32" spans="4:17" ht="30" customHeight="1" x14ac:dyDescent="0.3">
      <c r="D32" s="251" t="s">
        <v>355</v>
      </c>
      <c r="E32" s="102" t="s">
        <v>340</v>
      </c>
      <c r="F32" s="89">
        <f>SUMIFS(용수사용량!F:F,용수사용량!C:C,B2,용수사용량!E:E,B3,용수사용량!D:D,B6)</f>
        <v>14496.679440294483</v>
      </c>
      <c r="G32" s="89">
        <f>SUMIFS(용수사용량!G:G,용수사용량!C:C,B2,용수사용량!E:E,B3,용수사용량!D:D,B6)</f>
        <v>8143.1853931506857</v>
      </c>
      <c r="H32" s="89">
        <f>SUMIFS(용수사용량!H:H,용수사용량!C:C,B2,용수사용량!E:E,B3,용수사용량!D:D,B6)</f>
        <v>2485.0443320473514</v>
      </c>
      <c r="I32" s="89">
        <f>SUMIFS(용수사용량!I:I,용수사용량!C:C,B2,용수사용량!E:E,B3,용수사용량!D:D,B6)</f>
        <v>7441.2371858608012</v>
      </c>
      <c r="J32" s="89">
        <f>SUMIFS(용수사용량!J:J,용수사용량!C:C,B2,용수사용량!E:E,B3,용수사용량!D:D,B6)</f>
        <v>15499.086100414021</v>
      </c>
      <c r="K32" s="89">
        <f>SUMIFS(용수사용량!K:K,용수사용량!C:C,B2,용수사용량!E:E,B3,용수사용량!D:D,B6)</f>
        <v>16730.767548232659</v>
      </c>
      <c r="L32" s="89"/>
      <c r="M32" s="89"/>
      <c r="N32" s="89">
        <f>SUM(F32:M32)</f>
        <v>64796</v>
      </c>
      <c r="O32" s="64"/>
      <c r="P32" s="63"/>
      <c r="Q32" s="63"/>
    </row>
    <row r="33" spans="4:17" ht="30" customHeight="1" x14ac:dyDescent="0.3">
      <c r="D33" s="251"/>
      <c r="E33" s="102" t="s">
        <v>400</v>
      </c>
      <c r="F33" s="89">
        <f>SUMIFS(용수사용량!R:R,용수사용량!O:O,B2,용수사용량!Q:Q,B3,용수사용량!P:P,'20.2Q'!B6)</f>
        <v>10147675.608206138</v>
      </c>
      <c r="G33" s="89">
        <f>SUMIFS(용수사용량!S:S,용수사용량!O:O,B2,용수사용량!Q:Q,B3,용수사용량!P:P,'20.2Q'!B6)</f>
        <v>5700229.7752054799</v>
      </c>
      <c r="H33" s="89">
        <f>SUMIFS(용수사용량!T:T,용수사용량!O:O,B2,용수사용량!Q:Q,B3,용수사용량!P:P,'20.2Q'!B6)</f>
        <v>1739531.0324331457</v>
      </c>
      <c r="I33" s="89">
        <f>SUMIFS(용수사용량!U:U,용수사용량!O:O,B2,용수사용량!Q:Q,B3,용수사용량!P:P,'20.2Q'!B6)</f>
        <v>5208866.0301025612</v>
      </c>
      <c r="J33" s="89">
        <f>SUMIFS(용수사용량!V:V,용수사용량!O:O,B2,용수사용량!Q:Q,B3,용수사용량!P:P,'20.2Q'!B6)</f>
        <v>10849360.270289814</v>
      </c>
      <c r="K33" s="89">
        <f>SUMIFS(용수사용량!W:W,용수사용량!O:O,B2,용수사용량!Q:Q,B3,용수사용량!P:P,'20.2Q'!B6)</f>
        <v>11711537.283762859</v>
      </c>
      <c r="L33" s="89"/>
      <c r="M33" s="89"/>
      <c r="N33" s="89">
        <f>SUM(F33:M33)</f>
        <v>45357200</v>
      </c>
      <c r="O33" s="64"/>
      <c r="P33" s="63"/>
      <c r="Q33" s="63"/>
    </row>
    <row r="34" spans="4:17" ht="30" customHeight="1" x14ac:dyDescent="0.3">
      <c r="D34" s="251"/>
      <c r="E34" s="102" t="s">
        <v>342</v>
      </c>
      <c r="F34" s="188">
        <f>F33/F8</f>
        <v>125.48333722902392</v>
      </c>
      <c r="G34" s="188">
        <f>G33/F8</f>
        <v>70.487457697859654</v>
      </c>
      <c r="H34" s="188">
        <f>H33/H8</f>
        <v>22.491880471695847</v>
      </c>
      <c r="I34" s="188">
        <f t="shared" ref="I34:K34" si="12">I33/I8</f>
        <v>71.850689490584429</v>
      </c>
      <c r="J34" s="188">
        <f t="shared" si="12"/>
        <v>277.21897027214169</v>
      </c>
      <c r="K34" s="188">
        <f t="shared" si="12"/>
        <v>846.25140930147836</v>
      </c>
      <c r="L34" s="188"/>
      <c r="M34" s="188"/>
      <c r="N34" s="188">
        <f>N33/N8</f>
        <v>156.16275661963525</v>
      </c>
      <c r="O34" s="64"/>
      <c r="P34" s="63"/>
      <c r="Q34" s="63"/>
    </row>
    <row r="35" spans="4:17" ht="30" customHeight="1" x14ac:dyDescent="0.3">
      <c r="D35" s="251"/>
      <c r="E35" s="102" t="s">
        <v>401</v>
      </c>
      <c r="F35" s="188">
        <f>F32/F8</f>
        <v>0.17926191032717703</v>
      </c>
      <c r="G35" s="188">
        <f>G32/F8</f>
        <v>0.10069636813979951</v>
      </c>
      <c r="H35" s="188">
        <f>H32/H8</f>
        <v>3.2131257816708357E-2</v>
      </c>
      <c r="I35" s="188">
        <f t="shared" ref="I35:K35" si="13">I32/I8</f>
        <v>0.10264384212940632</v>
      </c>
      <c r="J35" s="188">
        <f t="shared" si="13"/>
        <v>0.39602710038877387</v>
      </c>
      <c r="K35" s="188">
        <f t="shared" si="13"/>
        <v>1.2089305847163978</v>
      </c>
      <c r="L35" s="188"/>
      <c r="M35" s="188"/>
      <c r="N35" s="188">
        <f>N32/N8</f>
        <v>0.22308965231376462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workbookViewId="0">
      <selection activeCell="F10" sqref="F10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414</v>
      </c>
    </row>
    <row r="3" spans="2:24" ht="17.25" thickBot="1" x14ac:dyDescent="0.35">
      <c r="B3" s="52" t="s">
        <v>526</v>
      </c>
    </row>
    <row r="4" spans="2:24" ht="16.5" customHeight="1" thickTop="1" thickBot="1" x14ac:dyDescent="0.35">
      <c r="B4" s="30" t="s">
        <v>353</v>
      </c>
      <c r="E4" s="252" t="s">
        <v>525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222"/>
    </row>
    <row r="5" spans="2:24" ht="39.950000000000003" customHeight="1" thickTop="1" thickBot="1" x14ac:dyDescent="0.35">
      <c r="B5" s="30" t="s">
        <v>328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30" customHeight="1" x14ac:dyDescent="0.3">
      <c r="D7" s="253" t="s">
        <v>59</v>
      </c>
      <c r="E7" s="253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250</v>
      </c>
      <c r="N7" s="224" t="s">
        <v>89</v>
      </c>
      <c r="O7" s="224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SUMIFS(생산량!D:D,생산량!B:B,B2,생산량!C:C,B3)</f>
        <v>61004.892999999996</v>
      </c>
      <c r="G8" s="74"/>
      <c r="H8" s="74">
        <f>SUMIFS(생산량!E:E,생산량!B:B,B2,생산량!C:C,B3)</f>
        <v>59379.133000000002</v>
      </c>
      <c r="I8" s="74">
        <f>SUMIFS(생산량!F:F,생산량!B:B,B2,생산량!C:C,B3)</f>
        <v>58579.71</v>
      </c>
      <c r="J8" s="74">
        <f>SUMIFS(생산량!G:G,생산량!B:B,B2,생산량!C:C,B3)</f>
        <v>27473.46</v>
      </c>
      <c r="K8" s="74">
        <f>SUMIFS(생산량!H:H,생산량!B:B,B2,생산량!C:C,B3)</f>
        <v>9591.2000000000007</v>
      </c>
      <c r="L8" s="74">
        <f>SUMIFS(생산량!I:I,생산량!B:B,B2,생산량!C:C,B3)</f>
        <v>3650.8450000000003</v>
      </c>
      <c r="M8" s="64"/>
      <c r="N8" s="69">
        <f>SUM(F8:M8)</f>
        <v>219679.24100000001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635733</v>
      </c>
      <c r="G9" s="70">
        <f t="shared" ref="G9:N9" si="0">G10+G11</f>
        <v>137498</v>
      </c>
      <c r="H9" s="70">
        <f t="shared" si="0"/>
        <v>4289177</v>
      </c>
      <c r="I9" s="70">
        <f t="shared" si="0"/>
        <v>4224290</v>
      </c>
      <c r="J9" s="70">
        <f t="shared" si="0"/>
        <v>1553932</v>
      </c>
      <c r="K9" s="70">
        <f t="shared" si="0"/>
        <v>1144812.0000000002</v>
      </c>
      <c r="L9" s="70">
        <f t="shared" si="0"/>
        <v>32366.000000000004</v>
      </c>
      <c r="M9" s="66">
        <f t="shared" si="0"/>
        <v>0</v>
      </c>
      <c r="N9" s="70">
        <f t="shared" si="0"/>
        <v>12017808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SUMIFS('라인별전력(본+ESS)'!Y:Y,'라인별전력(본+ESS)'!W:W,B2,'라인별전력(본+ESS)'!X:X,B3)</f>
        <v>615739.60088022752</v>
      </c>
      <c r="G10" s="69">
        <f>SUMIFS('라인별전력(본+ESS)'!Z:Z,'라인별전력(본+ESS)'!W:W,B2,'라인별전력(본+ESS)'!X:X,B3)</f>
        <v>133168.09038559312</v>
      </c>
      <c r="H10" s="69">
        <f>SUMIFS('라인별전력(본+ESS)'!AA:AA,'라인별전력(본+ESS)'!W:W,B2,'라인별전력(본+ESS)'!X:X,B3)</f>
        <v>4154181.9651782252</v>
      </c>
      <c r="I10" s="69">
        <f>SUMIFS('라인별전력(본+ESS)'!AB:AB,'라인별전력(본+ESS)'!W:W,B2,'라인별전력(본+ESS)'!X:X,B3)</f>
        <v>4091352.981105105</v>
      </c>
      <c r="J10" s="69">
        <f>SUMIFS('라인별전력(본+ESS)'!AC:AC,'라인별전력(본+ESS)'!W:W,B2,'라인별전력(본+ESS)'!X:X,B3)</f>
        <v>1505023.3833543842</v>
      </c>
      <c r="K10" s="69">
        <f>SUMIFS('라인별전력(본+ESS)'!AD:AD,'라인별전력(본+ESS)'!W:W,B2,'라인별전력(본+ESS)'!X:X,B3)</f>
        <v>1108772.5461456389</v>
      </c>
      <c r="L10" s="69">
        <f>SUMIFS('라인별전력(본+ESS)'!AE:AE,'라인별전력(본+ESS)'!W:W,B2,'라인별전력(본+ESS)'!X:X,B3)</f>
        <v>31347.432950826056</v>
      </c>
      <c r="M10" s="64"/>
      <c r="N10" s="69">
        <f>SUM(F10:M10)</f>
        <v>11639586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SUMIFS('라인별전력(본+ESS)'!N:N,'라인별전력(본+ESS)'!L:L,B2,'라인별전력(본+ESS)'!M:M,B3)</f>
        <v>19993.399119772534</v>
      </c>
      <c r="G11" s="69">
        <f>SUMIFS('라인별전력(본+ESS)'!O:O,'라인별전력(본+ESS)'!L:L,B2,'라인별전력(본+ESS)'!M:M,B3)</f>
        <v>4329.9096144068671</v>
      </c>
      <c r="H11" s="69">
        <f>SUMIFS('라인별전력(본+ESS)'!P:P,'라인별전력(본+ESS)'!L:L,B2,'라인별전력(본+ESS)'!M:M,B3)</f>
        <v>134995.03482177501</v>
      </c>
      <c r="I11" s="69">
        <f>SUMIFS('라인별전력(본+ESS)'!Q:Q,'라인별전력(본+ESS)'!L:L,B2,'라인별전력(본+ESS)'!M:M,B3)</f>
        <v>132937.0188948946</v>
      </c>
      <c r="J11" s="69">
        <f>SUMIFS('라인별전력(본+ESS)'!R:R,'라인별전력(본+ESS)'!L:L,B2,'라인별전력(본+ESS)'!M:M,B3)</f>
        <v>48908.616645615781</v>
      </c>
      <c r="K11" s="69">
        <f>SUMIFS('라인별전력(본+ESS)'!S:S,'라인별전력(본+ESS)'!L:L,B2,'라인별전력(본+ESS)'!M:M,B3)</f>
        <v>36039.453854361229</v>
      </c>
      <c r="L11" s="69">
        <f>SUMIFS('라인별전력(본+ESS)'!T:T,'라인별전력(본+ESS)'!L:L,B2,'라인별전력(본+ESS)'!M:M,B3)</f>
        <v>1018.567049173946</v>
      </c>
      <c r="M11" s="64"/>
      <c r="N11" s="69">
        <f>SUM(F11:M11)</f>
        <v>378221.99999999994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SUMIFS('라인별전력금액(본+ESS)'!Y:Y,'라인별전력금액(본+ESS)'!W:W,B2,'라인별전력금액(본+ESS)'!X:X,B3)</f>
        <v>64096591.830801927</v>
      </c>
      <c r="G12" s="71">
        <f>SUMIFS('라인별전력금액(본+ESS)'!Z:Z,'라인별전력금액(본+ESS)'!W:W,B2,'라인별전력금액(본+ESS)'!X:X,B3)</f>
        <v>13884097.424621921</v>
      </c>
      <c r="H12" s="71">
        <f>SUMIFS('라인별전력금액(본+ESS)'!AA:AA,'라인별전력금액(본+ESS)'!W:W,B2,'라인별전력금액(본+ESS)'!X:X,B3)</f>
        <v>432831417.25397801</v>
      </c>
      <c r="I12" s="71">
        <f>SUMIFS('라인별전력금액(본+ESS)'!AB:AB,'라인별전력금액(본+ESS)'!W:W,B2,'라인별전력금액(본+ESS)'!X:X,B3)</f>
        <v>426224812.69375014</v>
      </c>
      <c r="J12" s="71">
        <f>SUMIFS('라인별전력금액(본+ESS)'!AC:AC,'라인별전력금액(본+ESS)'!W:W,B2,'라인별전력금액(본+ESS)'!X:X,B3)</f>
        <v>156815098.18679255</v>
      </c>
      <c r="K12" s="71">
        <f>SUMIFS('라인별전력금액(본+ESS)'!AD:AD,'라인별전력금액(본+ESS)'!W:W,B2,'라인별전력금액(본+ESS)'!X:X,B3)</f>
        <v>115556685.11942707</v>
      </c>
      <c r="L12" s="71">
        <f>SUMIFS('라인별전력금액(본+ESS)'!AE:AE,'라인별전력금액(본+ESS)'!W:W,B2,'라인별전력금액(본+ESS)'!X:X,B3)</f>
        <v>3265756.090628203</v>
      </c>
      <c r="M12" s="68"/>
      <c r="N12" s="71">
        <f>SUM(F12:M12)</f>
        <v>1212674458.5999997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SUMIFS('라인별전력금액(본+ESS)'!N:N,'라인별전력금액(본+ESS)'!L:L,B2,'라인별전력금액(본+ESS)'!M:M,B3)</f>
        <v>472987.55235707667</v>
      </c>
      <c r="G13" s="71">
        <f>SUMIFS('라인별전력금액(본+ESS)'!O:O,'라인별전력금액(본+ESS)'!L:L,B2,'라인별전력금액(본+ESS)'!M:M,B3)</f>
        <v>102418.79694706172</v>
      </c>
      <c r="H13" s="71">
        <f>SUMIFS('라인별전력금액(본+ESS)'!P:P,'라인별전력금액(본+ESS)'!L:L,B2,'라인별전력금액(본+ESS)'!M:M,B3)</f>
        <v>3193336.2736527557</v>
      </c>
      <c r="I13" s="71">
        <f>SUMIFS('라인별전력금액(본+ESS)'!Q:Q,'라인별전력금액(본+ESS)'!L:L,B2,'라인별전력금액(본+ESS)'!M:M,B3)</f>
        <v>3144694.2347661392</v>
      </c>
      <c r="J13" s="71">
        <f>SUMIFS('라인별전력금액(본+ESS)'!R:R,'라인별전력금액(본+ESS)'!L:L,B2,'라인별전력금액(본+ESS)'!M:M,B3)</f>
        <v>1156940.9612942201</v>
      </c>
      <c r="K13" s="71">
        <f>SUMIFS('라인별전력금액(본+ESS)'!S:S,'라인별전력금액(본+ESS)'!L:L,B2,'라인별전력금액(본+ESS)'!M:M,B3)</f>
        <v>852499.4990772336</v>
      </c>
      <c r="L13" s="71">
        <f>SUMIFS('라인별전력금액(본+ESS)'!T:T,'라인별전력금액(본+ESS)'!L:L,B2,'라인별전력금액(본+ESS)'!M:M,B3)</f>
        <v>24094.681905512254</v>
      </c>
      <c r="M13" s="68"/>
      <c r="N13" s="71">
        <f>SUM(F13:M13)</f>
        <v>8946971.9999999981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64569579.383159004</v>
      </c>
      <c r="G14" s="70">
        <f t="shared" ref="G14:N14" si="1">SUM(G12:G13)</f>
        <v>13986516.221568983</v>
      </c>
      <c r="H14" s="70">
        <f t="shared" si="1"/>
        <v>436024753.52763075</v>
      </c>
      <c r="I14" s="70">
        <f t="shared" si="1"/>
        <v>429369506.92851627</v>
      </c>
      <c r="J14" s="70">
        <f t="shared" si="1"/>
        <v>157972039.14808679</v>
      </c>
      <c r="K14" s="70">
        <f t="shared" si="1"/>
        <v>116409184.6185043</v>
      </c>
      <c r="L14" s="70">
        <f t="shared" si="1"/>
        <v>3289850.7725337152</v>
      </c>
      <c r="M14" s="66"/>
      <c r="N14" s="70">
        <f t="shared" si="1"/>
        <v>1221621430.5999997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78487198.165228575</v>
      </c>
      <c r="G15" s="72">
        <f t="shared" si="2"/>
        <v>17001233.100951351</v>
      </c>
      <c r="H15" s="72">
        <f t="shared" si="2"/>
        <v>530007498.29871053</v>
      </c>
      <c r="I15" s="72">
        <f t="shared" si="2"/>
        <v>521917749.78782892</v>
      </c>
      <c r="J15" s="72">
        <f t="shared" si="2"/>
        <v>192022045.97936371</v>
      </c>
      <c r="K15" s="72">
        <f t="shared" si="2"/>
        <v>141500546.05726975</v>
      </c>
      <c r="L15" s="72">
        <f t="shared" si="2"/>
        <v>3998960.0673352145</v>
      </c>
      <c r="M15" s="67"/>
      <c r="N15" s="72">
        <f>SUM(F15:M15)</f>
        <v>1484935231.4566879</v>
      </c>
      <c r="O15" s="64"/>
      <c r="P15" s="93"/>
      <c r="Q15" s="94">
        <f>SUMIFS(리스추정치!E:E,리스추정치!B:B,B2,리스추정치!C:C,B3)</f>
        <v>263313800.85668826</v>
      </c>
      <c r="R15" s="95">
        <f t="shared" ref="R15:X15" si="3">$Q$15*(F14/$N$14)</f>
        <v>13917618.782069569</v>
      </c>
      <c r="S15" s="95">
        <f t="shared" si="3"/>
        <v>3014716.8793823682</v>
      </c>
      <c r="T15" s="95">
        <f t="shared" si="3"/>
        <v>93982744.771079794</v>
      </c>
      <c r="U15" s="95">
        <f t="shared" si="3"/>
        <v>92548242.859312683</v>
      </c>
      <c r="V15" s="95">
        <f t="shared" si="3"/>
        <v>34050006.831276931</v>
      </c>
      <c r="W15" s="95">
        <f t="shared" si="3"/>
        <v>25091361.438765436</v>
      </c>
      <c r="X15" s="96">
        <f t="shared" si="3"/>
        <v>709109.29480149946</v>
      </c>
    </row>
    <row r="16" spans="2:24" ht="30" customHeight="1" x14ac:dyDescent="0.3">
      <c r="D16" s="251"/>
      <c r="E16" s="102" t="s">
        <v>338</v>
      </c>
      <c r="F16" s="189">
        <f>F15/F8</f>
        <v>1286.5721797959482</v>
      </c>
      <c r="G16" s="189">
        <f>G15/F8</f>
        <v>278.68638505687323</v>
      </c>
      <c r="H16" s="188">
        <f>H15/H8</f>
        <v>8925.8207643198584</v>
      </c>
      <c r="I16" s="188">
        <f t="shared" ref="I16:N16" si="4">I15/I8</f>
        <v>8909.5311292566821</v>
      </c>
      <c r="J16" s="188">
        <f t="shared" si="4"/>
        <v>6989.3652266355866</v>
      </c>
      <c r="K16" s="188">
        <f t="shared" si="4"/>
        <v>14753.163947917856</v>
      </c>
      <c r="L16" s="188">
        <f t="shared" si="4"/>
        <v>1095.3519164289951</v>
      </c>
      <c r="M16" s="188"/>
      <c r="N16" s="188">
        <f t="shared" si="4"/>
        <v>6759.5610067529678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188">
        <f>F9/F8</f>
        <v>10.421016556819467</v>
      </c>
      <c r="G17" s="188">
        <f>G9/F8</f>
        <v>2.2538847826517787</v>
      </c>
      <c r="H17" s="188">
        <f>H9/H8</f>
        <v>72.233742449557155</v>
      </c>
      <c r="I17" s="188">
        <f t="shared" ref="I17:N17" si="5">I9/I8</f>
        <v>72.111828481226695</v>
      </c>
      <c r="J17" s="188">
        <f t="shared" si="5"/>
        <v>56.561204886461333</v>
      </c>
      <c r="K17" s="188">
        <f t="shared" si="5"/>
        <v>119.3606639419468</v>
      </c>
      <c r="L17" s="188">
        <f t="shared" si="5"/>
        <v>8.8653448722145143</v>
      </c>
      <c r="M17" s="188"/>
      <c r="N17" s="188">
        <f t="shared" si="5"/>
        <v>54.706161334561422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SUMIFS(LNG사용량!D:D,LNG사용량!B:B,B2,LNG사용량!C:C,B3)</f>
        <v>156189.26830572414</v>
      </c>
      <c r="G18" s="89">
        <f>SUMIFS(LNG사용량!E:E,LNG사용량!B:B,B2,LNG사용량!C:C,B3)</f>
        <v>176708</v>
      </c>
      <c r="H18" s="89"/>
      <c r="I18" s="89">
        <f>SUMIFS(LNG사용량!F:F,LNG사용량!B:B,B2,LNG사용량!C:C,B3)</f>
        <v>1152441</v>
      </c>
      <c r="J18" s="89">
        <f>SUMIFS(LNG사용량!G:G,LNG사용량!B:B,B2,LNG사용량!C:C,B3)</f>
        <v>672749</v>
      </c>
      <c r="K18" s="89">
        <f>SUMIFS(LNG사용량!H:H,LNG사용량!B:B,B2,LNG사용량!C:C,B3)</f>
        <v>509059.73169427586</v>
      </c>
      <c r="L18" s="89"/>
      <c r="M18" s="89">
        <f>SUMIFS(LNG사용량!I:I,LNG사용량!B:B,B2,LNG사용량!C:C,B3)</f>
        <v>8714.1607000000004</v>
      </c>
      <c r="N18" s="89">
        <f>SUM(F18:M18)</f>
        <v>2675861.1606999999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SUMIFS(LNG금액!D:D,LNG금액!B:B,B2,LNG금액!C:C,B3)</f>
        <v>81164629.447002739</v>
      </c>
      <c r="G19" s="89">
        <f>SUMIFS(LNG금액!E:E,LNG금액!B:B,B2,LNG금액!C:C,B3)</f>
        <v>91827236.126644701</v>
      </c>
      <c r="H19" s="89"/>
      <c r="I19" s="89">
        <f>SUMIFS(LNG금액!F:F,LNG금액!B:B,B2,LNG금액!C:C,B3)</f>
        <v>599204558.02718925</v>
      </c>
      <c r="J19" s="89">
        <f>SUMIFS(LNG금액!G:G,LNG금액!B:B,B2,LNG금액!C:C,B3)</f>
        <v>349488925.59643531</v>
      </c>
      <c r="K19" s="89">
        <f>SUMIFS(LNG금액!H:H,LNG금액!B:B,B2,LNG금액!C:C,B3)</f>
        <v>264395251.78597403</v>
      </c>
      <c r="L19" s="89"/>
      <c r="M19" s="89">
        <f>SUMIFS(LNG금액!I:I,LNG금액!B:B,B2,LNG금액!C:C,B3)</f>
        <v>4544897.0167541411</v>
      </c>
      <c r="N19" s="89">
        <f>SUM(F19:M19)</f>
        <v>1390625498.0000002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1330.4609754336057</v>
      </c>
      <c r="G20" s="188">
        <f>G19/F8</f>
        <v>1505.2437863737373</v>
      </c>
      <c r="H20" s="188"/>
      <c r="I20" s="188">
        <f>I19/I8</f>
        <v>10228.8754592194</v>
      </c>
      <c r="J20" s="188">
        <f t="shared" ref="J20:L20" si="6">J19/J8</f>
        <v>12720.965091271188</v>
      </c>
      <c r="K20" s="188">
        <f t="shared" si="6"/>
        <v>27566.441298896279</v>
      </c>
      <c r="L20" s="188">
        <f t="shared" si="6"/>
        <v>0</v>
      </c>
      <c r="M20" s="188"/>
      <c r="N20" s="188">
        <f>N19/(N8-H8-L8)</f>
        <v>8877.3191227845109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2.5602744407030458</v>
      </c>
      <c r="G21" s="188">
        <f>G18/F8</f>
        <v>2.8966201120949431</v>
      </c>
      <c r="H21" s="188"/>
      <c r="I21" s="188">
        <f>I18/I8</f>
        <v>19.673040375242554</v>
      </c>
      <c r="J21" s="188">
        <f t="shared" ref="J21:K21" si="7">J18/J8</f>
        <v>24.487232405383232</v>
      </c>
      <c r="K21" s="188">
        <f t="shared" si="7"/>
        <v>53.075708117261222</v>
      </c>
      <c r="L21" s="188"/>
      <c r="M21" s="188"/>
      <c r="N21" s="188">
        <f>N18/(N8-H8-L8)</f>
        <v>17.081862432381822</v>
      </c>
      <c r="O21" s="64"/>
      <c r="P21" s="93"/>
      <c r="Q21" s="63"/>
    </row>
    <row r="22" spans="4:17" ht="30" customHeight="1" x14ac:dyDescent="0.3">
      <c r="D22" s="223" t="s">
        <v>321</v>
      </c>
      <c r="E22" s="102" t="s">
        <v>344</v>
      </c>
      <c r="F22" s="64">
        <f>SUMIFS(LNG사용량!K:K,LNG사용량!B:B,B2,LNG사용량!C:C,B3)/1000</f>
        <v>2061.2199999999998</v>
      </c>
      <c r="G22" s="64"/>
      <c r="H22" s="64"/>
      <c r="I22" s="64"/>
      <c r="J22" s="64"/>
      <c r="K22" s="64">
        <f>SUMIFS(LNG사용량!L:L,LNG사용량!B:B,B2,LNG사용량!C:C,B3)/1000</f>
        <v>926.06600000000003</v>
      </c>
      <c r="L22" s="64"/>
      <c r="M22" s="64"/>
      <c r="N22" s="64">
        <f>SUM(F22:M22)</f>
        <v>2987.2860000000001</v>
      </c>
      <c r="O22" s="101" t="s">
        <v>326</v>
      </c>
      <c r="P22" s="63"/>
      <c r="Q22" s="63"/>
    </row>
    <row r="23" spans="4:17" ht="30" hidden="1" customHeight="1" x14ac:dyDescent="0.3">
      <c r="D23" s="223"/>
      <c r="E23" s="102"/>
      <c r="F23" s="199">
        <f>F22/N22</f>
        <v>0.68999754292022919</v>
      </c>
      <c r="G23" s="64"/>
      <c r="H23" s="64"/>
      <c r="I23" s="64"/>
      <c r="J23" s="64"/>
      <c r="K23" s="199">
        <f>K22/N22</f>
        <v>0.31000245707977075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51" t="s">
        <v>327</v>
      </c>
      <c r="E24" s="102" t="s">
        <v>340</v>
      </c>
      <c r="F24" s="89">
        <f>SUMIFS(용수사용량!F:F,용수사용량!C:C,B2,용수사용량!E:E,B3,용수사용량!D:D,B4)</f>
        <v>0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0</v>
      </c>
      <c r="I24" s="89">
        <f>SUMIFS(용수사용량!I:I,용수사용량!C:C,B2,용수사용량!E:E,B3,용수사용량!D:D,B4)</f>
        <v>0</v>
      </c>
      <c r="J24" s="89">
        <f>SUMIFS(용수사용량!J:J,용수사용량!C:C,B2,용수사용량!E:E,B3,용수사용량!D:D,B4)</f>
        <v>0</v>
      </c>
      <c r="K24" s="89">
        <f>SUMIFS(용수사용량!K:K,용수사용량!C:C,B2,용수사용량!E:E,B3,용수사용량!D:D,B4)</f>
        <v>0</v>
      </c>
      <c r="L24" s="89"/>
      <c r="M24" s="89"/>
      <c r="N24" s="89">
        <f>SUM(F24:M24)</f>
        <v>0</v>
      </c>
      <c r="O24" s="64"/>
      <c r="P24" s="63"/>
      <c r="Q24" s="63"/>
    </row>
    <row r="25" spans="4:17" ht="30" customHeight="1" x14ac:dyDescent="0.3">
      <c r="D25" s="251"/>
      <c r="E25" s="102" t="s">
        <v>345</v>
      </c>
      <c r="F25" s="89">
        <f>SUMIFS(용수사용량!R:R,용수사용량!O:O,B2,용수사용량!Q:Q,B3,용수사용량!P:P,B4)</f>
        <v>0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0</v>
      </c>
      <c r="I25" s="89">
        <f>SUMIFS(용수사용량!U:U,용수사용량!O:O,B2,용수사용량!Q:Q,B3,용수사용량!P:P,B4)</f>
        <v>0</v>
      </c>
      <c r="J25" s="89">
        <f>SUMIFS(용수사용량!V:V,용수사용량!O:O,B2,용수사용량!Q:Q,B3,용수사용량!P:P,B4)</f>
        <v>0</v>
      </c>
      <c r="K25" s="89">
        <f>SUMIFS(용수사용량!W:W,용수사용량!O:O,B2,용수사용량!Q:Q,B3,용수사용량!P:P,B4)</f>
        <v>0</v>
      </c>
      <c r="L25" s="89"/>
      <c r="M25" s="89"/>
      <c r="N25" s="89">
        <f>SUM(F25:M25)</f>
        <v>0</v>
      </c>
      <c r="O25" s="64"/>
      <c r="P25" s="63"/>
      <c r="Q25" s="63"/>
    </row>
    <row r="26" spans="4:17" ht="30" customHeight="1" x14ac:dyDescent="0.3">
      <c r="D26" s="251"/>
      <c r="E26" s="102" t="s">
        <v>342</v>
      </c>
      <c r="F26" s="188">
        <f>F25/F8</f>
        <v>0</v>
      </c>
      <c r="G26" s="188">
        <f>G25/F8</f>
        <v>0</v>
      </c>
      <c r="H26" s="188">
        <f>H25/H8</f>
        <v>0</v>
      </c>
      <c r="I26" s="188">
        <f t="shared" ref="I26:K26" si="8">I25/I8</f>
        <v>0</v>
      </c>
      <c r="J26" s="188">
        <f t="shared" si="8"/>
        <v>0</v>
      </c>
      <c r="K26" s="188">
        <f t="shared" si="8"/>
        <v>0</v>
      </c>
      <c r="L26" s="188"/>
      <c r="M26" s="188"/>
      <c r="N26" s="188">
        <f>N25/N8</f>
        <v>0</v>
      </c>
      <c r="O26" s="64"/>
      <c r="P26" s="63"/>
      <c r="Q26" s="63"/>
    </row>
    <row r="27" spans="4:17" ht="30" customHeight="1" x14ac:dyDescent="0.3">
      <c r="D27" s="251"/>
      <c r="E27" s="102" t="s">
        <v>346</v>
      </c>
      <c r="F27" s="188">
        <f>F24/F8</f>
        <v>0</v>
      </c>
      <c r="G27" s="188">
        <f>G24/F8</f>
        <v>0</v>
      </c>
      <c r="H27" s="188">
        <f t="shared" ref="H27:K27" si="9">H24/H8</f>
        <v>0</v>
      </c>
      <c r="I27" s="188">
        <f t="shared" si="9"/>
        <v>0</v>
      </c>
      <c r="J27" s="188">
        <f t="shared" si="9"/>
        <v>0</v>
      </c>
      <c r="K27" s="188">
        <f t="shared" si="9"/>
        <v>0</v>
      </c>
      <c r="L27" s="188"/>
      <c r="M27" s="188"/>
      <c r="N27" s="188">
        <f>N24/N8</f>
        <v>0</v>
      </c>
      <c r="O27" s="64"/>
      <c r="P27" s="63"/>
      <c r="Q27" s="63"/>
    </row>
    <row r="28" spans="4:17" ht="30" customHeight="1" x14ac:dyDescent="0.3">
      <c r="D28" s="251" t="s">
        <v>328</v>
      </c>
      <c r="E28" s="102" t="s">
        <v>340</v>
      </c>
      <c r="F28" s="89">
        <f>SUMIFS(용수사용량!F:F,용수사용량!C:C,B2,용수사용량!E:E,B3,용수사용량!D:D,B5)</f>
        <v>0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0</v>
      </c>
      <c r="I28" s="89">
        <f>SUMIFS(용수사용량!I:I,용수사용량!C:C,B2,용수사용량!E:E,B3,용수사용량!D:D,B5)</f>
        <v>0</v>
      </c>
      <c r="J28" s="89">
        <f>SUMIFS(용수사용량!J:J,용수사용량!C:C,B2,용수사용량!E:E,B3,용수사용량!D:D,B5)</f>
        <v>0</v>
      </c>
      <c r="K28" s="89">
        <f>SUMIFS(용수사용량!K:K,용수사용량!C:C,B2,용수사용량!E:E,B3,용수사용량!D:D,B5)</f>
        <v>0</v>
      </c>
      <c r="L28" s="89"/>
      <c r="M28" s="89"/>
      <c r="N28" s="89">
        <f>SUM(F28:M28)</f>
        <v>0</v>
      </c>
      <c r="O28" s="64"/>
      <c r="P28" s="63"/>
      <c r="Q28" s="63"/>
    </row>
    <row r="29" spans="4:17" ht="30" customHeight="1" x14ac:dyDescent="0.3">
      <c r="D29" s="251"/>
      <c r="E29" s="102" t="s">
        <v>347</v>
      </c>
      <c r="F29" s="89">
        <f>SUMIFS(용수사용량!R:R,용수사용량!O:O,B2,용수사용량!Q:Q,B3,용수사용량!P:P,B5)</f>
        <v>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0</v>
      </c>
      <c r="I29" s="89">
        <f>SUMIFS(용수사용량!U:U,용수사용량!O:O,B2,용수사용량!Q:Q,B3,용수사용량!P:P,B5)</f>
        <v>0</v>
      </c>
      <c r="J29" s="89">
        <f>SUMIFS(용수사용량!V:V,용수사용량!O:O,B2,용수사용량!Q:Q,B3,용수사용량!P:P,B5)</f>
        <v>0</v>
      </c>
      <c r="K29" s="89">
        <f>SUMIFS(용수사용량!W:W,용수사용량!O:O,B2,용수사용량!Q:Q,B3,용수사용량!P:P,B5)</f>
        <v>0</v>
      </c>
      <c r="L29" s="89"/>
      <c r="M29" s="89"/>
      <c r="N29" s="89">
        <f>SUM(F29:M29)</f>
        <v>0</v>
      </c>
      <c r="O29" s="64"/>
      <c r="P29" s="63"/>
      <c r="Q29" s="63"/>
    </row>
    <row r="30" spans="4:17" ht="30" customHeight="1" x14ac:dyDescent="0.3">
      <c r="D30" s="251"/>
      <c r="E30" s="102" t="s">
        <v>342</v>
      </c>
      <c r="F30" s="188">
        <f>F29/F8</f>
        <v>0</v>
      </c>
      <c r="G30" s="188">
        <f>G29/F8</f>
        <v>0</v>
      </c>
      <c r="H30" s="188">
        <f t="shared" ref="H30:N30" si="10">H29/H8</f>
        <v>0</v>
      </c>
      <c r="I30" s="188">
        <f t="shared" si="10"/>
        <v>0</v>
      </c>
      <c r="J30" s="188">
        <f t="shared" si="10"/>
        <v>0</v>
      </c>
      <c r="K30" s="188">
        <f t="shared" si="10"/>
        <v>0</v>
      </c>
      <c r="L30" s="188"/>
      <c r="M30" s="188"/>
      <c r="N30" s="188">
        <f t="shared" si="10"/>
        <v>0</v>
      </c>
      <c r="O30" s="64"/>
      <c r="P30" s="63"/>
      <c r="Q30" s="63"/>
    </row>
    <row r="31" spans="4:17" ht="30" customHeight="1" x14ac:dyDescent="0.3">
      <c r="D31" s="251"/>
      <c r="E31" s="102" t="s">
        <v>329</v>
      </c>
      <c r="F31" s="188">
        <f>F28/F8</f>
        <v>0</v>
      </c>
      <c r="G31" s="188">
        <f>G28/F8</f>
        <v>0</v>
      </c>
      <c r="H31" s="188">
        <f t="shared" ref="H31:N31" si="11">H28/H8</f>
        <v>0</v>
      </c>
      <c r="I31" s="188">
        <f t="shared" si="11"/>
        <v>0</v>
      </c>
      <c r="J31" s="188">
        <f t="shared" si="11"/>
        <v>0</v>
      </c>
      <c r="K31" s="188">
        <f t="shared" si="11"/>
        <v>0</v>
      </c>
      <c r="L31" s="188"/>
      <c r="M31" s="188"/>
      <c r="N31" s="188">
        <f t="shared" si="11"/>
        <v>0</v>
      </c>
      <c r="O31" s="64"/>
      <c r="P31" s="63"/>
      <c r="Q31" s="63"/>
    </row>
    <row r="32" spans="4:17" ht="30" customHeight="1" x14ac:dyDescent="0.3">
      <c r="D32" s="251" t="s">
        <v>355</v>
      </c>
      <c r="E32" s="102" t="s">
        <v>340</v>
      </c>
      <c r="F32" s="89">
        <f>SUMIFS(용수사용량!F:F,용수사용량!C:C,B2,용수사용량!E:E,B3,용수사용량!D:D,B6)</f>
        <v>0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0</v>
      </c>
      <c r="I32" s="89">
        <f>SUMIFS(용수사용량!I:I,용수사용량!C:C,B2,용수사용량!E:E,B3,용수사용량!D:D,B6)</f>
        <v>0</v>
      </c>
      <c r="J32" s="89">
        <f>SUMIFS(용수사용량!J:J,용수사용량!C:C,B2,용수사용량!E:E,B3,용수사용량!D:D,B6)</f>
        <v>0</v>
      </c>
      <c r="K32" s="89">
        <f>SUMIFS(용수사용량!K:K,용수사용량!C:C,B2,용수사용량!E:E,B3,용수사용량!D:D,B6)</f>
        <v>0</v>
      </c>
      <c r="L32" s="89"/>
      <c r="M32" s="89"/>
      <c r="N32" s="89">
        <f>SUM(F32:M32)</f>
        <v>0</v>
      </c>
      <c r="O32" s="64"/>
      <c r="P32" s="63"/>
      <c r="Q32" s="63"/>
    </row>
    <row r="33" spans="4:17" ht="30" customHeight="1" x14ac:dyDescent="0.3">
      <c r="D33" s="251"/>
      <c r="E33" s="102" t="s">
        <v>400</v>
      </c>
      <c r="F33" s="89">
        <f>SUMIFS(용수사용량!R:R,용수사용량!O:O,B2,용수사용량!Q:Q,B3,용수사용량!P:P,'20.3Q'!B6)</f>
        <v>0</v>
      </c>
      <c r="G33" s="89">
        <f>SUMIFS(용수사용량!S:S,용수사용량!O:O,B2,용수사용량!Q:Q,B3,용수사용량!P:P,'20.3Q'!B6)</f>
        <v>0</v>
      </c>
      <c r="H33" s="89">
        <f>SUMIFS(용수사용량!T:T,용수사용량!O:O,B2,용수사용량!Q:Q,B3,용수사용량!P:P,'20.3Q'!B6)</f>
        <v>0</v>
      </c>
      <c r="I33" s="89">
        <f>SUMIFS(용수사용량!U:U,용수사용량!O:O,B2,용수사용량!Q:Q,B3,용수사용량!P:P,'20.3Q'!B6)</f>
        <v>0</v>
      </c>
      <c r="J33" s="89">
        <f>SUMIFS(용수사용량!V:V,용수사용량!O:O,B2,용수사용량!Q:Q,B3,용수사용량!P:P,'20.3Q'!B6)</f>
        <v>0</v>
      </c>
      <c r="K33" s="89">
        <f>SUMIFS(용수사용량!W:W,용수사용량!O:O,B2,용수사용량!Q:Q,B3,용수사용량!P:P,'20.3Q'!B6)</f>
        <v>0</v>
      </c>
      <c r="L33" s="89"/>
      <c r="M33" s="89"/>
      <c r="N33" s="89">
        <f>SUM(F33:M33)</f>
        <v>0</v>
      </c>
      <c r="O33" s="64"/>
      <c r="P33" s="63"/>
      <c r="Q33" s="63"/>
    </row>
    <row r="34" spans="4:17" ht="30" customHeight="1" x14ac:dyDescent="0.3">
      <c r="D34" s="251"/>
      <c r="E34" s="102" t="s">
        <v>342</v>
      </c>
      <c r="F34" s="188">
        <f>F33/F8</f>
        <v>0</v>
      </c>
      <c r="G34" s="188">
        <f>G33/F8</f>
        <v>0</v>
      </c>
      <c r="H34" s="188">
        <f>H33/H8</f>
        <v>0</v>
      </c>
      <c r="I34" s="188">
        <f t="shared" ref="I34:K34" si="12">I33/I8</f>
        <v>0</v>
      </c>
      <c r="J34" s="188">
        <f t="shared" si="12"/>
        <v>0</v>
      </c>
      <c r="K34" s="188">
        <f t="shared" si="12"/>
        <v>0</v>
      </c>
      <c r="L34" s="188"/>
      <c r="M34" s="188"/>
      <c r="N34" s="188">
        <f>N33/N8</f>
        <v>0</v>
      </c>
      <c r="O34" s="64"/>
      <c r="P34" s="63"/>
      <c r="Q34" s="63"/>
    </row>
    <row r="35" spans="4:17" ht="30" customHeight="1" x14ac:dyDescent="0.3">
      <c r="D35" s="251"/>
      <c r="E35" s="102" t="s">
        <v>401</v>
      </c>
      <c r="F35" s="188">
        <f>F32/F8</f>
        <v>0</v>
      </c>
      <c r="G35" s="188">
        <f>G32/F8</f>
        <v>0</v>
      </c>
      <c r="H35" s="188">
        <f>H32/H8</f>
        <v>0</v>
      </c>
      <c r="I35" s="188">
        <f t="shared" ref="I35:K35" si="13">I32/I8</f>
        <v>0</v>
      </c>
      <c r="J35" s="188">
        <f t="shared" si="13"/>
        <v>0</v>
      </c>
      <c r="K35" s="188">
        <f t="shared" si="13"/>
        <v>0</v>
      </c>
      <c r="L35" s="188"/>
      <c r="M35" s="188"/>
      <c r="N35" s="188">
        <f>N32/N8</f>
        <v>0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topLeftCell="A4" workbookViewId="0">
      <selection activeCell="M28" sqref="M28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23</v>
      </c>
    </row>
    <row r="3" spans="2:24" ht="17.25" thickBot="1" x14ac:dyDescent="0.35">
      <c r="B3" s="52" t="s">
        <v>487</v>
      </c>
    </row>
    <row r="4" spans="2:24" ht="16.5" customHeight="1" thickTop="1" thickBot="1" x14ac:dyDescent="0.35">
      <c r="B4" s="30" t="s">
        <v>353</v>
      </c>
      <c r="E4" s="252" t="s">
        <v>481</v>
      </c>
      <c r="F4" s="252"/>
      <c r="G4" s="252"/>
      <c r="H4" s="252"/>
      <c r="I4" s="252"/>
      <c r="J4" s="252"/>
      <c r="K4" s="252"/>
      <c r="L4" s="252"/>
      <c r="M4" s="76" t="s">
        <v>243</v>
      </c>
      <c r="N4" s="77" t="s">
        <v>244</v>
      </c>
      <c r="O4" s="78" t="s">
        <v>245</v>
      </c>
      <c r="P4" s="91"/>
      <c r="Q4" s="98"/>
    </row>
    <row r="5" spans="2:24" ht="39.950000000000003" customHeight="1" thickTop="1" thickBot="1" x14ac:dyDescent="0.35">
      <c r="B5" s="30" t="s">
        <v>328</v>
      </c>
      <c r="E5" s="252"/>
      <c r="F5" s="252"/>
      <c r="G5" s="252"/>
      <c r="H5" s="252"/>
      <c r="I5" s="252"/>
      <c r="J5" s="252"/>
      <c r="K5" s="252"/>
      <c r="L5" s="252"/>
      <c r="M5" s="79"/>
      <c r="N5" s="80"/>
      <c r="O5" s="81"/>
      <c r="P5" s="46"/>
    </row>
    <row r="6" spans="2:24" ht="17.25" thickTop="1" x14ac:dyDescent="0.3">
      <c r="B6" s="30" t="s">
        <v>355</v>
      </c>
    </row>
    <row r="7" spans="2:24" ht="30" customHeight="1" x14ac:dyDescent="0.3">
      <c r="D7" s="253" t="s">
        <v>59</v>
      </c>
      <c r="E7" s="253"/>
      <c r="F7" s="100" t="s">
        <v>120</v>
      </c>
      <c r="G7" s="100" t="s">
        <v>81</v>
      </c>
      <c r="H7" s="100" t="s">
        <v>121</v>
      </c>
      <c r="I7" s="100" t="s">
        <v>78</v>
      </c>
      <c r="J7" s="100" t="s">
        <v>87</v>
      </c>
      <c r="K7" s="100" t="s">
        <v>88</v>
      </c>
      <c r="L7" s="100" t="s">
        <v>82</v>
      </c>
      <c r="M7" s="100" t="s">
        <v>250</v>
      </c>
      <c r="N7" s="100" t="s">
        <v>89</v>
      </c>
      <c r="O7" s="100" t="s">
        <v>251</v>
      </c>
      <c r="P7" s="92"/>
      <c r="Q7" s="63"/>
    </row>
    <row r="8" spans="2:24" ht="30" customHeight="1" x14ac:dyDescent="0.3">
      <c r="D8" s="251" t="s">
        <v>283</v>
      </c>
      <c r="E8" s="102" t="s">
        <v>330</v>
      </c>
      <c r="F8" s="74">
        <f>SUMIFS(생산량!D:D,생산량!B:B,B2)</f>
        <v>220852.77300000002</v>
      </c>
      <c r="G8" s="74"/>
      <c r="H8" s="74">
        <f>SUMIFS(생산량!E:E,생산량!B:B,B2)</f>
        <v>208128.55300000001</v>
      </c>
      <c r="I8" s="74">
        <f>SUMIFS(생산량!F:F,생산량!B:B,B2)</f>
        <v>207362.18000000002</v>
      </c>
      <c r="J8" s="74">
        <f>SUMIFS(생산량!G:G,생산량!B:B,B2)</f>
        <v>105032.208</v>
      </c>
      <c r="K8" s="74">
        <f>SUMIFS(생산량!H:H,생산량!B:B,B2)</f>
        <v>38060.666000000005</v>
      </c>
      <c r="L8" s="74">
        <f>SUMIFS(생산량!I:I,생산량!B:B,B2)</f>
        <v>16522.026999999998</v>
      </c>
      <c r="M8" s="64"/>
      <c r="N8" s="69">
        <f>SUM(F8:M8)</f>
        <v>795958.40700000001</v>
      </c>
      <c r="O8" s="64"/>
      <c r="P8" s="93"/>
      <c r="Q8" s="63"/>
    </row>
    <row r="9" spans="2:24" ht="30" customHeight="1" x14ac:dyDescent="0.3">
      <c r="D9" s="251"/>
      <c r="E9" s="65" t="s">
        <v>331</v>
      </c>
      <c r="F9" s="70">
        <f>F10+F11</f>
        <v>2262675</v>
      </c>
      <c r="G9" s="70">
        <f t="shared" ref="G9:N9" si="0">G10+G11</f>
        <v>513000.99999999994</v>
      </c>
      <c r="H9" s="70">
        <f t="shared" si="0"/>
        <v>16075406</v>
      </c>
      <c r="I9" s="70">
        <f t="shared" si="0"/>
        <v>15903654</v>
      </c>
      <c r="J9" s="70">
        <f t="shared" si="0"/>
        <v>6634798</v>
      </c>
      <c r="K9" s="70">
        <f t="shared" si="0"/>
        <v>4588428</v>
      </c>
      <c r="L9" s="70">
        <f t="shared" si="0"/>
        <v>138181.99999999997</v>
      </c>
      <c r="M9" s="66">
        <f t="shared" si="0"/>
        <v>0</v>
      </c>
      <c r="N9" s="70">
        <f t="shared" si="0"/>
        <v>46116144</v>
      </c>
      <c r="O9" s="64"/>
      <c r="P9" s="93"/>
      <c r="Q9" s="63"/>
    </row>
    <row r="10" spans="2:24" ht="30" customHeight="1" x14ac:dyDescent="0.3">
      <c r="D10" s="251"/>
      <c r="E10" s="102" t="s">
        <v>332</v>
      </c>
      <c r="F10" s="69">
        <f>SUMIFS('라인별전력(본+ESS)'!Y:Y,'라인별전력(본+ESS)'!W:W,B2)</f>
        <v>2187007.3649097048</v>
      </c>
      <c r="G10" s="69">
        <f>SUMIFS('라인별전력(본+ESS)'!Z:Z,'라인별전력(본+ESS)'!W:W,B2)</f>
        <v>495706.97619308974</v>
      </c>
      <c r="H10" s="69">
        <f>SUMIFS('라인별전력(본+ESS)'!AA:AA,'라인별전력(본+ESS)'!W:W,B2)</f>
        <v>15532976.896814218</v>
      </c>
      <c r="I10" s="69">
        <f>SUMIFS('라인별전력(본+ESS)'!AB:AB,'라인별전력(본+ESS)'!W:W,B2)</f>
        <v>15369453.336735407</v>
      </c>
      <c r="J10" s="69">
        <f>SUMIFS('라인별전력(본+ESS)'!AC:AC,'라인별전력(본+ESS)'!W:W,B2)</f>
        <v>6416505.1895157835</v>
      </c>
      <c r="K10" s="69">
        <f>SUMIFS('라인별전력(본+ESS)'!AD:AD,'라인별전력(본+ESS)'!W:W,B2)</f>
        <v>4434862.3947159369</v>
      </c>
      <c r="L10" s="69">
        <f>SUMIFS('라인별전력(본+ESS)'!AE:AE,'라인별전력(본+ESS)'!W:W,B2)</f>
        <v>133515.84111586132</v>
      </c>
      <c r="M10" s="64"/>
      <c r="N10" s="69">
        <f>SUM(F10:M10)</f>
        <v>44570028</v>
      </c>
      <c r="O10" s="64"/>
      <c r="P10" s="93"/>
      <c r="Q10" s="63"/>
    </row>
    <row r="11" spans="2:24" ht="30" customHeight="1" x14ac:dyDescent="0.3">
      <c r="D11" s="251"/>
      <c r="E11" s="102" t="s">
        <v>333</v>
      </c>
      <c r="F11" s="69">
        <f>SUMIFS('라인별전력(본+ESS)'!N:N,'라인별전력(본+ESS)'!L:L,B2)</f>
        <v>75667.635090295415</v>
      </c>
      <c r="G11" s="69">
        <f>SUMIFS('라인별전력(본+ESS)'!O:O,'라인별전력(본+ESS)'!L:L,B2)</f>
        <v>17294.023806910198</v>
      </c>
      <c r="H11" s="69">
        <f>SUMIFS('라인별전력(본+ESS)'!P:P,'라인별전력(본+ESS)'!L:L,B2)</f>
        <v>542429.10318578233</v>
      </c>
      <c r="I11" s="69">
        <f>SUMIFS('라인별전력(본+ESS)'!Q:Q,'라인별전력(본+ESS)'!L:L,B2)</f>
        <v>534200.66326459346</v>
      </c>
      <c r="J11" s="69">
        <f>SUMIFS('라인별전력(본+ESS)'!R:R,'라인별전력(본+ESS)'!L:L,B2)</f>
        <v>218292.81048421658</v>
      </c>
      <c r="K11" s="69">
        <f>SUMIFS('라인별전력(본+ESS)'!S:S,'라인별전력(본+ESS)'!L:L,B2)</f>
        <v>153565.60528406349</v>
      </c>
      <c r="L11" s="69">
        <f>SUMIFS('라인별전력(본+ESS)'!T:T,'라인별전력(본+ESS)'!L:L,B2)</f>
        <v>4666.1588841386611</v>
      </c>
      <c r="M11" s="64"/>
      <c r="N11" s="69">
        <f>SUM(F11:M11)</f>
        <v>1546116.0000000002</v>
      </c>
      <c r="O11" s="64"/>
      <c r="P11" s="93"/>
      <c r="Q11" s="63"/>
    </row>
    <row r="12" spans="2:24" ht="30" customHeight="1" x14ac:dyDescent="0.3">
      <c r="D12" s="251"/>
      <c r="E12" s="102" t="s">
        <v>334</v>
      </c>
      <c r="F12" s="71">
        <f>SUMIFS('라인별전력금액(본+ESS)'!Y:Y,'라인별전력금액(본+ESS)'!W:W,B2)</f>
        <v>205990225.7586863</v>
      </c>
      <c r="G12" s="71">
        <f>SUMIFS('라인별전력금액(본+ESS)'!Z:Z,'라인별전력금액(본+ESS)'!W:W,B2)</f>
        <v>46540203.294675805</v>
      </c>
      <c r="H12" s="71">
        <f>SUMIFS('라인별전력금액(본+ESS)'!AA:AA,'라인별전력금액(본+ESS)'!W:W,B2)</f>
        <v>1454381148.4351537</v>
      </c>
      <c r="I12" s="71">
        <f>SUMIFS('라인별전력금액(본+ESS)'!AB:AB,'라인별전력금액(본+ESS)'!W:W,B2)</f>
        <v>1439074571.4181316</v>
      </c>
      <c r="J12" s="71">
        <f>SUMIFS('라인별전력금액(본+ESS)'!AC:AC,'라인별전력금액(본+ESS)'!W:W,B2)</f>
        <v>606456785.60636544</v>
      </c>
      <c r="K12" s="71">
        <f>SUMIFS('라인별전력금액(본+ESS)'!AD:AD,'라인별전력금액(본+ESS)'!W:W,B2)</f>
        <v>415375366.45462847</v>
      </c>
      <c r="L12" s="71">
        <f>SUMIFS('라인별전력금액(본+ESS)'!AE:AE,'라인별전력금액(본+ESS)'!W:W,B2)</f>
        <v>12412711.232358498</v>
      </c>
      <c r="M12" s="68"/>
      <c r="N12" s="71">
        <f>SUM(F12:M12)</f>
        <v>4180231012.1999998</v>
      </c>
      <c r="O12" s="64"/>
      <c r="P12" s="93"/>
      <c r="Q12" s="63"/>
    </row>
    <row r="13" spans="2:24" ht="30" customHeight="1" thickBot="1" x14ac:dyDescent="0.35">
      <c r="D13" s="251"/>
      <c r="E13" s="102" t="s">
        <v>335</v>
      </c>
      <c r="F13" s="71">
        <f>SUMIFS('라인별전력금액(본+ESS)'!N:N,'라인별전력금액(본+ESS)'!L:L,B2)</f>
        <v>1827171.8307813043</v>
      </c>
      <c r="G13" s="71">
        <f>SUMIFS('라인별전력금액(본+ESS)'!O:O,'라인별전력금액(본+ESS)'!L:L,B2)</f>
        <v>418531.09080423665</v>
      </c>
      <c r="H13" s="71">
        <f>SUMIFS('라인별전력금액(본+ESS)'!P:P,'라인별전력금액(본+ESS)'!L:L,B2)</f>
        <v>13120159.881432278</v>
      </c>
      <c r="I13" s="71">
        <f>SUMIFS('라인별전력금액(본+ESS)'!Q:Q,'라인별전력금액(본+ESS)'!L:L,B2)</f>
        <v>12915124.374002393</v>
      </c>
      <c r="J13" s="71">
        <f>SUMIFS('라인별전력금액(본+ESS)'!R:R,'라인별전력금액(본+ESS)'!L:L,B2)</f>
        <v>5306327.9518502075</v>
      </c>
      <c r="K13" s="71">
        <f>SUMIFS('라인별전력금액(본+ESS)'!S:S,'라인별전력금액(본+ESS)'!L:L,B2)</f>
        <v>3714668.0704186256</v>
      </c>
      <c r="L13" s="71">
        <f>SUMIFS('라인별전력금액(본+ESS)'!T:T,'라인별전력금액(본+ESS)'!L:L,B2)</f>
        <v>112539.80071095411</v>
      </c>
      <c r="M13" s="68"/>
      <c r="N13" s="71">
        <f>SUM(F13:M13)</f>
        <v>37414523</v>
      </c>
      <c r="O13" s="64"/>
      <c r="P13" s="93"/>
      <c r="Q13" s="63"/>
    </row>
    <row r="14" spans="2:24" ht="30" customHeight="1" x14ac:dyDescent="0.3">
      <c r="D14" s="251"/>
      <c r="E14" s="102" t="s">
        <v>336</v>
      </c>
      <c r="F14" s="70">
        <f>SUM(F12:F13)</f>
        <v>207817397.58946761</v>
      </c>
      <c r="G14" s="70">
        <f t="shared" ref="G14:N14" si="1">SUM(G12:G13)</f>
        <v>46958734.385480039</v>
      </c>
      <c r="H14" s="70">
        <f t="shared" si="1"/>
        <v>1467501308.316586</v>
      </c>
      <c r="I14" s="70">
        <f t="shared" si="1"/>
        <v>1451989695.792134</v>
      </c>
      <c r="J14" s="70">
        <f t="shared" si="1"/>
        <v>611763113.55821562</v>
      </c>
      <c r="K14" s="70">
        <f t="shared" si="1"/>
        <v>419090034.52504706</v>
      </c>
      <c r="L14" s="70">
        <f t="shared" si="1"/>
        <v>12525251.033069452</v>
      </c>
      <c r="M14" s="66"/>
      <c r="N14" s="70">
        <f t="shared" si="1"/>
        <v>4217645535.1999998</v>
      </c>
      <c r="O14" s="64"/>
      <c r="P14" s="93"/>
      <c r="Q14" s="248" t="s">
        <v>320</v>
      </c>
      <c r="R14" s="249"/>
      <c r="S14" s="249"/>
      <c r="T14" s="249"/>
      <c r="U14" s="249"/>
      <c r="V14" s="249"/>
      <c r="W14" s="249"/>
      <c r="X14" s="250"/>
    </row>
    <row r="15" spans="2:24" ht="30" customHeight="1" thickBot="1" x14ac:dyDescent="0.35">
      <c r="D15" s="251"/>
      <c r="E15" s="102" t="s">
        <v>337</v>
      </c>
      <c r="F15" s="72">
        <f t="shared" ref="F15:L15" si="2">F14+R15</f>
        <v>224469092.37272972</v>
      </c>
      <c r="G15" s="72">
        <f t="shared" si="2"/>
        <v>50721376.596696518</v>
      </c>
      <c r="H15" s="72">
        <f t="shared" si="2"/>
        <v>1585087151.2901294</v>
      </c>
      <c r="I15" s="72">
        <f t="shared" si="2"/>
        <v>1568332646.4941478</v>
      </c>
      <c r="J15" s="72">
        <f t="shared" si="2"/>
        <v>660781592.11097467</v>
      </c>
      <c r="K15" s="72">
        <f t="shared" si="2"/>
        <v>452670280.56105816</v>
      </c>
      <c r="L15" s="72">
        <f t="shared" si="2"/>
        <v>13528856.408296136</v>
      </c>
      <c r="M15" s="67"/>
      <c r="N15" s="72">
        <f>SUM(F15:M15)</f>
        <v>4555590995.834033</v>
      </c>
      <c r="O15" s="64"/>
      <c r="P15" s="93"/>
      <c r="Q15" s="94">
        <f>SUMIFS(리스추정치!F:F,리스추정치!B:B,B2,리스추정치!C:C,B3)</f>
        <v>337945460.63403249</v>
      </c>
      <c r="R15" s="95">
        <f t="shared" ref="R15:X15" si="3">$Q$15*(F14/$N$14)</f>
        <v>16651694.783262094</v>
      </c>
      <c r="S15" s="95">
        <f t="shared" si="3"/>
        <v>3762642.2112164777</v>
      </c>
      <c r="T15" s="95">
        <f t="shared" si="3"/>
        <v>117585842.97354349</v>
      </c>
      <c r="U15" s="95">
        <f t="shared" si="3"/>
        <v>116342950.70201361</v>
      </c>
      <c r="V15" s="95">
        <f t="shared" si="3"/>
        <v>49018478.552759044</v>
      </c>
      <c r="W15" s="95">
        <f t="shared" si="3"/>
        <v>33580246.036011077</v>
      </c>
      <c r="X15" s="96">
        <f t="shared" si="3"/>
        <v>1003605.3752266846</v>
      </c>
    </row>
    <row r="16" spans="2:24" ht="30" customHeight="1" x14ac:dyDescent="0.3">
      <c r="D16" s="251"/>
      <c r="E16" s="102" t="s">
        <v>338</v>
      </c>
      <c r="F16" s="189">
        <f>F15/F8</f>
        <v>1016.3743444268626</v>
      </c>
      <c r="G16" s="189">
        <f>G15/F8</f>
        <v>229.66148854602119</v>
      </c>
      <c r="H16" s="188">
        <f>H15/H8</f>
        <v>7615.9043458594042</v>
      </c>
      <c r="I16" s="188">
        <f t="shared" ref="I16:N16" si="4">I15/I8</f>
        <v>7563.2530796799474</v>
      </c>
      <c r="J16" s="188">
        <f t="shared" si="4"/>
        <v>6291.2282307820733</v>
      </c>
      <c r="K16" s="188">
        <f t="shared" si="4"/>
        <v>11893.38832276498</v>
      </c>
      <c r="L16" s="188">
        <f t="shared" si="4"/>
        <v>818.83756807177099</v>
      </c>
      <c r="M16" s="188"/>
      <c r="N16" s="188">
        <f t="shared" si="4"/>
        <v>5723.4033283274721</v>
      </c>
      <c r="O16" s="64"/>
      <c r="P16" s="93"/>
      <c r="Q16" s="63"/>
    </row>
    <row r="17" spans="4:17" ht="30" customHeight="1" x14ac:dyDescent="0.3">
      <c r="D17" s="251"/>
      <c r="E17" s="102" t="s">
        <v>339</v>
      </c>
      <c r="F17" s="188">
        <f>F9/F8</f>
        <v>10.245173602597237</v>
      </c>
      <c r="G17" s="188">
        <f>G9/F8</f>
        <v>2.3228189215446253</v>
      </c>
      <c r="H17" s="188">
        <f>H9/H8</f>
        <v>77.237869423903589</v>
      </c>
      <c r="I17" s="188">
        <f t="shared" ref="I17:N17" si="5">I9/I8</f>
        <v>76.695055964400055</v>
      </c>
      <c r="J17" s="188">
        <f t="shared" si="5"/>
        <v>63.169175687518631</v>
      </c>
      <c r="K17" s="188">
        <f t="shared" si="5"/>
        <v>120.5556413542527</v>
      </c>
      <c r="L17" s="188">
        <f t="shared" si="5"/>
        <v>8.3635016454094888</v>
      </c>
      <c r="M17" s="188"/>
      <c r="N17" s="188">
        <f t="shared" si="5"/>
        <v>57.937881671246672</v>
      </c>
      <c r="O17" s="64"/>
      <c r="P17" s="93"/>
      <c r="Q17" s="63"/>
    </row>
    <row r="18" spans="4:17" ht="30" customHeight="1" x14ac:dyDescent="0.3">
      <c r="D18" s="251" t="s">
        <v>285</v>
      </c>
      <c r="E18" s="102" t="s">
        <v>340</v>
      </c>
      <c r="F18" s="89">
        <f>SUMIFS(LNG사용량!D:D,LNG사용량!B:B,B2)</f>
        <v>724753.38863116433</v>
      </c>
      <c r="G18" s="89">
        <f>SUMIFS(LNG사용량!E:E,LNG사용량!B:B,B2)</f>
        <v>635309</v>
      </c>
      <c r="H18" s="89"/>
      <c r="I18" s="89">
        <f>SUMIFS(LNG사용량!F:F,LNG사용량!B:B,B2)</f>
        <v>4094162</v>
      </c>
      <c r="J18" s="89">
        <f>SUMIFS(LNG사용량!G:G,LNG사용량!B:B,B2)</f>
        <v>2616390</v>
      </c>
      <c r="K18" s="89"/>
      <c r="L18" s="89"/>
      <c r="M18" s="89">
        <f>SUMIFS(LNG사용량!I:I,LNG사용량!B:B,B2)</f>
        <v>30923.340800000005</v>
      </c>
      <c r="N18" s="89">
        <f>SUM(F18:M18)</f>
        <v>8101537.7294311645</v>
      </c>
      <c r="O18" s="64"/>
      <c r="P18" s="93"/>
      <c r="Q18" s="63"/>
    </row>
    <row r="19" spans="4:17" ht="30" customHeight="1" x14ac:dyDescent="0.3">
      <c r="D19" s="251"/>
      <c r="E19" s="102" t="s">
        <v>341</v>
      </c>
      <c r="F19" s="89">
        <f>SUMIFS(LNG금액!D:D,LNG금액!B:B,B2)</f>
        <v>438184787.7613346</v>
      </c>
      <c r="G19" s="89">
        <f>SUMIFS(LNG금액!E:E,LNG금액!B:B,B2)</f>
        <v>378670243.15883374</v>
      </c>
      <c r="H19" s="89"/>
      <c r="I19" s="89">
        <f>SUMIFS(LNG금액!F:F,LNG금액!B:B,B2)</f>
        <v>2440289005.4827752</v>
      </c>
      <c r="J19" s="89">
        <f>SUMIFS(LNG금액!G:G,LNG금액!B:B,B2)</f>
        <v>1564901454.6745508</v>
      </c>
      <c r="K19" s="89">
        <f>SUMIFS(LNG금액!H:H,LNG금액!B:B,B2)</f>
        <v>1334433898.6715367</v>
      </c>
      <c r="L19" s="89"/>
      <c r="M19" s="89">
        <f>SUMIFS(LNG금액!I:I,LNG금액!B:B,B2)</f>
        <v>18513240.574287131</v>
      </c>
      <c r="N19" s="89">
        <f>SUM(F19:M19)</f>
        <v>6174992630.3233185</v>
      </c>
      <c r="O19" s="64"/>
      <c r="P19" s="93"/>
      <c r="Q19" s="63"/>
    </row>
    <row r="20" spans="4:17" ht="30" customHeight="1" x14ac:dyDescent="0.3">
      <c r="D20" s="251"/>
      <c r="E20" s="102" t="s">
        <v>342</v>
      </c>
      <c r="F20" s="188">
        <f>F19/F8</f>
        <v>1984.0583471475568</v>
      </c>
      <c r="G20" s="188">
        <f>G19/F8</f>
        <v>1714.582244157893</v>
      </c>
      <c r="H20" s="188"/>
      <c r="I20" s="188">
        <f>I19/I8</f>
        <v>11768.245325559246</v>
      </c>
      <c r="J20" s="188">
        <f t="shared" ref="J20:L20" si="6">J19/J8</f>
        <v>14899.253138375905</v>
      </c>
      <c r="K20" s="188">
        <f t="shared" si="6"/>
        <v>35060.708046242187</v>
      </c>
      <c r="L20" s="188">
        <f t="shared" si="6"/>
        <v>0</v>
      </c>
      <c r="M20" s="188"/>
      <c r="N20" s="188">
        <f>N19/(N8-H8-L8)</f>
        <v>10808.520973270892</v>
      </c>
      <c r="O20" s="64"/>
      <c r="P20" s="93"/>
      <c r="Q20" s="63"/>
    </row>
    <row r="21" spans="4:17" ht="30" customHeight="1" x14ac:dyDescent="0.3">
      <c r="D21" s="251"/>
      <c r="E21" s="102" t="s">
        <v>343</v>
      </c>
      <c r="F21" s="188">
        <f>F18/F8</f>
        <v>3.2816132611165552</v>
      </c>
      <c r="G21" s="188">
        <f>G18/F8</f>
        <v>2.8766177185377697</v>
      </c>
      <c r="H21" s="188"/>
      <c r="I21" s="188">
        <f>I18/I8</f>
        <v>19.744015036878949</v>
      </c>
      <c r="J21" s="188">
        <f t="shared" ref="J21:K21" si="7">J18/J8</f>
        <v>24.91035892533079</v>
      </c>
      <c r="K21" s="188">
        <f t="shared" si="7"/>
        <v>0</v>
      </c>
      <c r="L21" s="188"/>
      <c r="M21" s="188"/>
      <c r="N21" s="188">
        <f>N18/(N8-H8-L8)</f>
        <v>14.180687444758505</v>
      </c>
      <c r="O21" s="64"/>
      <c r="P21" s="93"/>
      <c r="Q21" s="63"/>
    </row>
    <row r="22" spans="4:17" ht="30" customHeight="1" x14ac:dyDescent="0.3">
      <c r="D22" s="99" t="s">
        <v>321</v>
      </c>
      <c r="E22" s="102" t="s">
        <v>344</v>
      </c>
      <c r="F22" s="64">
        <f>SUMIFS(LNG사용량!K:K,LNG사용량!B:B,B2)/1000</f>
        <v>7003.491</v>
      </c>
      <c r="G22" s="64"/>
      <c r="H22" s="64"/>
      <c r="I22" s="64"/>
      <c r="J22" s="64"/>
      <c r="K22" s="64">
        <f>SUMIFS(LNG사용량!L:L,LNG사용량!B:B,B2)/1000</f>
        <v>4525.2619999999997</v>
      </c>
      <c r="L22" s="64"/>
      <c r="M22" s="64"/>
      <c r="N22" s="64">
        <f>SUM(F22:M22)</f>
        <v>11528.753000000001</v>
      </c>
      <c r="O22" s="101" t="s">
        <v>326</v>
      </c>
      <c r="P22" s="63"/>
      <c r="Q22" s="63"/>
    </row>
    <row r="23" spans="4:17" ht="30" customHeight="1" x14ac:dyDescent="0.3">
      <c r="D23" s="251" t="s">
        <v>327</v>
      </c>
      <c r="E23" s="102" t="s">
        <v>340</v>
      </c>
      <c r="F23" s="89">
        <f>SUMIFS(용수사용량!F:F,용수사용량!C:C,B2,용수사용량!D:D,B4)</f>
        <v>8227.7841246539574</v>
      </c>
      <c r="G23" s="89">
        <f>SUMIFS(용수사용량!G:G,용수사용량!C:C,B2,용수사용량!D:D,B4)</f>
        <v>2259.1915598419882</v>
      </c>
      <c r="H23" s="89">
        <f>SUMIFS(용수사용량!H:H,용수사용량!C:C,B2,용수사용량!D:D,B4)</f>
        <v>1227.6870208769749</v>
      </c>
      <c r="I23" s="89">
        <f>SUMIFS(용수사용량!I:I,용수사용량!C:C,B2,용수사용량!D:D,B4)</f>
        <v>3409.220128339814</v>
      </c>
      <c r="J23" s="89">
        <f>SUMIFS(용수사용량!J:J,용수사용량!C:C,B2,용수사용량!D:D,B4)</f>
        <v>8016.6813940475804</v>
      </c>
      <c r="K23" s="89">
        <f>SUMIFS(용수사용량!K:K,용수사용량!C:C,B2,용수사용량!D:D,B4)</f>
        <v>7309.4357722396862</v>
      </c>
      <c r="L23" s="89"/>
      <c r="M23" s="89"/>
      <c r="N23" s="89">
        <f>SUM(F23:M23)</f>
        <v>30449.999999999996</v>
      </c>
      <c r="O23" s="64"/>
      <c r="P23" s="63"/>
      <c r="Q23" s="63"/>
    </row>
    <row r="24" spans="4:17" ht="30" customHeight="1" x14ac:dyDescent="0.3">
      <c r="D24" s="251"/>
      <c r="E24" s="102" t="s">
        <v>345</v>
      </c>
      <c r="F24" s="89">
        <f>SUMIFS(용수사용량!R:R,용수사용량!O:O,B2,용수사용량!P:P,B4)</f>
        <v>36905030.509901635</v>
      </c>
      <c r="G24" s="89">
        <f>SUMIFS(용수사용량!S:S,용수사용량!O:O,B2,용수사용량!P:P,B4)</f>
        <v>10140525.308754135</v>
      </c>
      <c r="H24" s="89">
        <f>SUMIFS(용수사용량!T:T,용수사용량!O:O,B2,용수사용량!P:P,B4)</f>
        <v>5506620.2849260112</v>
      </c>
      <c r="I24" s="89">
        <f>SUMIFS(용수사용량!U:U,용수사용량!O:O,B2,용수사용량!P:P,B4)</f>
        <v>15295579.408660751</v>
      </c>
      <c r="J24" s="89">
        <f>SUMIFS(용수사용량!V:V,용수사용량!O:O,B2,용수사용량!P:P,B4)</f>
        <v>35958524.00910788</v>
      </c>
      <c r="K24" s="89">
        <f>SUMIFS(용수사용량!W:W,용수사용량!O:O,B2,용수사용량!P:P,B4)</f>
        <v>32796360.47864959</v>
      </c>
      <c r="L24" s="89"/>
      <c r="M24" s="89"/>
      <c r="N24" s="89">
        <f>SUM(F24:M24)</f>
        <v>136602640</v>
      </c>
      <c r="O24" s="64"/>
      <c r="P24" s="63"/>
      <c r="Q24" s="63"/>
    </row>
    <row r="25" spans="4:17" ht="30" customHeight="1" x14ac:dyDescent="0.3">
      <c r="D25" s="251"/>
      <c r="E25" s="102" t="s">
        <v>342</v>
      </c>
      <c r="F25" s="188">
        <f>F24/F8</f>
        <v>167.10240948571487</v>
      </c>
      <c r="G25" s="188">
        <f>G24/F8</f>
        <v>45.915318023895196</v>
      </c>
      <c r="H25" s="188">
        <f>H24/H8</f>
        <v>26.45778392994454</v>
      </c>
      <c r="I25" s="188">
        <f t="shared" ref="I25:K25" si="8">I24/I8</f>
        <v>73.762628308888097</v>
      </c>
      <c r="J25" s="188">
        <f t="shared" si="8"/>
        <v>342.35711781959191</v>
      </c>
      <c r="K25" s="188">
        <f t="shared" si="8"/>
        <v>861.68645810479472</v>
      </c>
      <c r="L25" s="188"/>
      <c r="M25" s="188"/>
      <c r="N25" s="188">
        <f>N24/N8</f>
        <v>171.62032437707515</v>
      </c>
      <c r="O25" s="64"/>
      <c r="P25" s="63"/>
      <c r="Q25" s="63"/>
    </row>
    <row r="26" spans="4:17" ht="30" customHeight="1" x14ac:dyDescent="0.3">
      <c r="D26" s="251"/>
      <c r="E26" s="102" t="s">
        <v>346</v>
      </c>
      <c r="F26" s="188">
        <f>F23/F8</f>
        <v>3.725461090159804E-2</v>
      </c>
      <c r="G26" s="188">
        <f>G23/F8</f>
        <v>1.022940092240539E-2</v>
      </c>
      <c r="H26" s="188">
        <f t="shared" ref="H26:K26" si="9">H23/H8</f>
        <v>5.8986957972891633E-3</v>
      </c>
      <c r="I26" s="188">
        <f t="shared" si="9"/>
        <v>1.6440896446689623E-2</v>
      </c>
      <c r="J26" s="188">
        <f t="shared" si="9"/>
        <v>7.632593417485406E-2</v>
      </c>
      <c r="K26" s="188">
        <f t="shared" si="9"/>
        <v>0.19204697501193713</v>
      </c>
      <c r="L26" s="188"/>
      <c r="M26" s="188"/>
      <c r="N26" s="188">
        <f>N23/N8</f>
        <v>3.825576780420889E-2</v>
      </c>
      <c r="O26" s="64"/>
      <c r="P26" s="63"/>
      <c r="Q26" s="63"/>
    </row>
    <row r="27" spans="4:17" ht="30" customHeight="1" x14ac:dyDescent="0.3">
      <c r="D27" s="251" t="s">
        <v>328</v>
      </c>
      <c r="E27" s="102" t="s">
        <v>340</v>
      </c>
      <c r="F27" s="89">
        <f>SUMIFS(용수사용량!F:F,용수사용량!C:C,B2,용수사용량!D:D,B5)</f>
        <v>70316.120696737271</v>
      </c>
      <c r="G27" s="89">
        <f>SUMIFS(용수사용량!G:G,용수사용량!C:C,B2,용수사용량!D:D,B5)</f>
        <v>17991.923901896105</v>
      </c>
      <c r="H27" s="89">
        <f>SUMIFS(용수사용량!H:H,용수사용량!C:C,B2,용수사용량!D:D,B5)</f>
        <v>10442.093444888154</v>
      </c>
      <c r="I27" s="89">
        <f>SUMIFS(용수사용량!I:I,용수사용량!C:C,B2,용수사용량!D:D,B5)</f>
        <v>29068.442281287822</v>
      </c>
      <c r="J27" s="89">
        <f>SUMIFS(용수사용량!J:J,용수사용량!C:C,B2,용수사용량!D:D,B5)</f>
        <v>67920.70549659188</v>
      </c>
      <c r="K27" s="89">
        <f>SUMIFS(용수사용량!K:K,용수사용량!C:C,B2,용수사용량!D:D,B5)</f>
        <v>61708.714178598777</v>
      </c>
      <c r="L27" s="89"/>
      <c r="M27" s="89"/>
      <c r="N27" s="89">
        <f>SUM(F27:M27)</f>
        <v>257448</v>
      </c>
      <c r="O27" s="64"/>
      <c r="P27" s="63"/>
      <c r="Q27" s="63"/>
    </row>
    <row r="28" spans="4:17" ht="30" customHeight="1" x14ac:dyDescent="0.3">
      <c r="D28" s="251"/>
      <c r="E28" s="102" t="s">
        <v>347</v>
      </c>
      <c r="F28" s="89">
        <f>SUMIFS(용수사용량!R:R,용수사용량!O:O,B2,용수사용량!P:P,B5)</f>
        <v>39321866.918047421</v>
      </c>
      <c r="G28" s="89">
        <f>SUMIFS(용수사용량!S:S,용수사용량!O:O,B2,용수사용량!P:P,B5)</f>
        <v>10060639.784306474</v>
      </c>
      <c r="H28" s="89">
        <f>SUMIFS(용수사용량!T:T,용수사용량!O:O,B2,용수사용량!P:P,B5)</f>
        <v>5839338.8080497989</v>
      </c>
      <c r="I28" s="89">
        <f>SUMIFS(용수사용량!U:U,용수사용량!O:O,B2,용수사용량!P:P,B5)</f>
        <v>16255636.861079101</v>
      </c>
      <c r="J28" s="89">
        <f>SUMIFS(용수사용량!V:V,용수사용량!O:O,B2,용수사용량!P:P,B5)</f>
        <v>37981866.028378248</v>
      </c>
      <c r="K28" s="89">
        <f>SUMIFS(용수사용량!W:W,용수사용량!O:O,B2,용수사용량!P:P,B5)</f>
        <v>34508331.600138962</v>
      </c>
      <c r="L28" s="89"/>
      <c r="M28" s="89"/>
      <c r="N28" s="89">
        <f>SUM(F28:M28)</f>
        <v>143967680</v>
      </c>
      <c r="O28" s="64"/>
      <c r="P28" s="63"/>
      <c r="Q28" s="63"/>
    </row>
    <row r="29" spans="4:17" ht="30" customHeight="1" x14ac:dyDescent="0.3">
      <c r="D29" s="251"/>
      <c r="E29" s="102" t="s">
        <v>342</v>
      </c>
      <c r="F29" s="188">
        <f>F28/F8</f>
        <v>178.04561103721082</v>
      </c>
      <c r="G29" s="188">
        <f>G28/F8</f>
        <v>45.553604094010957</v>
      </c>
      <c r="H29" s="188">
        <f t="shared" ref="H29:N29" si="10">H28/H8</f>
        <v>28.056404197696981</v>
      </c>
      <c r="I29" s="188">
        <f t="shared" si="10"/>
        <v>78.392486330338059</v>
      </c>
      <c r="J29" s="188">
        <f t="shared" si="10"/>
        <v>361.62113271367434</v>
      </c>
      <c r="K29" s="188">
        <f t="shared" si="10"/>
        <v>906.66652023742722</v>
      </c>
      <c r="L29" s="188"/>
      <c r="M29" s="188"/>
      <c r="N29" s="188">
        <f t="shared" si="10"/>
        <v>180.87337068606399</v>
      </c>
      <c r="O29" s="64"/>
      <c r="P29" s="63"/>
      <c r="Q29" s="63"/>
    </row>
    <row r="30" spans="4:17" ht="30" customHeight="1" x14ac:dyDescent="0.3">
      <c r="D30" s="251"/>
      <c r="E30" s="102" t="s">
        <v>329</v>
      </c>
      <c r="F30" s="188">
        <f>F27/F8</f>
        <v>0.31838459504756711</v>
      </c>
      <c r="G30" s="188">
        <f>G27/F8</f>
        <v>8.1465691634743945E-2</v>
      </c>
      <c r="H30" s="188">
        <f t="shared" ref="H30:N30" si="11">H27/H8</f>
        <v>5.0171364257205753E-2</v>
      </c>
      <c r="I30" s="188">
        <f t="shared" si="11"/>
        <v>0.14018198632599166</v>
      </c>
      <c r="J30" s="188">
        <f t="shared" si="11"/>
        <v>0.6466655018486509</v>
      </c>
      <c r="K30" s="188">
        <f t="shared" si="11"/>
        <v>1.6213251281151719</v>
      </c>
      <c r="L30" s="188"/>
      <c r="M30" s="188"/>
      <c r="N30" s="188">
        <f t="shared" si="11"/>
        <v>0.32344403644196951</v>
      </c>
      <c r="O30" s="64"/>
      <c r="P30" s="63"/>
      <c r="Q30" s="63"/>
    </row>
    <row r="31" spans="4:17" ht="30" customHeight="1" x14ac:dyDescent="0.3">
      <c r="D31" s="251" t="s">
        <v>355</v>
      </c>
      <c r="E31" s="102" t="s">
        <v>340</v>
      </c>
      <c r="F31" s="89">
        <f>SUMIFS(용수사용량!F:F,용수사용량!C:C,B2,용수사용량!D:D,B6)</f>
        <v>50118.592875432223</v>
      </c>
      <c r="G31" s="89">
        <f>SUMIFS(용수사용량!G:G,용수사용량!C:C,B2,용수사용량!D:D,B6)</f>
        <v>13145.569608628924</v>
      </c>
      <c r="H31" s="89">
        <f>SUMIFS(용수사용량!H:H,용수사용량!C:C,B2,용수사용량!D:D,B6)</f>
        <v>7517.0303074235526</v>
      </c>
      <c r="I31" s="89">
        <f>SUMIFS(용수사용량!I:I,용수사용량!C:C,B2,용수사용량!D:D,B6)</f>
        <v>20531.924868592152</v>
      </c>
      <c r="J31" s="89">
        <f>SUMIFS(용수사용량!J:J,용수사용량!C:C,B2,용수사용량!D:D,B6)</f>
        <v>48726.541870938352</v>
      </c>
      <c r="K31" s="89">
        <f>SUMIFS(용수사용량!K:K,용수사용량!C:C,B2,용수사용량!D:D,B6)</f>
        <v>43790.340468984788</v>
      </c>
      <c r="L31" s="89"/>
      <c r="M31" s="89"/>
      <c r="N31" s="89">
        <f>SUM(F31:M31)</f>
        <v>183830</v>
      </c>
      <c r="O31" s="64"/>
      <c r="P31" s="63"/>
      <c r="Q31" s="63"/>
    </row>
    <row r="32" spans="4:17" ht="30" customHeight="1" x14ac:dyDescent="0.3">
      <c r="D32" s="251"/>
      <c r="E32" s="102" t="s">
        <v>400</v>
      </c>
      <c r="F32" s="89">
        <f>SUMIFS(용수사용량!R:R,용수사용량!O:O,B2,용수사용량!P:P,'20년 누적'!B6)</f>
        <v>35083015.012802556</v>
      </c>
      <c r="G32" s="89">
        <f>SUMIFS(용수사용량!S:S,용수사용량!O:O,B2,용수사용량!P:P,'20년 누적'!B6)</f>
        <v>9201898.7260402478</v>
      </c>
      <c r="H32" s="89">
        <f>SUMIFS(용수사용량!T:T,용수사용량!O:O,B2,용수사용량!P:P,'20년 누적'!B6)</f>
        <v>5261921.2151964875</v>
      </c>
      <c r="I32" s="89">
        <f>SUMIFS(용수사용량!U:U,용수사용량!O:O,B2,용수사용량!P:P,'20년 누적'!B6)</f>
        <v>14372347.408014508</v>
      </c>
      <c r="J32" s="89">
        <f>SUMIFS(용수사용량!V:V,용수사용량!O:O,B2,용수사용량!P:P,'20년 누적'!B6)</f>
        <v>34108579.309656851</v>
      </c>
      <c r="K32" s="89">
        <f>SUMIFS(용수사용량!W:W,용수사용량!O:O,B2,용수사용량!P:P,'20년 누적'!B6)</f>
        <v>30653238.328289352</v>
      </c>
      <c r="L32" s="89"/>
      <c r="M32" s="89"/>
      <c r="N32" s="89">
        <f>SUM(F32:M32)</f>
        <v>128681000</v>
      </c>
      <c r="O32" s="64"/>
      <c r="P32" s="63"/>
      <c r="Q32" s="63"/>
    </row>
    <row r="33" spans="4:17" ht="30" customHeight="1" x14ac:dyDescent="0.3">
      <c r="D33" s="251"/>
      <c r="E33" s="102" t="s">
        <v>342</v>
      </c>
      <c r="F33" s="188">
        <f>F32/F8</f>
        <v>158.85249950111586</v>
      </c>
      <c r="G33" s="188">
        <f>G32/F8</f>
        <v>41.665307621200874</v>
      </c>
      <c r="H33" s="188">
        <f>H32/H8</f>
        <v>25.282072735096982</v>
      </c>
      <c r="I33" s="188">
        <f t="shared" ref="I33:K33" si="12">I32/I8</f>
        <v>69.310360298172526</v>
      </c>
      <c r="J33" s="188">
        <f t="shared" si="12"/>
        <v>324.74399957065407</v>
      </c>
      <c r="K33" s="188">
        <f t="shared" si="12"/>
        <v>805.37840111072535</v>
      </c>
      <c r="L33" s="188"/>
      <c r="M33" s="188"/>
      <c r="N33" s="188">
        <f>N32/N8</f>
        <v>161.66799529764876</v>
      </c>
      <c r="O33" s="64"/>
      <c r="P33" s="63"/>
      <c r="Q33" s="63"/>
    </row>
    <row r="34" spans="4:17" ht="30" customHeight="1" x14ac:dyDescent="0.3">
      <c r="D34" s="251"/>
      <c r="E34" s="102" t="s">
        <v>401</v>
      </c>
      <c r="F34" s="188">
        <f>F31/F8</f>
        <v>0.22693214214445123</v>
      </c>
      <c r="G34" s="188">
        <f>G31/F8</f>
        <v>5.9521868030286959E-2</v>
      </c>
      <c r="H34" s="188">
        <f>H31/H8</f>
        <v>3.6117246764424252E-2</v>
      </c>
      <c r="I34" s="188">
        <f t="shared" ref="I34:K34" si="13">I31/I8</f>
        <v>9.9014800425960753E-2</v>
      </c>
      <c r="J34" s="188">
        <f t="shared" si="13"/>
        <v>0.46391999938664863</v>
      </c>
      <c r="K34" s="188">
        <f t="shared" si="13"/>
        <v>1.150540573015322</v>
      </c>
      <c r="L34" s="188"/>
      <c r="M34" s="188"/>
      <c r="N34" s="188">
        <f>N31/N8</f>
        <v>0.23095427899664109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E4:L5"/>
    <mergeCell ref="D7:E7"/>
    <mergeCell ref="D8:D17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workbookViewId="0">
      <selection activeCell="E11" sqref="E11"/>
    </sheetView>
  </sheetViews>
  <sheetFormatPr defaultRowHeight="16.5" x14ac:dyDescent="0.3"/>
  <cols>
    <col min="1" max="1" width="5.125" customWidth="1"/>
  </cols>
  <sheetData>
    <row r="2" spans="2:2" x14ac:dyDescent="0.3">
      <c r="B2" s="97"/>
    </row>
    <row r="5" spans="2:2" s="30" customFormat="1" x14ac:dyDescent="0.3"/>
    <row r="6" spans="2:2" s="30" customFormat="1" x14ac:dyDescent="0.3"/>
    <row r="8" spans="2:2" x14ac:dyDescent="0.3">
      <c r="B8" s="97"/>
    </row>
    <row r="10" spans="2:2" s="30" customFormat="1" x14ac:dyDescent="0.3"/>
    <row r="11" spans="2:2" s="30" customFormat="1" x14ac:dyDescent="0.3"/>
    <row r="12" spans="2:2" x14ac:dyDescent="0.3">
      <c r="B12" s="30"/>
    </row>
    <row r="13" spans="2:2" s="30" customFormat="1" x14ac:dyDescent="0.3"/>
    <row r="14" spans="2:2" s="30" customFormat="1" x14ac:dyDescent="0.3"/>
    <row r="15" spans="2:2" s="30" customFormat="1" x14ac:dyDescent="0.3"/>
    <row r="16" spans="2:2" s="30" customFormat="1" x14ac:dyDescent="0.3"/>
    <row r="17" spans="2:2" s="30" customFormat="1" x14ac:dyDescent="0.3"/>
    <row r="18" spans="2:2" x14ac:dyDescent="0.3">
      <c r="B18" s="97"/>
    </row>
    <row r="21" spans="2:2" x14ac:dyDescent="0.3">
      <c r="B21" s="3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workbookViewId="0">
      <pane xSplit="1" ySplit="15" topLeftCell="B25" activePane="bottomRight" state="frozen"/>
      <selection pane="topRight" activeCell="B1" sqref="B1"/>
      <selection pane="bottomLeft" activeCell="A16" sqref="A16"/>
      <selection pane="bottomRight" activeCell="O35" sqref="O35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13"/>
    <col min="11" max="11" width="9" style="6"/>
    <col min="12" max="12" width="9" style="7"/>
    <col min="13" max="13" width="9" style="6"/>
    <col min="14" max="14" width="9" style="7"/>
    <col min="15" max="15" width="9" style="6"/>
  </cols>
  <sheetData>
    <row r="1" spans="2:17" ht="17.25" customHeight="1" thickTop="1" x14ac:dyDescent="0.3">
      <c r="B1" s="235" t="s">
        <v>19</v>
      </c>
      <c r="C1" s="235" t="s">
        <v>0</v>
      </c>
      <c r="D1" s="235" t="s">
        <v>57</v>
      </c>
      <c r="E1" s="235"/>
      <c r="F1" s="235"/>
      <c r="G1" s="235"/>
      <c r="H1" s="235"/>
      <c r="I1" s="235"/>
      <c r="J1" s="237" t="s">
        <v>58</v>
      </c>
      <c r="K1" s="235"/>
      <c r="L1" s="235"/>
      <c r="M1" s="235"/>
      <c r="N1" s="235"/>
      <c r="O1" s="235"/>
      <c r="Q1" s="9">
        <v>1736</v>
      </c>
    </row>
    <row r="2" spans="2:17" x14ac:dyDescent="0.3">
      <c r="B2" s="233"/>
      <c r="C2" s="233"/>
      <c r="D2" s="233" t="s">
        <v>5</v>
      </c>
      <c r="E2" s="233"/>
      <c r="F2" s="233" t="s">
        <v>6</v>
      </c>
      <c r="G2" s="233"/>
      <c r="H2" s="233" t="s">
        <v>7</v>
      </c>
      <c r="I2" s="233"/>
      <c r="J2" s="238" t="s">
        <v>5</v>
      </c>
      <c r="K2" s="233"/>
      <c r="L2" s="233" t="s">
        <v>6</v>
      </c>
      <c r="M2" s="233"/>
      <c r="N2" s="233" t="s">
        <v>7</v>
      </c>
      <c r="O2" s="233"/>
    </row>
    <row r="3" spans="2:17" ht="17.25" thickBot="1" x14ac:dyDescent="0.35">
      <c r="B3" s="234"/>
      <c r="C3" s="234"/>
      <c r="D3" s="3" t="s">
        <v>12</v>
      </c>
      <c r="E3" s="3" t="s">
        <v>13</v>
      </c>
      <c r="F3" s="3" t="s">
        <v>12</v>
      </c>
      <c r="G3" s="3" t="s">
        <v>13</v>
      </c>
      <c r="H3" s="3" t="s">
        <v>12</v>
      </c>
      <c r="I3" s="3" t="s">
        <v>13</v>
      </c>
      <c r="J3" s="14" t="s">
        <v>12</v>
      </c>
      <c r="K3" s="3" t="s">
        <v>13</v>
      </c>
      <c r="L3" s="3" t="s">
        <v>12</v>
      </c>
      <c r="M3" s="3" t="s">
        <v>13</v>
      </c>
      <c r="N3" s="3" t="s">
        <v>12</v>
      </c>
      <c r="O3" s="3" t="s">
        <v>13</v>
      </c>
    </row>
    <row r="4" spans="2:17" ht="17.25" thickTop="1" x14ac:dyDescent="0.3">
      <c r="B4" t="s">
        <v>20</v>
      </c>
      <c r="C4" s="1" t="s">
        <v>26</v>
      </c>
      <c r="D4" s="5"/>
      <c r="F4" s="5"/>
      <c r="H4" s="5"/>
      <c r="J4" s="12"/>
      <c r="L4" s="5"/>
      <c r="N4" s="5"/>
    </row>
    <row r="5" spans="2:17" x14ac:dyDescent="0.3">
      <c r="B5" t="s">
        <v>20</v>
      </c>
      <c r="C5" s="1" t="s">
        <v>28</v>
      </c>
    </row>
    <row r="6" spans="2:17" x14ac:dyDescent="0.3">
      <c r="B6" t="s">
        <v>20</v>
      </c>
      <c r="C6" s="1" t="s">
        <v>30</v>
      </c>
    </row>
    <row r="7" spans="2:17" x14ac:dyDescent="0.3">
      <c r="B7" t="s">
        <v>20</v>
      </c>
      <c r="C7" s="1" t="s">
        <v>32</v>
      </c>
    </row>
    <row r="8" spans="2:17" x14ac:dyDescent="0.3">
      <c r="B8" t="s">
        <v>20</v>
      </c>
      <c r="C8" s="1" t="s">
        <v>34</v>
      </c>
    </row>
    <row r="9" spans="2:17" x14ac:dyDescent="0.3">
      <c r="B9" t="s">
        <v>20</v>
      </c>
      <c r="C9" s="1" t="s">
        <v>36</v>
      </c>
    </row>
    <row r="10" spans="2:17" x14ac:dyDescent="0.3">
      <c r="B10" t="s">
        <v>20</v>
      </c>
      <c r="C10" s="1" t="s">
        <v>38</v>
      </c>
      <c r="D10" s="7">
        <v>0</v>
      </c>
      <c r="E10" s="6">
        <v>101.66</v>
      </c>
      <c r="F10" s="7">
        <v>0</v>
      </c>
      <c r="G10" s="6">
        <v>1.19</v>
      </c>
      <c r="H10" s="7">
        <v>0</v>
      </c>
      <c r="I10" s="6">
        <v>0.09</v>
      </c>
      <c r="J10" s="13">
        <v>0</v>
      </c>
      <c r="K10" s="6">
        <v>0</v>
      </c>
      <c r="L10" s="7">
        <v>0</v>
      </c>
      <c r="M10" s="6">
        <v>18.739999999999998</v>
      </c>
      <c r="N10" s="7">
        <v>0</v>
      </c>
      <c r="O10" s="6">
        <v>75.77</v>
      </c>
      <c r="Q10" s="8">
        <f t="shared" ref="Q10:Q28" si="0">((M10-L10)+(O10-N10))*$Q$1</f>
        <v>164069.35999999999</v>
      </c>
    </row>
    <row r="11" spans="2:17" x14ac:dyDescent="0.3">
      <c r="B11" t="s">
        <v>20</v>
      </c>
      <c r="C11" s="1" t="s">
        <v>40</v>
      </c>
      <c r="D11" s="7">
        <v>101.66</v>
      </c>
      <c r="E11" s="6">
        <v>238.26</v>
      </c>
      <c r="F11" s="7">
        <v>1.19</v>
      </c>
      <c r="G11" s="6">
        <v>1.65</v>
      </c>
      <c r="H11" s="7">
        <v>0.09</v>
      </c>
      <c r="I11" s="6">
        <v>0.09</v>
      </c>
      <c r="J11" s="13">
        <v>0</v>
      </c>
      <c r="K11" s="6">
        <v>0</v>
      </c>
      <c r="L11" s="7">
        <v>18.739999999999998</v>
      </c>
      <c r="M11" s="6">
        <v>41.59</v>
      </c>
      <c r="N11" s="7">
        <v>75.77</v>
      </c>
      <c r="O11" s="6">
        <v>178.07</v>
      </c>
      <c r="Q11" s="8">
        <f t="shared" si="0"/>
        <v>217260.40000000002</v>
      </c>
    </row>
    <row r="12" spans="2:17" x14ac:dyDescent="0.3">
      <c r="B12" t="s">
        <v>20</v>
      </c>
      <c r="C12" s="1" t="s">
        <v>42</v>
      </c>
      <c r="D12" s="7">
        <v>238.26</v>
      </c>
      <c r="E12" s="6">
        <v>361.85</v>
      </c>
      <c r="F12" s="7">
        <v>1.65</v>
      </c>
      <c r="G12" s="6">
        <v>2.0499999999999998</v>
      </c>
      <c r="H12" s="7">
        <v>0.09</v>
      </c>
      <c r="I12" s="6">
        <v>0.1</v>
      </c>
      <c r="J12" s="13">
        <v>0</v>
      </c>
      <c r="K12" s="6">
        <v>0</v>
      </c>
      <c r="L12" s="7">
        <v>41.59</v>
      </c>
      <c r="M12" s="6">
        <v>67.84</v>
      </c>
      <c r="N12" s="7">
        <v>178.07</v>
      </c>
      <c r="O12" s="6">
        <v>264.89999999999998</v>
      </c>
      <c r="Q12" s="8">
        <f t="shared" si="0"/>
        <v>196306.87999999998</v>
      </c>
    </row>
    <row r="13" spans="2:17" x14ac:dyDescent="0.3">
      <c r="B13" t="s">
        <v>20</v>
      </c>
      <c r="C13" s="1" t="s">
        <v>44</v>
      </c>
      <c r="D13" s="7">
        <v>361.85</v>
      </c>
      <c r="E13" s="6">
        <v>502.13</v>
      </c>
      <c r="F13" s="7">
        <v>2.0499999999999998</v>
      </c>
      <c r="G13" s="6">
        <v>2.5299999999999998</v>
      </c>
      <c r="H13" s="7">
        <v>0.1</v>
      </c>
      <c r="I13" s="6">
        <v>0.13</v>
      </c>
      <c r="J13" s="13">
        <v>0</v>
      </c>
      <c r="K13" s="6">
        <v>0</v>
      </c>
      <c r="L13" s="7">
        <v>67.84</v>
      </c>
      <c r="M13" s="6">
        <v>88.73</v>
      </c>
      <c r="N13" s="7">
        <v>264.89999999999998</v>
      </c>
      <c r="O13" s="6">
        <v>372.39</v>
      </c>
      <c r="Q13" s="8">
        <f t="shared" si="0"/>
        <v>222867.68</v>
      </c>
    </row>
    <row r="14" spans="2:17" x14ac:dyDescent="0.3">
      <c r="B14" t="s">
        <v>20</v>
      </c>
      <c r="C14" s="1" t="s">
        <v>46</v>
      </c>
      <c r="D14" s="7">
        <v>502.13</v>
      </c>
      <c r="E14" s="6">
        <v>647.39</v>
      </c>
      <c r="F14" s="7">
        <v>2.5299999999999998</v>
      </c>
      <c r="G14" s="6">
        <v>2.99</v>
      </c>
      <c r="H14" s="7">
        <v>0.13</v>
      </c>
      <c r="I14" s="6">
        <v>0.16</v>
      </c>
      <c r="J14" s="13">
        <v>0</v>
      </c>
      <c r="K14" s="6">
        <v>0</v>
      </c>
      <c r="L14" s="7">
        <v>88.73</v>
      </c>
      <c r="M14" s="6">
        <v>109.23</v>
      </c>
      <c r="N14" s="7">
        <v>372.39</v>
      </c>
      <c r="O14" s="6">
        <v>484.89</v>
      </c>
      <c r="Q14" s="8">
        <f t="shared" si="0"/>
        <v>230888</v>
      </c>
    </row>
    <row r="15" spans="2:17" x14ac:dyDescent="0.3">
      <c r="B15" t="s">
        <v>20</v>
      </c>
      <c r="C15" s="1" t="s">
        <v>48</v>
      </c>
      <c r="D15" s="7">
        <v>647.39</v>
      </c>
      <c r="E15" s="6">
        <v>779.73</v>
      </c>
      <c r="F15" s="7">
        <v>2.99</v>
      </c>
      <c r="G15" s="6">
        <v>3.44</v>
      </c>
      <c r="H15" s="7">
        <v>0.16</v>
      </c>
      <c r="I15" s="6">
        <v>0.19</v>
      </c>
      <c r="J15" s="13">
        <v>0</v>
      </c>
      <c r="K15" s="6">
        <v>0.04</v>
      </c>
      <c r="L15" s="7">
        <v>109.23</v>
      </c>
      <c r="M15" s="6">
        <v>133.44999999999999</v>
      </c>
      <c r="N15" s="7">
        <v>484.89</v>
      </c>
      <c r="O15" s="6">
        <v>581.62</v>
      </c>
      <c r="Q15" s="8">
        <f t="shared" si="0"/>
        <v>209969.2</v>
      </c>
    </row>
    <row r="16" spans="2:17" x14ac:dyDescent="0.3">
      <c r="B16" t="s">
        <v>22</v>
      </c>
      <c r="C16" s="1" t="s">
        <v>25</v>
      </c>
      <c r="D16" s="7">
        <v>779.73</v>
      </c>
      <c r="E16" s="6">
        <v>921.67</v>
      </c>
      <c r="F16" s="7">
        <v>3.44</v>
      </c>
      <c r="G16" s="6">
        <v>3.91</v>
      </c>
      <c r="H16" s="7">
        <v>0.19</v>
      </c>
      <c r="I16" s="6">
        <v>0.22</v>
      </c>
      <c r="J16" s="13">
        <v>0.04</v>
      </c>
      <c r="K16" s="6">
        <v>0.04</v>
      </c>
      <c r="L16" s="7">
        <v>133.44999999999999</v>
      </c>
      <c r="M16" s="6">
        <v>153.85</v>
      </c>
      <c r="N16" s="7">
        <v>581.62</v>
      </c>
      <c r="O16" s="6">
        <v>691.12</v>
      </c>
      <c r="Q16" s="8">
        <f t="shared" si="0"/>
        <v>225506.40000000002</v>
      </c>
    </row>
    <row r="17" spans="2:17" x14ac:dyDescent="0.3">
      <c r="B17" t="s">
        <v>22</v>
      </c>
      <c r="C17" s="1" t="s">
        <v>27</v>
      </c>
      <c r="D17" s="7">
        <v>921.67</v>
      </c>
      <c r="E17" s="15">
        <v>1037.5899999999999</v>
      </c>
      <c r="F17" s="7">
        <v>3.91</v>
      </c>
      <c r="G17" s="6">
        <v>4.29</v>
      </c>
      <c r="H17" s="7">
        <v>0.22</v>
      </c>
      <c r="I17" s="6">
        <v>0.25</v>
      </c>
      <c r="J17" s="13">
        <v>0.04</v>
      </c>
      <c r="K17" s="6">
        <v>0.04</v>
      </c>
      <c r="L17" s="7">
        <v>153.85</v>
      </c>
      <c r="M17" s="6">
        <v>174.3</v>
      </c>
      <c r="N17" s="7">
        <v>691.12</v>
      </c>
      <c r="O17" s="6">
        <v>776.62</v>
      </c>
      <c r="Q17" s="8">
        <f t="shared" si="0"/>
        <v>183929.20000000004</v>
      </c>
    </row>
    <row r="18" spans="2:17" x14ac:dyDescent="0.3">
      <c r="B18" t="s">
        <v>22</v>
      </c>
      <c r="C18" s="1" t="s">
        <v>29</v>
      </c>
      <c r="D18" s="5">
        <v>1037.5899999999999</v>
      </c>
      <c r="E18" s="15">
        <v>1176.6199999999999</v>
      </c>
      <c r="F18" s="7">
        <v>4.29</v>
      </c>
      <c r="G18" s="6">
        <v>4.75</v>
      </c>
      <c r="H18" s="7">
        <v>0.25</v>
      </c>
      <c r="I18" s="6">
        <v>0.27</v>
      </c>
      <c r="J18" s="13">
        <v>0.04</v>
      </c>
      <c r="K18" s="6">
        <v>0.04</v>
      </c>
      <c r="L18" s="7">
        <v>174.3</v>
      </c>
      <c r="M18" s="6">
        <v>199.78</v>
      </c>
      <c r="N18" s="7">
        <v>776.62</v>
      </c>
      <c r="O18" s="6">
        <v>878.45</v>
      </c>
      <c r="Q18" s="8">
        <f t="shared" si="0"/>
        <v>221010.16000000006</v>
      </c>
    </row>
    <row r="19" spans="2:17" x14ac:dyDescent="0.3">
      <c r="B19" t="s">
        <v>22</v>
      </c>
      <c r="C19" s="1" t="s">
        <v>31</v>
      </c>
      <c r="D19" s="5">
        <v>1176.6199999999999</v>
      </c>
      <c r="E19" s="15">
        <v>1321.22</v>
      </c>
      <c r="F19" s="7">
        <v>4.75</v>
      </c>
      <c r="G19" s="6">
        <v>5.23</v>
      </c>
      <c r="H19" s="7">
        <v>0.27</v>
      </c>
      <c r="I19" s="6">
        <v>0.3</v>
      </c>
      <c r="J19" s="13">
        <v>0.04</v>
      </c>
      <c r="K19" s="6">
        <v>0.04</v>
      </c>
      <c r="L19" s="7">
        <v>199.78</v>
      </c>
      <c r="M19" s="6">
        <v>220.13</v>
      </c>
      <c r="N19" s="7">
        <v>878.45</v>
      </c>
      <c r="O19" s="6">
        <v>990.49</v>
      </c>
      <c r="Q19" s="8">
        <f t="shared" si="0"/>
        <v>229829.03999999992</v>
      </c>
    </row>
    <row r="20" spans="2:17" x14ac:dyDescent="0.3">
      <c r="B20" t="s">
        <v>22</v>
      </c>
      <c r="C20" s="1" t="s">
        <v>33</v>
      </c>
      <c r="D20" s="5">
        <v>1321.22</v>
      </c>
      <c r="E20" s="15">
        <v>1465.35</v>
      </c>
      <c r="F20" s="7">
        <v>5.23</v>
      </c>
      <c r="G20" s="6">
        <v>5.62</v>
      </c>
      <c r="H20" s="7">
        <v>0.3</v>
      </c>
      <c r="I20" s="6">
        <v>0.33</v>
      </c>
      <c r="J20" s="13">
        <v>0.04</v>
      </c>
      <c r="K20" s="6">
        <v>0.04</v>
      </c>
      <c r="L20" s="7">
        <v>220.13</v>
      </c>
      <c r="M20" s="6">
        <v>240.45</v>
      </c>
      <c r="N20" s="7">
        <v>990.49</v>
      </c>
      <c r="O20" s="15">
        <v>1102.18</v>
      </c>
      <c r="Q20" s="8">
        <f t="shared" si="0"/>
        <v>229169.36000000007</v>
      </c>
    </row>
    <row r="21" spans="2:17" x14ac:dyDescent="0.3">
      <c r="B21" t="s">
        <v>22</v>
      </c>
      <c r="C21" s="1" t="s">
        <v>35</v>
      </c>
      <c r="D21" s="5">
        <v>1465.35</v>
      </c>
      <c r="E21" s="15">
        <v>1598.09</v>
      </c>
      <c r="F21" s="7">
        <v>5.62</v>
      </c>
      <c r="G21" s="6">
        <v>6.03</v>
      </c>
      <c r="H21" s="7">
        <v>0.33</v>
      </c>
      <c r="I21" s="6">
        <v>0.35</v>
      </c>
      <c r="J21" s="13">
        <v>0.04</v>
      </c>
      <c r="K21" s="6">
        <v>0.04</v>
      </c>
      <c r="L21" s="7">
        <v>240.45</v>
      </c>
      <c r="M21" s="6">
        <v>266.29000000000002</v>
      </c>
      <c r="N21" s="5">
        <v>1102.18</v>
      </c>
      <c r="O21" s="15">
        <v>1198</v>
      </c>
      <c r="Q21" s="8">
        <f t="shared" si="0"/>
        <v>211201.75999999995</v>
      </c>
    </row>
    <row r="22" spans="2:17" x14ac:dyDescent="0.3">
      <c r="B22" t="s">
        <v>22</v>
      </c>
      <c r="C22" s="1" t="s">
        <v>37</v>
      </c>
      <c r="D22" s="5">
        <v>1598.09</v>
      </c>
      <c r="E22" s="15">
        <v>1746.6</v>
      </c>
      <c r="F22" s="7">
        <v>6.03</v>
      </c>
      <c r="G22" s="6">
        <v>6.41</v>
      </c>
      <c r="H22" s="7">
        <v>0.35</v>
      </c>
      <c r="I22" s="6">
        <v>0.38</v>
      </c>
      <c r="J22" s="13">
        <v>0.04</v>
      </c>
      <c r="K22" s="6">
        <v>0.04</v>
      </c>
      <c r="L22" s="7">
        <v>266.29000000000002</v>
      </c>
      <c r="M22" s="6">
        <v>286.48</v>
      </c>
      <c r="N22" s="5">
        <v>1198</v>
      </c>
      <c r="O22" s="15">
        <v>1313.91</v>
      </c>
      <c r="Q22" s="8">
        <f t="shared" si="0"/>
        <v>236269.60000000015</v>
      </c>
    </row>
    <row r="23" spans="2:17" x14ac:dyDescent="0.3">
      <c r="B23" t="s">
        <v>22</v>
      </c>
      <c r="C23" s="1" t="s">
        <v>39</v>
      </c>
      <c r="D23" s="5">
        <v>1746.6</v>
      </c>
      <c r="E23" s="15">
        <v>1884.02</v>
      </c>
      <c r="F23" s="7">
        <v>6.41</v>
      </c>
      <c r="G23" s="6">
        <v>6.78</v>
      </c>
      <c r="H23" s="7">
        <v>0.38</v>
      </c>
      <c r="I23" s="6">
        <v>0.41</v>
      </c>
      <c r="J23" s="13">
        <v>0.04</v>
      </c>
      <c r="K23" s="6">
        <v>0.04</v>
      </c>
      <c r="L23" s="7">
        <v>286.48</v>
      </c>
      <c r="M23" s="6">
        <v>312.24</v>
      </c>
      <c r="N23" s="5">
        <v>1313.91</v>
      </c>
      <c r="O23" s="15">
        <v>1414.06</v>
      </c>
      <c r="Q23" s="8">
        <f t="shared" si="0"/>
        <v>218579.75999999975</v>
      </c>
    </row>
    <row r="24" spans="2:17" x14ac:dyDescent="0.3">
      <c r="B24" t="s">
        <v>22</v>
      </c>
      <c r="C24" s="1" t="s">
        <v>41</v>
      </c>
      <c r="D24" s="5">
        <v>1884.02</v>
      </c>
      <c r="E24" s="15">
        <v>2003.77</v>
      </c>
      <c r="F24" s="7">
        <v>6.78</v>
      </c>
      <c r="G24" s="6">
        <v>7.09</v>
      </c>
      <c r="H24" s="7">
        <v>0.41</v>
      </c>
      <c r="I24" s="6">
        <v>0.43</v>
      </c>
      <c r="J24" s="13">
        <v>0.04</v>
      </c>
      <c r="K24" s="6">
        <v>0.04</v>
      </c>
      <c r="L24" s="7">
        <v>312.24</v>
      </c>
      <c r="M24" s="6">
        <v>327.29000000000002</v>
      </c>
      <c r="N24" s="5">
        <v>1414.06</v>
      </c>
      <c r="O24" s="15">
        <v>1508.59</v>
      </c>
      <c r="Q24" s="8">
        <f t="shared" si="0"/>
        <v>190230.87999999998</v>
      </c>
    </row>
    <row r="25" spans="2:17" x14ac:dyDescent="0.3">
      <c r="B25" t="s">
        <v>22</v>
      </c>
      <c r="C25" s="1" t="s">
        <v>43</v>
      </c>
      <c r="D25" s="5">
        <v>2003.77</v>
      </c>
      <c r="E25" s="15">
        <v>2136.7600000000002</v>
      </c>
      <c r="F25" s="7">
        <v>7.09</v>
      </c>
      <c r="G25" s="6">
        <v>7.44</v>
      </c>
      <c r="H25" s="7">
        <v>0.43</v>
      </c>
      <c r="I25" s="6">
        <v>0.46</v>
      </c>
      <c r="J25" s="13">
        <v>0.04</v>
      </c>
      <c r="K25" s="6">
        <v>0.04</v>
      </c>
      <c r="L25" s="7">
        <v>327.29000000000002</v>
      </c>
      <c r="M25" s="6">
        <v>346.83</v>
      </c>
      <c r="N25" s="5">
        <v>1508.59</v>
      </c>
      <c r="O25" s="15">
        <v>1610.82</v>
      </c>
      <c r="Q25" s="8">
        <f t="shared" si="0"/>
        <v>211392.71999999997</v>
      </c>
    </row>
    <row r="26" spans="2:17" x14ac:dyDescent="0.3">
      <c r="B26" t="s">
        <v>22</v>
      </c>
      <c r="C26" s="1" t="s">
        <v>45</v>
      </c>
      <c r="D26" s="5">
        <v>2136.7600000000002</v>
      </c>
      <c r="E26" s="15">
        <v>2273.48</v>
      </c>
      <c r="F26" s="7">
        <v>7.44</v>
      </c>
      <c r="G26" s="6">
        <v>7.81</v>
      </c>
      <c r="H26" s="7">
        <v>0.46</v>
      </c>
      <c r="I26" s="6">
        <v>0.5</v>
      </c>
      <c r="J26" s="13">
        <v>0.04</v>
      </c>
      <c r="K26" s="6">
        <v>0.04</v>
      </c>
      <c r="L26" s="7">
        <v>346.83</v>
      </c>
      <c r="M26" s="6">
        <v>370.95</v>
      </c>
      <c r="N26" s="5">
        <v>1610.82</v>
      </c>
      <c r="O26" s="15">
        <v>1712.01</v>
      </c>
      <c r="Q26" s="8">
        <f t="shared" si="0"/>
        <v>217538.16000000009</v>
      </c>
    </row>
    <row r="27" spans="2:17" x14ac:dyDescent="0.3">
      <c r="B27" t="s">
        <v>22</v>
      </c>
      <c r="C27" s="1" t="s">
        <v>47</v>
      </c>
      <c r="D27" s="5">
        <v>2273.48</v>
      </c>
      <c r="E27" s="15">
        <v>2378.9299999999998</v>
      </c>
      <c r="F27" s="7">
        <v>7.81</v>
      </c>
      <c r="G27" s="6">
        <v>8.17</v>
      </c>
      <c r="H27" s="7">
        <v>0.5</v>
      </c>
      <c r="I27" s="6">
        <v>0.54</v>
      </c>
      <c r="J27" s="13">
        <v>0.04</v>
      </c>
      <c r="K27" s="6">
        <v>0.04</v>
      </c>
      <c r="L27" s="7">
        <v>370.95</v>
      </c>
      <c r="M27" s="6">
        <v>385.95</v>
      </c>
      <c r="N27" s="5">
        <v>1712.01</v>
      </c>
      <c r="O27" s="15">
        <v>1793.51</v>
      </c>
      <c r="Q27" s="8">
        <f t="shared" si="0"/>
        <v>167524</v>
      </c>
    </row>
    <row r="28" spans="2:17" x14ac:dyDescent="0.3">
      <c r="B28" t="s">
        <v>24</v>
      </c>
      <c r="C28" s="1" t="s">
        <v>25</v>
      </c>
      <c r="D28" s="5">
        <v>2378.9299999999998</v>
      </c>
      <c r="E28" s="15">
        <v>2434.02</v>
      </c>
      <c r="F28" s="7">
        <v>8.17</v>
      </c>
      <c r="G28" s="6">
        <v>8.52</v>
      </c>
      <c r="H28" s="7">
        <v>0.54</v>
      </c>
      <c r="I28" s="6">
        <v>0.66</v>
      </c>
      <c r="J28" s="13">
        <v>0.04</v>
      </c>
      <c r="K28" s="6">
        <v>0.04</v>
      </c>
      <c r="L28" s="7">
        <v>385.95</v>
      </c>
      <c r="M28" s="6">
        <v>396.18</v>
      </c>
      <c r="N28" s="5">
        <v>1793.51</v>
      </c>
      <c r="O28" s="15">
        <v>1833.4</v>
      </c>
      <c r="Q28" s="8">
        <f t="shared" si="0"/>
        <v>87008.320000000211</v>
      </c>
    </row>
    <row r="29" spans="2:17" x14ac:dyDescent="0.3">
      <c r="B29" t="s">
        <v>24</v>
      </c>
      <c r="C29" s="1" t="s">
        <v>27</v>
      </c>
      <c r="D29" s="5">
        <v>2434.02</v>
      </c>
      <c r="E29" s="15">
        <v>2562.39</v>
      </c>
      <c r="F29" s="7">
        <v>8.52</v>
      </c>
      <c r="G29" s="6">
        <v>8.8800000000000008</v>
      </c>
      <c r="H29" s="7">
        <v>0.66</v>
      </c>
      <c r="I29" s="6">
        <v>0.69</v>
      </c>
      <c r="J29" s="13">
        <v>0.04</v>
      </c>
      <c r="K29" s="6">
        <v>0.04</v>
      </c>
      <c r="L29" s="7">
        <v>396.18</v>
      </c>
      <c r="M29" s="6">
        <v>419.61</v>
      </c>
      <c r="N29" s="5">
        <v>1833.4</v>
      </c>
      <c r="O29" s="15">
        <v>1927.69</v>
      </c>
      <c r="Q29" s="8">
        <f t="shared" ref="Q29:Q35" si="1">((M29-L29)+(O29-N29))*$Q$1</f>
        <v>204361.91999999995</v>
      </c>
    </row>
    <row r="30" spans="2:17" x14ac:dyDescent="0.3">
      <c r="B30" t="s">
        <v>24</v>
      </c>
      <c r="C30" s="1" t="s">
        <v>29</v>
      </c>
      <c r="D30" s="7">
        <v>2562.39</v>
      </c>
      <c r="E30" s="6">
        <v>2702.05</v>
      </c>
      <c r="F30" s="7">
        <v>8.8800000000000008</v>
      </c>
      <c r="G30" s="6">
        <v>9.25</v>
      </c>
      <c r="H30" s="7">
        <v>0.69</v>
      </c>
      <c r="I30" s="6">
        <v>0.71</v>
      </c>
      <c r="J30" s="13">
        <v>0.04</v>
      </c>
      <c r="K30" s="6">
        <v>0.04</v>
      </c>
      <c r="L30" s="7">
        <v>419.61</v>
      </c>
      <c r="M30" s="6">
        <v>439.3</v>
      </c>
      <c r="N30" s="7">
        <v>1927.69</v>
      </c>
      <c r="O30" s="6">
        <v>2035.99</v>
      </c>
      <c r="Q30" s="8">
        <f t="shared" si="1"/>
        <v>222190.63999999993</v>
      </c>
    </row>
    <row r="31" spans="2:17" x14ac:dyDescent="0.3">
      <c r="B31" t="s">
        <v>24</v>
      </c>
      <c r="C31" s="1" t="s">
        <v>31</v>
      </c>
      <c r="D31" s="7">
        <f>E30</f>
        <v>2702.05</v>
      </c>
      <c r="E31" s="6">
        <v>2826.03</v>
      </c>
      <c r="F31" s="7">
        <f>G30</f>
        <v>9.25</v>
      </c>
      <c r="G31" s="6">
        <v>9.59</v>
      </c>
      <c r="H31" s="7">
        <f>I30</f>
        <v>0.71</v>
      </c>
      <c r="I31" s="6">
        <v>0.74</v>
      </c>
      <c r="J31" s="13">
        <f>K30</f>
        <v>0.04</v>
      </c>
      <c r="K31" s="6">
        <v>0.04</v>
      </c>
      <c r="L31" s="7">
        <f>M30</f>
        <v>439.3</v>
      </c>
      <c r="M31" s="6">
        <v>458.2</v>
      </c>
      <c r="N31" s="7">
        <f>O30</f>
        <v>2035.99</v>
      </c>
      <c r="O31" s="6">
        <v>2130.67</v>
      </c>
      <c r="Q31" s="8">
        <f t="shared" si="1"/>
        <v>197174.88000000006</v>
      </c>
    </row>
    <row r="32" spans="2:17" x14ac:dyDescent="0.3">
      <c r="B32" t="s">
        <v>24</v>
      </c>
      <c r="C32" s="1" t="s">
        <v>33</v>
      </c>
      <c r="D32" s="7">
        <f>E31</f>
        <v>2826.03</v>
      </c>
      <c r="E32" s="6">
        <v>2952.11</v>
      </c>
      <c r="F32" s="7">
        <f>G31</f>
        <v>9.59</v>
      </c>
      <c r="G32" s="6">
        <v>10</v>
      </c>
      <c r="H32" s="7">
        <f>I31</f>
        <v>0.74</v>
      </c>
      <c r="I32" s="6">
        <v>0.76</v>
      </c>
      <c r="J32" s="13">
        <f>K31</f>
        <v>0.04</v>
      </c>
      <c r="K32" s="6">
        <v>0.04</v>
      </c>
      <c r="L32" s="7">
        <f>M31</f>
        <v>458.2</v>
      </c>
      <c r="M32" s="6">
        <v>478.19</v>
      </c>
      <c r="N32" s="7">
        <f>O31</f>
        <v>2130.67</v>
      </c>
      <c r="O32" s="6">
        <v>2223.08</v>
      </c>
      <c r="Q32" s="8">
        <f t="shared" si="1"/>
        <v>195126.39999999976</v>
      </c>
    </row>
    <row r="33" spans="2:17" x14ac:dyDescent="0.3">
      <c r="B33" t="s">
        <v>24</v>
      </c>
      <c r="C33" s="1" t="s">
        <v>35</v>
      </c>
      <c r="D33" s="7">
        <f>E32</f>
        <v>2952.11</v>
      </c>
      <c r="E33" s="6">
        <v>3049.09</v>
      </c>
      <c r="F33" s="7">
        <f>G32</f>
        <v>10</v>
      </c>
      <c r="G33" s="6">
        <v>10.49</v>
      </c>
      <c r="H33" s="7">
        <f>I32</f>
        <v>0.76</v>
      </c>
      <c r="I33" s="6">
        <v>0.81</v>
      </c>
      <c r="J33" s="13">
        <f>K32</f>
        <v>0.04</v>
      </c>
      <c r="K33" s="6">
        <v>0.04</v>
      </c>
      <c r="L33" s="7">
        <f>M32</f>
        <v>478.19</v>
      </c>
      <c r="M33" s="6">
        <v>486.74</v>
      </c>
      <c r="N33" s="7">
        <f>O32</f>
        <v>2223.08</v>
      </c>
      <c r="O33" s="6">
        <v>2306.6799999999998</v>
      </c>
      <c r="Q33" s="8">
        <f t="shared" si="1"/>
        <v>159972.39999999985</v>
      </c>
    </row>
    <row r="34" spans="2:17" x14ac:dyDescent="0.3">
      <c r="B34" t="s">
        <v>24</v>
      </c>
      <c r="C34" s="1" t="s">
        <v>37</v>
      </c>
      <c r="D34" s="7">
        <f>E33</f>
        <v>3049.09</v>
      </c>
      <c r="E34" s="6">
        <v>3161.83</v>
      </c>
      <c r="F34" s="7">
        <f>G33</f>
        <v>10.49</v>
      </c>
      <c r="G34" s="6">
        <v>10.87</v>
      </c>
      <c r="H34" s="7">
        <f>I33</f>
        <v>0.81</v>
      </c>
      <c r="I34" s="6">
        <v>0.85</v>
      </c>
      <c r="J34" s="13">
        <f>K33</f>
        <v>0.04</v>
      </c>
      <c r="K34" s="6">
        <v>0.04</v>
      </c>
      <c r="L34" s="7">
        <f>M33</f>
        <v>486.74</v>
      </c>
      <c r="M34" s="6">
        <v>502.05</v>
      </c>
      <c r="N34" s="7">
        <f>O33</f>
        <v>2306.6799999999998</v>
      </c>
      <c r="O34" s="6">
        <v>2394.71</v>
      </c>
      <c r="Q34" s="8">
        <f t="shared" si="1"/>
        <v>179398.24000000034</v>
      </c>
    </row>
    <row r="35" spans="2:17" x14ac:dyDescent="0.3">
      <c r="B35" t="s">
        <v>24</v>
      </c>
      <c r="C35" s="1" t="s">
        <v>39</v>
      </c>
      <c r="D35" s="7">
        <f>E34</f>
        <v>3161.83</v>
      </c>
      <c r="E35" s="6">
        <v>3266.1</v>
      </c>
      <c r="F35" s="7">
        <f>G34</f>
        <v>10.87</v>
      </c>
      <c r="G35" s="6">
        <v>11.27</v>
      </c>
      <c r="H35" s="7">
        <f>I34</f>
        <v>0.85</v>
      </c>
      <c r="I35" s="6">
        <v>0.89</v>
      </c>
      <c r="J35" s="13">
        <f>K34</f>
        <v>0.04</v>
      </c>
      <c r="K35" s="6">
        <v>0.04</v>
      </c>
      <c r="L35" s="7">
        <f>M34</f>
        <v>502.05</v>
      </c>
      <c r="M35" s="6">
        <v>517.33000000000004</v>
      </c>
      <c r="N35" s="7">
        <f>O34</f>
        <v>2394.71</v>
      </c>
      <c r="O35" s="6">
        <v>2474.94</v>
      </c>
      <c r="Q35" s="8">
        <f t="shared" si="1"/>
        <v>165805.36000000007</v>
      </c>
    </row>
    <row r="36" spans="2:17" x14ac:dyDescent="0.3">
      <c r="B36" t="s">
        <v>24</v>
      </c>
      <c r="C36" s="1" t="s">
        <v>41</v>
      </c>
    </row>
    <row r="37" spans="2:17" x14ac:dyDescent="0.3">
      <c r="B37" t="s">
        <v>24</v>
      </c>
      <c r="C37" s="1" t="s">
        <v>43</v>
      </c>
    </row>
    <row r="38" spans="2:17" x14ac:dyDescent="0.3">
      <c r="B38" t="s">
        <v>24</v>
      </c>
      <c r="C38" s="1" t="s">
        <v>45</v>
      </c>
    </row>
    <row r="39" spans="2:17" x14ac:dyDescent="0.3">
      <c r="B39" t="s">
        <v>24</v>
      </c>
      <c r="C39" s="1" t="s">
        <v>47</v>
      </c>
    </row>
  </sheetData>
  <mergeCells count="10">
    <mergeCell ref="B1:B3"/>
    <mergeCell ref="C1:C3"/>
    <mergeCell ref="D1:I1"/>
    <mergeCell ref="J1:O1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"/>
  <sheetViews>
    <sheetView workbookViewId="0">
      <selection activeCell="V10" sqref="V10"/>
    </sheetView>
  </sheetViews>
  <sheetFormatPr defaultRowHeight="16.5" x14ac:dyDescent="0.3"/>
  <cols>
    <col min="2" max="3" width="10.625" style="1" customWidth="1"/>
    <col min="4" max="10" width="10.625" style="34" customWidth="1"/>
    <col min="11" max="17" width="10.625" style="32" customWidth="1"/>
    <col min="18" max="20" width="9" style="32"/>
  </cols>
  <sheetData>
    <row r="1" spans="2:22" x14ac:dyDescent="0.3">
      <c r="B1" s="239"/>
      <c r="C1" s="239"/>
      <c r="D1" s="31" t="s">
        <v>60</v>
      </c>
      <c r="E1" s="31" t="s">
        <v>61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2" t="s">
        <v>67</v>
      </c>
      <c r="L1" s="32" t="s">
        <v>68</v>
      </c>
      <c r="M1" s="32" t="s">
        <v>69</v>
      </c>
      <c r="N1" s="32" t="s">
        <v>70</v>
      </c>
      <c r="O1" s="32" t="s">
        <v>71</v>
      </c>
      <c r="P1" s="32" t="s">
        <v>72</v>
      </c>
      <c r="Q1" s="32" t="s">
        <v>73</v>
      </c>
    </row>
    <row r="2" spans="2:22" ht="33" x14ac:dyDescent="0.3">
      <c r="B2" s="239"/>
      <c r="C2" s="239"/>
      <c r="D2" s="31" t="s">
        <v>74</v>
      </c>
      <c r="E2" s="31" t="s">
        <v>75</v>
      </c>
      <c r="F2" s="31" t="s">
        <v>76</v>
      </c>
      <c r="G2" s="31" t="s">
        <v>77</v>
      </c>
      <c r="H2" s="31" t="s">
        <v>78</v>
      </c>
      <c r="I2" s="31" t="s">
        <v>79</v>
      </c>
      <c r="J2" s="31" t="s">
        <v>80</v>
      </c>
      <c r="K2" s="32" t="s">
        <v>81</v>
      </c>
      <c r="L2" s="32" t="s">
        <v>82</v>
      </c>
      <c r="M2" s="33" t="s">
        <v>83</v>
      </c>
      <c r="N2" s="32" t="s">
        <v>84</v>
      </c>
      <c r="O2" s="32" t="s">
        <v>85</v>
      </c>
      <c r="P2" s="32" t="s">
        <v>85</v>
      </c>
      <c r="Q2" s="32" t="s">
        <v>86</v>
      </c>
    </row>
    <row r="3" spans="2:22" x14ac:dyDescent="0.3">
      <c r="B3" s="1" t="s">
        <v>118</v>
      </c>
      <c r="C3" s="1" t="s">
        <v>26</v>
      </c>
      <c r="D3" s="36">
        <v>5785.125</v>
      </c>
      <c r="E3" s="36">
        <v>267.40234379999998</v>
      </c>
      <c r="F3" s="36">
        <v>687.20312999999999</v>
      </c>
      <c r="G3" s="36">
        <v>1054</v>
      </c>
      <c r="H3" s="36">
        <v>1922.0938000000001</v>
      </c>
      <c r="I3" s="36">
        <v>1009.8984</v>
      </c>
      <c r="J3" s="36">
        <v>798.10155999999995</v>
      </c>
      <c r="K3" s="225">
        <v>55820</v>
      </c>
      <c r="L3" s="225">
        <v>15102</v>
      </c>
      <c r="M3" s="226">
        <v>225148</v>
      </c>
      <c r="N3" s="225">
        <v>17953</v>
      </c>
      <c r="O3" s="225">
        <v>0</v>
      </c>
      <c r="P3" s="225">
        <v>0</v>
      </c>
      <c r="Q3" s="225">
        <v>0</v>
      </c>
      <c r="S3" s="32">
        <f>SUM(E3:J3)</f>
        <v>5738.6992338</v>
      </c>
      <c r="T3" s="32">
        <f>D3-S3</f>
        <v>46.425766199999998</v>
      </c>
      <c r="V3">
        <f>M3+SUM(O3:Q3)</f>
        <v>225148</v>
      </c>
    </row>
    <row r="4" spans="2:22" x14ac:dyDescent="0.3">
      <c r="B4" s="1" t="s">
        <v>118</v>
      </c>
      <c r="C4" s="1" t="s">
        <v>28</v>
      </c>
      <c r="D4" s="36">
        <v>5976.8125</v>
      </c>
      <c r="E4" s="37">
        <v>288.59765625</v>
      </c>
      <c r="F4" s="36">
        <v>738.1953125</v>
      </c>
      <c r="G4" s="36">
        <v>1319.10156250003</v>
      </c>
      <c r="H4" s="36">
        <v>1899.10937499997</v>
      </c>
      <c r="I4" s="36">
        <v>888.10156249998499</v>
      </c>
      <c r="J4" s="36">
        <v>796.5</v>
      </c>
      <c r="K4" s="227">
        <v>70065</v>
      </c>
      <c r="L4" s="228">
        <v>15455</v>
      </c>
      <c r="M4" s="228">
        <v>251548</v>
      </c>
      <c r="N4" s="225">
        <v>16099</v>
      </c>
      <c r="O4" s="225">
        <v>0</v>
      </c>
      <c r="P4" s="225">
        <v>0</v>
      </c>
      <c r="Q4" s="225">
        <v>0</v>
      </c>
      <c r="S4" s="32">
        <f t="shared" ref="S4:S6" si="0">SUM(E4:J4)</f>
        <v>5929.6054687499854</v>
      </c>
      <c r="T4" s="32">
        <f t="shared" ref="T4:T6" si="1">D4-S4</f>
        <v>47.207031250014552</v>
      </c>
      <c r="V4" s="30">
        <f t="shared" ref="V4:V8" si="2">M4+SUM(O4:Q4)</f>
        <v>251548</v>
      </c>
    </row>
    <row r="5" spans="2:22" x14ac:dyDescent="0.3">
      <c r="B5" s="29" t="s">
        <v>118</v>
      </c>
      <c r="C5" s="29" t="s">
        <v>155</v>
      </c>
      <c r="D5" s="36">
        <f>SUM(E5:J5)</f>
        <v>5707.4967499999993</v>
      </c>
      <c r="E5" s="36">
        <v>249.5</v>
      </c>
      <c r="F5" s="36">
        <v>680.89800000000002</v>
      </c>
      <c r="G5" s="36">
        <v>1041.8050000000001</v>
      </c>
      <c r="H5" s="36">
        <v>2013.09375</v>
      </c>
      <c r="I5" s="36">
        <v>963.5</v>
      </c>
      <c r="J5" s="36">
        <v>758.7</v>
      </c>
      <c r="K5" s="228">
        <v>56720</v>
      </c>
      <c r="L5" s="228">
        <v>15517</v>
      </c>
      <c r="M5" s="228">
        <v>264436</v>
      </c>
      <c r="N5" s="228">
        <v>10753</v>
      </c>
      <c r="O5" s="229">
        <v>188172</v>
      </c>
      <c r="P5" s="228">
        <v>70343</v>
      </c>
      <c r="Q5" s="228">
        <v>10835</v>
      </c>
      <c r="S5" s="32">
        <f t="shared" si="0"/>
        <v>5707.4967499999993</v>
      </c>
      <c r="T5" s="32">
        <f t="shared" si="1"/>
        <v>0</v>
      </c>
      <c r="V5" s="30">
        <f t="shared" si="2"/>
        <v>533786</v>
      </c>
    </row>
    <row r="6" spans="2:22" x14ac:dyDescent="0.3">
      <c r="B6" s="198" t="s">
        <v>118</v>
      </c>
      <c r="C6" s="198" t="s">
        <v>484</v>
      </c>
      <c r="D6" s="36">
        <v>5612</v>
      </c>
      <c r="E6" s="36">
        <v>258.40234375</v>
      </c>
      <c r="F6" s="36">
        <v>683.20312500002899</v>
      </c>
      <c r="G6" s="36">
        <v>1144.1953125</v>
      </c>
      <c r="H6" s="36">
        <v>1793.29687500003</v>
      </c>
      <c r="I6" s="36">
        <v>910.59374999997101</v>
      </c>
      <c r="J6" s="36">
        <v>783.296875</v>
      </c>
      <c r="K6" s="228">
        <v>56733</v>
      </c>
      <c r="L6" s="228">
        <v>20631</v>
      </c>
      <c r="M6" s="228">
        <v>258412</v>
      </c>
      <c r="N6" s="228">
        <v>14972</v>
      </c>
      <c r="O6" s="228">
        <v>61</v>
      </c>
      <c r="P6" s="228">
        <v>13676</v>
      </c>
      <c r="Q6" s="228">
        <v>563</v>
      </c>
      <c r="S6" s="32">
        <f t="shared" si="0"/>
        <v>5572.98828125003</v>
      </c>
      <c r="T6" s="32">
        <f t="shared" si="1"/>
        <v>39.011718749969987</v>
      </c>
      <c r="V6" s="30">
        <f t="shared" si="2"/>
        <v>272712</v>
      </c>
    </row>
    <row r="7" spans="2:22" x14ac:dyDescent="0.3">
      <c r="B7" s="210" t="s">
        <v>118</v>
      </c>
      <c r="C7" s="210" t="s">
        <v>34</v>
      </c>
      <c r="D7" s="36">
        <v>5642.9375000001201</v>
      </c>
      <c r="E7" s="36">
        <v>289.8984375</v>
      </c>
      <c r="F7" s="36">
        <v>685.5</v>
      </c>
      <c r="G7" s="36">
        <v>1201.6015625</v>
      </c>
      <c r="H7" s="36">
        <v>1773.60937499997</v>
      </c>
      <c r="I7" s="36">
        <v>900.70312500002899</v>
      </c>
      <c r="J7" s="36">
        <v>750.203125</v>
      </c>
      <c r="K7" s="228">
        <v>70508</v>
      </c>
      <c r="L7" s="228">
        <v>18238</v>
      </c>
      <c r="M7" s="228">
        <v>259228</v>
      </c>
      <c r="N7" s="228">
        <v>12037</v>
      </c>
      <c r="O7" s="228">
        <v>3413</v>
      </c>
      <c r="P7" s="228">
        <v>255375</v>
      </c>
      <c r="Q7" s="228">
        <v>9511</v>
      </c>
      <c r="S7" s="32">
        <f t="shared" ref="S7" si="3">SUM(E7:J7)</f>
        <v>5601.5156249999991</v>
      </c>
      <c r="T7" s="32">
        <f t="shared" ref="T7" si="4">D7-S7</f>
        <v>41.421875000120963</v>
      </c>
      <c r="V7" s="30">
        <f t="shared" si="2"/>
        <v>527527</v>
      </c>
    </row>
    <row r="8" spans="2:22" x14ac:dyDescent="0.3">
      <c r="B8" s="214" t="s">
        <v>118</v>
      </c>
      <c r="C8" s="214" t="s">
        <v>502</v>
      </c>
      <c r="D8" s="36">
        <v>5753.5624999998799</v>
      </c>
      <c r="E8" s="36">
        <v>348.30078125</v>
      </c>
      <c r="F8" s="36">
        <v>653.8984375</v>
      </c>
      <c r="G8" s="36">
        <v>1175.703125</v>
      </c>
      <c r="H8" s="36">
        <v>1797</v>
      </c>
      <c r="I8" s="36">
        <v>950.10156250001501</v>
      </c>
      <c r="J8" s="36">
        <v>783.59374999997101</v>
      </c>
      <c r="K8" s="228">
        <v>65657</v>
      </c>
      <c r="L8" s="228">
        <v>20873</v>
      </c>
      <c r="M8" s="228">
        <v>223472</v>
      </c>
      <c r="N8" s="228">
        <v>12692</v>
      </c>
      <c r="O8" s="228">
        <v>134448</v>
      </c>
      <c r="P8" s="228">
        <v>4469</v>
      </c>
      <c r="Q8" s="228">
        <v>4966</v>
      </c>
      <c r="S8" s="32">
        <f t="shared" ref="S8" si="5">SUM(E8:J8)</f>
        <v>5708.5976562499854</v>
      </c>
      <c r="T8" s="32">
        <f t="shared" ref="T8" si="6">D8-S8</f>
        <v>44.964843749894499</v>
      </c>
      <c r="V8" s="30">
        <f t="shared" si="2"/>
        <v>367355</v>
      </c>
    </row>
    <row r="9" spans="2:22" x14ac:dyDescent="0.3">
      <c r="B9" s="218" t="s">
        <v>24</v>
      </c>
      <c r="C9" s="218" t="s">
        <v>38</v>
      </c>
      <c r="D9" s="36">
        <v>6273.3125000001201</v>
      </c>
      <c r="E9" s="36">
        <v>321</v>
      </c>
      <c r="F9" s="36">
        <v>769.20312500001501</v>
      </c>
      <c r="G9" s="36">
        <v>1292.09374999997</v>
      </c>
      <c r="H9" s="36">
        <v>2052.79687500003</v>
      </c>
      <c r="I9" s="36">
        <v>975.695312499956</v>
      </c>
      <c r="J9" s="36">
        <v>800.10156250002899</v>
      </c>
      <c r="K9" s="228">
        <v>75433</v>
      </c>
      <c r="L9" s="228">
        <v>16579</v>
      </c>
      <c r="M9" s="228">
        <v>255768</v>
      </c>
      <c r="N9" s="228">
        <v>13745</v>
      </c>
      <c r="O9" s="228">
        <v>241259</v>
      </c>
      <c r="P9" s="228">
        <v>16</v>
      </c>
      <c r="Q9" s="228">
        <v>9021</v>
      </c>
      <c r="S9" s="32">
        <f t="shared" ref="S9" si="7">SUM(E9:J9)</f>
        <v>6210.890625</v>
      </c>
      <c r="T9" s="32">
        <f t="shared" ref="T9" si="8">D9-S9</f>
        <v>62.421875000120053</v>
      </c>
      <c r="U9" s="30"/>
      <c r="V9" s="30">
        <f t="shared" ref="V9:V10" si="9">M9+SUM(O9:Q9)</f>
        <v>506064</v>
      </c>
    </row>
    <row r="10" spans="2:22" x14ac:dyDescent="0.3">
      <c r="B10" s="222" t="s">
        <v>24</v>
      </c>
      <c r="C10" s="222" t="s">
        <v>516</v>
      </c>
      <c r="D10" s="36">
        <v>5908.6874999998799</v>
      </c>
      <c r="E10" s="36">
        <v>302.5</v>
      </c>
      <c r="F10" s="36">
        <v>771.195312499956</v>
      </c>
      <c r="G10" s="36">
        <v>1157</v>
      </c>
      <c r="H10" s="36">
        <v>1971.70312499997</v>
      </c>
      <c r="I10" s="36">
        <v>918.10156250002899</v>
      </c>
      <c r="J10" s="36">
        <v>733.89843749997101</v>
      </c>
      <c r="K10" s="228">
        <v>62065</v>
      </c>
      <c r="L10" s="228">
        <v>15787</v>
      </c>
      <c r="M10" s="228">
        <v>250896</v>
      </c>
      <c r="N10" s="228">
        <v>14479</v>
      </c>
      <c r="O10" s="228">
        <v>229203</v>
      </c>
      <c r="P10" s="228">
        <v>3468</v>
      </c>
      <c r="Q10" s="228">
        <v>8053</v>
      </c>
      <c r="S10" s="32">
        <f t="shared" ref="S10" si="10">SUM(E10:J10)</f>
        <v>5854.3984374999254</v>
      </c>
      <c r="T10" s="32">
        <f t="shared" ref="T10" si="11">D10-S10</f>
        <v>54.289062499954525</v>
      </c>
      <c r="V10" s="30">
        <f t="shared" si="9"/>
        <v>491620</v>
      </c>
    </row>
    <row r="11" spans="2:22" x14ac:dyDescent="0.3">
      <c r="K11" s="35"/>
      <c r="L11" s="35"/>
      <c r="M11" s="35"/>
      <c r="N11" s="35"/>
      <c r="O11" s="35"/>
      <c r="P11" s="35"/>
      <c r="Q11" s="35"/>
    </row>
    <row r="12" spans="2:22" x14ac:dyDescent="0.3">
      <c r="K12" s="35"/>
      <c r="L12" s="35"/>
      <c r="M12" s="35"/>
      <c r="N12" s="35"/>
      <c r="O12" s="35"/>
      <c r="P12" s="35"/>
      <c r="Q12" s="35"/>
    </row>
    <row r="13" spans="2:22" x14ac:dyDescent="0.3">
      <c r="K13" s="35"/>
      <c r="L13" s="35"/>
      <c r="M13" s="35"/>
      <c r="N13" s="35"/>
      <c r="O13" s="35"/>
      <c r="P13" s="35"/>
      <c r="Q13" s="35"/>
    </row>
    <row r="14" spans="2:22" x14ac:dyDescent="0.3">
      <c r="K14" s="35"/>
      <c r="L14" s="35"/>
      <c r="M14" s="35"/>
      <c r="N14" s="35"/>
      <c r="O14" s="35"/>
      <c r="P14" s="35"/>
      <c r="Q14" s="35"/>
    </row>
  </sheetData>
  <mergeCells count="2">
    <mergeCell ref="B1:B2"/>
    <mergeCell ref="C1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"/>
  <sheetViews>
    <sheetView topLeftCell="C1" workbookViewId="0">
      <selection activeCell="E12" sqref="E12"/>
    </sheetView>
  </sheetViews>
  <sheetFormatPr defaultRowHeight="16.5" x14ac:dyDescent="0.3"/>
  <cols>
    <col min="2" max="3" width="9" style="1"/>
    <col min="4" max="4" width="9" style="22"/>
    <col min="5" max="5" width="9.375" bestFit="1" customWidth="1"/>
    <col min="6" max="6" width="9.125" bestFit="1" customWidth="1"/>
    <col min="7" max="8" width="10.875" bestFit="1" customWidth="1"/>
    <col min="9" max="9" width="11.375" customWidth="1"/>
    <col min="10" max="10" width="10.875" bestFit="1" customWidth="1"/>
    <col min="11" max="11" width="9.125" bestFit="1" customWidth="1"/>
    <col min="12" max="12" width="13.5" bestFit="1" customWidth="1"/>
    <col min="14" max="16" width="9.375" bestFit="1" customWidth="1"/>
    <col min="17" max="17" width="9.125" bestFit="1" customWidth="1"/>
    <col min="18" max="18" width="10.875" bestFit="1" customWidth="1"/>
    <col min="20" max="20" width="13.5" bestFit="1" customWidth="1"/>
    <col min="21" max="21" width="12.375" style="18" bestFit="1" customWidth="1"/>
    <col min="22" max="22" width="11.875" style="27" bestFit="1" customWidth="1"/>
    <col min="24" max="24" width="9" style="30"/>
    <col min="26" max="26" width="10.875" bestFit="1" customWidth="1"/>
  </cols>
  <sheetData>
    <row r="1" spans="2:26" x14ac:dyDescent="0.3">
      <c r="D1" s="17"/>
      <c r="E1">
        <v>0.2</v>
      </c>
      <c r="G1">
        <v>0.2</v>
      </c>
      <c r="H1">
        <v>0.2</v>
      </c>
      <c r="I1">
        <v>0.2</v>
      </c>
      <c r="J1">
        <v>0.2</v>
      </c>
    </row>
    <row r="2" spans="2:26" x14ac:dyDescent="0.3">
      <c r="D2" s="17"/>
      <c r="E2">
        <v>0.2</v>
      </c>
      <c r="G2">
        <v>0.3</v>
      </c>
      <c r="H2">
        <v>0.2</v>
      </c>
      <c r="I2">
        <v>0.15</v>
      </c>
      <c r="J2">
        <v>0.15</v>
      </c>
      <c r="N2">
        <f>전력감시DATA!I6*1000</f>
        <v>910593.74999997101</v>
      </c>
      <c r="O2" s="54">
        <f>N8+O8+Q8</f>
        <v>222563</v>
      </c>
      <c r="P2" s="54">
        <f>N2-O2</f>
        <v>688030.74999997101</v>
      </c>
    </row>
    <row r="3" spans="2:26" x14ac:dyDescent="0.3">
      <c r="B3" s="239" t="s">
        <v>119</v>
      </c>
      <c r="C3" s="239" t="s">
        <v>97</v>
      </c>
      <c r="D3" s="24"/>
      <c r="E3" s="239" t="s">
        <v>137</v>
      </c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1"/>
    </row>
    <row r="4" spans="2:26" x14ac:dyDescent="0.3">
      <c r="B4" s="239"/>
      <c r="C4" s="239"/>
      <c r="D4" s="23" t="s">
        <v>135</v>
      </c>
      <c r="E4" s="1" t="s">
        <v>120</v>
      </c>
      <c r="F4" s="1" t="s">
        <v>81</v>
      </c>
      <c r="G4" s="1" t="s">
        <v>121</v>
      </c>
      <c r="H4" s="1" t="s">
        <v>122</v>
      </c>
      <c r="I4" s="1" t="s">
        <v>123</v>
      </c>
      <c r="J4" s="1" t="s">
        <v>124</v>
      </c>
      <c r="K4" s="1" t="s">
        <v>125</v>
      </c>
      <c r="L4" s="1" t="s">
        <v>134</v>
      </c>
      <c r="M4" s="1"/>
      <c r="N4" s="1" t="s">
        <v>127</v>
      </c>
      <c r="O4" s="1" t="s">
        <v>128</v>
      </c>
      <c r="P4" s="1" t="s">
        <v>129</v>
      </c>
      <c r="Q4" s="1" t="s">
        <v>130</v>
      </c>
      <c r="R4" s="1" t="s">
        <v>89</v>
      </c>
      <c r="T4" s="1" t="s">
        <v>132</v>
      </c>
      <c r="U4" s="18" t="s">
        <v>133</v>
      </c>
      <c r="V4" s="28" t="s">
        <v>136</v>
      </c>
    </row>
    <row r="5" spans="2:26" x14ac:dyDescent="0.3">
      <c r="B5" s="1" t="s">
        <v>126</v>
      </c>
      <c r="C5" s="1" t="s">
        <v>26</v>
      </c>
      <c r="D5" s="22">
        <f t="shared" ref="D5:D12" si="0">L5+R5</f>
        <v>5931436</v>
      </c>
      <c r="E5" s="47">
        <f>ROUND(((전력감시DATA!E3*1000)-전력감시DATA!K3)+(V5*$E$2)+(P5*$E$2),0)</f>
        <v>250130</v>
      </c>
      <c r="F5" s="47">
        <f>ROUND(전력감시DATA!K3,0)</f>
        <v>55820</v>
      </c>
      <c r="G5" s="47">
        <f>ROUND(((전력감시DATA!F3+전력감시DATA!G3)*1000)+(V5*$G$2)+(R5*$G$2),0)</f>
        <v>1799024</v>
      </c>
      <c r="H5" s="47">
        <f>ROUND((전력감시DATA!H3*1000)+(V5*$H$2)+(R5*$H$2),0)</f>
        <v>1960641</v>
      </c>
      <c r="I5" s="47">
        <f>ROUND((전력감시DATA!I3*1000-(전력감시DATA!O3+전력감시DATA!P3+전력감시DATA!Q3))+(V5*$I$2)+(R5*$I$2),0)</f>
        <v>1038809</v>
      </c>
      <c r="J5" s="47">
        <f>ROUND((전력감시DATA!J3*1000-(전력감시DATA!L3+전력감시DATA!M3))+(V5*$J$2)+(R5*$J$2),0)</f>
        <v>586762</v>
      </c>
      <c r="K5" s="47">
        <f>ROUND(전력감시DATA!L3,0)</f>
        <v>15102</v>
      </c>
      <c r="L5" s="88">
        <f>SUM(E5:K5)</f>
        <v>5706288</v>
      </c>
      <c r="M5" s="47"/>
      <c r="N5" s="47">
        <f>전력감시DATA!O3</f>
        <v>0</v>
      </c>
      <c r="O5" s="47">
        <f>전력감시DATA!P3</f>
        <v>0</v>
      </c>
      <c r="P5" s="47">
        <f>전력감시DATA!M3</f>
        <v>225148</v>
      </c>
      <c r="Q5" s="47">
        <f>전력감시DATA!Q3</f>
        <v>0</v>
      </c>
      <c r="R5" s="47">
        <f>SUM(N5:Q5)</f>
        <v>225148</v>
      </c>
      <c r="T5" s="88">
        <f>SUMIFS(본전력량!$G:$G,본전력량!$B:$B,B5,본전력량!$C:$C,C5)</f>
        <v>5706288</v>
      </c>
      <c r="U5" s="57">
        <f>ROUNDDOWN(T5-(L5+R5),0)</f>
        <v>-225148</v>
      </c>
      <c r="V5" s="58">
        <v>-32411</v>
      </c>
      <c r="W5" s="30">
        <f>R5+U5</f>
        <v>0</v>
      </c>
      <c r="X5" s="30" t="b">
        <f>L5=T5</f>
        <v>1</v>
      </c>
    </row>
    <row r="6" spans="2:26" x14ac:dyDescent="0.3">
      <c r="B6" s="1" t="s">
        <v>126</v>
      </c>
      <c r="C6" s="1" t="s">
        <v>131</v>
      </c>
      <c r="D6" s="22">
        <f t="shared" si="0"/>
        <v>6146476</v>
      </c>
      <c r="E6" s="47">
        <f>ROUND(((전력감시DATA!E4*1000)-전력감시DATA!K4)+(V6*$E$2)+(P6*$E$2),0)</f>
        <v>261907</v>
      </c>
      <c r="F6" s="47">
        <f>ROUND(전력감시DATA!K4,0)</f>
        <v>70065</v>
      </c>
      <c r="G6" s="47">
        <f>ROUND(((전력감시DATA!F4+전력감시DATA!G4)*1000)+(V6*$G$2)+(R6*$G$2),0)</f>
        <v>2122358</v>
      </c>
      <c r="H6" s="47">
        <f>ROUND((전력감시DATA!H4*1000)+(V6*$H$2)+(R6*$H$2),0)</f>
        <v>1942483</v>
      </c>
      <c r="I6" s="47">
        <f>ROUND((전력감시DATA!I4*1000-(전력감시DATA!O4+전력감시DATA!P4+전력감시DATA!Q4))+(V6*$I$2)+(R6*$I$2),0)</f>
        <v>920632</v>
      </c>
      <c r="J6" s="47">
        <f>ROUND((전력감시DATA!J4*1000-(전력감시DATA!L4+전력감시DATA!M4))+(V6*$J$2)+(R6*$J$2),0)</f>
        <v>562028</v>
      </c>
      <c r="K6" s="47">
        <f>ROUND(전력감시DATA!L4,0)</f>
        <v>15455</v>
      </c>
      <c r="L6" s="88">
        <f>SUM(E6:K6)</f>
        <v>5894928</v>
      </c>
      <c r="M6" s="47"/>
      <c r="N6" s="47">
        <f>전력감시DATA!O4</f>
        <v>0</v>
      </c>
      <c r="O6" s="47">
        <f>전력감시DATA!P4</f>
        <v>0</v>
      </c>
      <c r="P6" s="47">
        <f>전력감시DATA!M4</f>
        <v>251548</v>
      </c>
      <c r="Q6" s="47">
        <f>전력감시DATA!Q4</f>
        <v>0</v>
      </c>
      <c r="R6" s="47">
        <f>SUM(N6:Q6)</f>
        <v>251548</v>
      </c>
      <c r="T6" s="88">
        <f>SUMIFS(본전력량!$G:$G,본전력량!$B:$B,B6,본전력량!$C:$C,C6)</f>
        <v>5894928</v>
      </c>
      <c r="U6" s="57">
        <f>ROUNDDOWN(T6-(L6+R6),0)</f>
        <v>-251548</v>
      </c>
      <c r="V6" s="58">
        <v>-34678</v>
      </c>
      <c r="W6" s="30">
        <f>R6+U6</f>
        <v>0</v>
      </c>
      <c r="X6" s="30" t="b">
        <f t="shared" ref="X6:X20" si="1">L6=T6</f>
        <v>1</v>
      </c>
    </row>
    <row r="7" spans="2:26" x14ac:dyDescent="0.3">
      <c r="B7" s="29" t="s">
        <v>24</v>
      </c>
      <c r="C7" s="29" t="s">
        <v>155</v>
      </c>
      <c r="D7" s="22">
        <f t="shared" si="0"/>
        <v>6250154</v>
      </c>
      <c r="E7" s="47">
        <f>ROUND(((전력감시DATA!E5*1000)-전력감시DATA!K5)+(V7*$E$2)+(P7*$E$2),0)</f>
        <v>258216</v>
      </c>
      <c r="F7" s="47">
        <f>ROUND(전력감시DATA!K5,0)</f>
        <v>56720</v>
      </c>
      <c r="G7" s="47">
        <f>ROUND(((전력감시DATA!F5+전력감시DATA!G5)*1000)+(V7*$G$2)+(R7*$G$2),0)</f>
        <v>1901661</v>
      </c>
      <c r="H7" s="47">
        <f>ROUND((전력감시DATA!H5*1000)+(V7*$H$2)+(R7*$H$2),0)</f>
        <v>2132399</v>
      </c>
      <c r="I7" s="47">
        <f>ROUND((전력감시DATA!I5*1000-(전력감시DATA!O5+전력감시DATA!P5+전력감시DATA!Q5))+(V7*$I$2)+(R7*$I$2),0)</f>
        <v>783629</v>
      </c>
      <c r="J7" s="47">
        <f>ROUND((전력감시DATA!J5*1000-(전력감시DATA!L5+전력감시DATA!M5))+(V7*$J$2)+(R7*$J$2),0)</f>
        <v>568226</v>
      </c>
      <c r="K7" s="47">
        <f>ROUND(전력감시DATA!L5,0)</f>
        <v>15517</v>
      </c>
      <c r="L7" s="88">
        <f>SUM(E7:K7)</f>
        <v>5716368</v>
      </c>
      <c r="M7" s="47"/>
      <c r="N7" s="47">
        <f>전력감시DATA!O5</f>
        <v>188172</v>
      </c>
      <c r="O7" s="47">
        <f>전력감시DATA!P5</f>
        <v>70343</v>
      </c>
      <c r="P7" s="47">
        <f>전력감시DATA!M5</f>
        <v>264436</v>
      </c>
      <c r="Q7" s="47">
        <f>전력감시DATA!Q5</f>
        <v>10835</v>
      </c>
      <c r="R7" s="47">
        <f>SUM(N7:Q7)</f>
        <v>533786</v>
      </c>
      <c r="T7" s="88">
        <f>SUMIFS(본전력량!$G:$G,본전력량!$B:$B,B7,본전력량!$C:$C,C7)</f>
        <v>5716368</v>
      </c>
      <c r="U7" s="57">
        <f>ROUNDDOWN(T7-(L7+R7),0)</f>
        <v>-533786</v>
      </c>
      <c r="V7" s="58">
        <v>62742</v>
      </c>
      <c r="W7">
        <f>R7+U7</f>
        <v>0</v>
      </c>
      <c r="X7" s="30" t="b">
        <f t="shared" si="1"/>
        <v>1</v>
      </c>
    </row>
    <row r="8" spans="2:26" x14ac:dyDescent="0.3">
      <c r="B8" s="82" t="s">
        <v>24</v>
      </c>
      <c r="C8" s="82" t="s">
        <v>31</v>
      </c>
      <c r="D8" s="22">
        <f t="shared" si="0"/>
        <v>6017631</v>
      </c>
      <c r="E8" s="47">
        <f>ROUND(((전력감시DATA!E6*1000)-전력감시DATA!K6)+(V8*$E$1)+(P8*$E$2),0)</f>
        <v>254988</v>
      </c>
      <c r="F8" s="47">
        <f>ROUND(전력감시DATA!K6,0)</f>
        <v>56733</v>
      </c>
      <c r="G8" s="47">
        <f>ROUND(((전력감시DATA!F6+전력감시DATA!G6)*1000)+(V8*$G$1)+(R8*$G$2),0)</f>
        <v>1973327</v>
      </c>
      <c r="H8" s="47">
        <f>ROUND((전력감시DATA!H6*1000)+(V8*$H$1)+(R8*$H$2),0)</f>
        <v>1891128</v>
      </c>
      <c r="I8" s="47">
        <f>ROUND((전력감시DATA!I6*1000)-(전력분배!N8+전력분배!O8+전력분배!Q8)+(V8*$J$1)+(R8*$J$2),0)</f>
        <v>761813</v>
      </c>
      <c r="J8" s="47">
        <f>ROUND(((전력감시DATA!J6*1000)-(전력감시DATA!L6+전력감시DATA!M6))+(V8*$J$1)+(R8*$J$2),0)</f>
        <v>578036</v>
      </c>
      <c r="K8" s="47">
        <f>ROUND(전력감시DATA!L6,0)</f>
        <v>20631</v>
      </c>
      <c r="L8" s="47">
        <f t="shared" ref="L8:L15" si="2">SUM(E8:K8)</f>
        <v>5536656</v>
      </c>
      <c r="M8" s="47"/>
      <c r="N8" s="47">
        <v>9000</v>
      </c>
      <c r="O8" s="47">
        <v>213000</v>
      </c>
      <c r="P8" s="47">
        <f>전력감시DATA!M6</f>
        <v>258412</v>
      </c>
      <c r="Q8" s="47">
        <f>전력감시DATA!Q6</f>
        <v>563</v>
      </c>
      <c r="R8" s="47">
        <f t="shared" ref="R8:R15" si="3">SUM(N8:Q8)</f>
        <v>480975</v>
      </c>
      <c r="S8" s="30"/>
      <c r="T8" s="47">
        <f>SUMIFS(본전력량!$G:$G,본전력량!$B:$B,B8,본전력량!$C:$C,C8)</f>
        <v>5536656</v>
      </c>
      <c r="U8" s="57">
        <f t="shared" ref="U8:U15" si="4">ROUNDDOWN(T8-(L8+R8),0)</f>
        <v>-480975</v>
      </c>
      <c r="V8" s="58">
        <v>8180</v>
      </c>
      <c r="W8" s="16">
        <f t="shared" ref="W8:W20" si="5">R8+U8</f>
        <v>0</v>
      </c>
      <c r="X8" s="30" t="b">
        <f t="shared" si="1"/>
        <v>1</v>
      </c>
      <c r="Z8" s="54">
        <f>L8-T8</f>
        <v>0</v>
      </c>
    </row>
    <row r="9" spans="2:26" x14ac:dyDescent="0.3">
      <c r="B9" s="82" t="s">
        <v>24</v>
      </c>
      <c r="C9" s="82" t="s">
        <v>33</v>
      </c>
      <c r="D9" s="22">
        <f t="shared" si="0"/>
        <v>6094999</v>
      </c>
      <c r="E9" s="47">
        <f>ROUND(((전력감시DATA!E7*1000)-전력감시DATA!K7)+(V9*$E$2)+(P9*$E$2),0)</f>
        <v>274972</v>
      </c>
      <c r="F9" s="47">
        <f>ROUND(전력감시DATA!K7,0)</f>
        <v>70508</v>
      </c>
      <c r="G9" s="47">
        <f>ROUND(((전력감시DATA!F7+전력감시DATA!G7)*1000)+(V9*$G$2)+(R9*$G$2),0)</f>
        <v>2050964</v>
      </c>
      <c r="H9" s="47">
        <f>ROUND((전력감시DATA!H7*1000)+(V9*$H$2)+(R9*$H$2),0)</f>
        <v>1882851</v>
      </c>
      <c r="I9" s="47">
        <f>ROUND((전력감시DATA!I7*1000)-(전력분배!N9+전력분배!O9+전력분배!Q9)+(V9*$J$1)+(R9*$J$2),0)</f>
        <v>715270</v>
      </c>
      <c r="J9" s="47">
        <f>ROUND((전력감시DATA!J7*1000-(전력감시DATA!L7+전력감시DATA!M7))+(V9*$J$2)+(R9*$J$2),0)</f>
        <v>554669</v>
      </c>
      <c r="K9" s="47">
        <f>ROUND(전력감시DATA!L7,0)</f>
        <v>18238</v>
      </c>
      <c r="L9" s="47">
        <f t="shared" si="2"/>
        <v>5567472</v>
      </c>
      <c r="M9" s="47"/>
      <c r="N9" s="47">
        <f>전력감시DATA!O7</f>
        <v>3413</v>
      </c>
      <c r="O9" s="47">
        <f>전력감시DATA!P7</f>
        <v>255375</v>
      </c>
      <c r="P9" s="47">
        <f>전력감시DATA!M7</f>
        <v>259228</v>
      </c>
      <c r="Q9" s="47">
        <f>전력감시DATA!Q7</f>
        <v>9511</v>
      </c>
      <c r="R9" s="47">
        <f t="shared" si="3"/>
        <v>527527</v>
      </c>
      <c r="S9" s="30"/>
      <c r="T9" s="47">
        <f>SUMIFS(본전력량!$G:$G,본전력량!$B:$B,B9,본전력량!$C:$C,C9)</f>
        <v>5567472</v>
      </c>
      <c r="U9" s="57">
        <f t="shared" si="4"/>
        <v>-527527</v>
      </c>
      <c r="V9" s="58">
        <v>18682.2</v>
      </c>
      <c r="W9" s="16">
        <f t="shared" si="5"/>
        <v>0</v>
      </c>
      <c r="X9" s="30" t="b">
        <f t="shared" si="1"/>
        <v>1</v>
      </c>
    </row>
    <row r="10" spans="2:26" x14ac:dyDescent="0.3">
      <c r="B10" s="82" t="s">
        <v>24</v>
      </c>
      <c r="C10" s="82" t="s">
        <v>35</v>
      </c>
      <c r="D10" s="22">
        <f t="shared" si="0"/>
        <v>6043979</v>
      </c>
      <c r="E10" s="47">
        <f>ROUND(((전력감시DATA!E8*1000)-전력감시DATA!K8)+(V10*$E$2)+(P10*$E$2),0)</f>
        <v>326729</v>
      </c>
      <c r="F10" s="47">
        <f>ROUND(전력감시DATA!K8,0)</f>
        <v>65657</v>
      </c>
      <c r="G10" s="47">
        <f>ROUND(((전력감시DATA!F8+전력감시DATA!G8)*1000)+(V10*$G$2)+(R10*$G$2),0)</f>
        <v>1938895</v>
      </c>
      <c r="H10" s="47">
        <f>ROUND((전력감시DATA!H8*1000)+(V10*$H$2)+(R10*$H$2),0)</f>
        <v>1869862</v>
      </c>
      <c r="I10" s="47">
        <f>ROUND((전력감시DATA!I8*1000)-(전력분배!N10+전력분배!O10+전력분배!Q10)+(V10*$J$1)+(R10*$J$2),0)</f>
        <v>860713</v>
      </c>
      <c r="J10" s="47">
        <f>ROUND((전력감시DATA!J8*1000-(전력감시DATA!L8+전력감시DATA!M8))+(V10*$J$2)+(R10*$J$2),0)</f>
        <v>593895</v>
      </c>
      <c r="K10" s="47">
        <f>ROUND(전력감시DATA!L8,0)</f>
        <v>20873</v>
      </c>
      <c r="L10" s="47">
        <f t="shared" si="2"/>
        <v>5676624</v>
      </c>
      <c r="M10" s="47"/>
      <c r="N10" s="47">
        <f>전력감시DATA!O8</f>
        <v>134448</v>
      </c>
      <c r="O10" s="47">
        <f>전력감시DATA!P8</f>
        <v>4469</v>
      </c>
      <c r="P10" s="47">
        <f>전력감시DATA!M8</f>
        <v>223472</v>
      </c>
      <c r="Q10" s="47">
        <f>전력감시DATA!Q8</f>
        <v>4966</v>
      </c>
      <c r="R10" s="47">
        <f t="shared" si="3"/>
        <v>367355</v>
      </c>
      <c r="S10" s="30"/>
      <c r="T10" s="47">
        <f>SUMIFS(본전력량!$G:$G,본전력량!$B:$B,B10,본전력량!$C:$C,C10)</f>
        <v>5676624</v>
      </c>
      <c r="U10" s="57">
        <f t="shared" si="4"/>
        <v>-367355</v>
      </c>
      <c r="V10" s="58">
        <v>-3045</v>
      </c>
      <c r="W10" s="16">
        <f t="shared" si="5"/>
        <v>0</v>
      </c>
      <c r="X10" s="30" t="b">
        <f t="shared" si="1"/>
        <v>1</v>
      </c>
    </row>
    <row r="11" spans="2:26" x14ac:dyDescent="0.3">
      <c r="B11" s="82" t="s">
        <v>24</v>
      </c>
      <c r="C11" s="82" t="s">
        <v>37</v>
      </c>
      <c r="D11" s="22">
        <f t="shared" si="0"/>
        <v>6694464</v>
      </c>
      <c r="E11" s="47">
        <f>ROUND(((전력감시DATA!E9*1000)-전력감시DATA!K9)+(V11*$E$2)+(P11*$E$2),0)</f>
        <v>301972</v>
      </c>
      <c r="F11" s="47">
        <f>ROUND(전력감시DATA!K9,0)</f>
        <v>75433</v>
      </c>
      <c r="G11" s="47">
        <f>ROUND(((전력감시DATA!F9+전력감시DATA!G9)*1000)+(V11*$G$2)+(R11*$G$2),0)</f>
        <v>2220993</v>
      </c>
      <c r="H11" s="47">
        <f>ROUND((전력감시DATA!H9*1000)+(V11*$H$2)+(R11*$H$2),0)</f>
        <v>2159261</v>
      </c>
      <c r="I11" s="47">
        <f>ROUND((전력감시DATA!I9*1000)-(전력분배!N11+전력분배!O11+전력분배!Q11)+(V11*$J$1)+(R11*$J$2),0)</f>
        <v>806560</v>
      </c>
      <c r="J11" s="47">
        <f>ROUND((전력감시DATA!J9*1000-(전력감시DATA!L9+전력감시DATA!M9))+(V11*$J$2)+(R11*$J$2),0)</f>
        <v>607602</v>
      </c>
      <c r="K11" s="47">
        <f>ROUND(전력감시DATA!L9,0)</f>
        <v>16579</v>
      </c>
      <c r="L11" s="47">
        <f t="shared" si="2"/>
        <v>6188400</v>
      </c>
      <c r="M11" s="47"/>
      <c r="N11" s="47">
        <f>전력감시DATA!O9</f>
        <v>241259</v>
      </c>
      <c r="O11" s="47">
        <f>전력감시DATA!P9</f>
        <v>16</v>
      </c>
      <c r="P11" s="47">
        <f>전력감시DATA!M9</f>
        <v>255768</v>
      </c>
      <c r="Q11" s="47">
        <f>전력감시DATA!Q9</f>
        <v>9021</v>
      </c>
      <c r="R11" s="47">
        <f t="shared" si="3"/>
        <v>506064</v>
      </c>
      <c r="S11" s="30"/>
      <c r="T11" s="88">
        <f>SUMIFS(본전력량!$G:$G,본전력량!$B:$B,B11,본전력량!$C:$C,C11)</f>
        <v>6188400</v>
      </c>
      <c r="U11" s="57">
        <f t="shared" si="4"/>
        <v>-506064</v>
      </c>
      <c r="V11" s="58">
        <v>26255</v>
      </c>
      <c r="W11" s="30">
        <f t="shared" si="5"/>
        <v>0</v>
      </c>
      <c r="X11" s="30" t="b">
        <f t="shared" si="1"/>
        <v>1</v>
      </c>
    </row>
    <row r="12" spans="2:26" x14ac:dyDescent="0.3">
      <c r="B12" s="82" t="s">
        <v>24</v>
      </c>
      <c r="C12" s="82" t="s">
        <v>39</v>
      </c>
      <c r="D12" s="22">
        <f t="shared" si="0"/>
        <v>6321028</v>
      </c>
      <c r="E12" s="47">
        <f>ROUND(((전력감시DATA!E10*1000)-전력감시DATA!K10)+(V12*$E$2)+(R12*$E$2),0)</f>
        <v>333761</v>
      </c>
      <c r="F12" s="47">
        <f>ROUND(전력감시DATA!K10,0)</f>
        <v>62065</v>
      </c>
      <c r="G12" s="47">
        <f>ROUND(((전력감시DATA!F10+전력감시DATA!G10)*1000)+(V12*$G$2)+(R12*$G$2),0)</f>
        <v>2068184</v>
      </c>
      <c r="H12" s="47">
        <f>ROUND((전력감시DATA!H10*1000)+(V12*$H$2)+(R12*$H$2),0)</f>
        <v>2065029</v>
      </c>
      <c r="I12" s="47">
        <f>ROUND((전력감시DATA!I10*1000)-(전력분배!N12+전력분배!O12+전력분배!Q12)+(V12*$J$2)+(R12*$J$2),0)</f>
        <v>747372</v>
      </c>
      <c r="J12" s="47">
        <f>ROUND((전력감시DATA!J10*1000-(전력감시DATA!L10+전력감시DATA!M10))+(V12*$J$2)+(R12*$J$2),0)</f>
        <v>537210</v>
      </c>
      <c r="K12" s="47">
        <f>ROUND(전력감시DATA!L10,0)</f>
        <v>15787</v>
      </c>
      <c r="L12" s="47">
        <f t="shared" si="2"/>
        <v>5829408</v>
      </c>
      <c r="M12" s="47"/>
      <c r="N12" s="47">
        <f>전력감시DATA!O10</f>
        <v>229203</v>
      </c>
      <c r="O12" s="47">
        <f>전력감시DATA!P10</f>
        <v>3468</v>
      </c>
      <c r="P12" s="47">
        <f>전력감시DATA!M10</f>
        <v>250896</v>
      </c>
      <c r="Q12" s="47">
        <f>전력감시DATA!Q10</f>
        <v>8053</v>
      </c>
      <c r="R12" s="47">
        <f t="shared" si="3"/>
        <v>491620</v>
      </c>
      <c r="S12" s="30"/>
      <c r="T12" s="47">
        <f>SUMIFS(본전력량!$G:$G,본전력량!$B:$B,B12,본전력량!$C:$C,C12)</f>
        <v>5829408</v>
      </c>
      <c r="U12" s="57">
        <f t="shared" si="4"/>
        <v>-491620</v>
      </c>
      <c r="V12" s="58">
        <v>-24990</v>
      </c>
      <c r="W12" s="30">
        <f t="shared" si="5"/>
        <v>0</v>
      </c>
      <c r="X12" s="30" t="b">
        <f t="shared" si="1"/>
        <v>1</v>
      </c>
    </row>
    <row r="13" spans="2:26" x14ac:dyDescent="0.3">
      <c r="B13" s="82" t="s">
        <v>24</v>
      </c>
      <c r="C13" s="82" t="s">
        <v>41</v>
      </c>
      <c r="E13" s="47">
        <f>ROUND(((전력감시DATA!E11*1000)-전력감시DATA!K11)+(V13*$E$2)+(R13*$E$2),0)</f>
        <v>0</v>
      </c>
      <c r="F13" s="47">
        <f>ROUND(전력감시DATA!K11,0)</f>
        <v>0</v>
      </c>
      <c r="G13" s="47">
        <f>ROUND(((전력감시DATA!F11+전력감시DATA!G11)*1000)+(V13*$G$2)+(R13*$G$2),0)</f>
        <v>0</v>
      </c>
      <c r="H13" s="47">
        <f>ROUND((전력감시DATA!H11*1000)+(V13*$H$2)+(R13*$H$2),0)</f>
        <v>0</v>
      </c>
      <c r="I13" s="47">
        <f>ROUND((전력감시DATA!I11*1000)-(전력분배!N13+전력분배!O13+전력분배!Q13)+(V13*$J$2)+(R13*$J$2),0)</f>
        <v>0</v>
      </c>
      <c r="J13" s="47">
        <f>ROUND((전력감시DATA!J11*1000-(전력감시DATA!L11+전력감시DATA!M11))+(V13*$J$2)+(R13*$J$2),0)</f>
        <v>0</v>
      </c>
      <c r="K13" s="47">
        <f>ROUND(전력감시DATA!L11,0)</f>
        <v>0</v>
      </c>
      <c r="L13" s="47">
        <f t="shared" si="2"/>
        <v>0</v>
      </c>
      <c r="M13" s="47"/>
      <c r="N13" s="47">
        <f>전력감시DATA!O11</f>
        <v>0</v>
      </c>
      <c r="O13" s="47">
        <f>전력감시DATA!P11</f>
        <v>0</v>
      </c>
      <c r="P13" s="47">
        <f>전력감시DATA!M11</f>
        <v>0</v>
      </c>
      <c r="Q13" s="47">
        <f>전력감시DATA!Q11</f>
        <v>0</v>
      </c>
      <c r="R13" s="47">
        <f t="shared" si="3"/>
        <v>0</v>
      </c>
      <c r="S13" s="30"/>
      <c r="T13" s="47">
        <f>SUMIFS(본전력량!$G:$G,본전력량!$B:$B,B13,본전력량!$C:$C,C13)</f>
        <v>0</v>
      </c>
      <c r="U13" s="57">
        <f t="shared" si="4"/>
        <v>0</v>
      </c>
      <c r="V13" s="58"/>
      <c r="W13" s="30">
        <f t="shared" si="5"/>
        <v>0</v>
      </c>
      <c r="X13" s="30" t="b">
        <f t="shared" si="1"/>
        <v>1</v>
      </c>
    </row>
    <row r="14" spans="2:26" x14ac:dyDescent="0.3">
      <c r="B14" s="82" t="s">
        <v>24</v>
      </c>
      <c r="C14" s="82" t="s">
        <v>43</v>
      </c>
      <c r="E14" s="47">
        <f>ROUND(((전력감시DATA!E12*1000)-전력감시DATA!K12)+(V14*$E$2)+(R14*$E$2),0)</f>
        <v>0</v>
      </c>
      <c r="F14" s="47">
        <f>ROUND(전력감시DATA!K12,0)</f>
        <v>0</v>
      </c>
      <c r="G14" s="47">
        <f>ROUND(((전력감시DATA!F12+전력감시DATA!G12)*1000)+(V14*$G$2)+(R14*$G$2),0)</f>
        <v>0</v>
      </c>
      <c r="H14" s="47">
        <f>ROUND((전력감시DATA!H12*1000)+(V14*$H$2)+(R14*$H$2),0)</f>
        <v>0</v>
      </c>
      <c r="I14" s="47">
        <f>ROUND((전력감시DATA!I12*1000)-(전력분배!N14+전력분배!O14+전력분배!Q14)+(V14*$J$2)+(R14*$J$2),0)</f>
        <v>0</v>
      </c>
      <c r="J14" s="47">
        <f>ROUND((전력감시DATA!J12*1000-(전력감시DATA!L12+전력감시DATA!M12))+(V14*$J$2)+(R14*$J$2),0)</f>
        <v>0</v>
      </c>
      <c r="K14" s="47">
        <f>ROUND(전력감시DATA!L12,0)</f>
        <v>0</v>
      </c>
      <c r="L14" s="47">
        <f t="shared" si="2"/>
        <v>0</v>
      </c>
      <c r="M14" s="47"/>
      <c r="N14" s="47">
        <f>전력감시DATA!O12</f>
        <v>0</v>
      </c>
      <c r="O14" s="47">
        <f>전력감시DATA!P12</f>
        <v>0</v>
      </c>
      <c r="P14" s="47">
        <f>전력감시DATA!M12</f>
        <v>0</v>
      </c>
      <c r="Q14" s="47">
        <f>전력감시DATA!Q12</f>
        <v>0</v>
      </c>
      <c r="R14" s="47">
        <f t="shared" si="3"/>
        <v>0</v>
      </c>
      <c r="S14" s="30"/>
      <c r="T14" s="47">
        <f>SUMIFS(본전력량!$G:$G,본전력량!$B:$B,B14,본전력량!$C:$C,C14)</f>
        <v>0</v>
      </c>
      <c r="U14" s="57">
        <f t="shared" si="4"/>
        <v>0</v>
      </c>
      <c r="V14" s="58"/>
      <c r="W14" s="30">
        <f t="shared" si="5"/>
        <v>0</v>
      </c>
      <c r="X14" s="30" t="b">
        <f t="shared" si="1"/>
        <v>1</v>
      </c>
    </row>
    <row r="15" spans="2:26" x14ac:dyDescent="0.3">
      <c r="B15" s="82" t="s">
        <v>24</v>
      </c>
      <c r="C15" s="82" t="s">
        <v>45</v>
      </c>
      <c r="E15" s="47">
        <f>ROUND(((전력감시DATA!E13*1000)-전력감시DATA!K13)+(V15*$E$2)+(R15*$E$2),0)</f>
        <v>0</v>
      </c>
      <c r="F15" s="47">
        <f>ROUND(전력감시DATA!K13,0)</f>
        <v>0</v>
      </c>
      <c r="G15" s="47">
        <f>ROUND(((전력감시DATA!F13+전력감시DATA!G13)*1000)+(V15*$G$2)+(R15*$G$2),0)</f>
        <v>0</v>
      </c>
      <c r="H15" s="47">
        <f>ROUND((전력감시DATA!H13*1000)+(V15*$H$2)+(R15*$H$2),0)</f>
        <v>0</v>
      </c>
      <c r="I15" s="47">
        <f>ROUND((전력감시DATA!I13*1000)-(전력분배!N15+전력분배!O15+전력분배!Q15)+(V15*$J$2)+(R15*$J$2),0)</f>
        <v>0</v>
      </c>
      <c r="J15" s="47">
        <f>ROUND((전력감시DATA!J13*1000-(전력감시DATA!L13+전력감시DATA!M13))+(V15*$J$2)+(R15*$J$2),0)</f>
        <v>0</v>
      </c>
      <c r="K15" s="47">
        <f>ROUND(전력감시DATA!L13,0)</f>
        <v>0</v>
      </c>
      <c r="L15" s="47">
        <f t="shared" si="2"/>
        <v>0</v>
      </c>
      <c r="M15" s="47"/>
      <c r="N15" s="47">
        <f>전력감시DATA!O13</f>
        <v>0</v>
      </c>
      <c r="O15" s="47">
        <f>전력감시DATA!P13</f>
        <v>0</v>
      </c>
      <c r="P15" s="47">
        <f>전력감시DATA!M13</f>
        <v>0</v>
      </c>
      <c r="Q15" s="47">
        <f>전력감시DATA!Q13</f>
        <v>0</v>
      </c>
      <c r="R15" s="47">
        <f t="shared" si="3"/>
        <v>0</v>
      </c>
      <c r="S15" s="30"/>
      <c r="T15" s="47">
        <f>SUMIFS(본전력량!$G:$G,본전력량!$B:$B,B15,본전력량!$C:$C,C15)</f>
        <v>0</v>
      </c>
      <c r="U15" s="57">
        <f t="shared" si="4"/>
        <v>0</v>
      </c>
      <c r="V15" s="58"/>
      <c r="W15" s="30">
        <f t="shared" si="5"/>
        <v>0</v>
      </c>
      <c r="X15" s="30" t="b">
        <f t="shared" si="1"/>
        <v>1</v>
      </c>
    </row>
    <row r="16" spans="2:26" x14ac:dyDescent="0.3">
      <c r="B16" s="82" t="s">
        <v>24</v>
      </c>
      <c r="C16" s="82" t="s">
        <v>47</v>
      </c>
      <c r="E16" s="47">
        <f>ROUND(((전력감시DATA!E14*1000)-전력감시DATA!K14)+(V16*$E$2)+(R16*$E$2),0)</f>
        <v>0</v>
      </c>
      <c r="F16" s="47">
        <f>ROUND(전력감시DATA!K14,0)</f>
        <v>0</v>
      </c>
      <c r="G16" s="47">
        <f>ROUND(((전력감시DATA!F14+전력감시DATA!G14)*1000)+(V16*$G$2)+(R16*$G$2),0)</f>
        <v>0</v>
      </c>
      <c r="H16" s="47">
        <f>ROUND((전력감시DATA!H14*1000)+(V16*$H$2)+(R16*$H$2),0)</f>
        <v>0</v>
      </c>
      <c r="I16" s="47">
        <f>ROUND((전력감시DATA!I14*1000)-(전력분배!N16+전력분배!O16+전력분배!Q16)+(V16*$J$2)+(R16*$J$2),0)</f>
        <v>0</v>
      </c>
      <c r="J16" s="47">
        <f>ROUND((전력감시DATA!J14*1000-(전력감시DATA!L14+전력감시DATA!M14))+(V16*$J$2)+(R16*$J$2),0)</f>
        <v>0</v>
      </c>
      <c r="K16" s="47">
        <f>ROUND(전력감시DATA!L14,0)</f>
        <v>0</v>
      </c>
      <c r="L16" s="47">
        <f t="shared" ref="L16:L17" si="6">SUM(E16:K16)</f>
        <v>0</v>
      </c>
      <c r="M16" s="47"/>
      <c r="N16" s="47">
        <f>전력감시DATA!O14</f>
        <v>0</v>
      </c>
      <c r="O16" s="47">
        <f>전력감시DATA!P14</f>
        <v>0</v>
      </c>
      <c r="P16" s="47">
        <f>전력감시DATA!M14</f>
        <v>0</v>
      </c>
      <c r="Q16" s="47">
        <f>전력감시DATA!Q14</f>
        <v>0</v>
      </c>
      <c r="R16" s="47">
        <f t="shared" ref="R16:R20" si="7">SUM(N16:Q16)</f>
        <v>0</v>
      </c>
      <c r="S16" s="30"/>
      <c r="T16" s="47">
        <f>SUMIFS(본전력량!$G:$G,본전력량!$B:$B,B16,본전력량!$C:$C,C16)</f>
        <v>0</v>
      </c>
      <c r="U16" s="57">
        <f t="shared" ref="U16:U20" si="8">ROUNDDOWN(T16-(L16+R16),0)</f>
        <v>0</v>
      </c>
      <c r="V16" s="58"/>
      <c r="W16" s="30">
        <f t="shared" si="5"/>
        <v>0</v>
      </c>
      <c r="X16" s="30" t="b">
        <f t="shared" si="1"/>
        <v>1</v>
      </c>
    </row>
    <row r="17" spans="2:24" x14ac:dyDescent="0.3">
      <c r="B17" s="1" t="s">
        <v>412</v>
      </c>
      <c r="C17" s="1" t="s">
        <v>416</v>
      </c>
      <c r="E17" s="54">
        <f>ROUND(SUM(E5:E7),0)</f>
        <v>770253</v>
      </c>
      <c r="F17" s="54">
        <f t="shared" ref="F17:K17" si="9">ROUND(SUM(F5:F7),0)</f>
        <v>182605</v>
      </c>
      <c r="G17" s="54">
        <f t="shared" si="9"/>
        <v>5823043</v>
      </c>
      <c r="H17" s="54">
        <f t="shared" si="9"/>
        <v>6035523</v>
      </c>
      <c r="I17" s="54">
        <f t="shared" si="9"/>
        <v>2743070</v>
      </c>
      <c r="J17" s="54">
        <f t="shared" si="9"/>
        <v>1717016</v>
      </c>
      <c r="K17" s="54">
        <f t="shared" si="9"/>
        <v>46074</v>
      </c>
      <c r="L17" s="47">
        <f t="shared" si="6"/>
        <v>17317584</v>
      </c>
      <c r="M17" s="54">
        <f t="shared" ref="M17:T17" si="10">SUM(M5:M7)</f>
        <v>0</v>
      </c>
      <c r="N17" s="54">
        <f t="shared" si="10"/>
        <v>188172</v>
      </c>
      <c r="O17" s="54">
        <f t="shared" si="10"/>
        <v>70343</v>
      </c>
      <c r="P17" s="54">
        <f t="shared" si="10"/>
        <v>741132</v>
      </c>
      <c r="Q17" s="54">
        <f t="shared" si="10"/>
        <v>10835</v>
      </c>
      <c r="R17" s="47">
        <f t="shared" si="7"/>
        <v>1010482</v>
      </c>
      <c r="S17" s="54">
        <f t="shared" si="10"/>
        <v>0</v>
      </c>
      <c r="T17" s="54">
        <f t="shared" si="10"/>
        <v>17317584</v>
      </c>
      <c r="U17" s="57">
        <f t="shared" si="8"/>
        <v>-1010482</v>
      </c>
      <c r="V17" s="54"/>
      <c r="W17" s="30">
        <f t="shared" si="5"/>
        <v>0</v>
      </c>
      <c r="X17" s="30" t="b">
        <f t="shared" si="1"/>
        <v>1</v>
      </c>
    </row>
    <row r="18" spans="2:24" x14ac:dyDescent="0.3">
      <c r="B18" s="82" t="s">
        <v>413</v>
      </c>
      <c r="C18" s="1" t="s">
        <v>418</v>
      </c>
      <c r="E18" s="54">
        <f>SUM(E8:E10)</f>
        <v>856689</v>
      </c>
      <c r="F18" s="54">
        <f t="shared" ref="F18:T18" si="11">SUM(F8:F10)</f>
        <v>192898</v>
      </c>
      <c r="G18" s="54">
        <f t="shared" si="11"/>
        <v>5963186</v>
      </c>
      <c r="H18" s="54">
        <f t="shared" si="11"/>
        <v>5643841</v>
      </c>
      <c r="I18" s="54">
        <f t="shared" si="11"/>
        <v>2337796</v>
      </c>
      <c r="J18" s="54">
        <f t="shared" si="11"/>
        <v>1726600</v>
      </c>
      <c r="K18" s="54">
        <f t="shared" si="11"/>
        <v>59742</v>
      </c>
      <c r="L18" s="54">
        <f t="shared" si="11"/>
        <v>16780752</v>
      </c>
      <c r="M18" s="54">
        <f t="shared" si="11"/>
        <v>0</v>
      </c>
      <c r="N18" s="54">
        <f t="shared" si="11"/>
        <v>146861</v>
      </c>
      <c r="O18" s="54">
        <f t="shared" si="11"/>
        <v>472844</v>
      </c>
      <c r="P18" s="54">
        <f t="shared" si="11"/>
        <v>741112</v>
      </c>
      <c r="Q18" s="54">
        <f t="shared" si="11"/>
        <v>15040</v>
      </c>
      <c r="R18" s="47">
        <f t="shared" si="7"/>
        <v>1375857</v>
      </c>
      <c r="S18" s="54">
        <f t="shared" si="11"/>
        <v>0</v>
      </c>
      <c r="T18" s="54">
        <f t="shared" si="11"/>
        <v>16780752</v>
      </c>
      <c r="U18" s="57">
        <f t="shared" si="8"/>
        <v>-1375857</v>
      </c>
      <c r="V18" s="54"/>
      <c r="W18" s="30">
        <f t="shared" si="5"/>
        <v>0</v>
      </c>
      <c r="X18" s="30" t="b">
        <f t="shared" si="1"/>
        <v>1</v>
      </c>
    </row>
    <row r="19" spans="2:24" x14ac:dyDescent="0.3">
      <c r="B19" s="82" t="s">
        <v>414</v>
      </c>
      <c r="C19" s="1" t="s">
        <v>420</v>
      </c>
      <c r="E19" s="54">
        <f>SUM(E11:E13)</f>
        <v>635733</v>
      </c>
      <c r="F19" s="54">
        <f t="shared" ref="F19:T19" si="12">SUM(F11:F13)</f>
        <v>137498</v>
      </c>
      <c r="G19" s="54">
        <f t="shared" si="12"/>
        <v>4289177</v>
      </c>
      <c r="H19" s="54">
        <f t="shared" si="12"/>
        <v>4224290</v>
      </c>
      <c r="I19" s="54">
        <f t="shared" si="12"/>
        <v>1553932</v>
      </c>
      <c r="J19" s="54">
        <f t="shared" si="12"/>
        <v>1144812</v>
      </c>
      <c r="K19" s="54">
        <f t="shared" si="12"/>
        <v>32366</v>
      </c>
      <c r="L19" s="54">
        <f t="shared" si="12"/>
        <v>12017808</v>
      </c>
      <c r="M19" s="54">
        <f t="shared" si="12"/>
        <v>0</v>
      </c>
      <c r="N19" s="54">
        <f t="shared" si="12"/>
        <v>470462</v>
      </c>
      <c r="O19" s="54">
        <f t="shared" si="12"/>
        <v>3484</v>
      </c>
      <c r="P19" s="54">
        <f t="shared" si="12"/>
        <v>506664</v>
      </c>
      <c r="Q19" s="54">
        <f t="shared" si="12"/>
        <v>17074</v>
      </c>
      <c r="R19" s="47">
        <f t="shared" si="7"/>
        <v>997684</v>
      </c>
      <c r="S19" s="54">
        <f t="shared" si="12"/>
        <v>0</v>
      </c>
      <c r="T19" s="54">
        <f t="shared" si="12"/>
        <v>12017808</v>
      </c>
      <c r="U19" s="57">
        <f t="shared" si="8"/>
        <v>-997684</v>
      </c>
      <c r="V19" s="54"/>
      <c r="W19" s="30">
        <f t="shared" si="5"/>
        <v>0</v>
      </c>
      <c r="X19" s="30" t="b">
        <f t="shared" si="1"/>
        <v>1</v>
      </c>
    </row>
    <row r="20" spans="2:24" x14ac:dyDescent="0.3">
      <c r="B20" s="82" t="s">
        <v>415</v>
      </c>
      <c r="C20" s="1" t="s">
        <v>422</v>
      </c>
      <c r="E20" s="54">
        <f>SUM(E14:E16)</f>
        <v>0</v>
      </c>
      <c r="F20" s="54">
        <f t="shared" ref="F20:T20" si="13">SUM(F14:F16)</f>
        <v>0</v>
      </c>
      <c r="G20" s="54">
        <f t="shared" si="13"/>
        <v>0</v>
      </c>
      <c r="H20" s="54">
        <f t="shared" si="13"/>
        <v>0</v>
      </c>
      <c r="I20" s="54">
        <f t="shared" si="13"/>
        <v>0</v>
      </c>
      <c r="J20" s="54">
        <f t="shared" si="13"/>
        <v>0</v>
      </c>
      <c r="K20" s="54">
        <f t="shared" si="13"/>
        <v>0</v>
      </c>
      <c r="L20" s="54">
        <f t="shared" si="13"/>
        <v>0</v>
      </c>
      <c r="M20" s="54">
        <f t="shared" si="13"/>
        <v>0</v>
      </c>
      <c r="N20" s="54">
        <f t="shared" si="13"/>
        <v>0</v>
      </c>
      <c r="O20" s="54">
        <f t="shared" si="13"/>
        <v>0</v>
      </c>
      <c r="P20" s="54">
        <f t="shared" si="13"/>
        <v>0</v>
      </c>
      <c r="Q20" s="54">
        <f t="shared" si="13"/>
        <v>0</v>
      </c>
      <c r="R20" s="47">
        <f t="shared" si="7"/>
        <v>0</v>
      </c>
      <c r="S20" s="54">
        <f t="shared" si="13"/>
        <v>0</v>
      </c>
      <c r="T20" s="54">
        <f t="shared" si="13"/>
        <v>0</v>
      </c>
      <c r="U20" s="57">
        <f t="shared" si="8"/>
        <v>0</v>
      </c>
      <c r="V20" s="54"/>
      <c r="W20" s="30">
        <f t="shared" si="5"/>
        <v>0</v>
      </c>
      <c r="X20" s="30" t="b">
        <f t="shared" si="1"/>
        <v>1</v>
      </c>
    </row>
  </sheetData>
  <mergeCells count="3">
    <mergeCell ref="E3:Q3"/>
    <mergeCell ref="B3:B4"/>
    <mergeCell ref="C3:C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Z51"/>
  <sheetViews>
    <sheetView topLeftCell="A34" workbookViewId="0">
      <selection activeCell="G43" sqref="G43"/>
    </sheetView>
  </sheetViews>
  <sheetFormatPr defaultRowHeight="16.5" x14ac:dyDescent="0.3"/>
  <cols>
    <col min="1" max="3" width="9" style="1"/>
    <col min="7" max="7" width="9" customWidth="1"/>
    <col min="13" max="13" width="13" bestFit="1" customWidth="1"/>
    <col min="14" max="14" width="14.625" bestFit="1" customWidth="1"/>
    <col min="15" max="15" width="10.875" bestFit="1" customWidth="1"/>
    <col min="16" max="16" width="14.625" bestFit="1" customWidth="1"/>
    <col min="17" max="17" width="12" bestFit="1" customWidth="1"/>
    <col min="18" max="18" width="9.5" customWidth="1"/>
    <col min="19" max="19" width="14.75" bestFit="1" customWidth="1"/>
  </cols>
  <sheetData>
    <row r="2" spans="1:26" x14ac:dyDescent="0.3">
      <c r="D2">
        <v>14400</v>
      </c>
      <c r="E2">
        <v>14400</v>
      </c>
      <c r="F2">
        <v>14400</v>
      </c>
    </row>
    <row r="3" spans="1:26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102</v>
      </c>
      <c r="J3" s="21" t="s">
        <v>103</v>
      </c>
      <c r="K3" s="1" t="s">
        <v>104</v>
      </c>
      <c r="M3" s="1" t="s">
        <v>110</v>
      </c>
      <c r="N3" s="1" t="s">
        <v>111</v>
      </c>
      <c r="O3" s="1" t="s">
        <v>114</v>
      </c>
      <c r="P3" s="1" t="s">
        <v>113</v>
      </c>
      <c r="Q3" s="1" t="s">
        <v>115</v>
      </c>
      <c r="R3" s="21" t="s">
        <v>117</v>
      </c>
      <c r="S3" s="21" t="s">
        <v>116</v>
      </c>
      <c r="V3" s="21"/>
      <c r="W3" s="21"/>
      <c r="Y3" s="21"/>
      <c r="Z3" s="21"/>
    </row>
    <row r="4" spans="1:26" x14ac:dyDescent="0.3">
      <c r="B4" s="1" t="s">
        <v>98</v>
      </c>
      <c r="C4" s="1" t="s">
        <v>99</v>
      </c>
      <c r="D4">
        <f>ROUND((메인전력량계!E4-메인전력량계!D4)*본전력량!$D$2,0)</f>
        <v>3156048</v>
      </c>
      <c r="E4">
        <f>ROUND((메인전력량계!G4-메인전력량계!F4)*본전력량!$E$2,0)</f>
        <v>1967184</v>
      </c>
      <c r="F4">
        <f>ROUND((메인전력량계!I4-메인전력량계!H4)*본전력량!$F$2,0)</f>
        <v>1126080</v>
      </c>
      <c r="G4">
        <f t="shared" ref="G4:G36" si="0">SUM(D4:F4)</f>
        <v>6249312</v>
      </c>
      <c r="I4">
        <f t="shared" ref="I4:I36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15" si="2">ROUNDDOWN(M4*-0.01,0)</f>
        <v>-953638</v>
      </c>
      <c r="P4" s="47">
        <f t="shared" ref="P4:P36" si="3">SUM(M4:O4)</f>
        <v>696090859.60000002</v>
      </c>
      <c r="Q4" s="47">
        <f t="shared" ref="Q4:Q36" si="4">ROUNDDOWN(P4*0.037,0)</f>
        <v>25755361</v>
      </c>
      <c r="R4" s="47">
        <v>1200</v>
      </c>
      <c r="S4" s="47">
        <f>SUM(P4:Q4)-R4</f>
        <v>721845020.60000002</v>
      </c>
      <c r="V4" s="1"/>
    </row>
    <row r="5" spans="1:26" x14ac:dyDescent="0.3">
      <c r="B5" s="1" t="s">
        <v>98</v>
      </c>
      <c r="C5" s="1" t="s">
        <v>27</v>
      </c>
      <c r="D5">
        <f>ROUND((메인전력량계!E5-메인전력량계!D5)*본전력량!$D$2,0)</f>
        <v>3269376</v>
      </c>
      <c r="E5">
        <f>ROUND((메인전력량계!G5-메인전력량계!F5)*본전력량!$E$2,0)</f>
        <v>1639440</v>
      </c>
      <c r="F5">
        <f>ROUND((메인전력량계!I5-메인전력량계!H5)*본전력량!$F$2,0)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>
        <f t="shared" si="3"/>
        <v>639198562</v>
      </c>
      <c r="Q5" s="47">
        <f t="shared" si="4"/>
        <v>23650346</v>
      </c>
      <c r="R5" s="47">
        <v>1200</v>
      </c>
      <c r="S5" s="47">
        <f t="shared" ref="S5:S37" si="5">SUM(P5:Q5)-R5</f>
        <v>662847708</v>
      </c>
      <c r="V5" s="1"/>
    </row>
    <row r="6" spans="1:26" x14ac:dyDescent="0.3">
      <c r="B6" s="1" t="s">
        <v>98</v>
      </c>
      <c r="C6" s="1" t="s">
        <v>29</v>
      </c>
      <c r="D6">
        <f>ROUND((메인전력량계!E6-메인전력량계!D6)*본전력량!$D$2,0)</f>
        <v>3029328</v>
      </c>
      <c r="E6">
        <f>ROUND((메인전력량계!G6-메인전력량계!F6)*본전력량!$E$2,0)</f>
        <v>1849824</v>
      </c>
      <c r="F6">
        <f>ROUND((메인전력량계!I6-메인전력량계!H6)*본전력량!$F$2,0)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>
        <f t="shared" si="3"/>
        <v>518887282</v>
      </c>
      <c r="Q6" s="47">
        <f t="shared" si="4"/>
        <v>19198829</v>
      </c>
      <c r="R6" s="47">
        <v>1200</v>
      </c>
      <c r="S6" s="47">
        <f t="shared" si="5"/>
        <v>538084911</v>
      </c>
      <c r="V6" s="1"/>
    </row>
    <row r="7" spans="1:26" x14ac:dyDescent="0.3">
      <c r="B7" s="1" t="s">
        <v>98</v>
      </c>
      <c r="C7" s="1" t="s">
        <v>31</v>
      </c>
      <c r="D7">
        <f>ROUND((메인전력량계!E7-메인전력량계!D7)*본전력량!$D$2,0)</f>
        <v>2803248</v>
      </c>
      <c r="E7">
        <f>ROUND((메인전력량계!G7-메인전력량계!F7)*본전력량!$E$2,0)</f>
        <v>1765872</v>
      </c>
      <c r="F7">
        <f>ROUND((메인전력량계!I7-메인전력량계!H7)*본전력량!$F$2,0)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>
        <f t="shared" si="3"/>
        <v>496941019.80000001</v>
      </c>
      <c r="Q7" s="47">
        <f t="shared" si="4"/>
        <v>18386817</v>
      </c>
      <c r="R7" s="47">
        <v>1200</v>
      </c>
      <c r="S7" s="47">
        <f t="shared" si="5"/>
        <v>515326636.80000001</v>
      </c>
      <c r="V7" s="1"/>
    </row>
    <row r="8" spans="1:26" x14ac:dyDescent="0.3">
      <c r="B8" s="1" t="s">
        <v>98</v>
      </c>
      <c r="C8" s="1" t="s">
        <v>33</v>
      </c>
      <c r="D8">
        <f>ROUND((메인전력량계!E8-메인전력량계!D8)*본전력량!$D$2,0)</f>
        <v>3454416</v>
      </c>
      <c r="E8">
        <f>ROUND((메인전력량계!G8-메인전력량계!F8)*본전력량!$E$2,0)</f>
        <v>1824192</v>
      </c>
      <c r="F8">
        <f>ROUND((메인전력량계!I8-메인전력량계!H8)*본전력량!$F$2,0)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>
        <f t="shared" si="3"/>
        <v>547865640.39999998</v>
      </c>
      <c r="Q8" s="47">
        <f t="shared" si="4"/>
        <v>20271028</v>
      </c>
      <c r="R8" s="47">
        <v>1200</v>
      </c>
      <c r="S8" s="47">
        <f t="shared" si="5"/>
        <v>568135468.39999998</v>
      </c>
      <c r="V8" s="1"/>
    </row>
    <row r="9" spans="1:26" x14ac:dyDescent="0.3">
      <c r="B9" s="1" t="s">
        <v>98</v>
      </c>
      <c r="C9" s="1" t="s">
        <v>35</v>
      </c>
      <c r="D9">
        <f>ROUND((메인전력량계!E9-메인전력량계!D9)*본전력량!$D$2,0)</f>
        <v>3072384</v>
      </c>
      <c r="E9">
        <f>ROUND((메인전력량계!G9-메인전력량계!F9)*본전력량!$E$2,0)</f>
        <v>1813680</v>
      </c>
      <c r="F9">
        <f>ROUND((메인전력량계!I9-메인전력량계!H9)*본전력량!$F$2,0)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>
        <f t="shared" si="3"/>
        <v>651834850</v>
      </c>
      <c r="Q9" s="47">
        <f t="shared" si="4"/>
        <v>24117889</v>
      </c>
      <c r="R9" s="47">
        <v>1200</v>
      </c>
      <c r="S9" s="47">
        <f t="shared" si="5"/>
        <v>675951539</v>
      </c>
      <c r="V9" s="1"/>
    </row>
    <row r="10" spans="1:26" x14ac:dyDescent="0.3">
      <c r="B10" s="1" t="s">
        <v>98</v>
      </c>
      <c r="C10" s="1" t="s">
        <v>37</v>
      </c>
      <c r="D10">
        <f>ROUND((메인전력량계!E10-메인전력량계!D10)*본전력량!$D$2,0)</f>
        <v>3458160</v>
      </c>
      <c r="E10">
        <f>ROUND((메인전력량계!G10-메인전력량계!F10)*본전력량!$E$2,0)</f>
        <v>2037024</v>
      </c>
      <c r="F10">
        <f>ROUND((메인전력량계!I10-메인전력량계!H10)*본전력량!$F$2,0)</f>
        <v>1010592</v>
      </c>
      <c r="G10">
        <f t="shared" si="0"/>
        <v>6505776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609162523.20000005</v>
      </c>
      <c r="O10" s="47">
        <f t="shared" si="2"/>
        <v>-953638</v>
      </c>
      <c r="P10" s="47">
        <f t="shared" si="3"/>
        <v>703572725.20000005</v>
      </c>
      <c r="Q10" s="47">
        <f t="shared" si="4"/>
        <v>26032190</v>
      </c>
      <c r="R10" s="47">
        <v>1200</v>
      </c>
      <c r="S10" s="47">
        <f t="shared" si="5"/>
        <v>729603715.20000005</v>
      </c>
      <c r="V10" s="1"/>
    </row>
    <row r="11" spans="1:26" x14ac:dyDescent="0.3">
      <c r="B11" s="1" t="s">
        <v>98</v>
      </c>
      <c r="C11" s="1" t="s">
        <v>39</v>
      </c>
      <c r="D11">
        <f>ROUND((메인전력량계!E11-메인전력량계!D11)*본전력량!$D$2,0)</f>
        <v>3018672</v>
      </c>
      <c r="E11">
        <f>ROUND((메인전력량계!G11-메인전력량계!F11)*본전력량!$E$2,0)</f>
        <v>1699200</v>
      </c>
      <c r="F11">
        <f>ROUND((메인전력량계!I11-메인전력량계!H11)*본전력량!$F$2,0)</f>
        <v>814608</v>
      </c>
      <c r="G11">
        <f t="shared" si="0"/>
        <v>5532480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510231888</v>
      </c>
      <c r="O11" s="47">
        <f t="shared" si="2"/>
        <v>-953638</v>
      </c>
      <c r="P11" s="47">
        <f t="shared" si="3"/>
        <v>604642090</v>
      </c>
      <c r="Q11" s="47">
        <f t="shared" si="4"/>
        <v>22371757</v>
      </c>
      <c r="R11" s="47">
        <v>1200</v>
      </c>
      <c r="S11" s="47">
        <f t="shared" si="5"/>
        <v>627012647</v>
      </c>
      <c r="V11" s="1"/>
    </row>
    <row r="12" spans="1:26" x14ac:dyDescent="0.3">
      <c r="B12" s="1" t="s">
        <v>98</v>
      </c>
      <c r="C12" s="1" t="s">
        <v>41</v>
      </c>
      <c r="D12">
        <f>ROUND((메인전력량계!E12-메인전력량계!D12)*본전력량!$D$2,0)</f>
        <v>3439296</v>
      </c>
      <c r="E12">
        <f>ROUND((메인전력량계!G12-메인전력량계!F12)*본전력량!$E$2,0)</f>
        <v>1714752</v>
      </c>
      <c r="F12">
        <f>ROUND((메인전력량계!I12-메인전력량계!H12)*본전력량!$F$2,0)</f>
        <v>660528</v>
      </c>
      <c r="G12">
        <f t="shared" si="0"/>
        <v>5814576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399919723.19999993</v>
      </c>
      <c r="O12" s="47">
        <f t="shared" si="2"/>
        <v>-953638</v>
      </c>
      <c r="P12" s="47">
        <f t="shared" si="3"/>
        <v>494329925.19999993</v>
      </c>
      <c r="Q12" s="47">
        <f t="shared" si="4"/>
        <v>18290207</v>
      </c>
      <c r="R12" s="47">
        <v>1200</v>
      </c>
      <c r="S12" s="47">
        <f t="shared" si="5"/>
        <v>512618932.19999993</v>
      </c>
    </row>
    <row r="13" spans="1:26" x14ac:dyDescent="0.3">
      <c r="B13" s="1" t="s">
        <v>98</v>
      </c>
      <c r="C13" s="1" t="s">
        <v>43</v>
      </c>
      <c r="D13">
        <f>ROUND((메인전력량계!E13-메인전력량계!D13)*본전력량!$D$2,0)</f>
        <v>3457008</v>
      </c>
      <c r="E13">
        <f>ROUND((메인전력량계!G13-메인전력량계!F13)*본전력량!$E$2,0)</f>
        <v>1860336</v>
      </c>
      <c r="F13">
        <f>ROUND((메인전력량계!I13-메인전력량계!H13)*본전력량!$F$2,0)</f>
        <v>820656</v>
      </c>
      <c r="G13">
        <f t="shared" si="0"/>
        <v>6138000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429858259.19999999</v>
      </c>
      <c r="O13" s="47">
        <f t="shared" si="2"/>
        <v>-953638</v>
      </c>
      <c r="P13" s="47">
        <f t="shared" si="3"/>
        <v>524268461.19999999</v>
      </c>
      <c r="Q13" s="47">
        <f t="shared" si="4"/>
        <v>19397933</v>
      </c>
      <c r="R13" s="47">
        <v>1200</v>
      </c>
      <c r="S13" s="47">
        <f t="shared" si="5"/>
        <v>543665194.20000005</v>
      </c>
    </row>
    <row r="14" spans="1:26" x14ac:dyDescent="0.3">
      <c r="B14" s="1" t="s">
        <v>98</v>
      </c>
      <c r="C14" s="1" t="s">
        <v>45</v>
      </c>
      <c r="D14">
        <f>ROUND((메인전력량계!E14-메인전력량계!D14)*본전력량!$D$2,0)</f>
        <v>3126096</v>
      </c>
      <c r="E14">
        <f>ROUND((메인전력량계!G14-메인전력량계!F14)*본전력량!$E$2,0)</f>
        <v>1876176</v>
      </c>
      <c r="F14">
        <f>ROUND((메인전력량계!I14-메인전력량계!H14)*본전력량!$F$2,0)</f>
        <v>923904</v>
      </c>
      <c r="G14">
        <f t="shared" si="0"/>
        <v>5926176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556149873.60000002</v>
      </c>
      <c r="O14" s="47">
        <f t="shared" si="2"/>
        <v>-953638</v>
      </c>
      <c r="P14" s="47">
        <f t="shared" si="3"/>
        <v>650560075.60000002</v>
      </c>
      <c r="Q14" s="47">
        <f t="shared" si="4"/>
        <v>24070722</v>
      </c>
      <c r="R14" s="47">
        <v>1200</v>
      </c>
      <c r="S14" s="47">
        <f t="shared" si="5"/>
        <v>674629597.60000002</v>
      </c>
    </row>
    <row r="15" spans="1:26" x14ac:dyDescent="0.3">
      <c r="B15" s="1" t="s">
        <v>98</v>
      </c>
      <c r="C15" s="1" t="s">
        <v>47</v>
      </c>
      <c r="D15">
        <f>ROUND((메인전력량계!E15-메인전력량계!D15)*본전력량!$D$2,0)</f>
        <v>3178656</v>
      </c>
      <c r="E15">
        <f>ROUND((메인전력량계!G15-메인전력량계!F15)*본전력량!$E$2,0)</f>
        <v>1652256</v>
      </c>
      <c r="F15">
        <f>ROUND((메인전력량계!I15-메인전력량계!H15)*본전력량!$F$2,0)</f>
        <v>752544</v>
      </c>
      <c r="G15">
        <f t="shared" si="0"/>
        <v>5583456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506448633.60000002</v>
      </c>
      <c r="O15" s="47">
        <f t="shared" si="2"/>
        <v>-951308</v>
      </c>
      <c r="P15" s="47">
        <f t="shared" si="3"/>
        <v>600628205.60000002</v>
      </c>
      <c r="Q15" s="47">
        <f t="shared" si="4"/>
        <v>22223243</v>
      </c>
      <c r="R15" s="47">
        <v>1200</v>
      </c>
      <c r="S15" s="47">
        <f t="shared" si="5"/>
        <v>622850248.60000002</v>
      </c>
    </row>
    <row r="16" spans="1:26" s="30" customFormat="1" x14ac:dyDescent="0.3">
      <c r="A16" s="82"/>
      <c r="B16" s="191" t="s">
        <v>423</v>
      </c>
      <c r="C16" s="191" t="s">
        <v>424</v>
      </c>
      <c r="D16" s="38">
        <f>SUM(D4:D6)</f>
        <v>9454752</v>
      </c>
      <c r="E16" s="38">
        <f t="shared" ref="E16:F16" si="6">SUM(E4:E6)</f>
        <v>5456448</v>
      </c>
      <c r="F16" s="38">
        <f t="shared" si="6"/>
        <v>3081168</v>
      </c>
      <c r="G16" s="38">
        <f t="shared" si="0"/>
        <v>17992368</v>
      </c>
      <c r="H16" s="17"/>
      <c r="I16" s="38"/>
      <c r="J16" s="192"/>
      <c r="K16" s="38"/>
      <c r="L16" s="38"/>
      <c r="M16" s="193">
        <f t="shared" ref="M16:R16" si="7">SUM(M4:M6)</f>
        <v>286091520</v>
      </c>
      <c r="N16" s="193">
        <f t="shared" si="7"/>
        <v>1570946097.5999999</v>
      </c>
      <c r="O16" s="193">
        <f t="shared" si="7"/>
        <v>-2860914</v>
      </c>
      <c r="P16" s="193">
        <f t="shared" si="7"/>
        <v>1854176703.5999999</v>
      </c>
      <c r="Q16" s="193">
        <f t="shared" si="7"/>
        <v>68604536</v>
      </c>
      <c r="R16" s="193">
        <f t="shared" si="7"/>
        <v>3600</v>
      </c>
      <c r="S16" s="193">
        <f t="shared" si="5"/>
        <v>1922777639.5999999</v>
      </c>
    </row>
    <row r="17" spans="1:19" s="30" customFormat="1" x14ac:dyDescent="0.3">
      <c r="A17" s="82"/>
      <c r="B17" s="191" t="s">
        <v>425</v>
      </c>
      <c r="C17" s="191" t="s">
        <v>417</v>
      </c>
      <c r="D17" s="38">
        <f>SUM(D7:D9)</f>
        <v>9330048</v>
      </c>
      <c r="E17" s="38">
        <f t="shared" ref="E17:F17" si="8">SUM(E7:E9)</f>
        <v>5403744</v>
      </c>
      <c r="F17" s="38">
        <f t="shared" si="8"/>
        <v>3009744</v>
      </c>
      <c r="G17" s="38">
        <f t="shared" si="0"/>
        <v>17743536</v>
      </c>
      <c r="H17" s="17"/>
      <c r="I17" s="38"/>
      <c r="J17" s="192"/>
      <c r="K17" s="38"/>
      <c r="L17" s="38"/>
      <c r="M17" s="193">
        <f t="shared" ref="M17:R17" si="9">SUM(M7:M9)</f>
        <v>287056640</v>
      </c>
      <c r="N17" s="193">
        <f t="shared" si="9"/>
        <v>1412455435.2</v>
      </c>
      <c r="O17" s="193">
        <f t="shared" si="9"/>
        <v>-2870565</v>
      </c>
      <c r="P17" s="193">
        <f t="shared" si="9"/>
        <v>1696641510.2</v>
      </c>
      <c r="Q17" s="193">
        <f t="shared" si="9"/>
        <v>62775734</v>
      </c>
      <c r="R17" s="193">
        <f t="shared" si="9"/>
        <v>3600</v>
      </c>
      <c r="S17" s="193">
        <f t="shared" si="5"/>
        <v>1759413644.2</v>
      </c>
    </row>
    <row r="18" spans="1:19" s="30" customFormat="1" x14ac:dyDescent="0.3">
      <c r="A18" s="82"/>
      <c r="B18" s="191" t="s">
        <v>426</v>
      </c>
      <c r="C18" s="191" t="s">
        <v>419</v>
      </c>
      <c r="D18" s="38">
        <f>SUM(D10:D12)</f>
        <v>9916128</v>
      </c>
      <c r="E18" s="38">
        <f t="shared" ref="E18:F18" si="10">SUM(E10:E12)</f>
        <v>5450976</v>
      </c>
      <c r="F18" s="38">
        <f t="shared" si="10"/>
        <v>2485728</v>
      </c>
      <c r="G18" s="38">
        <f t="shared" si="0"/>
        <v>17852832</v>
      </c>
      <c r="H18" s="17"/>
      <c r="I18" s="38"/>
      <c r="J18" s="192"/>
      <c r="K18" s="38"/>
      <c r="L18" s="38"/>
      <c r="M18" s="193">
        <f t="shared" ref="M18:R18" si="11">SUM(M10:M12)</f>
        <v>286091520</v>
      </c>
      <c r="N18" s="193">
        <f t="shared" si="11"/>
        <v>1519314134.4000001</v>
      </c>
      <c r="O18" s="193">
        <f t="shared" si="11"/>
        <v>-2860914</v>
      </c>
      <c r="P18" s="193">
        <f t="shared" si="11"/>
        <v>1802544740.4000001</v>
      </c>
      <c r="Q18" s="193">
        <f t="shared" si="11"/>
        <v>66694154</v>
      </c>
      <c r="R18" s="193">
        <f t="shared" si="11"/>
        <v>3600</v>
      </c>
      <c r="S18" s="193">
        <f t="shared" si="5"/>
        <v>1869235294.4000001</v>
      </c>
    </row>
    <row r="19" spans="1:19" s="30" customFormat="1" x14ac:dyDescent="0.3">
      <c r="A19" s="82"/>
      <c r="B19" s="191" t="s">
        <v>427</v>
      </c>
      <c r="C19" s="191" t="s">
        <v>421</v>
      </c>
      <c r="D19" s="38">
        <f>SUM(D13:D15)</f>
        <v>9761760</v>
      </c>
      <c r="E19" s="38">
        <f t="shared" ref="E19:F19" si="12">SUM(E13:E15)</f>
        <v>5388768</v>
      </c>
      <c r="F19" s="38">
        <f t="shared" si="12"/>
        <v>2497104</v>
      </c>
      <c r="G19" s="38">
        <f t="shared" si="0"/>
        <v>17647632</v>
      </c>
      <c r="H19" s="17"/>
      <c r="I19" s="38"/>
      <c r="J19" s="192"/>
      <c r="K19" s="38"/>
      <c r="L19" s="38"/>
      <c r="M19" s="193">
        <f t="shared" ref="M19:R19" si="13">SUM(M13:M15)</f>
        <v>285858560</v>
      </c>
      <c r="N19" s="193">
        <f t="shared" si="13"/>
        <v>1492456766.4000001</v>
      </c>
      <c r="O19" s="193">
        <f t="shared" si="13"/>
        <v>-2858584</v>
      </c>
      <c r="P19" s="193">
        <f t="shared" si="13"/>
        <v>1775456742.4000001</v>
      </c>
      <c r="Q19" s="193">
        <f t="shared" si="13"/>
        <v>65691898</v>
      </c>
      <c r="R19" s="193">
        <f t="shared" si="13"/>
        <v>3600</v>
      </c>
      <c r="S19" s="193">
        <f t="shared" si="5"/>
        <v>1841145040.4000001</v>
      </c>
    </row>
    <row r="20" spans="1:19" x14ac:dyDescent="0.3">
      <c r="B20" s="1" t="s">
        <v>100</v>
      </c>
      <c r="C20" s="1" t="s">
        <v>99</v>
      </c>
      <c r="D20">
        <f>ROUND((메인전력량계!E16-메인전력량계!D16)*본전력량!$D$2,0)</f>
        <v>3008304</v>
      </c>
      <c r="E20">
        <f>ROUND((메인전력량계!G16-메인전력량계!F16)*본전력량!$E$2,0)</f>
        <v>1874160</v>
      </c>
      <c r="F20">
        <f>ROUND((메인전력량계!I16-메인전력량계!H16)*본전력량!$F$2,0)</f>
        <v>901008</v>
      </c>
      <c r="G20">
        <f t="shared" si="0"/>
        <v>5783472</v>
      </c>
      <c r="I20">
        <f t="shared" si="1"/>
        <v>11434</v>
      </c>
      <c r="J20" s="20">
        <v>11434</v>
      </c>
      <c r="K20">
        <v>97</v>
      </c>
      <c r="M20" s="47">
        <f>I20*요금적용DB!$B$3</f>
        <v>95130880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544680288</v>
      </c>
      <c r="O20" s="47">
        <f t="shared" ref="O20:O36" si="14">ROUNDDOWN(M20*-0.01,0)</f>
        <v>-951308</v>
      </c>
      <c r="P20" s="47">
        <f t="shared" si="3"/>
        <v>638859860</v>
      </c>
      <c r="Q20" s="47">
        <f t="shared" si="4"/>
        <v>23637814</v>
      </c>
      <c r="R20" s="47">
        <v>1200</v>
      </c>
      <c r="S20" s="47">
        <f t="shared" si="5"/>
        <v>662496474</v>
      </c>
    </row>
    <row r="21" spans="1:19" x14ac:dyDescent="0.3">
      <c r="B21" s="1" t="s">
        <v>100</v>
      </c>
      <c r="C21" s="1" t="s">
        <v>27</v>
      </c>
      <c r="D21">
        <f>ROUND((메인전력량계!E17-메인전력량계!D17)*본전력량!$D$2,0)</f>
        <v>3082752</v>
      </c>
      <c r="E21">
        <f>ROUND((메인전력량계!G17-메인전력량계!F17)*본전력량!$E$2,0)</f>
        <v>1523520</v>
      </c>
      <c r="F21">
        <f>ROUND((메인전력량계!I17-메인전력량계!H17)*본전력량!$F$2,0)</f>
        <v>681840</v>
      </c>
      <c r="G21">
        <f t="shared" si="0"/>
        <v>5288112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474552763.20000005</v>
      </c>
      <c r="O21" s="47">
        <f t="shared" si="14"/>
        <v>-945318</v>
      </c>
      <c r="P21" s="47">
        <f t="shared" si="3"/>
        <v>568139285.20000005</v>
      </c>
      <c r="Q21" s="47">
        <f t="shared" si="4"/>
        <v>21021153</v>
      </c>
      <c r="R21" s="47">
        <v>1200</v>
      </c>
      <c r="S21" s="47">
        <f t="shared" si="5"/>
        <v>589159238.20000005</v>
      </c>
    </row>
    <row r="22" spans="1:19" x14ac:dyDescent="0.3">
      <c r="B22" s="1" t="s">
        <v>100</v>
      </c>
      <c r="C22" s="1" t="s">
        <v>29</v>
      </c>
      <c r="D22">
        <f>ROUND((메인전력량계!E18-메인전력량계!D18)*본전력량!$D$2,0)</f>
        <v>3235824</v>
      </c>
      <c r="E22">
        <f>ROUND((메인전력량계!G18-메인전력량계!F18)*본전력량!$E$2,0)</f>
        <v>1812096</v>
      </c>
      <c r="F22">
        <f>ROUND((메인전력량계!I18-메인전력량계!H18)*본전력량!$F$2,0)</f>
        <v>754128</v>
      </c>
      <c r="G22">
        <f t="shared" si="0"/>
        <v>5802048</v>
      </c>
      <c r="I22">
        <f t="shared" si="1"/>
        <v>11362</v>
      </c>
      <c r="J22" s="20">
        <v>11362</v>
      </c>
      <c r="K22">
        <v>97</v>
      </c>
      <c r="M22" s="47">
        <f>I22*요금적용DB!$B$3</f>
        <v>94531840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406386662.39999998</v>
      </c>
      <c r="O22" s="47">
        <f t="shared" si="14"/>
        <v>-945318</v>
      </c>
      <c r="P22" s="47">
        <f t="shared" si="3"/>
        <v>499973184.39999998</v>
      </c>
      <c r="Q22" s="47">
        <f t="shared" si="4"/>
        <v>18499007</v>
      </c>
      <c r="R22" s="47">
        <v>1200</v>
      </c>
      <c r="S22" s="47">
        <f t="shared" si="5"/>
        <v>518470991.39999998</v>
      </c>
    </row>
    <row r="23" spans="1:19" x14ac:dyDescent="0.3">
      <c r="B23" s="1" t="s">
        <v>100</v>
      </c>
      <c r="C23" s="1" t="s">
        <v>31</v>
      </c>
      <c r="D23">
        <f>ROUND((메인전력량계!E19-메인전력량계!D19)*본전력량!$D$2,0)</f>
        <v>3012912</v>
      </c>
      <c r="E23">
        <f>ROUND((메인전력량계!G19-메인전력량계!F19)*본전력량!$E$2,0)</f>
        <v>1972800</v>
      </c>
      <c r="F23">
        <f>ROUND((메인전력량계!I19-메인전력량계!H19)*본전력량!$F$2,0)</f>
        <v>946800</v>
      </c>
      <c r="G23">
        <f t="shared" si="0"/>
        <v>5932512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427571683.20000005</v>
      </c>
      <c r="O23" s="47">
        <f t="shared" si="14"/>
        <v>-945318</v>
      </c>
      <c r="P23" s="47">
        <f t="shared" si="3"/>
        <v>521158205.20000005</v>
      </c>
      <c r="Q23" s="47">
        <f t="shared" si="4"/>
        <v>19282853</v>
      </c>
      <c r="R23" s="47">
        <v>1200</v>
      </c>
      <c r="S23" s="47">
        <f t="shared" si="5"/>
        <v>540439858.20000005</v>
      </c>
    </row>
    <row r="24" spans="1:19" x14ac:dyDescent="0.3">
      <c r="B24" s="1" t="s">
        <v>100</v>
      </c>
      <c r="C24" s="1" t="s">
        <v>33</v>
      </c>
      <c r="D24">
        <f>ROUND((메인전력량계!E20-메인전력량계!D20)*본전력량!$D$2,0)</f>
        <v>2838528</v>
      </c>
      <c r="E24">
        <f>ROUND((메인전력량계!G20-메인전력량계!F20)*본전력량!$E$2,0)</f>
        <v>1713888</v>
      </c>
      <c r="F24">
        <f>ROUND((메인전력량계!I20-메인전력량계!H20)*본전력량!$F$2,0)</f>
        <v>818064</v>
      </c>
      <c r="G24">
        <f t="shared" si="0"/>
        <v>5370480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383367412.80000001</v>
      </c>
      <c r="O24" s="47">
        <f t="shared" si="14"/>
        <v>-945318</v>
      </c>
      <c r="P24" s="47">
        <f t="shared" si="3"/>
        <v>476953934.80000001</v>
      </c>
      <c r="Q24" s="47">
        <f t="shared" si="4"/>
        <v>17647295</v>
      </c>
      <c r="R24" s="47">
        <v>1200</v>
      </c>
      <c r="S24" s="47">
        <f t="shared" si="5"/>
        <v>494600029.80000001</v>
      </c>
    </row>
    <row r="25" spans="1:19" x14ac:dyDescent="0.3">
      <c r="B25" s="1" t="s">
        <v>100</v>
      </c>
      <c r="C25" s="1" t="s">
        <v>35</v>
      </c>
      <c r="D25">
        <f>ROUND((메인전력량계!E21-메인전력량계!D21)*본전력량!$D$2,0)</f>
        <v>1811232</v>
      </c>
      <c r="E25">
        <f>ROUND((메인전력량계!G21-메인전력량계!F21)*본전력량!$E$2,0)</f>
        <v>961488</v>
      </c>
      <c r="F25">
        <f>ROUND((메인전력량계!I21-메인전력량계!H21)*본전력량!$F$2,0)</f>
        <v>333936</v>
      </c>
      <c r="G25">
        <f t="shared" si="0"/>
        <v>3106656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270227476.80000001</v>
      </c>
      <c r="O25" s="47">
        <f t="shared" si="14"/>
        <v>-945318</v>
      </c>
      <c r="P25" s="47">
        <f t="shared" si="3"/>
        <v>363813998.80000001</v>
      </c>
      <c r="Q25" s="47">
        <f t="shared" si="4"/>
        <v>13461117</v>
      </c>
      <c r="R25" s="47">
        <v>1200</v>
      </c>
      <c r="S25" s="47">
        <f t="shared" si="5"/>
        <v>377273915.80000001</v>
      </c>
    </row>
    <row r="26" spans="1:19" x14ac:dyDescent="0.3">
      <c r="B26" s="1" t="s">
        <v>100</v>
      </c>
      <c r="C26" s="1" t="s">
        <v>37</v>
      </c>
      <c r="D26">
        <f>ROUND((메인전력량계!E22-메인전력량계!D22)*본전력량!$D$2,0)</f>
        <v>3379392</v>
      </c>
      <c r="E26">
        <f>ROUND((메인전력량계!G22-메인전력량계!F22)*본전력량!$E$2,0)</f>
        <v>2069280</v>
      </c>
      <c r="F26">
        <f>ROUND((메인전력량계!I22-메인전력량계!H22)*본전력량!$F$2,0)</f>
        <v>968688</v>
      </c>
      <c r="G26">
        <f t="shared" si="0"/>
        <v>6417360</v>
      </c>
      <c r="I26">
        <f t="shared" si="1"/>
        <v>11419</v>
      </c>
      <c r="J26" s="20">
        <v>11419</v>
      </c>
      <c r="K26">
        <v>97</v>
      </c>
      <c r="M26" s="47">
        <f>I26*요금적용DB!$B$3</f>
        <v>95006080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600251688</v>
      </c>
      <c r="O26" s="47">
        <f t="shared" si="14"/>
        <v>-950060</v>
      </c>
      <c r="P26" s="47">
        <f t="shared" si="3"/>
        <v>694307708</v>
      </c>
      <c r="Q26" s="47">
        <f t="shared" si="4"/>
        <v>25689385</v>
      </c>
      <c r="R26" s="47">
        <v>1200</v>
      </c>
      <c r="S26" s="47">
        <f t="shared" si="5"/>
        <v>719995893</v>
      </c>
    </row>
    <row r="27" spans="1:19" x14ac:dyDescent="0.3">
      <c r="B27" s="1" t="s">
        <v>100</v>
      </c>
      <c r="C27" s="1" t="s">
        <v>39</v>
      </c>
      <c r="D27">
        <f>ROUND((메인전력량계!E23-메인전력량계!D23)*본전력량!$D$2,0)</f>
        <v>3194064</v>
      </c>
      <c r="E27">
        <f>ROUND((메인전력량계!G23-메인전력량계!F23)*본전력량!$E$2,0)</f>
        <v>1812816</v>
      </c>
      <c r="F27">
        <f>ROUND((메인전력량계!I23-메인전력량계!H23)*본전력량!$F$2,0)</f>
        <v>809424</v>
      </c>
      <c r="G27">
        <f t="shared" si="0"/>
        <v>5816304</v>
      </c>
      <c r="I27">
        <f t="shared" si="1"/>
        <v>11362</v>
      </c>
      <c r="J27" s="20">
        <v>11362</v>
      </c>
      <c r="K27">
        <v>97</v>
      </c>
      <c r="M27" s="47">
        <f>I27*요금적용DB!$B$3</f>
        <v>94531840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531464860.79999995</v>
      </c>
      <c r="O27" s="47">
        <f t="shared" si="14"/>
        <v>-945318</v>
      </c>
      <c r="P27" s="47">
        <f t="shared" si="3"/>
        <v>625051382.79999995</v>
      </c>
      <c r="Q27" s="47">
        <f t="shared" si="4"/>
        <v>23126901</v>
      </c>
      <c r="R27" s="47">
        <v>1200</v>
      </c>
      <c r="S27" s="47">
        <f t="shared" si="5"/>
        <v>648177083.79999995</v>
      </c>
    </row>
    <row r="28" spans="1:19" x14ac:dyDescent="0.3">
      <c r="B28" s="1" t="s">
        <v>100</v>
      </c>
      <c r="C28" s="1" t="s">
        <v>41</v>
      </c>
      <c r="D28">
        <f>ROUND((메인전력량계!E24-메인전력량계!D24)*본전력량!$D$2,0)</f>
        <v>3492144</v>
      </c>
      <c r="E28">
        <f>ROUND((메인전력량계!G24-메인전력량계!F24)*본전력량!$E$2,0)</f>
        <v>1659456</v>
      </c>
      <c r="F28">
        <f>ROUND((메인전력량계!I24-메인전력량계!H24)*본전력량!$F$2,0)</f>
        <v>829584</v>
      </c>
      <c r="G28">
        <f t="shared" si="0"/>
        <v>5981184</v>
      </c>
      <c r="I28">
        <f t="shared" si="1"/>
        <v>11362</v>
      </c>
      <c r="J28" s="20">
        <v>11362</v>
      </c>
      <c r="K28">
        <v>97</v>
      </c>
      <c r="M28" s="47">
        <f>I28*요금적용DB!$B$3</f>
        <v>94531840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417016051.19999999</v>
      </c>
      <c r="O28" s="47">
        <f t="shared" si="14"/>
        <v>-945318</v>
      </c>
      <c r="P28" s="47">
        <f t="shared" si="3"/>
        <v>510602573.19999999</v>
      </c>
      <c r="Q28" s="47">
        <f t="shared" si="4"/>
        <v>18892295</v>
      </c>
      <c r="R28" s="47">
        <v>1200</v>
      </c>
      <c r="S28" s="47">
        <f t="shared" si="5"/>
        <v>529493668.19999999</v>
      </c>
    </row>
    <row r="29" spans="1:19" x14ac:dyDescent="0.3">
      <c r="B29" s="1" t="s">
        <v>100</v>
      </c>
      <c r="C29" s="1" t="s">
        <v>43</v>
      </c>
      <c r="D29">
        <f>ROUND((메인전력량계!E25-메인전력량계!D25)*본전력량!$D$2,0)</f>
        <v>3317328</v>
      </c>
      <c r="E29">
        <f>ROUND((메인전력량계!G25-메인전력량계!F25)*본전력량!$E$2,0)</f>
        <v>1794672</v>
      </c>
      <c r="F29">
        <f>ROUND((메인전력량계!I25-메인전력량계!H25)*본전력량!$F$2,0)</f>
        <v>892224</v>
      </c>
      <c r="G29">
        <f t="shared" si="0"/>
        <v>6004224</v>
      </c>
      <c r="I29">
        <f t="shared" si="1"/>
        <v>11362</v>
      </c>
      <c r="J29" s="20">
        <v>11362</v>
      </c>
      <c r="K29">
        <v>97</v>
      </c>
      <c r="M29" s="47">
        <f>I29*요금적용DB!$B$3</f>
        <v>94531840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424683403.19999999</v>
      </c>
      <c r="O29" s="47">
        <f t="shared" si="14"/>
        <v>-945318</v>
      </c>
      <c r="P29" s="47">
        <f t="shared" si="3"/>
        <v>518269925.19999999</v>
      </c>
      <c r="Q29" s="47">
        <f t="shared" si="4"/>
        <v>19175987</v>
      </c>
      <c r="R29" s="47">
        <v>1200</v>
      </c>
      <c r="S29" s="47">
        <f t="shared" si="5"/>
        <v>537444712.20000005</v>
      </c>
    </row>
    <row r="30" spans="1:19" x14ac:dyDescent="0.3">
      <c r="B30" s="1" t="s">
        <v>100</v>
      </c>
      <c r="C30" s="1" t="s">
        <v>45</v>
      </c>
      <c r="D30">
        <f>ROUND((메인전력량계!E26-메인전력량계!D26)*본전력량!$D$2,0)</f>
        <v>3127968</v>
      </c>
      <c r="E30">
        <f>ROUND((메인전력량계!G26-메인전력량계!F26)*본전력량!$E$2,0)</f>
        <v>2063664</v>
      </c>
      <c r="F30">
        <f>ROUND((메인전력량계!I26-메인전력량계!H26)*본전력량!$F$2,0)</f>
        <v>965520</v>
      </c>
      <c r="G30">
        <f t="shared" si="0"/>
        <v>6157152</v>
      </c>
      <c r="I30">
        <f t="shared" si="1"/>
        <v>11362</v>
      </c>
      <c r="J30" s="20">
        <v>11362</v>
      </c>
      <c r="K30">
        <v>97</v>
      </c>
      <c r="M30" s="47">
        <f>I30*요금적용DB!$B$3</f>
        <v>94531840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583679073.60000002</v>
      </c>
      <c r="O30" s="47">
        <f t="shared" si="14"/>
        <v>-945318</v>
      </c>
      <c r="P30" s="47">
        <f t="shared" si="3"/>
        <v>677265595.60000002</v>
      </c>
      <c r="Q30" s="47">
        <f t="shared" si="4"/>
        <v>25058827</v>
      </c>
      <c r="R30" s="47">
        <v>1200</v>
      </c>
      <c r="S30" s="47">
        <f t="shared" si="5"/>
        <v>702323222.60000002</v>
      </c>
    </row>
    <row r="31" spans="1:19" x14ac:dyDescent="0.3">
      <c r="B31" s="1" t="s">
        <v>100</v>
      </c>
      <c r="C31" s="1" t="s">
        <v>47</v>
      </c>
      <c r="D31">
        <f>ROUND((메인전력량계!E27-메인전력량계!D27)*본전력량!$D$2,0)</f>
        <v>3403440</v>
      </c>
      <c r="E31">
        <f>ROUND((메인전력량계!G27-메인전력량계!F27)*본전력량!$E$2,0)</f>
        <v>1856016</v>
      </c>
      <c r="F31">
        <f>ROUND((메인전력량계!I27-메인전력량계!H27)*본전력량!$F$2,0)</f>
        <v>913680</v>
      </c>
      <c r="G31">
        <f t="shared" si="0"/>
        <v>6173136</v>
      </c>
      <c r="I31">
        <f t="shared" si="1"/>
        <v>11246</v>
      </c>
      <c r="J31" s="20">
        <v>11246</v>
      </c>
      <c r="K31">
        <v>97</v>
      </c>
      <c r="M31" s="47">
        <f>I31*요금적용DB!$B$3</f>
        <v>93566720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569744467.20000005</v>
      </c>
      <c r="O31" s="47">
        <f t="shared" si="14"/>
        <v>-935667</v>
      </c>
      <c r="P31" s="47">
        <f t="shared" si="3"/>
        <v>662375520.20000005</v>
      </c>
      <c r="Q31" s="47">
        <f t="shared" si="4"/>
        <v>24507894</v>
      </c>
      <c r="R31" s="47">
        <v>1200</v>
      </c>
      <c r="S31" s="47">
        <f t="shared" si="5"/>
        <v>686882214.20000005</v>
      </c>
    </row>
    <row r="32" spans="1:19" s="30" customFormat="1" x14ac:dyDescent="0.3">
      <c r="A32" s="82"/>
      <c r="B32" s="191" t="s">
        <v>428</v>
      </c>
      <c r="C32" s="191" t="s">
        <v>424</v>
      </c>
      <c r="D32" s="38">
        <f>SUM(D20:D22)</f>
        <v>9326880</v>
      </c>
      <c r="E32" s="38">
        <f t="shared" ref="E32:F32" si="15">SUM(E20:E22)</f>
        <v>5209776</v>
      </c>
      <c r="F32" s="38">
        <f t="shared" si="15"/>
        <v>2336976</v>
      </c>
      <c r="G32" s="38">
        <f t="shared" ref="G32:G35" si="16">SUM(D32:F32)</f>
        <v>16873632</v>
      </c>
      <c r="H32" s="17"/>
      <c r="I32" s="38"/>
      <c r="J32" s="192"/>
      <c r="K32" s="38"/>
      <c r="L32" s="38"/>
      <c r="M32" s="193">
        <f t="shared" ref="M32:R32" si="17">SUM(M20:M22)</f>
        <v>284194560</v>
      </c>
      <c r="N32" s="193">
        <f t="shared" si="17"/>
        <v>1425619713.5999999</v>
      </c>
      <c r="O32" s="193">
        <f t="shared" si="17"/>
        <v>-2841944</v>
      </c>
      <c r="P32" s="193">
        <f t="shared" si="17"/>
        <v>1706972329.5999999</v>
      </c>
      <c r="Q32" s="193">
        <f t="shared" si="17"/>
        <v>63157974</v>
      </c>
      <c r="R32" s="193">
        <f t="shared" si="17"/>
        <v>3600</v>
      </c>
      <c r="S32" s="193">
        <f t="shared" ref="S32:S35" si="18">SUM(P32:Q32)-R32</f>
        <v>1770126703.5999999</v>
      </c>
    </row>
    <row r="33" spans="1:19" s="30" customFormat="1" x14ac:dyDescent="0.3">
      <c r="A33" s="82"/>
      <c r="B33" s="191" t="s">
        <v>429</v>
      </c>
      <c r="C33" s="191" t="s">
        <v>417</v>
      </c>
      <c r="D33" s="38">
        <f>SUM(D23:D25)</f>
        <v>7662672</v>
      </c>
      <c r="E33" s="38">
        <f t="shared" ref="E33:F33" si="19">SUM(E23:E25)</f>
        <v>4648176</v>
      </c>
      <c r="F33" s="38">
        <f t="shared" si="19"/>
        <v>2098800</v>
      </c>
      <c r="G33" s="38">
        <f t="shared" si="16"/>
        <v>14409648</v>
      </c>
      <c r="H33" s="17"/>
      <c r="I33" s="38"/>
      <c r="J33" s="192"/>
      <c r="K33" s="38"/>
      <c r="L33" s="38"/>
      <c r="M33" s="193">
        <f t="shared" ref="M33:R33" si="20">SUM(M23:M25)</f>
        <v>283595520</v>
      </c>
      <c r="N33" s="193">
        <f t="shared" si="20"/>
        <v>1081166572.8</v>
      </c>
      <c r="O33" s="193">
        <f t="shared" si="20"/>
        <v>-2835954</v>
      </c>
      <c r="P33" s="193">
        <f t="shared" si="20"/>
        <v>1361926138.8</v>
      </c>
      <c r="Q33" s="193">
        <f t="shared" si="20"/>
        <v>50391265</v>
      </c>
      <c r="R33" s="193">
        <f t="shared" si="20"/>
        <v>3600</v>
      </c>
      <c r="S33" s="193">
        <f t="shared" si="18"/>
        <v>1412313803.8</v>
      </c>
    </row>
    <row r="34" spans="1:19" s="30" customFormat="1" x14ac:dyDescent="0.3">
      <c r="A34" s="82"/>
      <c r="B34" s="191" t="s">
        <v>430</v>
      </c>
      <c r="C34" s="191" t="s">
        <v>419</v>
      </c>
      <c r="D34" s="38">
        <f>SUM(D26:D28)</f>
        <v>10065600</v>
      </c>
      <c r="E34" s="38">
        <f t="shared" ref="E34:F34" si="21">SUM(E26:E28)</f>
        <v>5541552</v>
      </c>
      <c r="F34" s="38">
        <f t="shared" si="21"/>
        <v>2607696</v>
      </c>
      <c r="G34" s="38">
        <f t="shared" si="16"/>
        <v>18214848</v>
      </c>
      <c r="H34" s="17"/>
      <c r="I34" s="38"/>
      <c r="J34" s="192"/>
      <c r="K34" s="38"/>
      <c r="L34" s="38"/>
      <c r="M34" s="193">
        <f t="shared" ref="M34:R34" si="22">SUM(M26:M28)</f>
        <v>284069760</v>
      </c>
      <c r="N34" s="193">
        <f t="shared" si="22"/>
        <v>1548732600</v>
      </c>
      <c r="O34" s="193">
        <f t="shared" si="22"/>
        <v>-2840696</v>
      </c>
      <c r="P34" s="193">
        <f t="shared" si="22"/>
        <v>1829961664</v>
      </c>
      <c r="Q34" s="193">
        <f t="shared" si="22"/>
        <v>67708581</v>
      </c>
      <c r="R34" s="193">
        <f t="shared" si="22"/>
        <v>3600</v>
      </c>
      <c r="S34" s="193">
        <f t="shared" si="18"/>
        <v>1897666645</v>
      </c>
    </row>
    <row r="35" spans="1:19" s="30" customFormat="1" x14ac:dyDescent="0.3">
      <c r="A35" s="82"/>
      <c r="B35" s="191" t="s">
        <v>431</v>
      </c>
      <c r="C35" s="191" t="s">
        <v>421</v>
      </c>
      <c r="D35" s="38">
        <f>SUM(D29:D31)</f>
        <v>9848736</v>
      </c>
      <c r="E35" s="38">
        <f t="shared" ref="E35:F35" si="23">SUM(E29:E31)</f>
        <v>5714352</v>
      </c>
      <c r="F35" s="38">
        <f t="shared" si="23"/>
        <v>2771424</v>
      </c>
      <c r="G35" s="38">
        <f t="shared" si="16"/>
        <v>18334512</v>
      </c>
      <c r="H35" s="17"/>
      <c r="I35" s="38"/>
      <c r="J35" s="192"/>
      <c r="K35" s="38"/>
      <c r="L35" s="38"/>
      <c r="M35" s="193">
        <f t="shared" ref="M35:R35" si="24">SUM(M29:M31)</f>
        <v>282630400</v>
      </c>
      <c r="N35" s="193">
        <f t="shared" si="24"/>
        <v>1578106944</v>
      </c>
      <c r="O35" s="193">
        <f t="shared" si="24"/>
        <v>-2826303</v>
      </c>
      <c r="P35" s="193">
        <f t="shared" si="24"/>
        <v>1857911041</v>
      </c>
      <c r="Q35" s="193">
        <f t="shared" si="24"/>
        <v>68742708</v>
      </c>
      <c r="R35" s="193">
        <f t="shared" si="24"/>
        <v>3600</v>
      </c>
      <c r="S35" s="193">
        <f t="shared" si="18"/>
        <v>1926650149</v>
      </c>
    </row>
    <row r="36" spans="1:19" x14ac:dyDescent="0.3">
      <c r="B36" s="1" t="s">
        <v>101</v>
      </c>
      <c r="C36" s="1" t="s">
        <v>99</v>
      </c>
      <c r="D36">
        <f>ROUND((메인전력량계!E28-메인전력량계!D28)*본전력량!$D$2,0)</f>
        <v>3188592</v>
      </c>
      <c r="E36">
        <f>ROUND((메인전력량계!G28-메인전력량계!F28)*본전력량!$E$2,0)</f>
        <v>1609920</v>
      </c>
      <c r="F36">
        <f>ROUND((메인전력량계!I28-메인전력량계!H28)*본전력량!$F$2,0)</f>
        <v>907776</v>
      </c>
      <c r="G36">
        <f t="shared" si="0"/>
        <v>5706288</v>
      </c>
      <c r="I36">
        <f t="shared" si="1"/>
        <v>11419</v>
      </c>
      <c r="J36" s="20">
        <v>11419</v>
      </c>
      <c r="K36">
        <v>97</v>
      </c>
      <c r="M36" s="47">
        <f>I36*요금적용DB!$B$3</f>
        <v>95006080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528329678.40000004</v>
      </c>
      <c r="O36" s="47">
        <f t="shared" si="14"/>
        <v>-950060</v>
      </c>
      <c r="P36" s="47">
        <f t="shared" si="3"/>
        <v>622385698.4000001</v>
      </c>
      <c r="Q36" s="47">
        <f t="shared" si="4"/>
        <v>23028270</v>
      </c>
      <c r="R36" s="47">
        <v>1200</v>
      </c>
      <c r="S36" s="47">
        <f t="shared" si="5"/>
        <v>645412768.4000001</v>
      </c>
    </row>
    <row r="37" spans="1:19" x14ac:dyDescent="0.3">
      <c r="B37" s="1" t="s">
        <v>101</v>
      </c>
      <c r="C37" s="1" t="s">
        <v>27</v>
      </c>
      <c r="D37">
        <f>ROUND((메인전력량계!E29-메인전력량계!D29)*본전력량!$D$2,0)</f>
        <v>3129840</v>
      </c>
      <c r="E37">
        <f>ROUND((메인전력량계!G29-메인전력량계!F29)*본전력량!$E$2,0)</f>
        <v>1908144</v>
      </c>
      <c r="F37">
        <f>ROUND((메인전력량계!I29-메인전력량계!H29)*본전력량!$F$2,0)</f>
        <v>856944</v>
      </c>
      <c r="G37">
        <f t="shared" ref="G37:G42" si="25">SUM(D37:F37)</f>
        <v>5894928</v>
      </c>
      <c r="I37">
        <f t="shared" ref="I37:I42" si="26">ROUND(J37,0)</f>
        <v>11419</v>
      </c>
      <c r="J37" s="20">
        <v>11419</v>
      </c>
      <c r="K37">
        <v>97</v>
      </c>
      <c r="M37" s="47">
        <f>I37*요금적용DB!$B$3</f>
        <v>95006080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548714793.60000002</v>
      </c>
      <c r="O37" s="47">
        <f t="shared" ref="O37:O42" si="27">ROUNDDOWN(M37*-0.01,0)</f>
        <v>-950060</v>
      </c>
      <c r="P37" s="47">
        <f t="shared" ref="P37:P42" si="28">SUM(M37:O37)</f>
        <v>642770813.60000002</v>
      </c>
      <c r="Q37" s="47">
        <f t="shared" ref="Q37:Q42" si="29">ROUNDDOWN(P37*0.037,0)</f>
        <v>23782520</v>
      </c>
      <c r="R37" s="47">
        <v>1200</v>
      </c>
      <c r="S37" s="47">
        <f t="shared" si="5"/>
        <v>666552133.60000002</v>
      </c>
    </row>
    <row r="38" spans="1:19" x14ac:dyDescent="0.3">
      <c r="B38" s="1" t="s">
        <v>101</v>
      </c>
      <c r="C38" s="1" t="s">
        <v>29</v>
      </c>
      <c r="D38">
        <f>ROUND((메인전력량계!E30-메인전력량계!D30)*본전력량!$D$2,0)</f>
        <v>3076272</v>
      </c>
      <c r="E38">
        <f>ROUND((메인전력량계!G30-메인전력량계!F30)*본전력량!$E$2,0)</f>
        <v>1793664</v>
      </c>
      <c r="F38">
        <f>ROUND((메인전력량계!I30-메인전력량계!H30)*본전력량!$F$2,0)</f>
        <v>846432</v>
      </c>
      <c r="G38">
        <f t="shared" si="25"/>
        <v>5716368</v>
      </c>
      <c r="I38">
        <f t="shared" si="26"/>
        <v>11419</v>
      </c>
      <c r="J38" s="20">
        <v>11419</v>
      </c>
      <c r="K38">
        <v>97</v>
      </c>
      <c r="M38" s="47">
        <f>I38*요금적용DB!$B$3</f>
        <v>95006080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406075867.20000005</v>
      </c>
      <c r="O38" s="47">
        <f t="shared" si="27"/>
        <v>-950060</v>
      </c>
      <c r="P38" s="47">
        <f t="shared" si="28"/>
        <v>500131887.20000005</v>
      </c>
      <c r="Q38" s="47">
        <f t="shared" si="29"/>
        <v>18504879</v>
      </c>
      <c r="R38" s="47">
        <v>1200</v>
      </c>
      <c r="S38" s="47">
        <f t="shared" ref="S38" si="30">SUM(P38:Q38)-R38</f>
        <v>518635566.20000005</v>
      </c>
    </row>
    <row r="39" spans="1:19" x14ac:dyDescent="0.3">
      <c r="B39" s="1" t="s">
        <v>101</v>
      </c>
      <c r="C39" s="1" t="s">
        <v>31</v>
      </c>
      <c r="D39" s="30">
        <f>ROUND((메인전력량계!E31-메인전력량계!D31)*본전력량!$D$2,0)</f>
        <v>3013056</v>
      </c>
      <c r="E39" s="30">
        <f>ROUND((메인전력량계!G31-메인전력량계!F31)*본전력량!$E$2,0)</f>
        <v>1682928</v>
      </c>
      <c r="F39" s="30">
        <f>ROUND((메인전력량계!I31-메인전력량계!H31)*본전력량!$F$2,0)</f>
        <v>840672</v>
      </c>
      <c r="G39" s="30">
        <f t="shared" si="25"/>
        <v>5536656</v>
      </c>
      <c r="I39" s="30">
        <f t="shared" si="26"/>
        <v>11419</v>
      </c>
      <c r="J39" s="20">
        <v>11419</v>
      </c>
      <c r="K39" s="30">
        <v>97</v>
      </c>
      <c r="M39" s="47">
        <f>I39*요금적용DB!$B$3</f>
        <v>95006080</v>
      </c>
      <c r="N39" s="47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393196032</v>
      </c>
      <c r="O39" s="47">
        <f t="shared" si="27"/>
        <v>-950060</v>
      </c>
      <c r="P39" s="47">
        <f t="shared" si="28"/>
        <v>487252052</v>
      </c>
      <c r="Q39" s="47">
        <f t="shared" si="29"/>
        <v>18028325</v>
      </c>
      <c r="R39" s="47">
        <v>1200</v>
      </c>
      <c r="S39" s="47">
        <f t="shared" ref="S39" si="31">SUM(P39:Q39)-R39</f>
        <v>505279177</v>
      </c>
    </row>
    <row r="40" spans="1:19" x14ac:dyDescent="0.3">
      <c r="B40" s="1" t="s">
        <v>101</v>
      </c>
      <c r="C40" s="1" t="s">
        <v>33</v>
      </c>
      <c r="D40" s="30">
        <f>ROUND((메인전력량계!E32-메인전력량계!D32)*본전력량!$D$2,0)</f>
        <v>3047040</v>
      </c>
      <c r="E40" s="30">
        <f>ROUND((메인전력량계!G32-메인전력량계!F32)*본전력량!$E$2,0)</f>
        <v>1735632</v>
      </c>
      <c r="F40" s="30">
        <f>ROUND((메인전력량계!I32-메인전력량계!H32)*본전력량!$F$2,0)</f>
        <v>784800</v>
      </c>
      <c r="G40" s="30">
        <f t="shared" si="25"/>
        <v>5567472</v>
      </c>
      <c r="I40" s="30">
        <f t="shared" si="26"/>
        <v>11419</v>
      </c>
      <c r="J40" s="20">
        <v>11419</v>
      </c>
      <c r="K40" s="30">
        <v>97</v>
      </c>
      <c r="M40" s="47">
        <f>I40*요금적용DB!$B$3</f>
        <v>95006080</v>
      </c>
      <c r="N40" s="47">
        <f>(SUMIFS(요금적용DB!$G:$G,요금적용DB!$D:$D,B40,요금적용DB!$E:$E,C40,요금적용DB!F:F,"경")*ROUNDDOWN(D40,0))+(SUMIFS(요금적용DB!$G:$G,요금적용DB!$D:$D,B40,요금적용DB!$E:$E,C40,요금적용DB!F:F,"중간")*ROUNDDOWN(E40,0))+(SUMIFS(요금적용DB!$G:$G,요금적용DB!$D:$D,B40,요금적용DB!$E:$E,C40,요금적용DB!F:F,"최대")*ROUNDDOWN(F40,0))</f>
        <v>393138259.19999999</v>
      </c>
      <c r="O40" s="47">
        <f t="shared" si="27"/>
        <v>-950060</v>
      </c>
      <c r="P40" s="47">
        <f t="shared" si="28"/>
        <v>487194279.19999999</v>
      </c>
      <c r="Q40" s="47">
        <f t="shared" si="29"/>
        <v>18026188</v>
      </c>
      <c r="R40" s="47">
        <v>1200</v>
      </c>
      <c r="S40" s="47">
        <f t="shared" ref="S40" si="32">SUM(P40:Q40)-R40</f>
        <v>505219267.19999999</v>
      </c>
    </row>
    <row r="41" spans="1:19" x14ac:dyDescent="0.3">
      <c r="B41" s="1" t="s">
        <v>101</v>
      </c>
      <c r="C41" s="1" t="s">
        <v>35</v>
      </c>
      <c r="D41" s="30">
        <f>ROUND((메인전력량계!E33-메인전력량계!D33)*본전력량!$D$2,0)</f>
        <v>3096720</v>
      </c>
      <c r="E41" s="30">
        <f>ROUND((메인전력량계!G33-메인전력량계!F33)*본전력량!$E$2,0)</f>
        <v>1723392</v>
      </c>
      <c r="F41" s="30">
        <f>ROUND((메인전력량계!I33-메인전력량계!H33)*본전력량!$F$2,0)</f>
        <v>856512</v>
      </c>
      <c r="G41" s="30">
        <f t="shared" si="25"/>
        <v>5676624</v>
      </c>
      <c r="I41" s="30">
        <f t="shared" si="26"/>
        <v>11419</v>
      </c>
      <c r="J41" s="20">
        <v>11419</v>
      </c>
      <c r="K41" s="30">
        <v>97</v>
      </c>
      <c r="M41" s="47">
        <f>I41*요금적용DB!$B$3</f>
        <v>95006080</v>
      </c>
      <c r="N41" s="47">
        <f>(SUMIFS(요금적용DB!$G:$G,요금적용DB!$D:$D,B41,요금적용DB!$E:$E,C41,요금적용DB!F:F,"경")*ROUNDDOWN(D41,0))+(SUMIFS(요금적용DB!$G:$G,요금적용DB!$D:$D,B41,요금적용DB!$E:$E,C41,요금적용DB!F:F,"중간")*ROUNDDOWN(E41,0))+(SUMIFS(요금적용DB!$G:$G,요금적용DB!$D:$D,B41,요금적용DB!$E:$E,C41,요금적용DB!F:F,"최대")*ROUNDDOWN(F41,0))</f>
        <v>525255163.19999999</v>
      </c>
      <c r="O41" s="47">
        <f t="shared" si="27"/>
        <v>-950060</v>
      </c>
      <c r="P41" s="47">
        <f t="shared" si="28"/>
        <v>619311183.20000005</v>
      </c>
      <c r="Q41" s="47">
        <f t="shared" si="29"/>
        <v>22914513</v>
      </c>
      <c r="R41" s="47">
        <v>1200</v>
      </c>
      <c r="S41" s="47">
        <f t="shared" ref="S41" si="33">SUM(P41:Q41)-R41</f>
        <v>642224496.20000005</v>
      </c>
    </row>
    <row r="42" spans="1:19" x14ac:dyDescent="0.3">
      <c r="B42" s="1" t="s">
        <v>101</v>
      </c>
      <c r="C42" s="1" t="s">
        <v>37</v>
      </c>
      <c r="D42" s="30">
        <f>ROUND((메인전력량계!E34-메인전력량계!D34)*본전력량!$D$2,0)</f>
        <v>3169728</v>
      </c>
      <c r="E42" s="30">
        <f>ROUND((메인전력량계!G34-메인전력량계!F34)*본전력량!$E$2,0)</f>
        <v>1990224</v>
      </c>
      <c r="F42" s="30">
        <f>ROUND((메인전력량계!I34-메인전력량계!H34)*본전력량!$F$2,0)</f>
        <v>1028448</v>
      </c>
      <c r="G42" s="30">
        <f t="shared" si="25"/>
        <v>6188400</v>
      </c>
      <c r="I42" s="30">
        <f t="shared" si="26"/>
        <v>11448</v>
      </c>
      <c r="J42">
        <v>11448.000000000025</v>
      </c>
      <c r="K42">
        <v>97</v>
      </c>
      <c r="M42" s="47">
        <f>I42*요금적용DB!$B$3</f>
        <v>95247360</v>
      </c>
      <c r="N42" s="47">
        <f>(SUMIFS(요금적용DB!$G:$G,요금적용DB!$D:$D,B42,요금적용DB!$E:$E,C42,요금적용DB!F:F,"경")*ROUNDDOWN(D42,0))+(SUMIFS(요금적용DB!$G:$G,요금적용DB!$D:$D,B42,요금적용DB!$E:$E,C42,요금적용DB!F:F,"중간")*ROUNDDOWN(E42,0))+(SUMIFS(요금적용DB!$G:$G,요금적용DB!$D:$D,B42,요금적용DB!$E:$E,C42,요금적용DB!F:F,"최대")*ROUNDDOWN(F42,0))</f>
        <v>591292569.60000002</v>
      </c>
      <c r="O42" s="47">
        <f t="shared" si="27"/>
        <v>-952473</v>
      </c>
      <c r="P42" s="47">
        <f t="shared" si="28"/>
        <v>685587456.60000002</v>
      </c>
      <c r="Q42" s="47">
        <f t="shared" si="29"/>
        <v>25366735</v>
      </c>
      <c r="R42" s="47">
        <v>1200</v>
      </c>
      <c r="S42" s="47">
        <f t="shared" ref="S42:S43" si="34">SUM(P42:Q42)-R42</f>
        <v>710952991.60000002</v>
      </c>
    </row>
    <row r="43" spans="1:19" x14ac:dyDescent="0.3">
      <c r="B43" s="1" t="s">
        <v>101</v>
      </c>
      <c r="C43" s="1" t="s">
        <v>39</v>
      </c>
      <c r="D43" s="30">
        <f>ROUND((메인전력량계!E35-메인전력량계!D35)*본전력량!$D$2,0)</f>
        <v>3105072</v>
      </c>
      <c r="E43" s="30">
        <f>ROUND((메인전력량계!G35-메인전력량계!F35)*본전력량!$E$2,0)</f>
        <v>1844640</v>
      </c>
      <c r="F43" s="30">
        <f>ROUND((메인전력량계!I35-메인전력량계!H35)*본전력량!$F$2,0)</f>
        <v>879696</v>
      </c>
      <c r="G43" s="30">
        <f t="shared" ref="G43" si="35">SUM(D43:F43)</f>
        <v>5829408</v>
      </c>
      <c r="I43" s="30">
        <f t="shared" ref="I43" si="36">ROUND(J43,0)</f>
        <v>11448</v>
      </c>
      <c r="J43" s="30">
        <v>11448.000000000025</v>
      </c>
      <c r="K43" s="30">
        <v>97</v>
      </c>
      <c r="M43" s="47">
        <f>I43*요금적용DB!$B$3</f>
        <v>95247360</v>
      </c>
      <c r="N43" s="47">
        <f>(SUMIFS(요금적용DB!$G:$G,요금적용DB!$D:$D,B43,요금적용DB!$E:$E,C43,요금적용DB!F:F,"경")*ROUNDDOWN(D43,0))+(SUMIFS(요금적용DB!$G:$G,요금적용DB!$D:$D,B43,요금적용DB!$E:$E,C43,요금적용DB!F:F,"중간")*ROUNDDOWN(E43,0))+(SUMIFS(요금적용DB!$G:$G,요금적용DB!$D:$D,B43,요금적용DB!$E:$E,C43,요금적용DB!F:F,"최대")*ROUNDDOWN(F43,0))</f>
        <v>543370204.80000007</v>
      </c>
      <c r="O43" s="47">
        <f t="shared" ref="O43" si="37">ROUNDDOWN(M43*-0.01,0)</f>
        <v>-952473</v>
      </c>
      <c r="P43" s="47">
        <f t="shared" ref="P43" si="38">SUM(M43:O43)</f>
        <v>637665091.80000007</v>
      </c>
      <c r="Q43" s="47">
        <f t="shared" ref="Q43" si="39">ROUNDDOWN(P43*0.037,0)</f>
        <v>23593608</v>
      </c>
      <c r="R43" s="47">
        <v>1200</v>
      </c>
      <c r="S43" s="47">
        <f t="shared" si="34"/>
        <v>661257499.80000007</v>
      </c>
    </row>
    <row r="44" spans="1:19" x14ac:dyDescent="0.3">
      <c r="B44" s="1" t="s">
        <v>101</v>
      </c>
      <c r="C44" s="1" t="s">
        <v>41</v>
      </c>
    </row>
    <row r="45" spans="1:19" x14ac:dyDescent="0.3">
      <c r="B45" s="1" t="s">
        <v>101</v>
      </c>
      <c r="C45" s="1" t="s">
        <v>43</v>
      </c>
    </row>
    <row r="46" spans="1:19" x14ac:dyDescent="0.3">
      <c r="B46" s="1" t="s">
        <v>101</v>
      </c>
      <c r="C46" s="1" t="s">
        <v>45</v>
      </c>
    </row>
    <row r="47" spans="1:19" x14ac:dyDescent="0.3">
      <c r="B47" s="1" t="s">
        <v>101</v>
      </c>
      <c r="C47" s="1" t="s">
        <v>47</v>
      </c>
    </row>
    <row r="48" spans="1:19" x14ac:dyDescent="0.3">
      <c r="B48" s="191" t="s">
        <v>412</v>
      </c>
      <c r="C48" s="191" t="s">
        <v>424</v>
      </c>
      <c r="D48" s="38">
        <f>SUM(D36:D38)</f>
        <v>9394704</v>
      </c>
      <c r="E48" s="38">
        <f t="shared" ref="E48:F48" si="40">SUM(E36:E38)</f>
        <v>5311728</v>
      </c>
      <c r="F48" s="38">
        <f t="shared" si="40"/>
        <v>2611152</v>
      </c>
      <c r="G48" s="38">
        <f t="shared" ref="G48:G51" si="41">SUM(D48:F48)</f>
        <v>17317584</v>
      </c>
      <c r="H48" s="17"/>
      <c r="I48" s="38"/>
      <c r="J48" s="192"/>
      <c r="K48" s="38"/>
      <c r="L48" s="38"/>
      <c r="M48" s="193">
        <f t="shared" ref="M48:R48" si="42">SUM(M36:M38)</f>
        <v>285018240</v>
      </c>
      <c r="N48" s="193">
        <f t="shared" si="42"/>
        <v>1483120339.2</v>
      </c>
      <c r="O48" s="193">
        <f t="shared" si="42"/>
        <v>-2850180</v>
      </c>
      <c r="P48" s="193">
        <f t="shared" si="42"/>
        <v>1765288399.2</v>
      </c>
      <c r="Q48" s="193">
        <f t="shared" si="42"/>
        <v>65315669</v>
      </c>
      <c r="R48" s="193">
        <f t="shared" si="42"/>
        <v>3600</v>
      </c>
      <c r="S48" s="193">
        <f t="shared" ref="S48:S51" si="43">SUM(P48:Q48)-R48</f>
        <v>1830600468.2</v>
      </c>
    </row>
    <row r="49" spans="2:19" x14ac:dyDescent="0.3">
      <c r="B49" s="191" t="s">
        <v>413</v>
      </c>
      <c r="C49" s="191" t="s">
        <v>417</v>
      </c>
      <c r="D49" s="38">
        <f>SUM(D39:D41)</f>
        <v>9156816</v>
      </c>
      <c r="E49" s="38">
        <f t="shared" ref="E49:F49" si="44">SUM(E39:E41)</f>
        <v>5141952</v>
      </c>
      <c r="F49" s="38">
        <f t="shared" si="44"/>
        <v>2481984</v>
      </c>
      <c r="G49" s="38">
        <f t="shared" si="41"/>
        <v>16780752</v>
      </c>
      <c r="H49" s="17"/>
      <c r="I49" s="38"/>
      <c r="J49" s="192"/>
      <c r="K49" s="38"/>
      <c r="L49" s="38"/>
      <c r="M49" s="193">
        <f t="shared" ref="M49:R49" si="45">SUM(M39:M41)</f>
        <v>285018240</v>
      </c>
      <c r="N49" s="193">
        <f t="shared" si="45"/>
        <v>1311589454.4000001</v>
      </c>
      <c r="O49" s="193">
        <f t="shared" si="45"/>
        <v>-2850180</v>
      </c>
      <c r="P49" s="193">
        <f t="shared" si="45"/>
        <v>1593757514.4000001</v>
      </c>
      <c r="Q49" s="193">
        <f t="shared" si="45"/>
        <v>58969026</v>
      </c>
      <c r="R49" s="193">
        <f t="shared" si="45"/>
        <v>3600</v>
      </c>
      <c r="S49" s="193">
        <f t="shared" si="43"/>
        <v>1652722940.4000001</v>
      </c>
    </row>
    <row r="50" spans="2:19" x14ac:dyDescent="0.3">
      <c r="B50" s="191" t="s">
        <v>414</v>
      </c>
      <c r="C50" s="191" t="s">
        <v>419</v>
      </c>
      <c r="D50" s="38">
        <f>SUM(D42:D44)</f>
        <v>6274800</v>
      </c>
      <c r="E50" s="38">
        <f t="shared" ref="E50:F50" si="46">SUM(E42:E44)</f>
        <v>3834864</v>
      </c>
      <c r="F50" s="38">
        <f t="shared" si="46"/>
        <v>1908144</v>
      </c>
      <c r="G50" s="38">
        <f t="shared" si="41"/>
        <v>12017808</v>
      </c>
      <c r="H50" s="17"/>
      <c r="I50" s="38"/>
      <c r="J50" s="192"/>
      <c r="K50" s="38"/>
      <c r="L50" s="38"/>
      <c r="M50" s="193">
        <f t="shared" ref="M50:R50" si="47">SUM(M42:M44)</f>
        <v>190494720</v>
      </c>
      <c r="N50" s="193">
        <f t="shared" si="47"/>
        <v>1134662774.4000001</v>
      </c>
      <c r="O50" s="193">
        <f t="shared" si="47"/>
        <v>-1904946</v>
      </c>
      <c r="P50" s="193">
        <f t="shared" si="47"/>
        <v>1323252548.4000001</v>
      </c>
      <c r="Q50" s="193">
        <f t="shared" si="47"/>
        <v>48960343</v>
      </c>
      <c r="R50" s="193">
        <f t="shared" si="47"/>
        <v>2400</v>
      </c>
      <c r="S50" s="193">
        <f t="shared" si="43"/>
        <v>1372210491.4000001</v>
      </c>
    </row>
    <row r="51" spans="2:19" x14ac:dyDescent="0.3">
      <c r="B51" s="191" t="s">
        <v>415</v>
      </c>
      <c r="C51" s="191" t="s">
        <v>421</v>
      </c>
      <c r="D51" s="38">
        <f>SUM(D45:D47)</f>
        <v>0</v>
      </c>
      <c r="E51" s="38">
        <f t="shared" ref="E51:F51" si="48">SUM(E45:E47)</f>
        <v>0</v>
      </c>
      <c r="F51" s="38">
        <f t="shared" si="48"/>
        <v>0</v>
      </c>
      <c r="G51" s="38">
        <f t="shared" si="41"/>
        <v>0</v>
      </c>
      <c r="H51" s="17"/>
      <c r="I51" s="38"/>
      <c r="J51" s="192"/>
      <c r="K51" s="38"/>
      <c r="L51" s="38"/>
      <c r="M51" s="193">
        <f t="shared" ref="M51:R51" si="49">SUM(M45:M47)</f>
        <v>0</v>
      </c>
      <c r="N51" s="193">
        <f t="shared" si="49"/>
        <v>0</v>
      </c>
      <c r="O51" s="193">
        <f t="shared" si="49"/>
        <v>0</v>
      </c>
      <c r="P51" s="193">
        <f t="shared" si="49"/>
        <v>0</v>
      </c>
      <c r="Q51" s="193">
        <f t="shared" si="49"/>
        <v>0</v>
      </c>
      <c r="R51" s="193">
        <f t="shared" si="49"/>
        <v>0</v>
      </c>
      <c r="S51" s="193">
        <f t="shared" si="43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Y20"/>
  <sheetViews>
    <sheetView topLeftCell="B4" workbookViewId="0">
      <selection activeCell="Y11" sqref="Y11"/>
    </sheetView>
  </sheetViews>
  <sheetFormatPr defaultRowHeight="16.5" x14ac:dyDescent="0.3"/>
  <cols>
    <col min="11" max="11" width="9.5" bestFit="1" customWidth="1"/>
    <col min="16" max="16" width="9.5" bestFit="1" customWidth="1"/>
    <col min="23" max="23" width="10.5" bestFit="1" customWidth="1"/>
    <col min="25" max="25" width="10.5" bestFit="1" customWidth="1"/>
  </cols>
  <sheetData>
    <row r="2" spans="2:25" x14ac:dyDescent="0.3">
      <c r="B2" s="25" t="s">
        <v>140</v>
      </c>
      <c r="N2" s="26" t="s">
        <v>141</v>
      </c>
      <c r="O2" s="1"/>
    </row>
    <row r="3" spans="2:25" x14ac:dyDescent="0.3">
      <c r="B3" s="1" t="s">
        <v>49</v>
      </c>
      <c r="C3" s="1" t="s">
        <v>59</v>
      </c>
      <c r="D3" s="1" t="s">
        <v>120</v>
      </c>
      <c r="E3" s="1" t="s">
        <v>81</v>
      </c>
      <c r="F3" s="1" t="s">
        <v>121</v>
      </c>
      <c r="G3" s="1" t="s">
        <v>122</v>
      </c>
      <c r="H3" s="1" t="s">
        <v>87</v>
      </c>
      <c r="I3" s="1" t="s">
        <v>88</v>
      </c>
      <c r="J3" s="1" t="s">
        <v>82</v>
      </c>
      <c r="K3" s="1" t="s">
        <v>89</v>
      </c>
      <c r="N3" s="1" t="s">
        <v>49</v>
      </c>
      <c r="O3" s="1" t="s">
        <v>59</v>
      </c>
      <c r="P3" s="1" t="s">
        <v>120</v>
      </c>
      <c r="Q3" s="1" t="s">
        <v>81</v>
      </c>
      <c r="R3" s="1" t="s">
        <v>121</v>
      </c>
      <c r="S3" s="1" t="s">
        <v>122</v>
      </c>
      <c r="T3" s="1" t="s">
        <v>87</v>
      </c>
      <c r="U3" s="1" t="s">
        <v>88</v>
      </c>
      <c r="V3" s="1" t="s">
        <v>82</v>
      </c>
      <c r="W3" s="1" t="s">
        <v>89</v>
      </c>
      <c r="Y3" s="1" t="s">
        <v>139</v>
      </c>
    </row>
    <row r="4" spans="2:25" x14ac:dyDescent="0.3">
      <c r="B4" s="1" t="s">
        <v>118</v>
      </c>
      <c r="C4" s="1" t="s">
        <v>99</v>
      </c>
      <c r="D4">
        <f>전력분배!E5</f>
        <v>250130</v>
      </c>
      <c r="E4">
        <f>전력분배!F5</f>
        <v>55820</v>
      </c>
      <c r="F4">
        <f>전력분배!G5</f>
        <v>1799024</v>
      </c>
      <c r="G4">
        <f>전력분배!H5</f>
        <v>1960641</v>
      </c>
      <c r="H4">
        <f>전력분배!I5</f>
        <v>1038809</v>
      </c>
      <c r="I4">
        <f>전력분배!J5</f>
        <v>586762</v>
      </c>
      <c r="J4">
        <f>전력분배!K5</f>
        <v>15102</v>
      </c>
      <c r="K4" s="22">
        <f>SUM(D4:J4)</f>
        <v>5706288</v>
      </c>
      <c r="N4" s="1" t="s">
        <v>118</v>
      </c>
      <c r="O4" s="1" t="s">
        <v>99</v>
      </c>
      <c r="P4">
        <f>IFERROR((D4/K4)*Y4,0)</f>
        <v>28291087.964696493</v>
      </c>
      <c r="Q4">
        <f t="shared" ref="Q4:V4" si="0">(E4/$K$4)*$Y$4</f>
        <v>6313551.0741988495</v>
      </c>
      <c r="R4">
        <f t="shared" si="0"/>
        <v>203479575.55910984</v>
      </c>
      <c r="S4">
        <f t="shared" si="0"/>
        <v>221759353.12913483</v>
      </c>
      <c r="T4">
        <f t="shared" si="0"/>
        <v>117495049.76419622</v>
      </c>
      <c r="U4">
        <f t="shared" si="0"/>
        <v>66366031.089198597</v>
      </c>
      <c r="V4">
        <f t="shared" si="0"/>
        <v>1708119.8194652637</v>
      </c>
      <c r="W4" s="22">
        <f>SUM(P4:V4)</f>
        <v>645412768.4000001</v>
      </c>
      <c r="Y4">
        <f>SUMIFS(본전력량!$S:$S,본전력량!$B:$B,N4,본전력량!$C:$C,O4)</f>
        <v>645412768.4000001</v>
      </c>
    </row>
    <row r="5" spans="2:25" x14ac:dyDescent="0.3">
      <c r="B5" s="1" t="s">
        <v>118</v>
      </c>
      <c r="C5" s="1" t="s">
        <v>27</v>
      </c>
      <c r="D5">
        <f>전력분배!E6</f>
        <v>261907</v>
      </c>
      <c r="E5">
        <f>전력분배!F6</f>
        <v>70065</v>
      </c>
      <c r="F5">
        <f>전력분배!G6</f>
        <v>2122358</v>
      </c>
      <c r="G5">
        <f>전력분배!H6</f>
        <v>1942483</v>
      </c>
      <c r="H5">
        <f>전력분배!I6</f>
        <v>920632</v>
      </c>
      <c r="I5">
        <f>전력분배!J6</f>
        <v>562028</v>
      </c>
      <c r="J5">
        <f>전력분배!K6</f>
        <v>15455</v>
      </c>
      <c r="K5" s="22">
        <f t="shared" ref="K5:K16" si="1">SUM(D5:J5)</f>
        <v>5894928</v>
      </c>
      <c r="N5" s="1" t="s">
        <v>118</v>
      </c>
      <c r="O5" s="1" t="s">
        <v>27</v>
      </c>
      <c r="P5">
        <f>IFERROR((D5/$K$5)*$Y$5,0)</f>
        <v>29614385.392794486</v>
      </c>
      <c r="Q5">
        <f t="shared" ref="Q5:V5" si="2">(E5/$K$5)*$Y$5</f>
        <v>7922399.6019432303</v>
      </c>
      <c r="R5">
        <f t="shared" si="2"/>
        <v>239979564.32428503</v>
      </c>
      <c r="S5">
        <f t="shared" si="2"/>
        <v>219640712.85208723</v>
      </c>
      <c r="T5">
        <f t="shared" si="2"/>
        <v>104097831.87520446</v>
      </c>
      <c r="U5">
        <f t="shared" si="2"/>
        <v>63549709.605094552</v>
      </c>
      <c r="V5">
        <f t="shared" si="2"/>
        <v>1747529.9485910602</v>
      </c>
      <c r="W5" s="22">
        <f t="shared" ref="W5:W15" si="3">SUM(P5:V5)</f>
        <v>666552133.60000014</v>
      </c>
      <c r="Y5">
        <f>SUMIFS(본전력량!$S:$S,본전력량!$B:$B,N5,본전력량!$C:$C,O5)</f>
        <v>666552133.60000002</v>
      </c>
    </row>
    <row r="6" spans="2:25" x14ac:dyDescent="0.3">
      <c r="B6" s="1" t="s">
        <v>118</v>
      </c>
      <c r="C6" s="1" t="s">
        <v>29</v>
      </c>
      <c r="D6" s="30">
        <f>IFERROR(전력분배!E7,0)</f>
        <v>258216</v>
      </c>
      <c r="E6" s="30">
        <f>IFERROR(전력분배!F7,0)</f>
        <v>56720</v>
      </c>
      <c r="F6" s="30">
        <f>IFERROR(전력분배!G7,0)</f>
        <v>1901661</v>
      </c>
      <c r="G6" s="30">
        <f>IFERROR(전력분배!H7,0)</f>
        <v>2132399</v>
      </c>
      <c r="H6" s="30">
        <f>IFERROR(전력분배!I7,0)</f>
        <v>783629</v>
      </c>
      <c r="I6" s="30">
        <f>IFERROR(전력분배!J7,0)</f>
        <v>568226</v>
      </c>
      <c r="J6" s="30">
        <f>IFERROR(전력분배!K7,0)</f>
        <v>15517</v>
      </c>
      <c r="K6" s="22">
        <f t="shared" si="1"/>
        <v>5716368</v>
      </c>
      <c r="N6" s="1" t="s">
        <v>118</v>
      </c>
      <c r="O6" s="1" t="s">
        <v>29</v>
      </c>
      <c r="P6">
        <f>IFERROR((D6/$K$6)*$Y$6,0)</f>
        <v>23427463.270716511</v>
      </c>
      <c r="Q6">
        <f t="shared" ref="Q6:V6" si="4">IFERROR((E6/$K$6)*$Y$6,0)</f>
        <v>5146101.3907544091</v>
      </c>
      <c r="R6">
        <f t="shared" si="4"/>
        <v>172534208.6890589</v>
      </c>
      <c r="S6">
        <f t="shared" si="4"/>
        <v>193468643.5039371</v>
      </c>
      <c r="T6">
        <f t="shared" si="4"/>
        <v>71097219.441739902</v>
      </c>
      <c r="U6">
        <f t="shared" si="4"/>
        <v>51554101.002517894</v>
      </c>
      <c r="V6">
        <f t="shared" si="4"/>
        <v>1407828.9012753204</v>
      </c>
      <c r="W6" s="22">
        <f t="shared" si="3"/>
        <v>518635566.20000005</v>
      </c>
      <c r="Y6">
        <f>SUMIFS(본전력량!$S:$S,본전력량!$B:$B,N6,본전력량!$C:$C,O6)</f>
        <v>518635566.20000005</v>
      </c>
    </row>
    <row r="7" spans="2:25" x14ac:dyDescent="0.3">
      <c r="B7" s="1" t="s">
        <v>118</v>
      </c>
      <c r="C7" s="1" t="s">
        <v>31</v>
      </c>
      <c r="D7" s="30">
        <f>IFERROR(전력분배!E8,0)</f>
        <v>254988</v>
      </c>
      <c r="E7" s="30">
        <f>IFERROR(전력분배!F8,0)</f>
        <v>56733</v>
      </c>
      <c r="F7" s="30">
        <f>IFERROR(전력분배!G8,0)</f>
        <v>1973327</v>
      </c>
      <c r="G7" s="30">
        <f>IFERROR(전력분배!H8,0)</f>
        <v>1891128</v>
      </c>
      <c r="H7" s="30">
        <f>IFERROR(전력분배!I8,0)</f>
        <v>761813</v>
      </c>
      <c r="I7" s="30">
        <f>IFERROR(전력분배!J8,0)</f>
        <v>578036</v>
      </c>
      <c r="J7" s="30">
        <f>IFERROR(전력분배!K8,0)</f>
        <v>20631</v>
      </c>
      <c r="K7" s="22">
        <f t="shared" si="1"/>
        <v>5536656</v>
      </c>
      <c r="N7" s="1" t="s">
        <v>118</v>
      </c>
      <c r="O7" s="1" t="s">
        <v>31</v>
      </c>
      <c r="P7">
        <f>IFERROR((D7/$K$7)*$Y$7,0)</f>
        <v>23270386.81559338</v>
      </c>
      <c r="Q7">
        <f t="shared" ref="Q7:V7" si="5">IFERROR((E7/$K$7)*$Y$7,0)</f>
        <v>5177494.0593638103</v>
      </c>
      <c r="R7">
        <f t="shared" si="5"/>
        <v>180087230.00162536</v>
      </c>
      <c r="S7">
        <f t="shared" si="5"/>
        <v>172585690.61210522</v>
      </c>
      <c r="T7">
        <f t="shared" si="5"/>
        <v>69523597.938521191</v>
      </c>
      <c r="U7">
        <f t="shared" si="5"/>
        <v>52751977.792438619</v>
      </c>
      <c r="V7">
        <f t="shared" si="5"/>
        <v>1882799.7803524365</v>
      </c>
      <c r="W7" s="22">
        <f t="shared" si="3"/>
        <v>505279177</v>
      </c>
      <c r="Y7">
        <f>SUMIFS(본전력량!$S:$S,본전력량!$B:$B,N7,본전력량!$C:$C,O7)</f>
        <v>505279177</v>
      </c>
    </row>
    <row r="8" spans="2:25" x14ac:dyDescent="0.3">
      <c r="B8" s="1" t="s">
        <v>118</v>
      </c>
      <c r="C8" s="1" t="s">
        <v>33</v>
      </c>
      <c r="D8" s="30">
        <f>IFERROR(전력분배!E9,0)</f>
        <v>274972</v>
      </c>
      <c r="E8" s="30">
        <f>IFERROR(전력분배!F9,0)</f>
        <v>70508</v>
      </c>
      <c r="F8" s="30">
        <f>IFERROR(전력분배!G9,0)</f>
        <v>2050964</v>
      </c>
      <c r="G8" s="30">
        <f>IFERROR(전력분배!H9,0)</f>
        <v>1882851</v>
      </c>
      <c r="H8" s="30">
        <f>IFERROR(전력분배!I9,0)</f>
        <v>715270</v>
      </c>
      <c r="I8" s="30">
        <f>IFERROR(전력분배!J9,0)</f>
        <v>554669</v>
      </c>
      <c r="J8" s="30">
        <f>IFERROR(전력분배!K9,0)</f>
        <v>18238</v>
      </c>
      <c r="K8" s="22">
        <f t="shared" si="1"/>
        <v>5567472</v>
      </c>
      <c r="N8" s="1" t="s">
        <v>118</v>
      </c>
      <c r="O8" s="1" t="s">
        <v>33</v>
      </c>
      <c r="P8">
        <f>IFERROR((D8/$K$8)*$Y$8,0)</f>
        <v>24952285.766415779</v>
      </c>
      <c r="Q8">
        <f t="shared" ref="Q8:V8" si="6">IFERROR((E8/$K$8)*$Y$8,0)</f>
        <v>6398236.0561018707</v>
      </c>
      <c r="R8">
        <f t="shared" si="6"/>
        <v>186114367.37060928</v>
      </c>
      <c r="S8">
        <f t="shared" si="6"/>
        <v>170858982.76036003</v>
      </c>
      <c r="T8">
        <f t="shared" si="6"/>
        <v>64907050.318375021</v>
      </c>
      <c r="U8">
        <f t="shared" si="6"/>
        <v>50333340.826600797</v>
      </c>
      <c r="V8">
        <f t="shared" si="6"/>
        <v>1655004.1015372146</v>
      </c>
      <c r="W8" s="22">
        <f t="shared" si="3"/>
        <v>505219267.19999993</v>
      </c>
      <c r="Y8">
        <f>SUMIFS(본전력량!$S:$S,본전력량!$B:$B,N8,본전력량!$C:$C,O8)</f>
        <v>505219267.19999999</v>
      </c>
    </row>
    <row r="9" spans="2:25" x14ac:dyDescent="0.3">
      <c r="B9" s="1" t="s">
        <v>118</v>
      </c>
      <c r="C9" s="1" t="s">
        <v>35</v>
      </c>
      <c r="D9" s="30">
        <f>IFERROR(전력분배!E10,0)</f>
        <v>326729</v>
      </c>
      <c r="E9" s="30">
        <f>IFERROR(전력분배!F10,0)</f>
        <v>65657</v>
      </c>
      <c r="F9" s="30">
        <f>IFERROR(전력분배!G10,0)</f>
        <v>1938895</v>
      </c>
      <c r="G9" s="30">
        <f>IFERROR(전력분배!H10,0)</f>
        <v>1869862</v>
      </c>
      <c r="H9" s="30">
        <f>IFERROR(전력분배!I10,0)</f>
        <v>860713</v>
      </c>
      <c r="I9" s="30">
        <f>IFERROR(전력분배!J10,0)</f>
        <v>593895</v>
      </c>
      <c r="J9" s="30">
        <f>IFERROR(전력분배!K10,0)</f>
        <v>20873</v>
      </c>
      <c r="K9" s="22">
        <f t="shared" si="1"/>
        <v>5676624</v>
      </c>
      <c r="N9" s="1" t="s">
        <v>118</v>
      </c>
      <c r="O9" s="1" t="s">
        <v>35</v>
      </c>
      <c r="P9">
        <f>IFERROR((D9/$K$9)*$Y$9,0)</f>
        <v>36964464.692206107</v>
      </c>
      <c r="Q9">
        <f t="shared" ref="Q9:V9" si="7">IFERROR((E9/$K$9)*$Y$9,0)</f>
        <v>7428100.5307033556</v>
      </c>
      <c r="R9">
        <f t="shared" si="7"/>
        <v>219356762.85054272</v>
      </c>
      <c r="S9">
        <f t="shared" si="7"/>
        <v>211546718.77396223</v>
      </c>
      <c r="T9">
        <f t="shared" si="7"/>
        <v>97376710.664259374</v>
      </c>
      <c r="U9">
        <f t="shared" si="7"/>
        <v>67190273.15719679</v>
      </c>
      <c r="V9">
        <f t="shared" si="7"/>
        <v>2361465.5311295236</v>
      </c>
      <c r="W9" s="22">
        <f t="shared" si="3"/>
        <v>642224496.19999993</v>
      </c>
      <c r="Y9">
        <f>SUMIFS(본전력량!$S:$S,본전력량!$B:$B,N9,본전력량!$C:$C,O9)</f>
        <v>642224496.20000005</v>
      </c>
    </row>
    <row r="10" spans="2:25" x14ac:dyDescent="0.3">
      <c r="B10" s="1" t="s">
        <v>118</v>
      </c>
      <c r="C10" s="1" t="s">
        <v>37</v>
      </c>
      <c r="D10" s="30">
        <f>IFERROR(전력분배!E11,0)</f>
        <v>301972</v>
      </c>
      <c r="E10" s="30">
        <f>IFERROR(전력분배!F11,0)</f>
        <v>75433</v>
      </c>
      <c r="F10" s="30">
        <f>IFERROR(전력분배!G11,0)</f>
        <v>2220993</v>
      </c>
      <c r="G10" s="30">
        <f>IFERROR(전력분배!H11,0)</f>
        <v>2159261</v>
      </c>
      <c r="H10" s="30">
        <f>IFERROR(전력분배!I11,0)</f>
        <v>806560</v>
      </c>
      <c r="I10" s="30">
        <f>IFERROR(전력분배!J11,0)</f>
        <v>607602</v>
      </c>
      <c r="J10" s="30">
        <f>IFERROR(전력분배!K11,0)</f>
        <v>16579</v>
      </c>
      <c r="K10" s="22">
        <f t="shared" si="1"/>
        <v>6188400</v>
      </c>
      <c r="N10" s="1" t="s">
        <v>118</v>
      </c>
      <c r="O10" s="1" t="s">
        <v>37</v>
      </c>
      <c r="P10">
        <f>IFERROR((D10/$K$10)*$Y$10,0)</f>
        <v>34691987.715634927</v>
      </c>
      <c r="Q10">
        <f t="shared" ref="Q10:V10" si="8">IFERROR((E10/$K$10)*$Y$10,0)</f>
        <v>8666103.8419240508</v>
      </c>
      <c r="R10">
        <f t="shared" si="8"/>
        <v>255158299.0227941</v>
      </c>
      <c r="S10">
        <f t="shared" si="8"/>
        <v>248066231.59382194</v>
      </c>
      <c r="T10">
        <f t="shared" si="8"/>
        <v>92661470.63940534</v>
      </c>
      <c r="U10">
        <f t="shared" si="8"/>
        <v>69804223.96776925</v>
      </c>
      <c r="V10">
        <f t="shared" si="8"/>
        <v>1904674.8186504426</v>
      </c>
      <c r="W10" s="22">
        <f t="shared" si="3"/>
        <v>710952991.60000014</v>
      </c>
      <c r="Y10">
        <f>SUMIFS(본전력량!$S:$S,본전력량!$B:$B,N10,본전력량!$C:$C,O10)</f>
        <v>710952991.60000002</v>
      </c>
    </row>
    <row r="11" spans="2:25" x14ac:dyDescent="0.3">
      <c r="B11" s="1" t="s">
        <v>118</v>
      </c>
      <c r="C11" s="1" t="s">
        <v>39</v>
      </c>
      <c r="D11" s="30">
        <f>IFERROR(전력분배!E12,0)</f>
        <v>333761</v>
      </c>
      <c r="E11" s="30">
        <f>IFERROR(전력분배!F12,0)</f>
        <v>62065</v>
      </c>
      <c r="F11" s="30">
        <f>IFERROR(전력분배!G12,0)</f>
        <v>2068184</v>
      </c>
      <c r="G11" s="30">
        <f>IFERROR(전력분배!H12,0)</f>
        <v>2065029</v>
      </c>
      <c r="H11" s="30">
        <f>IFERROR(전력분배!I12,0)</f>
        <v>747372</v>
      </c>
      <c r="I11" s="30">
        <f>IFERROR(전력분배!J12,0)</f>
        <v>537210</v>
      </c>
      <c r="J11" s="30">
        <f>IFERROR(전력분배!K12,0)</f>
        <v>15787</v>
      </c>
      <c r="K11" s="22">
        <f t="shared" si="1"/>
        <v>5829408</v>
      </c>
      <c r="N11" s="1" t="s">
        <v>118</v>
      </c>
      <c r="O11" s="1" t="s">
        <v>39</v>
      </c>
      <c r="P11">
        <f>IFERROR((D11/$K$11)*$Y$11,0)</f>
        <v>37860099.068507098</v>
      </c>
      <c r="Q11">
        <f t="shared" ref="Q11:V11" si="9">IFERROR((E11/$K$11)*$Y$11,0)</f>
        <v>7040328.4047174258</v>
      </c>
      <c r="R11">
        <f t="shared" si="9"/>
        <v>234603956.51948935</v>
      </c>
      <c r="S11">
        <f t="shared" si="9"/>
        <v>234246069.85040238</v>
      </c>
      <c r="T11">
        <f t="shared" si="9"/>
        <v>84777963.75558643</v>
      </c>
      <c r="U11">
        <f t="shared" si="9"/>
        <v>60938287.638737597</v>
      </c>
      <c r="V11">
        <f t="shared" si="9"/>
        <v>1790794.5625598005</v>
      </c>
      <c r="W11" s="22">
        <f t="shared" si="3"/>
        <v>661257499.80000007</v>
      </c>
      <c r="Y11">
        <f>SUMIFS(본전력량!$S:$S,본전력량!$B:$B,N11,본전력량!$C:$C,O11)</f>
        <v>661257499.80000007</v>
      </c>
    </row>
    <row r="12" spans="2:25" x14ac:dyDescent="0.3">
      <c r="B12" s="1" t="s">
        <v>118</v>
      </c>
      <c r="C12" s="1" t="s">
        <v>41</v>
      </c>
      <c r="D12" s="30">
        <f>IFERROR(전력분배!E13,0)</f>
        <v>0</v>
      </c>
      <c r="E12" s="30">
        <f>IFERROR(전력분배!F13,0)</f>
        <v>0</v>
      </c>
      <c r="F12" s="30">
        <f>IFERROR(전력분배!G13,0)</f>
        <v>0</v>
      </c>
      <c r="G12" s="30">
        <f>IFERROR(전력분배!H13,0)</f>
        <v>0</v>
      </c>
      <c r="H12" s="30">
        <f>IFERROR(전력분배!I13,0)</f>
        <v>0</v>
      </c>
      <c r="I12" s="30">
        <f>IFERROR(전력분배!J13,0)</f>
        <v>0</v>
      </c>
      <c r="J12" s="30">
        <f>IFERROR(전력분배!K13,0)</f>
        <v>0</v>
      </c>
      <c r="K12" s="22">
        <f t="shared" si="1"/>
        <v>0</v>
      </c>
      <c r="N12" s="1" t="s">
        <v>118</v>
      </c>
      <c r="O12" s="1" t="s">
        <v>41</v>
      </c>
      <c r="P12">
        <f>IFERROR((D12/$K$12)*$Y$12,0)</f>
        <v>0</v>
      </c>
      <c r="Q12">
        <f t="shared" ref="Q12:V12" si="10">IFERROR((E12/$K$12)*$Y$12,0)</f>
        <v>0</v>
      </c>
      <c r="R12">
        <f t="shared" si="10"/>
        <v>0</v>
      </c>
      <c r="S12">
        <f t="shared" si="10"/>
        <v>0</v>
      </c>
      <c r="T12">
        <f t="shared" si="10"/>
        <v>0</v>
      </c>
      <c r="U12">
        <f t="shared" si="10"/>
        <v>0</v>
      </c>
      <c r="V12">
        <f t="shared" si="10"/>
        <v>0</v>
      </c>
      <c r="W12" s="22">
        <f t="shared" si="3"/>
        <v>0</v>
      </c>
      <c r="Y12">
        <f>SUMIFS(본전력량!$S:$S,본전력량!$B:$B,N12,본전력량!$C:$C,O12)</f>
        <v>0</v>
      </c>
    </row>
    <row r="13" spans="2:25" x14ac:dyDescent="0.3">
      <c r="B13" s="1" t="s">
        <v>118</v>
      </c>
      <c r="C13" s="1" t="s">
        <v>43</v>
      </c>
      <c r="D13" s="30">
        <f>IFERROR(전력분배!E14,0)</f>
        <v>0</v>
      </c>
      <c r="E13" s="30">
        <f>IFERROR(전력분배!F14,0)</f>
        <v>0</v>
      </c>
      <c r="F13" s="30">
        <f>IFERROR(전력분배!G14,0)</f>
        <v>0</v>
      </c>
      <c r="G13" s="30">
        <f>IFERROR(전력분배!H14,0)</f>
        <v>0</v>
      </c>
      <c r="H13" s="30">
        <f>IFERROR(전력분배!I14,0)</f>
        <v>0</v>
      </c>
      <c r="I13" s="30">
        <f>IFERROR(전력분배!J14,0)</f>
        <v>0</v>
      </c>
      <c r="J13" s="30">
        <f>IFERROR(전력분배!K14,0)</f>
        <v>0</v>
      </c>
      <c r="K13" s="22">
        <f t="shared" si="1"/>
        <v>0</v>
      </c>
      <c r="N13" s="1" t="s">
        <v>118</v>
      </c>
      <c r="O13" s="1" t="s">
        <v>43</v>
      </c>
      <c r="P13">
        <f>IFERROR((D13/$K$13)*$Y$13,0)</f>
        <v>0</v>
      </c>
      <c r="Q13">
        <f t="shared" ref="Q13:V13" si="11">IFERROR((E13/$K$13)*$Y$13,0)</f>
        <v>0</v>
      </c>
      <c r="R13">
        <f t="shared" si="11"/>
        <v>0</v>
      </c>
      <c r="S13">
        <f t="shared" si="11"/>
        <v>0</v>
      </c>
      <c r="T13">
        <f t="shared" si="11"/>
        <v>0</v>
      </c>
      <c r="U13">
        <f t="shared" si="11"/>
        <v>0</v>
      </c>
      <c r="V13">
        <f t="shared" si="11"/>
        <v>0</v>
      </c>
      <c r="W13" s="22">
        <f t="shared" si="3"/>
        <v>0</v>
      </c>
      <c r="Y13">
        <f>SUMIFS(본전력량!$S:$S,본전력량!$B:$B,N13,본전력량!$C:$C,O13)</f>
        <v>0</v>
      </c>
    </row>
    <row r="14" spans="2:25" x14ac:dyDescent="0.3">
      <c r="B14" s="1" t="s">
        <v>118</v>
      </c>
      <c r="C14" s="1" t="s">
        <v>45</v>
      </c>
      <c r="D14" s="30">
        <f>IFERROR(전력분배!E15,0)</f>
        <v>0</v>
      </c>
      <c r="E14" s="30">
        <f>IFERROR(전력분배!F15,0)</f>
        <v>0</v>
      </c>
      <c r="F14" s="30">
        <f>IFERROR(전력분배!G15,0)</f>
        <v>0</v>
      </c>
      <c r="G14" s="30">
        <f>IFERROR(전력분배!H15,0)</f>
        <v>0</v>
      </c>
      <c r="H14" s="30">
        <f>IFERROR(전력분배!I15,0)</f>
        <v>0</v>
      </c>
      <c r="I14" s="30">
        <f>IFERROR(전력분배!J15,0)</f>
        <v>0</v>
      </c>
      <c r="J14" s="30">
        <f>IFERROR(전력분배!K15,0)</f>
        <v>0</v>
      </c>
      <c r="K14" s="22">
        <f t="shared" si="1"/>
        <v>0</v>
      </c>
      <c r="N14" s="1" t="s">
        <v>118</v>
      </c>
      <c r="O14" s="1" t="s">
        <v>45</v>
      </c>
      <c r="P14">
        <f>IFERROR((D14/$K$14)*$Y$14,0)</f>
        <v>0</v>
      </c>
      <c r="Q14">
        <f t="shared" ref="Q14:V14" si="12">IFERROR((E14/$K$14)*$Y$14,0)</f>
        <v>0</v>
      </c>
      <c r="R14">
        <f t="shared" si="12"/>
        <v>0</v>
      </c>
      <c r="S14">
        <f t="shared" si="12"/>
        <v>0</v>
      </c>
      <c r="T14">
        <f t="shared" si="12"/>
        <v>0</v>
      </c>
      <c r="U14">
        <f t="shared" si="12"/>
        <v>0</v>
      </c>
      <c r="V14">
        <f t="shared" si="12"/>
        <v>0</v>
      </c>
      <c r="W14" s="22">
        <f t="shared" si="3"/>
        <v>0</v>
      </c>
      <c r="Y14">
        <f>SUMIFS(본전력량!$S:$S,본전력량!$B:$B,N14,본전력량!$C:$C,O14)</f>
        <v>0</v>
      </c>
    </row>
    <row r="15" spans="2:25" x14ac:dyDescent="0.3">
      <c r="B15" s="1" t="s">
        <v>118</v>
      </c>
      <c r="C15" s="1" t="s">
        <v>47</v>
      </c>
      <c r="D15" s="30">
        <f>IFERROR(전력분배!E16,0)</f>
        <v>0</v>
      </c>
      <c r="E15" s="30">
        <f>IFERROR(전력분배!F16,0)</f>
        <v>0</v>
      </c>
      <c r="F15" s="30">
        <f>IFERROR(전력분배!G16,0)</f>
        <v>0</v>
      </c>
      <c r="G15" s="30">
        <f>IFERROR(전력분배!H16,0)</f>
        <v>0</v>
      </c>
      <c r="H15" s="30">
        <f>IFERROR(전력분배!I16,0)</f>
        <v>0</v>
      </c>
      <c r="I15" s="30">
        <f>IFERROR(전력분배!J16,0)</f>
        <v>0</v>
      </c>
      <c r="J15" s="30">
        <f>IFERROR(전력분배!K16,0)</f>
        <v>0</v>
      </c>
      <c r="K15" s="22">
        <f t="shared" si="1"/>
        <v>0</v>
      </c>
      <c r="N15" s="1" t="s">
        <v>118</v>
      </c>
      <c r="O15" s="1" t="s">
        <v>47</v>
      </c>
      <c r="P15">
        <f>IFERROR((D15/$K$15)*$Y$15,0)</f>
        <v>0</v>
      </c>
      <c r="Q15">
        <f t="shared" ref="Q15:V15" si="13">IFERROR((E15/$K$15)*$Y$15,0)</f>
        <v>0</v>
      </c>
      <c r="R15">
        <f t="shared" si="13"/>
        <v>0</v>
      </c>
      <c r="S15">
        <f t="shared" si="13"/>
        <v>0</v>
      </c>
      <c r="T15">
        <f t="shared" si="13"/>
        <v>0</v>
      </c>
      <c r="U15">
        <f t="shared" si="13"/>
        <v>0</v>
      </c>
      <c r="V15">
        <f t="shared" si="13"/>
        <v>0</v>
      </c>
      <c r="W15" s="22">
        <f t="shared" si="3"/>
        <v>0</v>
      </c>
      <c r="Y15">
        <f>SUMIFS(본전력량!$S:$S,본전력량!$B:$B,N15,본전력량!$C:$C,O15)</f>
        <v>0</v>
      </c>
    </row>
    <row r="16" spans="2:25" x14ac:dyDescent="0.3">
      <c r="B16" s="1" t="s">
        <v>118</v>
      </c>
      <c r="C16" s="1" t="s">
        <v>138</v>
      </c>
      <c r="D16" s="22">
        <f>SUM(D4:D15)</f>
        <v>2262675</v>
      </c>
      <c r="E16" s="22">
        <f t="shared" ref="E16:J16" si="14">SUM(E4:E15)</f>
        <v>513001</v>
      </c>
      <c r="F16" s="22">
        <f t="shared" si="14"/>
        <v>16075406</v>
      </c>
      <c r="G16" s="22">
        <f t="shared" si="14"/>
        <v>15903654</v>
      </c>
      <c r="H16" s="22">
        <f t="shared" si="14"/>
        <v>6634798</v>
      </c>
      <c r="I16" s="22">
        <f t="shared" si="14"/>
        <v>4588428</v>
      </c>
      <c r="J16" s="22">
        <f t="shared" si="14"/>
        <v>138182</v>
      </c>
      <c r="K16" s="22">
        <f t="shared" si="1"/>
        <v>46116144</v>
      </c>
      <c r="N16" s="1" t="s">
        <v>118</v>
      </c>
      <c r="O16" s="1" t="s">
        <v>138</v>
      </c>
      <c r="P16" s="22">
        <f>SUM(P4:P15)</f>
        <v>239072160.68656477</v>
      </c>
      <c r="Q16" s="22">
        <f t="shared" ref="Q16" si="15">SUM(Q4:Q15)</f>
        <v>54092314.959706999</v>
      </c>
      <c r="R16" s="22">
        <f t="shared" ref="R16" si="16">SUM(R4:R15)</f>
        <v>1691313964.3375144</v>
      </c>
      <c r="S16" s="22">
        <f t="shared" ref="S16" si="17">SUM(S4:S15)</f>
        <v>1672172403.0758109</v>
      </c>
      <c r="T16" s="22">
        <f t="shared" ref="T16" si="18">SUM(T4:T15)</f>
        <v>701936894.39728785</v>
      </c>
      <c r="U16" s="22">
        <f t="shared" ref="U16" si="19">SUM(U4:U15)</f>
        <v>482487945.07955414</v>
      </c>
      <c r="V16" s="22">
        <f t="shared" ref="V16" si="20">SUM(V4:V15)</f>
        <v>14458217.463561062</v>
      </c>
      <c r="W16" s="22">
        <f t="shared" ref="W16" si="21">SUM(P16:V16)</f>
        <v>4855533900</v>
      </c>
    </row>
    <row r="17" spans="2:23" x14ac:dyDescent="0.3">
      <c r="B17" s="82" t="s">
        <v>432</v>
      </c>
      <c r="C17" s="82" t="s">
        <v>424</v>
      </c>
      <c r="D17">
        <f>SUM(D4:D6)</f>
        <v>770253</v>
      </c>
      <c r="E17" s="30">
        <f t="shared" ref="E17:J17" si="22">SUM(E4:E6)</f>
        <v>182605</v>
      </c>
      <c r="F17" s="30">
        <f t="shared" si="22"/>
        <v>5823043</v>
      </c>
      <c r="G17" s="30">
        <f t="shared" si="22"/>
        <v>6035523</v>
      </c>
      <c r="H17" s="30">
        <f t="shared" si="22"/>
        <v>2743070</v>
      </c>
      <c r="I17" s="30">
        <f t="shared" si="22"/>
        <v>1717016</v>
      </c>
      <c r="J17" s="30">
        <f t="shared" si="22"/>
        <v>46074</v>
      </c>
      <c r="K17" s="17">
        <f>SUM(D17:J17)</f>
        <v>17317584</v>
      </c>
      <c r="N17" s="82" t="s">
        <v>432</v>
      </c>
      <c r="O17" s="82" t="s">
        <v>424</v>
      </c>
      <c r="P17" s="30">
        <f>SUM(P4:P6)</f>
        <v>81332936.62820749</v>
      </c>
      <c r="Q17" s="30">
        <f t="shared" ref="Q17:V17" si="23">SUM(Q4:Q6)</f>
        <v>19382052.066896491</v>
      </c>
      <c r="R17" s="30">
        <f t="shared" si="23"/>
        <v>615993348.57245374</v>
      </c>
      <c r="S17" s="30">
        <f t="shared" si="23"/>
        <v>634868709.48515916</v>
      </c>
      <c r="T17" s="30">
        <f t="shared" si="23"/>
        <v>292690101.08114058</v>
      </c>
      <c r="U17" s="30">
        <f t="shared" si="23"/>
        <v>181469841.69681102</v>
      </c>
      <c r="V17" s="30">
        <f t="shared" si="23"/>
        <v>4863478.6693316437</v>
      </c>
      <c r="W17" s="17">
        <f>SUM(P17:V17)</f>
        <v>1830600468.2</v>
      </c>
    </row>
    <row r="18" spans="2:23" x14ac:dyDescent="0.3">
      <c r="B18" s="82" t="s">
        <v>433</v>
      </c>
      <c r="C18" s="82" t="s">
        <v>417</v>
      </c>
      <c r="D18">
        <f>SUM(D7:D9)</f>
        <v>856689</v>
      </c>
      <c r="E18" s="30">
        <f t="shared" ref="E18:J18" si="24">SUM(E7:E9)</f>
        <v>192898</v>
      </c>
      <c r="F18" s="30">
        <f t="shared" si="24"/>
        <v>5963186</v>
      </c>
      <c r="G18" s="30">
        <f t="shared" si="24"/>
        <v>5643841</v>
      </c>
      <c r="H18" s="30">
        <f t="shared" si="24"/>
        <v>2337796</v>
      </c>
      <c r="I18" s="30">
        <f t="shared" si="24"/>
        <v>1726600</v>
      </c>
      <c r="J18" s="30">
        <f t="shared" si="24"/>
        <v>59742</v>
      </c>
      <c r="K18" s="17">
        <f t="shared" ref="K18:K20" si="25">SUM(D18:J18)</f>
        <v>16780752</v>
      </c>
      <c r="N18" s="82" t="s">
        <v>433</v>
      </c>
      <c r="O18" s="82" t="s">
        <v>417</v>
      </c>
      <c r="P18" s="30">
        <f>SUM(P7:P9)</f>
        <v>85187137.274215266</v>
      </c>
      <c r="Q18" s="30">
        <f t="shared" ref="Q18:V18" si="26">SUM(Q7:Q9)</f>
        <v>19003830.646169037</v>
      </c>
      <c r="R18" s="30">
        <f t="shared" si="26"/>
        <v>585558360.22277737</v>
      </c>
      <c r="S18" s="30">
        <f t="shared" si="26"/>
        <v>554991392.14642751</v>
      </c>
      <c r="T18" s="30">
        <f t="shared" si="26"/>
        <v>231807358.92115557</v>
      </c>
      <c r="U18" s="30">
        <f t="shared" si="26"/>
        <v>170275591.77623621</v>
      </c>
      <c r="V18" s="30">
        <f t="shared" si="26"/>
        <v>5899269.4130191747</v>
      </c>
      <c r="W18" s="17">
        <f t="shared" ref="W18:W20" si="27">SUM(P18:V18)</f>
        <v>1652722940.4000003</v>
      </c>
    </row>
    <row r="19" spans="2:23" x14ac:dyDescent="0.3">
      <c r="B19" s="82" t="s">
        <v>434</v>
      </c>
      <c r="C19" s="82" t="s">
        <v>419</v>
      </c>
      <c r="D19">
        <f>SUM(D10:D12)</f>
        <v>635733</v>
      </c>
      <c r="E19" s="30">
        <f t="shared" ref="E19:J19" si="28">SUM(E10:E12)</f>
        <v>137498</v>
      </c>
      <c r="F19" s="30">
        <f t="shared" si="28"/>
        <v>4289177</v>
      </c>
      <c r="G19" s="30">
        <f t="shared" si="28"/>
        <v>4224290</v>
      </c>
      <c r="H19" s="30">
        <f t="shared" si="28"/>
        <v>1553932</v>
      </c>
      <c r="I19" s="30">
        <f t="shared" si="28"/>
        <v>1144812</v>
      </c>
      <c r="J19" s="30">
        <f t="shared" si="28"/>
        <v>32366</v>
      </c>
      <c r="K19" s="17">
        <f t="shared" si="25"/>
        <v>12017808</v>
      </c>
      <c r="N19" s="82" t="s">
        <v>434</v>
      </c>
      <c r="O19" s="82" t="s">
        <v>419</v>
      </c>
      <c r="P19" s="30">
        <f>SUM(P10:P12)</f>
        <v>72552086.784142017</v>
      </c>
      <c r="Q19" s="30">
        <f t="shared" ref="Q19:V19" si="29">SUM(Q10:Q12)</f>
        <v>15706432.246641476</v>
      </c>
      <c r="R19" s="30">
        <f t="shared" si="29"/>
        <v>489762255.54228342</v>
      </c>
      <c r="S19" s="30">
        <f t="shared" si="29"/>
        <v>482312301.44422436</v>
      </c>
      <c r="T19" s="30">
        <f t="shared" si="29"/>
        <v>177439434.39499176</v>
      </c>
      <c r="U19" s="30">
        <f t="shared" si="29"/>
        <v>130742511.60650685</v>
      </c>
      <c r="V19" s="30">
        <f t="shared" si="29"/>
        <v>3695469.3812102433</v>
      </c>
      <c r="W19" s="17">
        <f t="shared" si="27"/>
        <v>1372210491.4000001</v>
      </c>
    </row>
    <row r="20" spans="2:23" x14ac:dyDescent="0.3">
      <c r="B20" s="82" t="s">
        <v>435</v>
      </c>
      <c r="C20" s="82" t="s">
        <v>421</v>
      </c>
      <c r="D20">
        <f>SUM(D13:D15)</f>
        <v>0</v>
      </c>
      <c r="E20" s="30">
        <f t="shared" ref="E20:J20" si="30">SUM(E13:E15)</f>
        <v>0</v>
      </c>
      <c r="F20" s="30">
        <f t="shared" si="30"/>
        <v>0</v>
      </c>
      <c r="G20" s="30">
        <f t="shared" si="30"/>
        <v>0</v>
      </c>
      <c r="H20" s="30">
        <f t="shared" si="30"/>
        <v>0</v>
      </c>
      <c r="I20" s="30">
        <f t="shared" si="30"/>
        <v>0</v>
      </c>
      <c r="J20" s="30">
        <f t="shared" si="30"/>
        <v>0</v>
      </c>
      <c r="K20" s="17">
        <f t="shared" si="25"/>
        <v>0</v>
      </c>
      <c r="N20" s="82" t="s">
        <v>435</v>
      </c>
      <c r="O20" s="82" t="s">
        <v>421</v>
      </c>
      <c r="P20" s="30">
        <f>SUM(P13:P15)</f>
        <v>0</v>
      </c>
      <c r="Q20" s="30">
        <f t="shared" ref="Q20:V20" si="31">SUM(Q13:Q15)</f>
        <v>0</v>
      </c>
      <c r="R20" s="30">
        <f t="shared" si="31"/>
        <v>0</v>
      </c>
      <c r="S20" s="30">
        <f t="shared" si="31"/>
        <v>0</v>
      </c>
      <c r="T20" s="30">
        <f t="shared" si="31"/>
        <v>0</v>
      </c>
      <c r="U20" s="30">
        <f t="shared" si="31"/>
        <v>0</v>
      </c>
      <c r="V20" s="30">
        <f t="shared" si="31"/>
        <v>0</v>
      </c>
      <c r="W20" s="17">
        <f t="shared" si="27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9"/>
  <sheetViews>
    <sheetView topLeftCell="A16" workbookViewId="0">
      <selection activeCell="D33" sqref="D33:N33"/>
    </sheetView>
  </sheetViews>
  <sheetFormatPr defaultRowHeight="16.5" x14ac:dyDescent="0.3"/>
  <cols>
    <col min="1" max="3" width="9" style="1"/>
    <col min="7" max="7" width="9" customWidth="1"/>
    <col min="9" max="9" width="10.5" bestFit="1" customWidth="1"/>
    <col min="11" max="11" width="10.5" bestFit="1" customWidth="1"/>
    <col min="12" max="12" width="9.5" bestFit="1" customWidth="1"/>
    <col min="13" max="13" width="9.5" customWidth="1"/>
    <col min="14" max="14" width="10.5" bestFit="1" customWidth="1"/>
  </cols>
  <sheetData>
    <row r="2" spans="2:21" x14ac:dyDescent="0.3">
      <c r="D2">
        <v>1736</v>
      </c>
      <c r="E2">
        <v>1736</v>
      </c>
      <c r="F2">
        <v>1736</v>
      </c>
      <c r="J2">
        <v>1.2</v>
      </c>
      <c r="L2">
        <v>3.6999999999999998E-2</v>
      </c>
    </row>
    <row r="3" spans="2:21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143</v>
      </c>
      <c r="J3" s="1" t="s">
        <v>142</v>
      </c>
      <c r="K3" s="1" t="s">
        <v>145</v>
      </c>
      <c r="L3" s="1" t="s">
        <v>115</v>
      </c>
      <c r="M3" s="21" t="s">
        <v>146</v>
      </c>
      <c r="N3" s="21" t="s">
        <v>241</v>
      </c>
      <c r="Q3" s="21"/>
      <c r="R3" s="21"/>
      <c r="T3" s="21"/>
      <c r="U3" s="21"/>
    </row>
    <row r="4" spans="2:21" x14ac:dyDescent="0.3">
      <c r="B4" s="1" t="s">
        <v>98</v>
      </c>
      <c r="C4" s="1" t="s">
        <v>99</v>
      </c>
      <c r="I4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0</v>
      </c>
      <c r="Q4" s="1"/>
    </row>
    <row r="5" spans="2:21" x14ac:dyDescent="0.3">
      <c r="B5" s="1" t="s">
        <v>98</v>
      </c>
      <c r="C5" s="1" t="s">
        <v>27</v>
      </c>
      <c r="I5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0</v>
      </c>
      <c r="Q5" s="1"/>
    </row>
    <row r="6" spans="2:21" x14ac:dyDescent="0.3">
      <c r="B6" s="1" t="s">
        <v>98</v>
      </c>
      <c r="C6" s="1" t="s">
        <v>29</v>
      </c>
      <c r="I6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0</v>
      </c>
      <c r="Q6" s="1"/>
    </row>
    <row r="7" spans="2:21" x14ac:dyDescent="0.3">
      <c r="B7" s="1" t="s">
        <v>98</v>
      </c>
      <c r="C7" s="1" t="s">
        <v>31</v>
      </c>
      <c r="I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0</v>
      </c>
      <c r="Q7" s="1"/>
    </row>
    <row r="8" spans="2:21" x14ac:dyDescent="0.3">
      <c r="B8" s="1" t="s">
        <v>98</v>
      </c>
      <c r="C8" s="1" t="s">
        <v>33</v>
      </c>
      <c r="I8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0</v>
      </c>
      <c r="Q8" s="1"/>
    </row>
    <row r="9" spans="2:21" x14ac:dyDescent="0.3">
      <c r="B9" s="1" t="s">
        <v>98</v>
      </c>
      <c r="C9" s="1" t="s">
        <v>35</v>
      </c>
      <c r="I9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0</v>
      </c>
      <c r="Q9" s="1"/>
    </row>
    <row r="10" spans="2:21" x14ac:dyDescent="0.3">
      <c r="B10" s="1" t="s">
        <v>98</v>
      </c>
      <c r="C10" s="1" t="s">
        <v>37</v>
      </c>
      <c r="D10">
        <f>ROUND((ESS전력량계!E10-ESS전력량계!D10)*$D$2,0)</f>
        <v>176482</v>
      </c>
      <c r="E10">
        <f>ROUND((ESS전력량계!G10-ESS전력량계!F10)*$E$2,0)</f>
        <v>2066</v>
      </c>
      <c r="F10">
        <f>ROUND((ESS전력량계!I10-ESS전력량계!H10)*ESS전력량!$F$2,0)</f>
        <v>156</v>
      </c>
      <c r="G10">
        <f>SUM(D10:F10)</f>
        <v>178704</v>
      </c>
      <c r="I10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10155645.800000001</v>
      </c>
      <c r="J10">
        <f>(SUMIFS(요금적용DB!$H:$H,요금적용DB!$D:$D,B10,요금적용DB!$E:$E,C10,요금적용DB!F:F,"경")*ROUNDDOWN(D10,0))*$J$2</f>
        <v>5940384.1200000001</v>
      </c>
      <c r="K10">
        <f t="shared" ref="K10:K28" si="0">ROUND((I10-J10)*0.1,0)</f>
        <v>421526</v>
      </c>
      <c r="L10">
        <f t="shared" ref="L10:L28" si="1">ROUNDDOWN((I10-J10)*$L$2,-1)</f>
        <v>155960</v>
      </c>
      <c r="M10">
        <f>ROUNDDOWN(SUM(K10:L10)+(I10-J10),-1)</f>
        <v>4792740</v>
      </c>
      <c r="N10">
        <f>M10-K10</f>
        <v>4371214</v>
      </c>
      <c r="Q10" s="1"/>
    </row>
    <row r="11" spans="2:21" x14ac:dyDescent="0.3">
      <c r="B11" s="1" t="s">
        <v>98</v>
      </c>
      <c r="C11" s="1" t="s">
        <v>39</v>
      </c>
      <c r="D11">
        <f>ROUND((ESS전력량계!E11-ESS전력량계!D11)*$D$2,0)</f>
        <v>237138</v>
      </c>
      <c r="E11">
        <f>ROUND((ESS전력량계!G11-ESS전력량계!F11)*$E$2,0)</f>
        <v>799</v>
      </c>
      <c r="F11">
        <f>ROUND((ESS전력량계!I11-ESS전력량계!H11)*ESS전력량!$F$2,0)</f>
        <v>0</v>
      </c>
      <c r="G11">
        <f t="shared" ref="G11:G32" si="2">SUM(D11:F11)</f>
        <v>237937</v>
      </c>
      <c r="I11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13390532.800000001</v>
      </c>
      <c r="J11">
        <f>(SUMIFS(요금적용DB!$H:$H,요금적용DB!$D:$D,B11,요금적용DB!$E:$E,C11,요금적용DB!F:F,"경")*ROUNDDOWN(D11,0))*$J$2</f>
        <v>7982065.0800000001</v>
      </c>
      <c r="K11">
        <f t="shared" si="0"/>
        <v>540847</v>
      </c>
      <c r="L11">
        <f t="shared" si="1"/>
        <v>200110</v>
      </c>
      <c r="M11">
        <f t="shared" ref="M11:M29" si="3">ROUNDDOWN(SUM(K11:L11)+(I11-J11),-1)</f>
        <v>6149420</v>
      </c>
      <c r="N11" s="30">
        <f t="shared" ref="N11:N39" si="4">M11-K11</f>
        <v>5608573</v>
      </c>
      <c r="Q11" s="1"/>
    </row>
    <row r="12" spans="2:21" x14ac:dyDescent="0.3">
      <c r="B12" s="1" t="s">
        <v>98</v>
      </c>
      <c r="C12" s="1" t="s">
        <v>41</v>
      </c>
      <c r="D12">
        <f>ROUND((ESS전력량계!E12-ESS전력량계!D12)*$D$2,0)</f>
        <v>214552</v>
      </c>
      <c r="E12">
        <f>ROUND((ESS전력량계!G12-ESS전력량계!F12)*$E$2,0)</f>
        <v>694</v>
      </c>
      <c r="F12">
        <f>ROUND((ESS전력량계!I12-ESS전력량계!H12)*ESS전력량!$F$2,0)</f>
        <v>17</v>
      </c>
      <c r="G12">
        <f t="shared" si="2"/>
        <v>215263</v>
      </c>
      <c r="I12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12092773.700000001</v>
      </c>
      <c r="J12">
        <f>(SUMIFS(요금적용DB!$H:$H,요금적용DB!$D:$D,B12,요금적용DB!$E:$E,C12,요금적용DB!F:F,"경")*ROUNDDOWN(D12,0))*$J$2</f>
        <v>7221820.3200000003</v>
      </c>
      <c r="K12">
        <f t="shared" si="0"/>
        <v>487095</v>
      </c>
      <c r="L12">
        <f t="shared" si="1"/>
        <v>180220</v>
      </c>
      <c r="M12">
        <f t="shared" si="3"/>
        <v>5538260</v>
      </c>
      <c r="N12" s="30">
        <f t="shared" si="4"/>
        <v>5051165</v>
      </c>
    </row>
    <row r="13" spans="2:21" x14ac:dyDescent="0.3">
      <c r="B13" s="1" t="s">
        <v>98</v>
      </c>
      <c r="C13" s="1" t="s">
        <v>43</v>
      </c>
      <c r="D13">
        <f>ROUND((ESS전력량계!E13-ESS전력량계!D13)*$D$2,0)</f>
        <v>243526</v>
      </c>
      <c r="E13">
        <f>ROUND((ESS전력량계!G13-ESS전력량계!F13)*$E$2,0)</f>
        <v>833</v>
      </c>
      <c r="F13">
        <f>ROUND((ESS전력량계!I13-ESS전력량계!H13)*ESS전력량!$F$2,0)</f>
        <v>52</v>
      </c>
      <c r="G13">
        <f t="shared" si="2"/>
        <v>244411</v>
      </c>
      <c r="I13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13732966</v>
      </c>
      <c r="J13">
        <f>(SUMIFS(요금적용DB!$H:$H,요금적용DB!$D:$D,B13,요금적용DB!$E:$E,C13,요금적용DB!F:F,"경")*ROUNDDOWN(D13,0))*$J$2</f>
        <v>8197085.1599999992</v>
      </c>
      <c r="K13">
        <f t="shared" si="0"/>
        <v>553588</v>
      </c>
      <c r="L13">
        <f t="shared" si="1"/>
        <v>204820</v>
      </c>
      <c r="M13">
        <f t="shared" si="3"/>
        <v>6294280</v>
      </c>
      <c r="N13" s="30">
        <f t="shared" si="4"/>
        <v>5740692</v>
      </c>
    </row>
    <row r="14" spans="2:21" x14ac:dyDescent="0.3">
      <c r="B14" s="1" t="s">
        <v>98</v>
      </c>
      <c r="C14" s="1" t="s">
        <v>45</v>
      </c>
      <c r="D14">
        <f>ROUND((ESS전력량계!E14-ESS전력량계!D14)*$D$2,0)</f>
        <v>252171</v>
      </c>
      <c r="E14">
        <f>ROUND((ESS전력량계!G14-ESS전력량계!F14)*$E$2,0)</f>
        <v>799</v>
      </c>
      <c r="F14">
        <f>ROUND((ESS전력량계!I14-ESS전력량계!H14)*ESS전력량!$F$2,0)</f>
        <v>52</v>
      </c>
      <c r="G14">
        <f t="shared" si="2"/>
        <v>253022</v>
      </c>
      <c r="I14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16007909.300000001</v>
      </c>
      <c r="J14">
        <f>(SUMIFS(요금적용DB!$H:$H,요금적용DB!$D:$D,B14,요금적용DB!$E:$E,C14,요금적용DB!F:F,"경")*ROUNDDOWN(D14,0))*$J$2</f>
        <v>9547194.0599999987</v>
      </c>
      <c r="K14">
        <f t="shared" si="0"/>
        <v>646072</v>
      </c>
      <c r="L14">
        <f t="shared" si="1"/>
        <v>239040</v>
      </c>
      <c r="M14">
        <f t="shared" si="3"/>
        <v>7345820</v>
      </c>
      <c r="N14" s="30">
        <f t="shared" si="4"/>
        <v>6699748</v>
      </c>
    </row>
    <row r="15" spans="2:21" x14ac:dyDescent="0.3">
      <c r="B15" s="1" t="s">
        <v>98</v>
      </c>
      <c r="C15" s="1" t="s">
        <v>47</v>
      </c>
      <c r="D15">
        <f>ROUND((ESS전력량계!E15-ESS전력량계!D15)*$D$2,0)</f>
        <v>229742</v>
      </c>
      <c r="E15">
        <f>ROUND((ESS전력량계!G15-ESS전력량계!F15)*$E$2,0)</f>
        <v>781</v>
      </c>
      <c r="F15">
        <f>ROUND((ESS전력량계!I15-ESS전력량계!H15)*ESS전력량!$F$2,0)</f>
        <v>52</v>
      </c>
      <c r="G15">
        <f t="shared" si="2"/>
        <v>230575</v>
      </c>
      <c r="I15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14590673.800000001</v>
      </c>
      <c r="J15">
        <f>(SUMIFS(요금적용DB!$H:$H,요금적용DB!$D:$D,B15,요금적용DB!$E:$E,C15,요금적용DB!F:F,"경")*ROUNDDOWN(D15,0))*$J$2</f>
        <v>8698032.120000001</v>
      </c>
      <c r="K15">
        <f t="shared" si="0"/>
        <v>589264</v>
      </c>
      <c r="L15">
        <f t="shared" si="1"/>
        <v>218020</v>
      </c>
      <c r="M15">
        <f t="shared" si="3"/>
        <v>6699920</v>
      </c>
      <c r="N15" s="30">
        <f t="shared" si="4"/>
        <v>6110656</v>
      </c>
    </row>
    <row r="16" spans="2:21" x14ac:dyDescent="0.3">
      <c r="B16" s="1" t="s">
        <v>100</v>
      </c>
      <c r="C16" s="1" t="s">
        <v>99</v>
      </c>
      <c r="D16">
        <f>ROUND((ESS전력량계!E16-ESS전력량계!D16)*$D$2,0)</f>
        <v>246408</v>
      </c>
      <c r="E16">
        <f>ROUND((ESS전력량계!G16-ESS전력량계!F16)*$E$2,0)</f>
        <v>816</v>
      </c>
      <c r="F16">
        <f>ROUND((ESS전력량계!I16-ESS전력량계!H16)*ESS전력량!$F$2,0)</f>
        <v>52</v>
      </c>
      <c r="G16">
        <f t="shared" si="2"/>
        <v>247276</v>
      </c>
      <c r="I16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15646120.4</v>
      </c>
      <c r="J16">
        <f>(SUMIFS(요금적용DB!$H:$H,요금적용DB!$D:$D,B16,요금적용DB!$E:$E,C16,요금적용DB!F:F,"경")*ROUNDDOWN(D16,0))*$J$2</f>
        <v>9329006.8800000008</v>
      </c>
      <c r="K16">
        <f t="shared" si="0"/>
        <v>631711</v>
      </c>
      <c r="L16">
        <f t="shared" si="1"/>
        <v>233730</v>
      </c>
      <c r="M16">
        <f t="shared" si="3"/>
        <v>7182550</v>
      </c>
      <c r="N16" s="30">
        <f t="shared" si="4"/>
        <v>6550839</v>
      </c>
    </row>
    <row r="17" spans="2:14" x14ac:dyDescent="0.3">
      <c r="B17" s="1" t="s">
        <v>100</v>
      </c>
      <c r="C17" s="1" t="s">
        <v>27</v>
      </c>
      <c r="D17">
        <f>ROUND((ESS전력량계!E17-ESS전력량계!D17)*$D$2,0)</f>
        <v>201237</v>
      </c>
      <c r="E17">
        <f>ROUND((ESS전력량계!G17-ESS전력량계!F17)*$E$2,0)</f>
        <v>660</v>
      </c>
      <c r="F17">
        <f>ROUND((ESS전력량계!I17-ESS전력량계!H17)*ESS전력량!$F$2,0)</f>
        <v>52</v>
      </c>
      <c r="G17">
        <f t="shared" si="2"/>
        <v>201949</v>
      </c>
      <c r="I1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12778795.100000001</v>
      </c>
      <c r="J17">
        <f>(SUMIFS(요금적용DB!$H:$H,요금적용DB!$D:$D,B17,요금적용DB!$E:$E,C17,요금적용DB!F:F,"경")*ROUNDDOWN(D17,0))*$J$2</f>
        <v>7618832.8200000003</v>
      </c>
      <c r="K17">
        <f t="shared" si="0"/>
        <v>515996</v>
      </c>
      <c r="L17">
        <f t="shared" si="1"/>
        <v>190910</v>
      </c>
      <c r="M17">
        <f t="shared" si="3"/>
        <v>5866860</v>
      </c>
      <c r="N17" s="30">
        <f t="shared" si="4"/>
        <v>5350864</v>
      </c>
    </row>
    <row r="18" spans="2:14" x14ac:dyDescent="0.3">
      <c r="B18" s="1" t="s">
        <v>100</v>
      </c>
      <c r="C18" s="1" t="s">
        <v>29</v>
      </c>
      <c r="D18">
        <f>ROUND((ESS전력량계!E18-ESS전력량계!D18)*$D$2,0)</f>
        <v>241356</v>
      </c>
      <c r="E18">
        <f>ROUND((ESS전력량계!G18-ESS전력량계!F18)*$E$2,0)</f>
        <v>799</v>
      </c>
      <c r="F18">
        <f>ROUND((ESS전력량계!I18-ESS전력량계!H18)*ESS전력량!$F$2,0)</f>
        <v>35</v>
      </c>
      <c r="G18">
        <f t="shared" si="2"/>
        <v>242190</v>
      </c>
      <c r="I18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13606698.5</v>
      </c>
      <c r="J18">
        <f>(SUMIFS(요금적용DB!$H:$H,요금적용DB!$D:$D,B18,요금적용DB!$E:$E,C18,요금적용DB!F:F,"경")*ROUNDDOWN(D18,0))*$J$2</f>
        <v>8124042.959999999</v>
      </c>
      <c r="K18">
        <f t="shared" si="0"/>
        <v>548266</v>
      </c>
      <c r="L18">
        <f t="shared" si="1"/>
        <v>202850</v>
      </c>
      <c r="M18">
        <f t="shared" si="3"/>
        <v>6233770</v>
      </c>
      <c r="N18" s="30">
        <f t="shared" si="4"/>
        <v>5685504</v>
      </c>
    </row>
    <row r="19" spans="2:14" x14ac:dyDescent="0.3">
      <c r="B19" s="1" t="s">
        <v>100</v>
      </c>
      <c r="C19" s="1" t="s">
        <v>31</v>
      </c>
      <c r="D19">
        <f>ROUND((ESS전력량계!E19-ESS전력량계!D19)*$D$2,0)</f>
        <v>251026</v>
      </c>
      <c r="E19">
        <f>ROUND((ESS전력량계!G19-ESS전력량계!F19)*$E$2,0)</f>
        <v>833</v>
      </c>
      <c r="F19">
        <f>ROUND((ESS전력량계!I19-ESS전력량계!H19)*ESS전력량!$F$2,0)</f>
        <v>52</v>
      </c>
      <c r="G19">
        <f t="shared" si="2"/>
        <v>251911</v>
      </c>
      <c r="I19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14153716</v>
      </c>
      <c r="J19">
        <f>(SUMIFS(요금적용DB!$H:$H,요금적용DB!$D:$D,B19,요금적용DB!$E:$E,C19,요금적용DB!F:F,"경")*ROUNDDOWN(D19,0))*$J$2</f>
        <v>8449535.1600000001</v>
      </c>
      <c r="K19">
        <f t="shared" si="0"/>
        <v>570418</v>
      </c>
      <c r="L19">
        <f t="shared" si="1"/>
        <v>211050</v>
      </c>
      <c r="M19">
        <f t="shared" si="3"/>
        <v>6485640</v>
      </c>
      <c r="N19" s="30">
        <f t="shared" si="4"/>
        <v>5915222</v>
      </c>
    </row>
    <row r="20" spans="2:14" x14ac:dyDescent="0.3">
      <c r="B20" s="1" t="s">
        <v>100</v>
      </c>
      <c r="C20" s="1" t="s">
        <v>33</v>
      </c>
      <c r="D20">
        <f>ROUND((ESS전력량계!E20-ESS전력량계!D20)*$D$2,0)</f>
        <v>250210</v>
      </c>
      <c r="E20">
        <f>ROUND((ESS전력량계!G20-ESS전력량계!F20)*$E$2,0)</f>
        <v>677</v>
      </c>
      <c r="F20">
        <f>ROUND((ESS전력량계!I20-ESS전력량계!H20)*ESS전력량!$F$2,0)</f>
        <v>52</v>
      </c>
      <c r="G20">
        <f t="shared" si="2"/>
        <v>250939</v>
      </c>
      <c r="I20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14095676.799999999</v>
      </c>
      <c r="J20">
        <f>(SUMIFS(요금적용DB!$H:$H,요금적용DB!$D:$D,B20,요금적용DB!$E:$E,C20,요금적용DB!F:F,"경")*ROUNDDOWN(D20,0))*$J$2</f>
        <v>8422068.5999999996</v>
      </c>
      <c r="K20">
        <f t="shared" si="0"/>
        <v>567361</v>
      </c>
      <c r="L20">
        <f t="shared" si="1"/>
        <v>209920</v>
      </c>
      <c r="M20">
        <f t="shared" si="3"/>
        <v>6450880</v>
      </c>
      <c r="N20" s="30">
        <f t="shared" si="4"/>
        <v>5883519</v>
      </c>
    </row>
    <row r="21" spans="2:14" x14ac:dyDescent="0.3">
      <c r="B21" s="1" t="s">
        <v>100</v>
      </c>
      <c r="C21" s="1" t="s">
        <v>35</v>
      </c>
      <c r="D21">
        <f>ROUND((ESS전력량계!E21-ESS전력량계!D21)*$D$2,0)</f>
        <v>230437</v>
      </c>
      <c r="E21">
        <f>ROUND((ESS전력량계!G21-ESS전력량계!F21)*$E$2,0)</f>
        <v>712</v>
      </c>
      <c r="F21">
        <f>ROUND((ESS전력량계!I21-ESS전력량계!H21)*ESS전력량!$F$2,0)</f>
        <v>35</v>
      </c>
      <c r="G21">
        <f t="shared" si="2"/>
        <v>231184</v>
      </c>
      <c r="I21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13011812.200000001</v>
      </c>
      <c r="J21">
        <f>(SUMIFS(요금적용DB!$H:$H,요금적용DB!$D:$D,B21,요금적용DB!$E:$E,C21,요금적용DB!F:F,"경")*ROUNDDOWN(D21,0))*$J$2</f>
        <v>7756509.4199999999</v>
      </c>
      <c r="K21">
        <f t="shared" si="0"/>
        <v>525530</v>
      </c>
      <c r="L21">
        <f t="shared" si="1"/>
        <v>194440</v>
      </c>
      <c r="M21">
        <f t="shared" si="3"/>
        <v>5975270</v>
      </c>
      <c r="N21" s="30">
        <f t="shared" si="4"/>
        <v>5449740</v>
      </c>
    </row>
    <row r="22" spans="2:14" x14ac:dyDescent="0.3">
      <c r="B22" s="1" t="s">
        <v>100</v>
      </c>
      <c r="C22" s="1" t="s">
        <v>37</v>
      </c>
      <c r="D22">
        <f>ROUND((ESS전력량계!E22-ESS전력량계!D22)*$D$2,0)</f>
        <v>257813</v>
      </c>
      <c r="E22">
        <f>ROUND((ESS전력량계!G22-ESS전력량계!F22)*$E$2,0)</f>
        <v>660</v>
      </c>
      <c r="F22">
        <f>ROUND((ESS전력량계!I22-ESS전력량계!H22)*ESS전력량!$F$2,0)</f>
        <v>52</v>
      </c>
      <c r="G22">
        <f t="shared" si="2"/>
        <v>258525</v>
      </c>
      <c r="I22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14545186.5</v>
      </c>
      <c r="J22">
        <f>(SUMIFS(요금적용DB!$H:$H,요금적용DB!$D:$D,B22,요금적용DB!$E:$E,C22,요금적용DB!F:F,"경")*ROUNDDOWN(D22,0))*$J$2</f>
        <v>8677985.5800000001</v>
      </c>
      <c r="K22">
        <f t="shared" si="0"/>
        <v>586720</v>
      </c>
      <c r="L22">
        <f t="shared" si="1"/>
        <v>217080</v>
      </c>
      <c r="M22">
        <f t="shared" si="3"/>
        <v>6671000</v>
      </c>
      <c r="N22" s="30">
        <f t="shared" si="4"/>
        <v>6084280</v>
      </c>
    </row>
    <row r="23" spans="2:14" x14ac:dyDescent="0.3">
      <c r="B23" s="1" t="s">
        <v>100</v>
      </c>
      <c r="C23" s="1" t="s">
        <v>39</v>
      </c>
      <c r="D23">
        <f>ROUND((ESS전력량계!E23-ESS전력량계!D23)*$D$2,0)</f>
        <v>238561</v>
      </c>
      <c r="E23">
        <f>ROUND((ESS전력량계!G23-ESS전력량계!F23)*$E$2,0)</f>
        <v>642</v>
      </c>
      <c r="F23">
        <f>ROUND((ESS전력량계!I23-ESS전력량계!H23)*ESS전력량!$F$2,0)</f>
        <v>52</v>
      </c>
      <c r="G23">
        <f t="shared" si="2"/>
        <v>239255</v>
      </c>
      <c r="I23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13463187.299999999</v>
      </c>
      <c r="J23">
        <f>(SUMIFS(요금적용DB!$H:$H,요금적용DB!$D:$D,B23,요금적용DB!$E:$E,C23,요금적용DB!F:F,"경")*ROUNDDOWN(D23,0))*$J$2</f>
        <v>8029963.2599999998</v>
      </c>
      <c r="K23">
        <f t="shared" si="0"/>
        <v>543322</v>
      </c>
      <c r="L23">
        <f t="shared" si="1"/>
        <v>201020</v>
      </c>
      <c r="M23">
        <f t="shared" si="3"/>
        <v>6177560</v>
      </c>
      <c r="N23" s="30">
        <f t="shared" si="4"/>
        <v>5634238</v>
      </c>
    </row>
    <row r="24" spans="2:14" x14ac:dyDescent="0.3">
      <c r="B24" s="1" t="s">
        <v>100</v>
      </c>
      <c r="C24" s="1" t="s">
        <v>41</v>
      </c>
      <c r="D24">
        <f>ROUND((ESS전력량계!E24-ESS전력량계!D24)*$D$2,0)</f>
        <v>207886</v>
      </c>
      <c r="E24">
        <f>ROUND((ESS전력량계!G24-ESS전력량계!F24)*$E$2,0)</f>
        <v>538</v>
      </c>
      <c r="F24">
        <f>ROUND((ESS전력량계!I24-ESS전력량계!H24)*ESS전력량!$F$2,0)</f>
        <v>35</v>
      </c>
      <c r="G24">
        <f t="shared" si="2"/>
        <v>208459</v>
      </c>
      <c r="I24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11708516.9</v>
      </c>
      <c r="J24">
        <f>(SUMIFS(요금적용DB!$H:$H,요금적용DB!$D:$D,B24,요금적용DB!$E:$E,C24,요금적용DB!F:F,"경")*ROUNDDOWN(D24,0))*$J$2</f>
        <v>6997442.7599999998</v>
      </c>
      <c r="K24">
        <f t="shared" si="0"/>
        <v>471107</v>
      </c>
      <c r="L24">
        <f t="shared" si="1"/>
        <v>174300</v>
      </c>
      <c r="M24">
        <f t="shared" si="3"/>
        <v>5356480</v>
      </c>
      <c r="N24" s="30">
        <f t="shared" si="4"/>
        <v>4885373</v>
      </c>
    </row>
    <row r="25" spans="2:14" x14ac:dyDescent="0.3">
      <c r="B25" s="1" t="s">
        <v>100</v>
      </c>
      <c r="C25" s="1" t="s">
        <v>43</v>
      </c>
      <c r="D25">
        <f>ROUND((ESS전력량계!E25-ESS전력량계!D25)*$D$2,0)</f>
        <v>230871</v>
      </c>
      <c r="E25">
        <f>ROUND((ESS전력량계!G25-ESS전력량계!F25)*$E$2,0)</f>
        <v>608</v>
      </c>
      <c r="F25">
        <f>ROUND((ESS전력량계!I25-ESS전력량계!H25)*ESS전력량!$F$2,0)</f>
        <v>52</v>
      </c>
      <c r="G25">
        <f t="shared" si="2"/>
        <v>231531</v>
      </c>
      <c r="I25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13005335.5</v>
      </c>
      <c r="J25">
        <f>(SUMIFS(요금적용DB!$H:$H,요금적용DB!$D:$D,B25,요금적용DB!$E:$E,C25,요금적용DB!F:F,"경")*ROUNDDOWN(D25,0))*$J$2</f>
        <v>7771117.8599999994</v>
      </c>
      <c r="K25">
        <f t="shared" si="0"/>
        <v>523422</v>
      </c>
      <c r="L25">
        <f t="shared" si="1"/>
        <v>193660</v>
      </c>
      <c r="M25">
        <f t="shared" si="3"/>
        <v>5951290</v>
      </c>
      <c r="N25" s="30">
        <f t="shared" si="4"/>
        <v>5427868</v>
      </c>
    </row>
    <row r="26" spans="2:14" x14ac:dyDescent="0.3">
      <c r="B26" s="1" t="s">
        <v>100</v>
      </c>
      <c r="C26" s="1" t="s">
        <v>45</v>
      </c>
      <c r="D26">
        <f>ROUND((ESS전력량계!E26-ESS전력량계!D26)*$D$2,0)</f>
        <v>237346</v>
      </c>
      <c r="E26">
        <f>ROUND((ESS전력량계!G26-ESS전력량계!F26)*$E$2,0)</f>
        <v>642</v>
      </c>
      <c r="F26">
        <f>ROUND((ESS전력량계!I26-ESS전력량계!H26)*ESS전력량!$F$2,0)</f>
        <v>69</v>
      </c>
      <c r="G26">
        <f t="shared" si="2"/>
        <v>238057</v>
      </c>
      <c r="I26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15058141.300000001</v>
      </c>
      <c r="J26">
        <f>(SUMIFS(요금적용DB!$H:$H,요금적용DB!$D:$D,B26,요금적용DB!$E:$E,C26,요금적용DB!F:F,"경")*ROUNDDOWN(D26,0))*$J$2</f>
        <v>8985919.5599999987</v>
      </c>
      <c r="K26">
        <f t="shared" si="0"/>
        <v>607222</v>
      </c>
      <c r="L26">
        <f t="shared" si="1"/>
        <v>224670</v>
      </c>
      <c r="M26">
        <f t="shared" si="3"/>
        <v>6904110</v>
      </c>
      <c r="N26" s="30">
        <f t="shared" si="4"/>
        <v>6296888</v>
      </c>
    </row>
    <row r="27" spans="2:14" x14ac:dyDescent="0.3">
      <c r="B27" s="1" t="s">
        <v>100</v>
      </c>
      <c r="C27" s="1" t="s">
        <v>47</v>
      </c>
      <c r="D27">
        <f>ROUND((ESS전력량계!E27-ESS전력량계!D27)*$D$2,0)</f>
        <v>183061</v>
      </c>
      <c r="E27">
        <f>ROUND((ESS전력량계!G27-ESS전력량계!F27)*$E$2,0)</f>
        <v>625</v>
      </c>
      <c r="F27">
        <f>ROUND((ESS전력량계!I27-ESS전력량계!H27)*ESS전력량!$F$2,0)</f>
        <v>69</v>
      </c>
      <c r="G27">
        <f t="shared" si="2"/>
        <v>183755</v>
      </c>
      <c r="I2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11630901.4</v>
      </c>
      <c r="J27">
        <f>(SUMIFS(요금적용DB!$H:$H,요금적용DB!$D:$D,B27,요금적용DB!$E:$E,C27,요금적용DB!F:F,"경")*ROUNDDOWN(D27,0))*$J$2</f>
        <v>6930689.46</v>
      </c>
      <c r="K27">
        <f t="shared" si="0"/>
        <v>470021</v>
      </c>
      <c r="L27">
        <f t="shared" si="1"/>
        <v>173900</v>
      </c>
      <c r="M27">
        <f t="shared" si="3"/>
        <v>5344130</v>
      </c>
      <c r="N27" s="30">
        <f t="shared" si="4"/>
        <v>4874109</v>
      </c>
    </row>
    <row r="28" spans="2:14" x14ac:dyDescent="0.3">
      <c r="B28" s="1" t="s">
        <v>101</v>
      </c>
      <c r="C28" s="1" t="s">
        <v>99</v>
      </c>
      <c r="D28">
        <f>ROUND((ESS전력량계!E28-ESS전력량계!D28)*$D$2,0)</f>
        <v>95636</v>
      </c>
      <c r="E28">
        <f>ROUND((ESS전력량계!G28-ESS전력량계!F28)*$E$2,0)</f>
        <v>608</v>
      </c>
      <c r="F28">
        <f>ROUND((ESS전력량계!I28-ESS전력량계!H28)*ESS전력량!$F$2,0)</f>
        <v>208</v>
      </c>
      <c r="G28">
        <f t="shared" si="2"/>
        <v>96452</v>
      </c>
      <c r="I28" s="16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6135698.7999999998</v>
      </c>
      <c r="J28">
        <f>(SUMIFS(요금적용DB!$H:$H,요금적용DB!$D:$D,B28,요금적용DB!$E:$E,C28,요금적용DB!F:F,"경")*ROUNDDOWN(D28,0))*$J$2</f>
        <v>3620778.9600000004</v>
      </c>
      <c r="K28">
        <f t="shared" si="0"/>
        <v>251492</v>
      </c>
      <c r="L28">
        <f t="shared" si="1"/>
        <v>93050</v>
      </c>
      <c r="M28">
        <f t="shared" si="3"/>
        <v>2859460</v>
      </c>
      <c r="N28" s="30">
        <f t="shared" si="4"/>
        <v>2607968</v>
      </c>
    </row>
    <row r="29" spans="2:14" x14ac:dyDescent="0.3">
      <c r="B29" s="1" t="s">
        <v>101</v>
      </c>
      <c r="C29" s="1" t="s">
        <v>27</v>
      </c>
      <c r="D29">
        <f>ROUND((ESS전력량계!E29-ESS전력량계!D29)*$D$2,0)</f>
        <v>222850</v>
      </c>
      <c r="E29">
        <f>ROUND((ESS전력량계!G29-ESS전력량계!F29)*$E$2,0)</f>
        <v>625</v>
      </c>
      <c r="F29">
        <f>ROUND((ESS전력량계!I29-ESS전력량계!H29)*ESS전력량!$F$2,0)</f>
        <v>52</v>
      </c>
      <c r="G29">
        <f t="shared" si="2"/>
        <v>223527</v>
      </c>
      <c r="I29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14138753.4</v>
      </c>
      <c r="J29">
        <f>(SUMIFS(요금적용DB!$H:$H,요금적용DB!$D:$D,B29,요금적용DB!$E:$E,C29,요금적용DB!F:F,"경")*ROUNDDOWN(D29,0))*$J$2</f>
        <v>8437101</v>
      </c>
      <c r="K29">
        <f>ROUND((I29-J29)*0.1,0)</f>
        <v>570165</v>
      </c>
      <c r="L29">
        <f>ROUNDDOWN((I29-J29)*$L$2,-1)</f>
        <v>210960</v>
      </c>
      <c r="M29">
        <f t="shared" si="3"/>
        <v>6482770</v>
      </c>
      <c r="N29" s="30">
        <f t="shared" si="4"/>
        <v>5912605</v>
      </c>
    </row>
    <row r="30" spans="2:14" x14ac:dyDescent="0.3">
      <c r="B30" s="1" t="s">
        <v>101</v>
      </c>
      <c r="C30" s="1" t="s">
        <v>29</v>
      </c>
      <c r="D30">
        <f>ROUND((ESS전력량계!E30-ESS전력량계!D30)*$D$2,0)</f>
        <v>242450</v>
      </c>
      <c r="E30">
        <f>ROUND((ESS전력량계!G30-ESS전력량계!F30)*$E$2,0)</f>
        <v>642</v>
      </c>
      <c r="F30">
        <f>ROUND((ESS전력량계!I30-ESS전력량계!H30)*ESS전력량!$F$2,0)</f>
        <v>35</v>
      </c>
      <c r="G30">
        <f t="shared" si="2"/>
        <v>243127</v>
      </c>
      <c r="I30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13655731.699999999</v>
      </c>
      <c r="J30">
        <f>(SUMIFS(요금적용DB!$H:$H,요금적용DB!$D:$D,B30,요금적용DB!$E:$E,C30,요금적용DB!F:F,"경")*ROUNDDOWN(D30,0))*$J$2</f>
        <v>8160867</v>
      </c>
      <c r="K30">
        <f t="shared" ref="K30:K39" si="5">ROUND((I30-J30)*0.1,0)</f>
        <v>549486</v>
      </c>
      <c r="L30">
        <f t="shared" ref="L30:L39" si="6">ROUNDDOWN((I30-J30)*$L$2,-1)</f>
        <v>203300</v>
      </c>
      <c r="M30">
        <f t="shared" ref="M30:M39" si="7">ROUNDDOWN(SUM(K30:L30)+(I30-J30),-1)</f>
        <v>6247650</v>
      </c>
      <c r="N30" s="30">
        <f t="shared" si="4"/>
        <v>5698164</v>
      </c>
    </row>
    <row r="31" spans="2:14" x14ac:dyDescent="0.3">
      <c r="B31" s="1" t="s">
        <v>101</v>
      </c>
      <c r="C31" s="1" t="s">
        <v>31</v>
      </c>
      <c r="D31">
        <f>ROUND((ESS전력량계!E31-ESS전력량계!D31)*$D$2,0)</f>
        <v>215229</v>
      </c>
      <c r="E31">
        <f>ROUND((ESS전력량계!G31-ESS전력량계!F31)*$E$2,0)</f>
        <v>590</v>
      </c>
      <c r="F31">
        <f>ROUND((ESS전력량계!I31-ESS전력량계!H31)*ESS전력량!$F$2,0)</f>
        <v>52</v>
      </c>
      <c r="G31">
        <f t="shared" si="2"/>
        <v>215871</v>
      </c>
      <c r="I31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12126404.5</v>
      </c>
      <c r="J31">
        <f>(SUMIFS(요금적용DB!$H:$H,요금적용DB!$D:$D,B31,요금적용DB!$E:$E,C31,요금적용DB!F:F,"경")*ROUNDDOWN(D31,0))*$J$2</f>
        <v>7244608.1399999997</v>
      </c>
      <c r="K31">
        <f t="shared" si="5"/>
        <v>488180</v>
      </c>
      <c r="L31">
        <f t="shared" si="6"/>
        <v>180620</v>
      </c>
      <c r="M31">
        <f t="shared" si="7"/>
        <v>5550590</v>
      </c>
      <c r="N31" s="30">
        <f t="shared" si="4"/>
        <v>5062410</v>
      </c>
    </row>
    <row r="32" spans="2:14" x14ac:dyDescent="0.3">
      <c r="B32" s="1" t="s">
        <v>101</v>
      </c>
      <c r="C32" s="1" t="s">
        <v>33</v>
      </c>
      <c r="D32">
        <f>ROUND((ESS전력량계!E32-ESS전력량계!D32)*$D$2,0)</f>
        <v>218875</v>
      </c>
      <c r="E32">
        <f>ROUND((ESS전력량계!G32-ESS전력량계!F32)*$E$2,0)</f>
        <v>712</v>
      </c>
      <c r="F32">
        <f>ROUND((ESS전력량계!I32-ESS전력량계!H32)*ESS전력량!$F$2,0)</f>
        <v>35</v>
      </c>
      <c r="G32">
        <f t="shared" si="2"/>
        <v>219622</v>
      </c>
      <c r="I32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12338676.199999999</v>
      </c>
      <c r="J32">
        <f>(SUMIFS(요금적용DB!$H:$H,요금적용DB!$D:$D,B32,요금적용DB!$E:$E,C32,요금적용DB!F:F,"경")*ROUNDDOWN(D32,0))*$J$2</f>
        <v>7367332.5</v>
      </c>
      <c r="K32">
        <f t="shared" si="5"/>
        <v>497134</v>
      </c>
      <c r="L32">
        <f t="shared" si="6"/>
        <v>183930</v>
      </c>
      <c r="M32">
        <f t="shared" si="7"/>
        <v>5652400</v>
      </c>
      <c r="N32" s="30">
        <f t="shared" si="4"/>
        <v>5155266</v>
      </c>
    </row>
    <row r="33" spans="2:14" x14ac:dyDescent="0.3">
      <c r="B33" s="1" t="s">
        <v>101</v>
      </c>
      <c r="C33" s="1" t="s">
        <v>35</v>
      </c>
      <c r="D33">
        <f>ROUND((ESS전력량계!E33-ESS전력량계!D33)*$D$2,0)</f>
        <v>168357</v>
      </c>
      <c r="E33">
        <f>ROUND((ESS전력량계!G33-ESS전력량계!F33)*$E$2,0)</f>
        <v>851</v>
      </c>
      <c r="F33">
        <f>ROUND((ESS전력량계!I33-ESS전력량계!H33)*ESS전력량!$F$2,0)</f>
        <v>87</v>
      </c>
      <c r="G33">
        <f t="shared" ref="G33:G39" si="8">SUM(D33:F33)</f>
        <v>169295</v>
      </c>
      <c r="I33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9554212.4000000004</v>
      </c>
      <c r="J33">
        <f>(SUMIFS(요금적용DB!$H:$H,요금적용DB!$D:$D,B33,요금적용DB!$E:$E,C33,요금적용DB!F:F,"경")*ROUNDDOWN(D33,0))*$J$2</f>
        <v>5666896.6200000001</v>
      </c>
      <c r="K33">
        <f t="shared" si="5"/>
        <v>388732</v>
      </c>
      <c r="L33">
        <f t="shared" si="6"/>
        <v>143830</v>
      </c>
      <c r="M33">
        <f t="shared" si="7"/>
        <v>4419870</v>
      </c>
      <c r="N33" s="30">
        <f t="shared" si="4"/>
        <v>4031138</v>
      </c>
    </row>
    <row r="34" spans="2:14" x14ac:dyDescent="0.3">
      <c r="B34" s="1" t="s">
        <v>101</v>
      </c>
      <c r="C34" s="1" t="s">
        <v>37</v>
      </c>
      <c r="D34">
        <f>ROUND((ESS전력량계!E34-ESS전력량계!D34)*$D$2,0)</f>
        <v>195717</v>
      </c>
      <c r="E34">
        <f>ROUND((ESS전력량계!G34-ESS전력량계!F34)*$E$2,0)</f>
        <v>660</v>
      </c>
      <c r="F34">
        <f>ROUND((ESS전력량계!I34-ESS전력량계!H34)*ESS전력량!$F$2,0)</f>
        <v>69</v>
      </c>
      <c r="G34">
        <f t="shared" si="8"/>
        <v>196446</v>
      </c>
      <c r="I34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11064849.600000001</v>
      </c>
      <c r="J34">
        <f>(SUMIFS(요금적용DB!$H:$H,요금적용DB!$D:$D,B34,요금적용DB!$E:$E,C34,요금적용DB!F:F,"경")*ROUNDDOWN(D34,0))*$J$2</f>
        <v>6587834.2200000007</v>
      </c>
      <c r="K34">
        <f t="shared" si="5"/>
        <v>447702</v>
      </c>
      <c r="L34">
        <f t="shared" si="6"/>
        <v>165640</v>
      </c>
      <c r="M34">
        <f t="shared" si="7"/>
        <v>5090350</v>
      </c>
      <c r="N34" s="30">
        <f t="shared" si="4"/>
        <v>4642648</v>
      </c>
    </row>
    <row r="35" spans="2:14" x14ac:dyDescent="0.3">
      <c r="B35" s="1" t="s">
        <v>101</v>
      </c>
      <c r="C35" s="1" t="s">
        <v>39</v>
      </c>
      <c r="D35">
        <f>ROUND((ESS전력량계!E35-ESS전력량계!D35)*$D$2,0)</f>
        <v>181013</v>
      </c>
      <c r="E35">
        <f>ROUND((ESS전력량계!G35-ESS전력량계!F35)*$E$2,0)</f>
        <v>694</v>
      </c>
      <c r="F35">
        <f>ROUND((ESS전력량계!I35-ESS전력량계!H35)*ESS전력량!$F$2,0)</f>
        <v>69</v>
      </c>
      <c r="G35">
        <f t="shared" si="8"/>
        <v>181776</v>
      </c>
      <c r="I35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10243661.200000001</v>
      </c>
      <c r="J35">
        <f>(SUMIFS(요금적용DB!$H:$H,요금적용DB!$D:$D,B35,요금적용DB!$E:$E,C35,요금적용DB!F:F,"경")*ROUNDDOWN(D35,0))*$J$2</f>
        <v>6092897.5800000001</v>
      </c>
      <c r="K35">
        <f t="shared" si="5"/>
        <v>415076</v>
      </c>
      <c r="L35">
        <f t="shared" si="6"/>
        <v>153570</v>
      </c>
      <c r="M35">
        <f t="shared" si="7"/>
        <v>4719400</v>
      </c>
      <c r="N35" s="30">
        <f t="shared" si="4"/>
        <v>4304324</v>
      </c>
    </row>
    <row r="36" spans="2:14" x14ac:dyDescent="0.3">
      <c r="B36" s="1" t="s">
        <v>101</v>
      </c>
      <c r="C36" s="1" t="s">
        <v>41</v>
      </c>
      <c r="D36">
        <f>ROUND((ESS전력량계!E36-ESS전력량계!D36)*$D$2,0)</f>
        <v>0</v>
      </c>
      <c r="E36">
        <f>ROUND((ESS전력량계!G36-ESS전력량계!F36)*$E$2,0)</f>
        <v>0</v>
      </c>
      <c r="F36">
        <f>ROUND((ESS전력량계!I36-ESS전력량계!H36)*ESS전력량!$F$2,0)</f>
        <v>0</v>
      </c>
      <c r="G36">
        <f t="shared" si="8"/>
        <v>0</v>
      </c>
      <c r="I36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0</v>
      </c>
      <c r="J36">
        <f>(SUMIFS(요금적용DB!$H:$H,요금적용DB!$D:$D,B36,요금적용DB!$E:$E,C36,요금적용DB!F:F,"경")*ROUNDDOWN(D36,0))*$J$2</f>
        <v>0</v>
      </c>
      <c r="K36">
        <f t="shared" si="5"/>
        <v>0</v>
      </c>
      <c r="L36">
        <f t="shared" si="6"/>
        <v>0</v>
      </c>
      <c r="M36">
        <f t="shared" si="7"/>
        <v>0</v>
      </c>
      <c r="N36" s="30">
        <f t="shared" si="4"/>
        <v>0</v>
      </c>
    </row>
    <row r="37" spans="2:14" x14ac:dyDescent="0.3">
      <c r="B37" s="1" t="s">
        <v>101</v>
      </c>
      <c r="C37" s="1" t="s">
        <v>43</v>
      </c>
      <c r="D37">
        <f>ROUND((ESS전력량계!E37-ESS전력량계!D37)*$D$2,0)</f>
        <v>0</v>
      </c>
      <c r="E37">
        <f>ROUND((ESS전력량계!G37-ESS전력량계!F37)*$E$2,0)</f>
        <v>0</v>
      </c>
      <c r="F37">
        <f>ROUND((ESS전력량계!I37-ESS전력량계!H37)*ESS전력량!$F$2,0)</f>
        <v>0</v>
      </c>
      <c r="G37">
        <f t="shared" si="8"/>
        <v>0</v>
      </c>
      <c r="I3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0</v>
      </c>
      <c r="J37">
        <f>(SUMIFS(요금적용DB!$H:$H,요금적용DB!$D:$D,B37,요금적용DB!$E:$E,C37,요금적용DB!F:F,"경")*ROUNDDOWN(D37,0))*$J$2</f>
        <v>0</v>
      </c>
      <c r="K37">
        <f t="shared" si="5"/>
        <v>0</v>
      </c>
      <c r="L37">
        <f t="shared" si="6"/>
        <v>0</v>
      </c>
      <c r="M37">
        <f t="shared" si="7"/>
        <v>0</v>
      </c>
      <c r="N37" s="30">
        <f t="shared" si="4"/>
        <v>0</v>
      </c>
    </row>
    <row r="38" spans="2:14" x14ac:dyDescent="0.3">
      <c r="B38" s="1" t="s">
        <v>101</v>
      </c>
      <c r="C38" s="1" t="s">
        <v>45</v>
      </c>
      <c r="D38">
        <f>ROUND((ESS전력량계!E38-ESS전력량계!D38)*$D$2,0)</f>
        <v>0</v>
      </c>
      <c r="E38">
        <f>ROUND((ESS전력량계!G38-ESS전력량계!F38)*$E$2,0)</f>
        <v>0</v>
      </c>
      <c r="F38">
        <f>ROUND((ESS전력량계!I38-ESS전력량계!H38)*ESS전력량!$F$2,0)</f>
        <v>0</v>
      </c>
      <c r="G38">
        <f t="shared" si="8"/>
        <v>0</v>
      </c>
      <c r="I38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0</v>
      </c>
      <c r="J38">
        <f>(SUMIFS(요금적용DB!$H:$H,요금적용DB!$D:$D,B38,요금적용DB!$E:$E,C38,요금적용DB!F:F,"경")*ROUNDDOWN(D38,0))*$J$2</f>
        <v>0</v>
      </c>
      <c r="K38">
        <f t="shared" si="5"/>
        <v>0</v>
      </c>
      <c r="L38">
        <f t="shared" si="6"/>
        <v>0</v>
      </c>
      <c r="M38">
        <f t="shared" si="7"/>
        <v>0</v>
      </c>
      <c r="N38" s="30">
        <f t="shared" si="4"/>
        <v>0</v>
      </c>
    </row>
    <row r="39" spans="2:14" x14ac:dyDescent="0.3">
      <c r="B39" s="1" t="s">
        <v>101</v>
      </c>
      <c r="C39" s="1" t="s">
        <v>47</v>
      </c>
      <c r="D39">
        <f>ROUND((ESS전력량계!E39-ESS전력량계!D39)*$D$2,0)</f>
        <v>0</v>
      </c>
      <c r="E39">
        <f>ROUND((ESS전력량계!G39-ESS전력량계!F39)*$E$2,0)</f>
        <v>0</v>
      </c>
      <c r="F39">
        <f>ROUND((ESS전력량계!I39-ESS전력량계!H39)*ESS전력량!$F$2,0)</f>
        <v>0</v>
      </c>
      <c r="G39">
        <f t="shared" si="8"/>
        <v>0</v>
      </c>
      <c r="I39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0</v>
      </c>
      <c r="J39">
        <f>(SUMIFS(요금적용DB!$H:$H,요금적용DB!$D:$D,B39,요금적용DB!$E:$E,C39,요금적용DB!F:F,"경")*ROUNDDOWN(D39,0))*$J$2</f>
        <v>0</v>
      </c>
      <c r="K39">
        <f t="shared" si="5"/>
        <v>0</v>
      </c>
      <c r="L39">
        <f t="shared" si="6"/>
        <v>0</v>
      </c>
      <c r="M39">
        <f t="shared" si="7"/>
        <v>0</v>
      </c>
      <c r="N39" s="30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5</vt:i4>
      </vt:variant>
    </vt:vector>
  </HeadingPairs>
  <TitlesOfParts>
    <vt:vector size="41" baseType="lpstr">
      <vt:lpstr>요금적용DB</vt:lpstr>
      <vt:lpstr>LNG요금적용DB</vt:lpstr>
      <vt:lpstr>메인전력량계</vt:lpstr>
      <vt:lpstr>ESS전력량계</vt:lpstr>
      <vt:lpstr>전력감시DATA</vt:lpstr>
      <vt:lpstr>전력분배</vt:lpstr>
      <vt:lpstr>본전력량</vt:lpstr>
      <vt:lpstr>본전력량 라인별</vt:lpstr>
      <vt:lpstr>ESS전력량</vt:lpstr>
      <vt:lpstr>ESS-기본할인</vt:lpstr>
      <vt:lpstr>ESS-충전할인</vt:lpstr>
      <vt:lpstr>총전력량</vt:lpstr>
      <vt:lpstr>라인별전력(본+ESS)</vt:lpstr>
      <vt:lpstr>라인별전력금액(본+ESS)</vt:lpstr>
      <vt:lpstr>생산량</vt:lpstr>
      <vt:lpstr>리스추정치</vt:lpstr>
      <vt:lpstr>LNG사용량</vt:lpstr>
      <vt:lpstr>LNG금액</vt:lpstr>
      <vt:lpstr>용수사용량</vt:lpstr>
      <vt:lpstr>용수계산</vt:lpstr>
      <vt:lpstr>20.1월</vt:lpstr>
      <vt:lpstr>20.1월-</vt:lpstr>
      <vt:lpstr>20.2월</vt:lpstr>
      <vt:lpstr>20.2월-</vt:lpstr>
      <vt:lpstr>20.3월</vt:lpstr>
      <vt:lpstr>20.3월-</vt:lpstr>
      <vt:lpstr>20.4월</vt:lpstr>
      <vt:lpstr>20.5월</vt:lpstr>
      <vt:lpstr>20.6월</vt:lpstr>
      <vt:lpstr>20.7월</vt:lpstr>
      <vt:lpstr>20.8월</vt:lpstr>
      <vt:lpstr>20.1Q</vt:lpstr>
      <vt:lpstr>20.2Q</vt:lpstr>
      <vt:lpstr>20.3Q</vt:lpstr>
      <vt:lpstr>20년 누적</vt:lpstr>
      <vt:lpstr>Sheet4</vt:lpstr>
      <vt:lpstr>'20.4월'!Print_Area</vt:lpstr>
      <vt:lpstr>'20.5월'!Print_Area</vt:lpstr>
      <vt:lpstr>'20.6월'!Print_Area</vt:lpstr>
      <vt:lpstr>'20.7월'!Print_Area</vt:lpstr>
      <vt:lpstr>'20.8월'!Print_Area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2020-09-01T07:58:38Z</cp:lastPrinted>
  <dcterms:created xsi:type="dcterms:W3CDTF">2020-03-13T05:28:38Z</dcterms:created>
  <dcterms:modified xsi:type="dcterms:W3CDTF">2020-09-07T04:23:07Z</dcterms:modified>
</cp:coreProperties>
</file>