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075" windowHeight="7845" firstSheet="27" activeTab="34"/>
  </bookViews>
  <sheets>
    <sheet name="전력요금표" sheetId="1" r:id="rId1"/>
    <sheet name="LNG요금표" sheetId="4" r:id="rId2"/>
    <sheet name="메인전력량계" sheetId="2" r:id="rId3"/>
    <sheet name="신설전력량계" sheetId="28" r:id="rId4"/>
    <sheet name="ESS전력량계" sheetId="6" r:id="rId5"/>
    <sheet name="PEAK적용값" sheetId="5" r:id="rId6"/>
    <sheet name="전력감시DATA" sheetId="3" r:id="rId7"/>
    <sheet name="전력분배" sheetId="7" r:id="rId8"/>
    <sheet name="본전력량" sheetId="8" r:id="rId9"/>
    <sheet name="신설본전력량" sheetId="29" r:id="rId10"/>
    <sheet name="ESS전력량" sheetId="10" r:id="rId11"/>
    <sheet name="전력변동요금" sheetId="11" r:id="rId12"/>
    <sheet name="라인별전력적용비율" sheetId="9" r:id="rId13"/>
    <sheet name="신설전력사용량비율" sheetId="31" r:id="rId14"/>
    <sheet name="ESS기본할인" sheetId="12" r:id="rId15"/>
    <sheet name="생산량" sheetId="13" r:id="rId16"/>
    <sheet name="라인분배전력량" sheetId="14" r:id="rId17"/>
    <sheet name="라인분배전력금액" sheetId="15" r:id="rId18"/>
    <sheet name="총전력량" sheetId="16" r:id="rId19"/>
    <sheet name="리스추정치" sheetId="17" r:id="rId20"/>
    <sheet name="LNG사용량" sheetId="19" r:id="rId21"/>
    <sheet name="LNG금액" sheetId="20" r:id="rId22"/>
    <sheet name="21.1분기" sheetId="25" state="hidden" r:id="rId23"/>
    <sheet name="용수사용량" sheetId="21" r:id="rId24"/>
    <sheet name="용수금액" sheetId="23" r:id="rId25"/>
    <sheet name="용수계산식" sheetId="24" r:id="rId26"/>
    <sheet name="용수분배비율" sheetId="22" r:id="rId27"/>
    <sheet name="20.12월" sheetId="27" r:id="rId28"/>
    <sheet name="20년누적" sheetId="26" r:id="rId29"/>
    <sheet name="21.1월" sheetId="18" r:id="rId30"/>
    <sheet name="21.2월" sheetId="35" r:id="rId31"/>
    <sheet name="21.3월" sheetId="36" r:id="rId32"/>
    <sheet name="21.4월" sheetId="37" r:id="rId33"/>
    <sheet name="21.5월" sheetId="38" r:id="rId34"/>
    <sheet name="21.6월" sheetId="40" r:id="rId35"/>
    <sheet name="Sheet3" sheetId="30" r:id="rId36"/>
    <sheet name="Sheet2" sheetId="39" r:id="rId37"/>
  </sheets>
  <definedNames>
    <definedName name="_xlnm._FilterDatabase" localSheetId="1" hidden="1">LNG요금표!$D$1:$I$97</definedName>
    <definedName name="_xlnm._FilterDatabase" localSheetId="19" hidden="1">리스추정치!$B$1:$G$187</definedName>
    <definedName name="_xlnm._FilterDatabase" localSheetId="0" hidden="1">전력요금표!$D$1:$I$145</definedName>
    <definedName name="_xlnm.Print_Area" localSheetId="27">'20.12월'!$D$4:$O$34</definedName>
    <definedName name="_xlnm.Print_Area" localSheetId="28">'20년누적'!$D$1:$O$17</definedName>
    <definedName name="_xlnm.Print_Area" localSheetId="22">'21.1분기'!$D$1:$O$17</definedName>
    <definedName name="_xlnm.Print_Area" localSheetId="29">'21.1월'!$D$4:$O$34</definedName>
    <definedName name="_xlnm.Print_Area" localSheetId="30">'21.2월'!$D$4:$O$34</definedName>
    <definedName name="_xlnm.Print_Area" localSheetId="31">'21.3월'!$D$4:$O$34</definedName>
    <definedName name="_xlnm.Print_Area" localSheetId="32">'21.4월'!$D$4:$O$34</definedName>
    <definedName name="_xlnm.Print_Area" localSheetId="33">'21.5월'!$D$4:$O$34</definedName>
    <definedName name="_xlnm.Print_Area" localSheetId="34">'21.6월'!$D$4:$O$34</definedName>
  </definedNames>
  <calcPr calcId="145621"/>
</workbook>
</file>

<file path=xl/calcChain.xml><?xml version="1.0" encoding="utf-8"?>
<calcChain xmlns="http://schemas.openxmlformats.org/spreadsheetml/2006/main">
  <c r="K39" i="40" l="1"/>
  <c r="J39" i="40"/>
  <c r="I39" i="40"/>
  <c r="G39" i="40"/>
  <c r="K36" i="40"/>
  <c r="L36" i="40"/>
  <c r="J36" i="40"/>
  <c r="I36" i="40"/>
  <c r="H36" i="40"/>
  <c r="G36" i="40"/>
  <c r="J20" i="3" l="1"/>
  <c r="F20" i="3"/>
  <c r="I20" i="3"/>
  <c r="H20" i="3"/>
  <c r="E20" i="3"/>
  <c r="D20" i="3"/>
  <c r="S20" i="3" l="1"/>
  <c r="U20" i="3" l="1"/>
  <c r="V20" i="3"/>
  <c r="Q20" i="11"/>
  <c r="Q45" i="6"/>
  <c r="N45" i="6"/>
  <c r="L45" i="6"/>
  <c r="J45" i="6"/>
  <c r="H45" i="6"/>
  <c r="F45" i="6"/>
  <c r="D45" i="6"/>
  <c r="Z45" i="2"/>
  <c r="AA45" i="2"/>
  <c r="K19" i="22"/>
  <c r="J19" i="22"/>
  <c r="I19" i="22"/>
  <c r="H19" i="22"/>
  <c r="G19" i="22"/>
  <c r="F19" i="22"/>
  <c r="M34" i="40" l="1"/>
  <c r="K22" i="40"/>
  <c r="F22" i="40"/>
  <c r="N22" i="40" s="1"/>
  <c r="M19" i="40"/>
  <c r="K19" i="40"/>
  <c r="J19" i="40"/>
  <c r="I19" i="40"/>
  <c r="G19" i="40"/>
  <c r="G20" i="40" s="1"/>
  <c r="F19" i="40"/>
  <c r="M18" i="40"/>
  <c r="K18" i="40"/>
  <c r="J18" i="40"/>
  <c r="I18" i="40"/>
  <c r="G18" i="40"/>
  <c r="G21" i="40" s="1"/>
  <c r="F18" i="40"/>
  <c r="M17" i="40"/>
  <c r="M16" i="40"/>
  <c r="AG15" i="40"/>
  <c r="M14" i="40"/>
  <c r="L8" i="40"/>
  <c r="L34" i="40" s="1"/>
  <c r="K8" i="40"/>
  <c r="J8" i="40"/>
  <c r="I8" i="40"/>
  <c r="H8" i="40"/>
  <c r="F8" i="40"/>
  <c r="M31" i="20"/>
  <c r="G31" i="20" s="1"/>
  <c r="M26" i="20"/>
  <c r="M27" i="20"/>
  <c r="M28" i="20"/>
  <c r="M29" i="20"/>
  <c r="M30" i="20"/>
  <c r="M25" i="20"/>
  <c r="J31" i="13"/>
  <c r="G31" i="13"/>
  <c r="N8" i="40" l="1"/>
  <c r="I21" i="40"/>
  <c r="K20" i="40"/>
  <c r="J21" i="40"/>
  <c r="K21" i="40"/>
  <c r="F20" i="40"/>
  <c r="N18" i="40"/>
  <c r="I20" i="40"/>
  <c r="J20" i="40"/>
  <c r="N21" i="40"/>
  <c r="F21" i="40"/>
  <c r="N19" i="40"/>
  <c r="N20" i="40" s="1"/>
  <c r="F31" i="20"/>
  <c r="E31" i="20"/>
  <c r="Q31" i="20"/>
  <c r="J31" i="20"/>
  <c r="I31" i="20"/>
  <c r="H31" i="20"/>
  <c r="N30" i="21" l="1"/>
  <c r="N19" i="21"/>
  <c r="AD18" i="15" l="1"/>
  <c r="N18" i="15"/>
  <c r="AD17" i="15" l="1"/>
  <c r="AD16" i="15"/>
  <c r="AD15" i="15"/>
  <c r="N17" i="15"/>
  <c r="N16" i="15"/>
  <c r="N15" i="15"/>
  <c r="K18" i="22"/>
  <c r="J18" i="22"/>
  <c r="I18" i="22"/>
  <c r="H18" i="22"/>
  <c r="G18" i="22"/>
  <c r="F18" i="22"/>
  <c r="AD14" i="15"/>
  <c r="N14" i="15"/>
  <c r="J30" i="13"/>
  <c r="M18" i="38"/>
  <c r="M18" i="37"/>
  <c r="M18" i="36"/>
  <c r="M18" i="35"/>
  <c r="M18" i="18"/>
  <c r="L31" i="20"/>
  <c r="P31" i="20" s="1"/>
  <c r="L32" i="20"/>
  <c r="L33" i="20"/>
  <c r="L34" i="20"/>
  <c r="L35" i="20"/>
  <c r="L36" i="20"/>
  <c r="L37" i="20"/>
  <c r="R27" i="20"/>
  <c r="Q26" i="20"/>
  <c r="R28" i="20"/>
  <c r="M33" i="20"/>
  <c r="M34" i="20"/>
  <c r="M35" i="20"/>
  <c r="M36" i="20"/>
  <c r="M37" i="20"/>
  <c r="L28" i="19" l="1"/>
  <c r="L29" i="19"/>
  <c r="L30" i="19"/>
  <c r="L31" i="19"/>
  <c r="L34" i="19"/>
  <c r="L35" i="19"/>
  <c r="L36" i="19"/>
  <c r="L37" i="19"/>
  <c r="L38" i="19"/>
  <c r="L27" i="19"/>
  <c r="AE16" i="19"/>
  <c r="AE24" i="19" s="1"/>
  <c r="AF16" i="19"/>
  <c r="AG16" i="19"/>
  <c r="AG24" i="19" s="1"/>
  <c r="AH16" i="19"/>
  <c r="AH24" i="19" s="1"/>
  <c r="AI16" i="19"/>
  <c r="AI23" i="19" s="1"/>
  <c r="AJ16" i="19"/>
  <c r="AK16" i="19"/>
  <c r="AL16" i="19"/>
  <c r="AM16" i="19"/>
  <c r="AN16" i="19"/>
  <c r="AO16" i="19"/>
  <c r="AF24" i="19"/>
  <c r="AD16" i="19"/>
  <c r="S19" i="3"/>
  <c r="T19" i="3" s="1"/>
  <c r="U19" i="3"/>
  <c r="V19" i="3"/>
  <c r="J44" i="6" l="1"/>
  <c r="H44" i="6"/>
  <c r="F44" i="6"/>
  <c r="D44" i="6"/>
  <c r="Z44" i="2"/>
  <c r="AA44" i="2"/>
  <c r="M34" i="38"/>
  <c r="M17" i="38"/>
  <c r="M16" i="38"/>
  <c r="AG15" i="38"/>
  <c r="M14" i="38"/>
  <c r="L8" i="38"/>
  <c r="L34" i="38" s="1"/>
  <c r="K8" i="38"/>
  <c r="J8" i="38"/>
  <c r="I8" i="38"/>
  <c r="H8" i="38"/>
  <c r="F8" i="38"/>
  <c r="N8" i="38" l="1"/>
  <c r="Q44" i="6"/>
  <c r="S29" i="23" l="1"/>
  <c r="T29" i="23"/>
  <c r="U29" i="23"/>
  <c r="V29" i="23"/>
  <c r="W29" i="23"/>
  <c r="X29" i="23"/>
  <c r="S32" i="23"/>
  <c r="T32" i="23"/>
  <c r="U32" i="23"/>
  <c r="V32" i="23"/>
  <c r="W32" i="23"/>
  <c r="X32" i="23"/>
  <c r="S33" i="23"/>
  <c r="T33" i="23"/>
  <c r="U33" i="23"/>
  <c r="V33" i="23"/>
  <c r="W33" i="23"/>
  <c r="X33" i="23"/>
  <c r="S34" i="23"/>
  <c r="T34" i="23"/>
  <c r="U34" i="23"/>
  <c r="V34" i="23"/>
  <c r="W34" i="23"/>
  <c r="X34" i="23"/>
  <c r="S35" i="23"/>
  <c r="T35" i="23"/>
  <c r="U35" i="23"/>
  <c r="V35" i="23"/>
  <c r="W35" i="23"/>
  <c r="X35" i="23"/>
  <c r="S36" i="23"/>
  <c r="T36" i="23"/>
  <c r="U36" i="23"/>
  <c r="V36" i="23"/>
  <c r="W36" i="23"/>
  <c r="X36" i="23"/>
  <c r="S37" i="23"/>
  <c r="T37" i="23"/>
  <c r="U37" i="23"/>
  <c r="V37" i="23"/>
  <c r="W37" i="23"/>
  <c r="X37" i="23"/>
  <c r="F29" i="23"/>
  <c r="G29" i="23"/>
  <c r="G24" i="37" s="1"/>
  <c r="H29" i="23"/>
  <c r="I29" i="23"/>
  <c r="I24" i="37" s="1"/>
  <c r="J29" i="23"/>
  <c r="K29" i="23"/>
  <c r="K24" i="37" s="1"/>
  <c r="F32" i="23"/>
  <c r="G32" i="23"/>
  <c r="H32" i="23"/>
  <c r="I32" i="23"/>
  <c r="J32" i="23"/>
  <c r="K32" i="23"/>
  <c r="F33" i="23"/>
  <c r="G33" i="23"/>
  <c r="H33" i="23"/>
  <c r="I33" i="23"/>
  <c r="J33" i="23"/>
  <c r="K33" i="23"/>
  <c r="F34" i="23"/>
  <c r="G34" i="23"/>
  <c r="H34" i="23"/>
  <c r="I34" i="23"/>
  <c r="J34" i="23"/>
  <c r="K34" i="23"/>
  <c r="F35" i="23"/>
  <c r="G35" i="23"/>
  <c r="H35" i="23"/>
  <c r="I35" i="23"/>
  <c r="J35" i="23"/>
  <c r="K35" i="23"/>
  <c r="F36" i="23"/>
  <c r="G36" i="23"/>
  <c r="H36" i="23"/>
  <c r="I36" i="23"/>
  <c r="J36" i="23"/>
  <c r="K36" i="23"/>
  <c r="F37" i="23"/>
  <c r="G37" i="23"/>
  <c r="H37" i="23"/>
  <c r="I37" i="23"/>
  <c r="J37" i="23"/>
  <c r="K37" i="23"/>
  <c r="AF29" i="23"/>
  <c r="AG29" i="23"/>
  <c r="AH29" i="23"/>
  <c r="AI29" i="23"/>
  <c r="AJ29" i="23"/>
  <c r="AK29" i="23"/>
  <c r="AF32" i="23"/>
  <c r="AG32" i="23"/>
  <c r="AH32" i="23"/>
  <c r="AI32" i="23"/>
  <c r="AJ32" i="23"/>
  <c r="AK32" i="23"/>
  <c r="AF33" i="23"/>
  <c r="AG33" i="23"/>
  <c r="AH33" i="23"/>
  <c r="AI33" i="23"/>
  <c r="AJ33" i="23"/>
  <c r="AK33" i="23"/>
  <c r="AF34" i="23"/>
  <c r="AG34" i="23"/>
  <c r="AH34" i="23"/>
  <c r="AI34" i="23"/>
  <c r="AJ34" i="23"/>
  <c r="AK34" i="23"/>
  <c r="AF35" i="23"/>
  <c r="AG35" i="23"/>
  <c r="AH35" i="23"/>
  <c r="AI35" i="23"/>
  <c r="AJ35" i="23"/>
  <c r="AK35" i="23"/>
  <c r="AF36" i="23"/>
  <c r="AG36" i="23"/>
  <c r="AH36" i="23"/>
  <c r="AI36" i="23"/>
  <c r="AJ36" i="23"/>
  <c r="AK36" i="23"/>
  <c r="AF37" i="23"/>
  <c r="AG37" i="23"/>
  <c r="AH37" i="23"/>
  <c r="AI37" i="23"/>
  <c r="AJ37" i="23"/>
  <c r="AK37" i="23"/>
  <c r="AF29" i="21"/>
  <c r="F31" i="37" s="1"/>
  <c r="AG29" i="21"/>
  <c r="G31" i="37" s="1"/>
  <c r="AH29" i="21"/>
  <c r="H31" i="37" s="1"/>
  <c r="AI29" i="21"/>
  <c r="I31" i="37" s="1"/>
  <c r="AJ29" i="21"/>
  <c r="AK29" i="21"/>
  <c r="K31" i="37" s="1"/>
  <c r="AF32" i="21"/>
  <c r="AG32" i="21"/>
  <c r="AH32" i="21"/>
  <c r="AI32" i="21"/>
  <c r="AJ32" i="21"/>
  <c r="AK32" i="21"/>
  <c r="AF33" i="21"/>
  <c r="AG33" i="21"/>
  <c r="AH33" i="21"/>
  <c r="AI33" i="21"/>
  <c r="AJ33" i="21"/>
  <c r="AK33" i="21"/>
  <c r="AF34" i="21"/>
  <c r="AG34" i="21"/>
  <c r="AH34" i="21"/>
  <c r="AI34" i="21"/>
  <c r="AJ34" i="21"/>
  <c r="AK34" i="21"/>
  <c r="AF35" i="21"/>
  <c r="AG35" i="21"/>
  <c r="AH35" i="21"/>
  <c r="AI35" i="21"/>
  <c r="AJ35" i="21"/>
  <c r="AK35" i="21"/>
  <c r="AF36" i="21"/>
  <c r="AG36" i="21"/>
  <c r="AH36" i="21"/>
  <c r="AI36" i="21"/>
  <c r="AJ36" i="21"/>
  <c r="AK36" i="21"/>
  <c r="AF37" i="21"/>
  <c r="AG37" i="21"/>
  <c r="AH37" i="21"/>
  <c r="AI37" i="21"/>
  <c r="AJ37" i="21"/>
  <c r="AK37" i="21"/>
  <c r="F32" i="21"/>
  <c r="G32" i="21"/>
  <c r="H32" i="21"/>
  <c r="I32" i="21"/>
  <c r="J32" i="21"/>
  <c r="K32" i="21"/>
  <c r="F33" i="21"/>
  <c r="G33" i="21"/>
  <c r="H33" i="21"/>
  <c r="I33" i="21"/>
  <c r="J33" i="21"/>
  <c r="K33" i="21"/>
  <c r="F34" i="21"/>
  <c r="G34" i="21"/>
  <c r="H34" i="21"/>
  <c r="I34" i="21"/>
  <c r="J34" i="21"/>
  <c r="K34" i="21"/>
  <c r="F35" i="21"/>
  <c r="G35" i="21"/>
  <c r="H35" i="21"/>
  <c r="I35" i="21"/>
  <c r="J35" i="21"/>
  <c r="K35" i="21"/>
  <c r="F36" i="21"/>
  <c r="G36" i="21"/>
  <c r="H36" i="21"/>
  <c r="I36" i="21"/>
  <c r="J36" i="21"/>
  <c r="K36" i="21"/>
  <c r="F37" i="21"/>
  <c r="G37" i="21"/>
  <c r="H37" i="21"/>
  <c r="I37" i="21"/>
  <c r="J37" i="21"/>
  <c r="K37" i="21"/>
  <c r="S29" i="21"/>
  <c r="T29" i="21"/>
  <c r="G27" i="37" s="1"/>
  <c r="U29" i="21"/>
  <c r="H27" i="37" s="1"/>
  <c r="V29" i="21"/>
  <c r="I27" i="37" s="1"/>
  <c r="W29" i="21"/>
  <c r="J27" i="37" s="1"/>
  <c r="X29" i="21"/>
  <c r="K27" i="37" s="1"/>
  <c r="S32" i="21"/>
  <c r="T32" i="21"/>
  <c r="U32" i="21"/>
  <c r="V32" i="21"/>
  <c r="W32" i="21"/>
  <c r="X32" i="21"/>
  <c r="S33" i="21"/>
  <c r="T33" i="21"/>
  <c r="U33" i="21"/>
  <c r="V33" i="21"/>
  <c r="W33" i="21"/>
  <c r="X33" i="21"/>
  <c r="S34" i="21"/>
  <c r="T34" i="21"/>
  <c r="U34" i="21"/>
  <c r="V34" i="21"/>
  <c r="W34" i="21"/>
  <c r="X34" i="21"/>
  <c r="S35" i="21"/>
  <c r="T35" i="21"/>
  <c r="U35" i="21"/>
  <c r="V35" i="21"/>
  <c r="W35" i="21"/>
  <c r="X35" i="21"/>
  <c r="S36" i="21"/>
  <c r="T36" i="21"/>
  <c r="U36" i="21"/>
  <c r="V36" i="21"/>
  <c r="W36" i="21"/>
  <c r="X36" i="21"/>
  <c r="S37" i="21"/>
  <c r="T37" i="21"/>
  <c r="U37" i="21"/>
  <c r="V37" i="21"/>
  <c r="W37" i="21"/>
  <c r="X37" i="21"/>
  <c r="F29" i="21"/>
  <c r="F23" i="37" s="1"/>
  <c r="G29" i="21"/>
  <c r="G23" i="37" s="1"/>
  <c r="H29" i="21"/>
  <c r="I29" i="21"/>
  <c r="I23" i="37" s="1"/>
  <c r="J29" i="21"/>
  <c r="J23" i="37" s="1"/>
  <c r="K29" i="21"/>
  <c r="K23" i="37" s="1"/>
  <c r="M34" i="37"/>
  <c r="K32" i="37"/>
  <c r="J32" i="37"/>
  <c r="I32" i="37"/>
  <c r="H32" i="37"/>
  <c r="G32" i="37"/>
  <c r="F32" i="37"/>
  <c r="J31" i="37"/>
  <c r="K28" i="37"/>
  <c r="J28" i="37"/>
  <c r="I28" i="37"/>
  <c r="H28" i="37"/>
  <c r="G28" i="37"/>
  <c r="F28" i="37"/>
  <c r="F27" i="37"/>
  <c r="J24" i="37"/>
  <c r="H24" i="37"/>
  <c r="F24" i="37"/>
  <c r="H23" i="37"/>
  <c r="M17" i="37"/>
  <c r="M16" i="37"/>
  <c r="AG15" i="37"/>
  <c r="M14" i="37"/>
  <c r="L8" i="37"/>
  <c r="L34" i="37" s="1"/>
  <c r="K8" i="37"/>
  <c r="J8" i="37"/>
  <c r="I8" i="37"/>
  <c r="H8" i="37"/>
  <c r="F8" i="37"/>
  <c r="O43" i="6"/>
  <c r="M43" i="6"/>
  <c r="I16" i="22"/>
  <c r="I17" i="22"/>
  <c r="K17" i="22"/>
  <c r="J17" i="22"/>
  <c r="H17" i="22"/>
  <c r="G17" i="22"/>
  <c r="F17" i="22"/>
  <c r="N43" i="6"/>
  <c r="L43" i="6"/>
  <c r="J43" i="6"/>
  <c r="H43" i="6"/>
  <c r="F43" i="6"/>
  <c r="D43" i="6"/>
  <c r="AA43" i="2"/>
  <c r="Z43" i="2"/>
  <c r="J29" i="13"/>
  <c r="V18" i="3"/>
  <c r="U18" i="3"/>
  <c r="S18" i="3"/>
  <c r="T18" i="3" s="1"/>
  <c r="H26" i="37" l="1"/>
  <c r="H30" i="37"/>
  <c r="K34" i="37"/>
  <c r="I25" i="37"/>
  <c r="N8" i="37"/>
  <c r="I26" i="37"/>
  <c r="J25" i="37"/>
  <c r="I30" i="37"/>
  <c r="J29" i="37"/>
  <c r="N32" i="37"/>
  <c r="J26" i="37"/>
  <c r="K25" i="37"/>
  <c r="J30" i="37"/>
  <c r="K29" i="37"/>
  <c r="G33" i="37"/>
  <c r="I29" i="37"/>
  <c r="K26" i="37"/>
  <c r="K30" i="37"/>
  <c r="F34" i="37"/>
  <c r="H33" i="37"/>
  <c r="G34" i="37"/>
  <c r="I33" i="37"/>
  <c r="F25" i="37"/>
  <c r="F29" i="37"/>
  <c r="H34" i="37"/>
  <c r="J33" i="37"/>
  <c r="F26" i="37"/>
  <c r="G25" i="37"/>
  <c r="F30" i="37"/>
  <c r="G29" i="37"/>
  <c r="I34" i="37"/>
  <c r="K33" i="37"/>
  <c r="G26" i="37"/>
  <c r="H25" i="37"/>
  <c r="G30" i="37"/>
  <c r="H29" i="37"/>
  <c r="J34" i="37"/>
  <c r="N31" i="37"/>
  <c r="F33" i="37"/>
  <c r="N23" i="37"/>
  <c r="N24" i="37"/>
  <c r="N27" i="37"/>
  <c r="N28" i="37"/>
  <c r="Q43" i="6"/>
  <c r="N26" i="37" l="1"/>
  <c r="N34" i="37"/>
  <c r="N29" i="37"/>
  <c r="N30" i="37"/>
  <c r="N25" i="37"/>
  <c r="N33" i="37"/>
  <c r="S17" i="36" l="1"/>
  <c r="S15" i="36"/>
  <c r="J28" i="13" l="1"/>
  <c r="J16" i="22"/>
  <c r="H16" i="22"/>
  <c r="F16" i="22"/>
  <c r="G16" i="22"/>
  <c r="K16" i="22"/>
  <c r="AK43" i="16"/>
  <c r="AK44" i="16"/>
  <c r="AK45" i="16"/>
  <c r="AK46" i="16"/>
  <c r="AK47" i="16"/>
  <c r="AK48" i="16"/>
  <c r="AK49" i="16"/>
  <c r="V17" i="3" l="1"/>
  <c r="U17" i="3"/>
  <c r="S17" i="3"/>
  <c r="T17" i="3" s="1"/>
  <c r="Q42" i="6" l="1"/>
  <c r="N42" i="6"/>
  <c r="L42" i="6"/>
  <c r="J42" i="6"/>
  <c r="H42" i="6"/>
  <c r="F42" i="6"/>
  <c r="D42" i="6"/>
  <c r="AA42" i="2"/>
  <c r="Z42" i="2"/>
  <c r="M34" i="36" l="1"/>
  <c r="M17" i="36"/>
  <c r="M16" i="36"/>
  <c r="AG15" i="36"/>
  <c r="M14" i="36"/>
  <c r="L8" i="36"/>
  <c r="L34" i="36" s="1"/>
  <c r="K8" i="36"/>
  <c r="J8" i="36"/>
  <c r="I8" i="36"/>
  <c r="H8" i="36"/>
  <c r="F8" i="36"/>
  <c r="N8" i="36" l="1"/>
  <c r="M34" i="35" l="1"/>
  <c r="M17" i="35"/>
  <c r="M16" i="35"/>
  <c r="AG15" i="35"/>
  <c r="M14" i="35"/>
  <c r="L8" i="35"/>
  <c r="L34" i="35" s="1"/>
  <c r="K8" i="35"/>
  <c r="J8" i="35"/>
  <c r="I8" i="35"/>
  <c r="H8" i="35"/>
  <c r="F8" i="35"/>
  <c r="N8" i="35" l="1"/>
  <c r="F49" i="29"/>
  <c r="E49" i="29"/>
  <c r="D49" i="29"/>
  <c r="E48" i="29"/>
  <c r="E47" i="29"/>
  <c r="E46" i="29"/>
  <c r="E45" i="29"/>
  <c r="E44" i="29"/>
  <c r="E43" i="29"/>
  <c r="E42" i="29"/>
  <c r="E41" i="29"/>
  <c r="E40" i="29"/>
  <c r="D48" i="29"/>
  <c r="D47" i="29"/>
  <c r="D46" i="29"/>
  <c r="D45" i="29"/>
  <c r="D44" i="29"/>
  <c r="D43" i="29"/>
  <c r="D42" i="29"/>
  <c r="D41" i="29"/>
  <c r="D40" i="29"/>
  <c r="F39" i="29"/>
  <c r="E39" i="29"/>
  <c r="D39" i="29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F40" i="29"/>
  <c r="F41" i="29"/>
  <c r="F42" i="29"/>
  <c r="F43" i="29"/>
  <c r="F44" i="29"/>
  <c r="F45" i="29"/>
  <c r="F46" i="29"/>
  <c r="F47" i="29"/>
  <c r="F48" i="29"/>
  <c r="F15" i="22"/>
  <c r="K15" i="22"/>
  <c r="J15" i="22"/>
  <c r="I15" i="22"/>
  <c r="H15" i="22"/>
  <c r="G15" i="22"/>
  <c r="J27" i="13"/>
  <c r="K27" i="13" s="1"/>
  <c r="K37" i="13"/>
  <c r="K36" i="13"/>
  <c r="K35" i="13"/>
  <c r="K34" i="13"/>
  <c r="K33" i="13"/>
  <c r="K32" i="13"/>
  <c r="K31" i="13"/>
  <c r="K30" i="13"/>
  <c r="K29" i="13"/>
  <c r="K28" i="13"/>
  <c r="X41" i="28"/>
  <c r="Y41" i="28"/>
  <c r="X42" i="28"/>
  <c r="Y42" i="28"/>
  <c r="X43" i="28"/>
  <c r="Y43" i="28"/>
  <c r="X44" i="28"/>
  <c r="Y44" i="28"/>
  <c r="X45" i="28"/>
  <c r="Y45" i="28"/>
  <c r="X46" i="28"/>
  <c r="Y46" i="28"/>
  <c r="X47" i="28"/>
  <c r="Y47" i="28"/>
  <c r="Y40" i="28"/>
  <c r="X40" i="28"/>
  <c r="AA41" i="2"/>
  <c r="Z41" i="2"/>
  <c r="S16" i="3"/>
  <c r="T16" i="3"/>
  <c r="U16" i="3"/>
  <c r="V16" i="3"/>
  <c r="Q41" i="6"/>
  <c r="N41" i="6"/>
  <c r="L41" i="6"/>
  <c r="J41" i="6"/>
  <c r="H41" i="6"/>
  <c r="F41" i="6"/>
  <c r="D41" i="6"/>
  <c r="H25" i="24" l="1"/>
  <c r="L25" i="31" l="1"/>
  <c r="L24" i="31"/>
  <c r="P24" i="31" s="1"/>
  <c r="L23" i="31"/>
  <c r="L22" i="31"/>
  <c r="L21" i="31"/>
  <c r="L20" i="31"/>
  <c r="P20" i="31" s="1"/>
  <c r="L19" i="31"/>
  <c r="L18" i="31"/>
  <c r="L17" i="31"/>
  <c r="L16" i="31"/>
  <c r="P16" i="31" s="1"/>
  <c r="L15" i="31"/>
  <c r="L14" i="31"/>
  <c r="P14" i="31" s="1"/>
  <c r="L13" i="31"/>
  <c r="L12" i="31"/>
  <c r="L11" i="31"/>
  <c r="L10" i="31"/>
  <c r="L9" i="31"/>
  <c r="L8" i="31"/>
  <c r="L7" i="31"/>
  <c r="L6" i="31"/>
  <c r="L5" i="31"/>
  <c r="L4" i="31"/>
  <c r="L3" i="31"/>
  <c r="L2" i="31"/>
  <c r="P18" i="31" l="1"/>
  <c r="N18" i="31"/>
  <c r="P25" i="31"/>
  <c r="N25" i="31"/>
  <c r="P15" i="31"/>
  <c r="N15" i="31"/>
  <c r="P23" i="31"/>
  <c r="N23" i="31"/>
  <c r="P21" i="31"/>
  <c r="N21" i="31"/>
  <c r="P17" i="31"/>
  <c r="N17" i="31"/>
  <c r="P19" i="31"/>
  <c r="N19" i="31"/>
  <c r="P22" i="31"/>
  <c r="N22" i="31"/>
  <c r="N14" i="31"/>
  <c r="N16" i="31"/>
  <c r="N20" i="31"/>
  <c r="N24" i="31"/>
  <c r="D38" i="8"/>
  <c r="E40" i="2"/>
  <c r="F38" i="29"/>
  <c r="E38" i="29"/>
  <c r="D38" i="29"/>
  <c r="G39" i="29"/>
  <c r="G41" i="29"/>
  <c r="G42" i="29"/>
  <c r="G45" i="29"/>
  <c r="F37" i="29"/>
  <c r="E37" i="29"/>
  <c r="D37" i="29"/>
  <c r="F36" i="29"/>
  <c r="E36" i="29"/>
  <c r="D36" i="29"/>
  <c r="F35" i="29"/>
  <c r="E35" i="29"/>
  <c r="D35" i="29"/>
  <c r="F34" i="29"/>
  <c r="E34" i="29"/>
  <c r="D34" i="29"/>
  <c r="F33" i="29"/>
  <c r="E33" i="29"/>
  <c r="D33" i="29"/>
  <c r="F32" i="29"/>
  <c r="E32" i="29"/>
  <c r="D32" i="29"/>
  <c r="F31" i="29"/>
  <c r="E31" i="29"/>
  <c r="D31" i="29"/>
  <c r="F30" i="29"/>
  <c r="E30" i="29"/>
  <c r="D30" i="29"/>
  <c r="F29" i="29"/>
  <c r="E29" i="29"/>
  <c r="D29" i="29"/>
  <c r="F28" i="29"/>
  <c r="E28" i="29"/>
  <c r="D28" i="29"/>
  <c r="F27" i="29"/>
  <c r="E27" i="29"/>
  <c r="D27" i="29"/>
  <c r="F26" i="29"/>
  <c r="E26" i="29"/>
  <c r="D26" i="29"/>
  <c r="F25" i="29"/>
  <c r="E25" i="29"/>
  <c r="D25" i="29"/>
  <c r="F24" i="29"/>
  <c r="E24" i="29"/>
  <c r="D24" i="29"/>
  <c r="F23" i="29"/>
  <c r="E23" i="29"/>
  <c r="D23" i="29"/>
  <c r="F22" i="29"/>
  <c r="E22" i="29"/>
  <c r="D22" i="29"/>
  <c r="F21" i="29"/>
  <c r="E21" i="29"/>
  <c r="D21" i="29"/>
  <c r="F20" i="29"/>
  <c r="E20" i="29"/>
  <c r="D20" i="29"/>
  <c r="F19" i="29"/>
  <c r="E19" i="29"/>
  <c r="D19" i="29"/>
  <c r="F18" i="29"/>
  <c r="E18" i="29"/>
  <c r="D18" i="29"/>
  <c r="F17" i="29"/>
  <c r="E17" i="29"/>
  <c r="D17" i="29"/>
  <c r="F16" i="29"/>
  <c r="E16" i="29"/>
  <c r="D16" i="29"/>
  <c r="F15" i="29"/>
  <c r="E15" i="29"/>
  <c r="D15" i="29"/>
  <c r="F14" i="29"/>
  <c r="E14" i="29"/>
  <c r="D14" i="29"/>
  <c r="F13" i="29"/>
  <c r="E13" i="29"/>
  <c r="D13" i="29"/>
  <c r="F12" i="29"/>
  <c r="E12" i="29"/>
  <c r="D12" i="29"/>
  <c r="F11" i="29"/>
  <c r="E11" i="29"/>
  <c r="D11" i="29"/>
  <c r="F10" i="29"/>
  <c r="E10" i="29"/>
  <c r="D10" i="29"/>
  <c r="F9" i="29"/>
  <c r="E9" i="29"/>
  <c r="D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E2" i="29"/>
  <c r="D2" i="29"/>
  <c r="L49" i="29"/>
  <c r="L48" i="29"/>
  <c r="L47" i="29"/>
  <c r="L46" i="29"/>
  <c r="G46" i="29"/>
  <c r="L45" i="29"/>
  <c r="L44" i="29"/>
  <c r="G44" i="29"/>
  <c r="L43" i="29"/>
  <c r="G43" i="29"/>
  <c r="L42" i="29"/>
  <c r="L41" i="29"/>
  <c r="L40" i="29"/>
  <c r="G40" i="29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G23" i="29" l="1"/>
  <c r="G31" i="29"/>
  <c r="G28" i="29"/>
  <c r="G36" i="29"/>
  <c r="G30" i="29"/>
  <c r="G14" i="29"/>
  <c r="G22" i="29"/>
  <c r="G25" i="29"/>
  <c r="G33" i="29"/>
  <c r="G27" i="29"/>
  <c r="G35" i="29"/>
  <c r="G11" i="29"/>
  <c r="G19" i="29"/>
  <c r="G26" i="29"/>
  <c r="G34" i="29"/>
  <c r="G8" i="29"/>
  <c r="G16" i="29"/>
  <c r="G21" i="29"/>
  <c r="G24" i="29"/>
  <c r="G29" i="29"/>
  <c r="G32" i="29"/>
  <c r="G37" i="29"/>
  <c r="G12" i="29"/>
  <c r="G17" i="29"/>
  <c r="G20" i="29"/>
  <c r="G7" i="29"/>
  <c r="G15" i="29"/>
  <c r="G9" i="29"/>
  <c r="G10" i="29"/>
  <c r="G13" i="29"/>
  <c r="G18" i="29"/>
  <c r="G3" i="29"/>
  <c r="G47" i="29"/>
  <c r="G49" i="29"/>
  <c r="G5" i="29"/>
  <c r="G48" i="29"/>
  <c r="G4" i="29"/>
  <c r="G6" i="29"/>
  <c r="G2" i="29"/>
  <c r="G38" i="29"/>
  <c r="V100" i="28" l="1"/>
  <c r="U100" i="28"/>
  <c r="Z100" i="28" s="1"/>
  <c r="T100" i="28"/>
  <c r="S100" i="28"/>
  <c r="P100" i="28"/>
  <c r="N100" i="28"/>
  <c r="L100" i="28"/>
  <c r="J100" i="28"/>
  <c r="H100" i="28"/>
  <c r="F100" i="28"/>
  <c r="D100" i="28"/>
  <c r="Z99" i="28"/>
  <c r="V99" i="28"/>
  <c r="U99" i="28"/>
  <c r="P99" i="28"/>
  <c r="T99" i="28" s="1"/>
  <c r="N99" i="28"/>
  <c r="S99" i="28" s="1"/>
  <c r="L99" i="28"/>
  <c r="J99" i="28"/>
  <c r="H99" i="28"/>
  <c r="F99" i="28"/>
  <c r="D99" i="28"/>
  <c r="V98" i="28"/>
  <c r="U98" i="28"/>
  <c r="Z98" i="28" s="1"/>
  <c r="T98" i="28"/>
  <c r="S98" i="28"/>
  <c r="P98" i="28"/>
  <c r="N98" i="28"/>
  <c r="L98" i="28"/>
  <c r="J98" i="28"/>
  <c r="H98" i="28"/>
  <c r="F98" i="28"/>
  <c r="D98" i="28"/>
  <c r="Z97" i="28"/>
  <c r="V97" i="28"/>
  <c r="U97" i="28"/>
  <c r="P97" i="28"/>
  <c r="T97" i="28" s="1"/>
  <c r="N97" i="28"/>
  <c r="S97" i="28" s="1"/>
  <c r="L97" i="28"/>
  <c r="J97" i="28"/>
  <c r="H97" i="28"/>
  <c r="F97" i="28"/>
  <c r="D97" i="28"/>
  <c r="V96" i="28"/>
  <c r="U96" i="28"/>
  <c r="Z96" i="28" s="1"/>
  <c r="T96" i="28"/>
  <c r="S96" i="28"/>
  <c r="P96" i="28"/>
  <c r="N96" i="28"/>
  <c r="L96" i="28"/>
  <c r="J96" i="28"/>
  <c r="H96" i="28"/>
  <c r="F96" i="28"/>
  <c r="D96" i="28"/>
  <c r="Z95" i="28"/>
  <c r="V95" i="28"/>
  <c r="U95" i="28"/>
  <c r="P95" i="28"/>
  <c r="T95" i="28" s="1"/>
  <c r="N95" i="28"/>
  <c r="S95" i="28" s="1"/>
  <c r="L95" i="28"/>
  <c r="J95" i="28"/>
  <c r="H95" i="28"/>
  <c r="F95" i="28"/>
  <c r="D95" i="28"/>
  <c r="V94" i="28"/>
  <c r="U94" i="28"/>
  <c r="Z94" i="28" s="1"/>
  <c r="T94" i="28"/>
  <c r="S94" i="28"/>
  <c r="P94" i="28"/>
  <c r="N94" i="28"/>
  <c r="L94" i="28"/>
  <c r="J94" i="28"/>
  <c r="H94" i="28"/>
  <c r="F94" i="28"/>
  <c r="D94" i="28"/>
  <c r="Z93" i="28"/>
  <c r="V93" i="28"/>
  <c r="U93" i="28"/>
  <c r="P93" i="28"/>
  <c r="T93" i="28" s="1"/>
  <c r="N93" i="28"/>
  <c r="S93" i="28" s="1"/>
  <c r="L93" i="28"/>
  <c r="J93" i="28"/>
  <c r="H93" i="28"/>
  <c r="F93" i="28"/>
  <c r="D93" i="28"/>
  <c r="V92" i="28"/>
  <c r="U92" i="28"/>
  <c r="Z92" i="28" s="1"/>
  <c r="T92" i="28"/>
  <c r="S92" i="28"/>
  <c r="P92" i="28"/>
  <c r="N92" i="28"/>
  <c r="L92" i="28"/>
  <c r="J92" i="28"/>
  <c r="H92" i="28"/>
  <c r="F92" i="28"/>
  <c r="D92" i="28"/>
  <c r="Z91" i="28"/>
  <c r="V91" i="28"/>
  <c r="U91" i="28"/>
  <c r="P91" i="28"/>
  <c r="T91" i="28" s="1"/>
  <c r="N91" i="28"/>
  <c r="S91" i="28" s="1"/>
  <c r="L91" i="28"/>
  <c r="J91" i="28"/>
  <c r="H91" i="28"/>
  <c r="F91" i="28"/>
  <c r="D91" i="28"/>
  <c r="V90" i="28"/>
  <c r="U90" i="28"/>
  <c r="Z90" i="28" s="1"/>
  <c r="T90" i="28"/>
  <c r="S90" i="28"/>
  <c r="P90" i="28"/>
  <c r="N90" i="28"/>
  <c r="L90" i="28"/>
  <c r="J90" i="28"/>
  <c r="H90" i="28"/>
  <c r="F90" i="28"/>
  <c r="D90" i="28"/>
  <c r="Z89" i="28"/>
  <c r="V89" i="28"/>
  <c r="U89" i="28"/>
  <c r="P89" i="28"/>
  <c r="T89" i="28" s="1"/>
  <c r="N89" i="28"/>
  <c r="S89" i="28" s="1"/>
  <c r="L89" i="28"/>
  <c r="J89" i="28"/>
  <c r="H89" i="28"/>
  <c r="F89" i="28"/>
  <c r="D89" i="28"/>
  <c r="V88" i="28"/>
  <c r="U88" i="28"/>
  <c r="Z88" i="28" s="1"/>
  <c r="T88" i="28"/>
  <c r="S88" i="28"/>
  <c r="P88" i="28"/>
  <c r="N88" i="28"/>
  <c r="L88" i="28"/>
  <c r="J88" i="28"/>
  <c r="H88" i="28"/>
  <c r="F88" i="28"/>
  <c r="D88" i="28"/>
  <c r="Z87" i="28"/>
  <c r="V87" i="28"/>
  <c r="U87" i="28"/>
  <c r="P87" i="28"/>
  <c r="T87" i="28" s="1"/>
  <c r="N87" i="28"/>
  <c r="S87" i="28" s="1"/>
  <c r="L87" i="28"/>
  <c r="J87" i="28"/>
  <c r="H87" i="28"/>
  <c r="F87" i="28"/>
  <c r="D87" i="28"/>
  <c r="V86" i="28"/>
  <c r="U86" i="28"/>
  <c r="Z86" i="28" s="1"/>
  <c r="T86" i="28"/>
  <c r="S86" i="28"/>
  <c r="P86" i="28"/>
  <c r="N86" i="28"/>
  <c r="L86" i="28"/>
  <c r="J86" i="28"/>
  <c r="H86" i="28"/>
  <c r="F86" i="28"/>
  <c r="D86" i="28"/>
  <c r="Z85" i="28"/>
  <c r="V85" i="28"/>
  <c r="U85" i="28"/>
  <c r="P85" i="28"/>
  <c r="T85" i="28" s="1"/>
  <c r="N85" i="28"/>
  <c r="S85" i="28" s="1"/>
  <c r="L85" i="28"/>
  <c r="J85" i="28"/>
  <c r="H85" i="28"/>
  <c r="F85" i="28"/>
  <c r="D85" i="28"/>
  <c r="V84" i="28"/>
  <c r="U84" i="28"/>
  <c r="Z84" i="28" s="1"/>
  <c r="T84" i="28"/>
  <c r="S84" i="28"/>
  <c r="P84" i="28"/>
  <c r="N84" i="28"/>
  <c r="L84" i="28"/>
  <c r="J84" i="28"/>
  <c r="H84" i="28"/>
  <c r="F84" i="28"/>
  <c r="D84" i="28"/>
  <c r="Z83" i="28"/>
  <c r="V83" i="28"/>
  <c r="U83" i="28"/>
  <c r="P83" i="28"/>
  <c r="T83" i="28" s="1"/>
  <c r="N83" i="28"/>
  <c r="S83" i="28" s="1"/>
  <c r="L83" i="28"/>
  <c r="J83" i="28"/>
  <c r="H83" i="28"/>
  <c r="F83" i="28"/>
  <c r="D83" i="28"/>
  <c r="V82" i="28"/>
  <c r="U82" i="28"/>
  <c r="Z82" i="28" s="1"/>
  <c r="T82" i="28"/>
  <c r="S82" i="28"/>
  <c r="P82" i="28"/>
  <c r="N82" i="28"/>
  <c r="L82" i="28"/>
  <c r="J82" i="28"/>
  <c r="H82" i="28"/>
  <c r="F82" i="28"/>
  <c r="D82" i="28"/>
  <c r="Z81" i="28"/>
  <c r="V81" i="28"/>
  <c r="U81" i="28"/>
  <c r="P81" i="28"/>
  <c r="T81" i="28" s="1"/>
  <c r="N81" i="28"/>
  <c r="S81" i="28" s="1"/>
  <c r="L81" i="28"/>
  <c r="J81" i="28"/>
  <c r="H81" i="28"/>
  <c r="F81" i="28"/>
  <c r="D81" i="28"/>
  <c r="V80" i="28"/>
  <c r="U80" i="28"/>
  <c r="Z80" i="28" s="1"/>
  <c r="T80" i="28"/>
  <c r="S80" i="28"/>
  <c r="P80" i="28"/>
  <c r="N80" i="28"/>
  <c r="L80" i="28"/>
  <c r="J80" i="28"/>
  <c r="H80" i="28"/>
  <c r="F80" i="28"/>
  <c r="D80" i="28"/>
  <c r="Z79" i="28"/>
  <c r="V79" i="28"/>
  <c r="U79" i="28"/>
  <c r="P79" i="28"/>
  <c r="T79" i="28" s="1"/>
  <c r="N79" i="28"/>
  <c r="S79" i="28" s="1"/>
  <c r="L79" i="28"/>
  <c r="J79" i="28"/>
  <c r="H79" i="28"/>
  <c r="F79" i="28"/>
  <c r="D79" i="28"/>
  <c r="V78" i="28"/>
  <c r="U78" i="28"/>
  <c r="Z78" i="28" s="1"/>
  <c r="T78" i="28"/>
  <c r="S78" i="28"/>
  <c r="P78" i="28"/>
  <c r="N78" i="28"/>
  <c r="L78" i="28"/>
  <c r="J78" i="28"/>
  <c r="H78" i="28"/>
  <c r="F78" i="28"/>
  <c r="D78" i="28"/>
  <c r="Z77" i="28"/>
  <c r="V77" i="28"/>
  <c r="U77" i="28"/>
  <c r="P77" i="28"/>
  <c r="T77" i="28" s="1"/>
  <c r="N77" i="28"/>
  <c r="S77" i="28" s="1"/>
  <c r="L77" i="28"/>
  <c r="J77" i="28"/>
  <c r="H77" i="28"/>
  <c r="F77" i="28"/>
  <c r="D77" i="28"/>
  <c r="V76" i="28"/>
  <c r="U76" i="28"/>
  <c r="Z76" i="28" s="1"/>
  <c r="T76" i="28"/>
  <c r="S76" i="28"/>
  <c r="P76" i="28"/>
  <c r="N76" i="28"/>
  <c r="L76" i="28"/>
  <c r="J76" i="28"/>
  <c r="H76" i="28"/>
  <c r="F76" i="28"/>
  <c r="D76" i="28"/>
  <c r="Z75" i="28"/>
  <c r="V75" i="28"/>
  <c r="U75" i="28"/>
  <c r="P75" i="28"/>
  <c r="T75" i="28" s="1"/>
  <c r="N75" i="28"/>
  <c r="S75" i="28" s="1"/>
  <c r="L75" i="28"/>
  <c r="J75" i="28"/>
  <c r="H75" i="28"/>
  <c r="F75" i="28"/>
  <c r="D75" i="28"/>
  <c r="V74" i="28"/>
  <c r="U74" i="28"/>
  <c r="Z74" i="28" s="1"/>
  <c r="T74" i="28"/>
  <c r="S74" i="28"/>
  <c r="P74" i="28"/>
  <c r="N74" i="28"/>
  <c r="L74" i="28"/>
  <c r="J74" i="28"/>
  <c r="H74" i="28"/>
  <c r="F74" i="28"/>
  <c r="D74" i="28"/>
  <c r="Z73" i="28"/>
  <c r="V73" i="28"/>
  <c r="U73" i="28"/>
  <c r="P73" i="28"/>
  <c r="T73" i="28" s="1"/>
  <c r="N73" i="28"/>
  <c r="S73" i="28" s="1"/>
  <c r="L73" i="28"/>
  <c r="J73" i="28"/>
  <c r="H73" i="28"/>
  <c r="F73" i="28"/>
  <c r="D73" i="28"/>
  <c r="V72" i="28"/>
  <c r="U72" i="28"/>
  <c r="Z72" i="28" s="1"/>
  <c r="T72" i="28"/>
  <c r="S72" i="28"/>
  <c r="P72" i="28"/>
  <c r="N72" i="28"/>
  <c r="L72" i="28"/>
  <c r="J72" i="28"/>
  <c r="H72" i="28"/>
  <c r="F72" i="28"/>
  <c r="D72" i="28"/>
  <c r="Z71" i="28"/>
  <c r="V71" i="28"/>
  <c r="U71" i="28"/>
  <c r="P71" i="28"/>
  <c r="T71" i="28" s="1"/>
  <c r="N71" i="28"/>
  <c r="S71" i="28" s="1"/>
  <c r="L71" i="28"/>
  <c r="J71" i="28"/>
  <c r="H71" i="28"/>
  <c r="F71" i="28"/>
  <c r="D71" i="28"/>
  <c r="V70" i="28"/>
  <c r="U70" i="28"/>
  <c r="Z70" i="28" s="1"/>
  <c r="T70" i="28"/>
  <c r="S70" i="28"/>
  <c r="P70" i="28"/>
  <c r="N70" i="28"/>
  <c r="L70" i="28"/>
  <c r="J70" i="28"/>
  <c r="H70" i="28"/>
  <c r="F70" i="28"/>
  <c r="D70" i="28"/>
  <c r="Z69" i="28"/>
  <c r="V69" i="28"/>
  <c r="U69" i="28"/>
  <c r="P69" i="28"/>
  <c r="T69" i="28" s="1"/>
  <c r="N69" i="28"/>
  <c r="S69" i="28" s="1"/>
  <c r="L69" i="28"/>
  <c r="J69" i="28"/>
  <c r="H69" i="28"/>
  <c r="F69" i="28"/>
  <c r="D69" i="28"/>
  <c r="V68" i="28"/>
  <c r="U68" i="28"/>
  <c r="Z68" i="28" s="1"/>
  <c r="T68" i="28"/>
  <c r="S68" i="28"/>
  <c r="P68" i="28"/>
  <c r="N68" i="28"/>
  <c r="L68" i="28"/>
  <c r="J68" i="28"/>
  <c r="H68" i="28"/>
  <c r="F68" i="28"/>
  <c r="D68" i="28"/>
  <c r="Z67" i="28"/>
  <c r="V67" i="28"/>
  <c r="U67" i="28"/>
  <c r="P67" i="28"/>
  <c r="T67" i="28" s="1"/>
  <c r="N67" i="28"/>
  <c r="S67" i="28" s="1"/>
  <c r="L67" i="28"/>
  <c r="J67" i="28"/>
  <c r="H67" i="28"/>
  <c r="F67" i="28"/>
  <c r="D67" i="28"/>
  <c r="V66" i="28"/>
  <c r="U66" i="28"/>
  <c r="Z66" i="28" s="1"/>
  <c r="T66" i="28"/>
  <c r="S66" i="28"/>
  <c r="P66" i="28"/>
  <c r="N66" i="28"/>
  <c r="L66" i="28"/>
  <c r="J66" i="28"/>
  <c r="H66" i="28"/>
  <c r="F66" i="28"/>
  <c r="D66" i="28"/>
  <c r="Z65" i="28"/>
  <c r="V65" i="28"/>
  <c r="U65" i="28"/>
  <c r="P65" i="28"/>
  <c r="T65" i="28" s="1"/>
  <c r="N65" i="28"/>
  <c r="S65" i="28" s="1"/>
  <c r="L65" i="28"/>
  <c r="J65" i="28"/>
  <c r="H65" i="28"/>
  <c r="F65" i="28"/>
  <c r="D65" i="28"/>
  <c r="V64" i="28"/>
  <c r="U64" i="28"/>
  <c r="Z64" i="28" s="1"/>
  <c r="T64" i="28"/>
  <c r="S64" i="28"/>
  <c r="P64" i="28"/>
  <c r="N64" i="28"/>
  <c r="L64" i="28"/>
  <c r="J64" i="28"/>
  <c r="H64" i="28"/>
  <c r="F64" i="28"/>
  <c r="D64" i="28"/>
  <c r="Z63" i="28"/>
  <c r="V63" i="28"/>
  <c r="U63" i="28"/>
  <c r="P63" i="28"/>
  <c r="T63" i="28" s="1"/>
  <c r="N63" i="28"/>
  <c r="S63" i="28" s="1"/>
  <c r="L63" i="28"/>
  <c r="J63" i="28"/>
  <c r="H63" i="28"/>
  <c r="F63" i="28"/>
  <c r="D63" i="28"/>
  <c r="V62" i="28"/>
  <c r="U62" i="28"/>
  <c r="Z62" i="28" s="1"/>
  <c r="T62" i="28"/>
  <c r="S62" i="28"/>
  <c r="P62" i="28"/>
  <c r="N62" i="28"/>
  <c r="L62" i="28"/>
  <c r="J62" i="28"/>
  <c r="H62" i="28"/>
  <c r="F62" i="28"/>
  <c r="D62" i="28"/>
  <c r="Z61" i="28"/>
  <c r="V61" i="28"/>
  <c r="U61" i="28"/>
  <c r="P61" i="28"/>
  <c r="T61" i="28" s="1"/>
  <c r="N61" i="28"/>
  <c r="S61" i="28" s="1"/>
  <c r="L61" i="28"/>
  <c r="J61" i="28"/>
  <c r="H61" i="28"/>
  <c r="F61" i="28"/>
  <c r="D61" i="28"/>
  <c r="V60" i="28"/>
  <c r="U60" i="28"/>
  <c r="Z60" i="28" s="1"/>
  <c r="T60" i="28"/>
  <c r="S60" i="28"/>
  <c r="P60" i="28"/>
  <c r="N60" i="28"/>
  <c r="L60" i="28"/>
  <c r="J60" i="28"/>
  <c r="H60" i="28"/>
  <c r="F60" i="28"/>
  <c r="D60" i="28"/>
  <c r="Z59" i="28"/>
  <c r="V59" i="28"/>
  <c r="U59" i="28"/>
  <c r="P59" i="28"/>
  <c r="T59" i="28" s="1"/>
  <c r="N59" i="28"/>
  <c r="S59" i="28" s="1"/>
  <c r="L59" i="28"/>
  <c r="J59" i="28"/>
  <c r="H59" i="28"/>
  <c r="F59" i="28"/>
  <c r="D59" i="28"/>
  <c r="V58" i="28"/>
  <c r="U58" i="28"/>
  <c r="Z58" i="28" s="1"/>
  <c r="T58" i="28"/>
  <c r="S58" i="28"/>
  <c r="P58" i="28"/>
  <c r="N58" i="28"/>
  <c r="L58" i="28"/>
  <c r="J58" i="28"/>
  <c r="H58" i="28"/>
  <c r="F58" i="28"/>
  <c r="D58" i="28"/>
  <c r="Z57" i="28"/>
  <c r="V57" i="28"/>
  <c r="U57" i="28"/>
  <c r="P57" i="28"/>
  <c r="T57" i="28" s="1"/>
  <c r="N57" i="28"/>
  <c r="S57" i="28" s="1"/>
  <c r="L57" i="28"/>
  <c r="J57" i="28"/>
  <c r="H57" i="28"/>
  <c r="F57" i="28"/>
  <c r="D57" i="28"/>
  <c r="V56" i="28"/>
  <c r="U56" i="28"/>
  <c r="Z56" i="28" s="1"/>
  <c r="T56" i="28"/>
  <c r="S56" i="28"/>
  <c r="P56" i="28"/>
  <c r="N56" i="28"/>
  <c r="L56" i="28"/>
  <c r="J56" i="28"/>
  <c r="H56" i="28"/>
  <c r="F56" i="28"/>
  <c r="D56" i="28"/>
  <c r="Z55" i="28"/>
  <c r="V55" i="28"/>
  <c r="U55" i="28"/>
  <c r="P55" i="28"/>
  <c r="T55" i="28" s="1"/>
  <c r="N55" i="28"/>
  <c r="S55" i="28" s="1"/>
  <c r="L55" i="28"/>
  <c r="J55" i="28"/>
  <c r="H55" i="28"/>
  <c r="F55" i="28"/>
  <c r="D55" i="28"/>
  <c r="V54" i="28"/>
  <c r="U54" i="28"/>
  <c r="Z54" i="28" s="1"/>
  <c r="T54" i="28"/>
  <c r="S54" i="28"/>
  <c r="P54" i="28"/>
  <c r="N54" i="28"/>
  <c r="L54" i="28"/>
  <c r="J54" i="28"/>
  <c r="H54" i="28"/>
  <c r="F54" i="28"/>
  <c r="D54" i="28"/>
  <c r="Z53" i="28"/>
  <c r="V53" i="28"/>
  <c r="U53" i="28"/>
  <c r="P53" i="28"/>
  <c r="T53" i="28" s="1"/>
  <c r="N53" i="28"/>
  <c r="S53" i="28" s="1"/>
  <c r="L53" i="28"/>
  <c r="J53" i="28"/>
  <c r="H53" i="28"/>
  <c r="F53" i="28"/>
  <c r="D53" i="28"/>
  <c r="V52" i="28"/>
  <c r="U52" i="28"/>
  <c r="Z52" i="28" s="1"/>
  <c r="T52" i="28"/>
  <c r="S52" i="28"/>
  <c r="P52" i="28"/>
  <c r="N52" i="28"/>
  <c r="L52" i="28"/>
  <c r="J52" i="28"/>
  <c r="H52" i="28"/>
  <c r="F52" i="28"/>
  <c r="D52" i="28"/>
  <c r="Z51" i="28"/>
  <c r="V51" i="28"/>
  <c r="U51" i="28"/>
  <c r="P51" i="28"/>
  <c r="T51" i="28" s="1"/>
  <c r="N51" i="28"/>
  <c r="S51" i="28" s="1"/>
  <c r="L51" i="28"/>
  <c r="J51" i="28"/>
  <c r="H51" i="28"/>
  <c r="F51" i="28"/>
  <c r="D51" i="28"/>
  <c r="V50" i="28"/>
  <c r="U50" i="28"/>
  <c r="Z50" i="28" s="1"/>
  <c r="T50" i="28"/>
  <c r="S50" i="28"/>
  <c r="P50" i="28"/>
  <c r="N50" i="28"/>
  <c r="L50" i="28"/>
  <c r="J50" i="28"/>
  <c r="H50" i="28"/>
  <c r="F50" i="28"/>
  <c r="D50" i="28"/>
  <c r="Z49" i="28"/>
  <c r="V49" i="28"/>
  <c r="U49" i="28"/>
  <c r="P49" i="28"/>
  <c r="T49" i="28" s="1"/>
  <c r="N49" i="28"/>
  <c r="S49" i="28" s="1"/>
  <c r="L49" i="28"/>
  <c r="J49" i="28"/>
  <c r="H49" i="28"/>
  <c r="F49" i="28"/>
  <c r="D49" i="28"/>
  <c r="V48" i="28"/>
  <c r="U48" i="28"/>
  <c r="Z48" i="28" s="1"/>
  <c r="T48" i="28"/>
  <c r="S48" i="28"/>
  <c r="P48" i="28"/>
  <c r="N48" i="28"/>
  <c r="L48" i="28"/>
  <c r="J48" i="28"/>
  <c r="H48" i="28"/>
  <c r="F48" i="28"/>
  <c r="D48" i="28"/>
  <c r="V47" i="28"/>
  <c r="U47" i="28"/>
  <c r="Z47" i="28" s="1"/>
  <c r="P47" i="28"/>
  <c r="T47" i="28" s="1"/>
  <c r="N47" i="28"/>
  <c r="S47" i="28" s="1"/>
  <c r="L47" i="28"/>
  <c r="J47" i="28"/>
  <c r="H47" i="28"/>
  <c r="F47" i="28"/>
  <c r="D47" i="28"/>
  <c r="V46" i="28"/>
  <c r="U46" i="28"/>
  <c r="Z46" i="28" s="1"/>
  <c r="P46" i="28"/>
  <c r="T46" i="28" s="1"/>
  <c r="N46" i="28"/>
  <c r="S46" i="28" s="1"/>
  <c r="L46" i="28"/>
  <c r="J46" i="28"/>
  <c r="H46" i="28"/>
  <c r="F46" i="28"/>
  <c r="D46" i="28"/>
  <c r="V45" i="28"/>
  <c r="U45" i="28"/>
  <c r="Z45" i="28" s="1"/>
  <c r="P45" i="28"/>
  <c r="T45" i="28" s="1"/>
  <c r="N45" i="28"/>
  <c r="S45" i="28" s="1"/>
  <c r="L45" i="28"/>
  <c r="J45" i="28"/>
  <c r="H45" i="28"/>
  <c r="F45" i="28"/>
  <c r="D45" i="28"/>
  <c r="V44" i="28"/>
  <c r="U44" i="28"/>
  <c r="P44" i="28"/>
  <c r="T44" i="28" s="1"/>
  <c r="N44" i="28"/>
  <c r="S44" i="28" s="1"/>
  <c r="L44" i="28"/>
  <c r="J44" i="28"/>
  <c r="H44" i="28"/>
  <c r="F44" i="28"/>
  <c r="D44" i="28"/>
  <c r="V43" i="28"/>
  <c r="Z43" i="28" s="1"/>
  <c r="U43" i="28"/>
  <c r="P43" i="28"/>
  <c r="T43" i="28" s="1"/>
  <c r="N43" i="28"/>
  <c r="S43" i="28" s="1"/>
  <c r="L43" i="28"/>
  <c r="J43" i="28"/>
  <c r="H43" i="28"/>
  <c r="F43" i="28"/>
  <c r="D43" i="28"/>
  <c r="V42" i="28"/>
  <c r="U42" i="28"/>
  <c r="Z42" i="28" s="1"/>
  <c r="P42" i="28"/>
  <c r="T42" i="28" s="1"/>
  <c r="N42" i="28"/>
  <c r="S42" i="28" s="1"/>
  <c r="L42" i="28"/>
  <c r="J42" i="28"/>
  <c r="H42" i="28"/>
  <c r="F42" i="28"/>
  <c r="D42" i="28"/>
  <c r="V41" i="28"/>
  <c r="U41" i="28"/>
  <c r="P41" i="28"/>
  <c r="T41" i="28" s="1"/>
  <c r="N41" i="28"/>
  <c r="S41" i="28" s="1"/>
  <c r="L41" i="28"/>
  <c r="J41" i="28"/>
  <c r="H41" i="28"/>
  <c r="F41" i="28"/>
  <c r="D41" i="28"/>
  <c r="V40" i="28"/>
  <c r="U40" i="28"/>
  <c r="P40" i="28"/>
  <c r="T40" i="28" s="1"/>
  <c r="N40" i="28"/>
  <c r="S40" i="28" s="1"/>
  <c r="L40" i="28"/>
  <c r="J40" i="28"/>
  <c r="H40" i="28"/>
  <c r="F40" i="28"/>
  <c r="D40" i="28"/>
  <c r="Z39" i="28"/>
  <c r="Z37" i="28"/>
  <c r="Z36" i="28"/>
  <c r="Z35" i="28"/>
  <c r="Z33" i="28"/>
  <c r="Z32" i="28"/>
  <c r="Z31" i="28"/>
  <c r="Z29" i="28"/>
  <c r="Z28" i="28"/>
  <c r="Z27" i="28"/>
  <c r="Z25" i="28"/>
  <c r="Z24" i="28"/>
  <c r="Z23" i="28"/>
  <c r="Z21" i="28"/>
  <c r="Z20" i="28"/>
  <c r="Z19" i="28"/>
  <c r="Z17" i="28"/>
  <c r="Z16" i="28"/>
  <c r="Z15" i="28"/>
  <c r="Z13" i="28"/>
  <c r="Z12" i="28"/>
  <c r="Z11" i="28"/>
  <c r="Z9" i="28"/>
  <c r="Z8" i="28"/>
  <c r="Z7" i="28"/>
  <c r="Z6" i="28"/>
  <c r="Z5" i="28"/>
  <c r="Z4" i="28"/>
  <c r="Z44" i="28" l="1"/>
  <c r="Z41" i="28"/>
  <c r="Z40" i="28"/>
  <c r="Z10" i="28"/>
  <c r="Z14" i="28"/>
  <c r="Z18" i="28"/>
  <c r="Z22" i="28"/>
  <c r="Z26" i="28"/>
  <c r="Z30" i="28"/>
  <c r="Z34" i="28"/>
  <c r="Z38" i="28"/>
  <c r="M34" i="27"/>
  <c r="K22" i="27"/>
  <c r="F22" i="27"/>
  <c r="M17" i="27"/>
  <c r="M16" i="27"/>
  <c r="AG15" i="27"/>
  <c r="M14" i="27"/>
  <c r="L8" i="27"/>
  <c r="L34" i="27" s="1"/>
  <c r="K8" i="27"/>
  <c r="J8" i="27"/>
  <c r="I8" i="27"/>
  <c r="H8" i="27"/>
  <c r="F8" i="27"/>
  <c r="AG15" i="26"/>
  <c r="L8" i="26"/>
  <c r="L34" i="26" s="1"/>
  <c r="K8" i="26"/>
  <c r="J8" i="26"/>
  <c r="I8" i="26"/>
  <c r="H8" i="26"/>
  <c r="F8" i="26"/>
  <c r="M34" i="26"/>
  <c r="K22" i="26"/>
  <c r="F22" i="26"/>
  <c r="M17" i="26"/>
  <c r="M16" i="26"/>
  <c r="M14" i="26"/>
  <c r="AG15" i="25"/>
  <c r="L8" i="25"/>
  <c r="L34" i="25" s="1"/>
  <c r="K8" i="25"/>
  <c r="J8" i="25"/>
  <c r="I8" i="25"/>
  <c r="H8" i="25"/>
  <c r="F8" i="25"/>
  <c r="M34" i="25"/>
  <c r="K22" i="25"/>
  <c r="F22" i="25"/>
  <c r="M17" i="25"/>
  <c r="M16" i="25"/>
  <c r="M14" i="25"/>
  <c r="M34" i="18"/>
  <c r="G25" i="24"/>
  <c r="F25" i="24"/>
  <c r="E20" i="24"/>
  <c r="E22" i="24" s="1"/>
  <c r="M22" i="24" s="1"/>
  <c r="H26" i="24" s="1"/>
  <c r="D20" i="24"/>
  <c r="G16" i="24"/>
  <c r="L16" i="24"/>
  <c r="J13" i="24"/>
  <c r="J14" i="24" s="1"/>
  <c r="J16" i="24" s="1"/>
  <c r="E14" i="24"/>
  <c r="C15" i="24"/>
  <c r="E15" i="24" s="1"/>
  <c r="E16" i="24" s="1"/>
  <c r="L10" i="24"/>
  <c r="J4" i="24"/>
  <c r="J5" i="24" s="1"/>
  <c r="J10" i="24" s="1"/>
  <c r="H4" i="24"/>
  <c r="F9" i="24" s="1"/>
  <c r="H9" i="24" s="1"/>
  <c r="H8" i="24"/>
  <c r="H7" i="24"/>
  <c r="H6" i="24"/>
  <c r="H5" i="24"/>
  <c r="E6" i="24"/>
  <c r="E7" i="24"/>
  <c r="E8" i="24"/>
  <c r="E5" i="24"/>
  <c r="C9" i="24"/>
  <c r="E9" i="24" s="1"/>
  <c r="E10" i="24" s="1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AL37" i="23"/>
  <c r="Y37" i="23"/>
  <c r="L37" i="23"/>
  <c r="AL36" i="23"/>
  <c r="Y36" i="23"/>
  <c r="L36" i="23"/>
  <c r="AL35" i="23"/>
  <c r="Y35" i="23"/>
  <c r="L35" i="23"/>
  <c r="AL34" i="23"/>
  <c r="Y34" i="23"/>
  <c r="L34" i="23"/>
  <c r="AL33" i="23"/>
  <c r="Y33" i="23"/>
  <c r="L33" i="23"/>
  <c r="AL32" i="23"/>
  <c r="Y32" i="23"/>
  <c r="L32" i="23"/>
  <c r="AL29" i="23"/>
  <c r="Y29" i="23"/>
  <c r="L29" i="23"/>
  <c r="AK26" i="23"/>
  <c r="K32" i="18" s="1"/>
  <c r="AJ26" i="23"/>
  <c r="J32" i="18" s="1"/>
  <c r="AI26" i="23"/>
  <c r="I32" i="18" s="1"/>
  <c r="AH26" i="23"/>
  <c r="H32" i="18" s="1"/>
  <c r="AG26" i="23"/>
  <c r="G32" i="18" s="1"/>
  <c r="AF26" i="23"/>
  <c r="F32" i="18" s="1"/>
  <c r="X26" i="23"/>
  <c r="K28" i="18" s="1"/>
  <c r="W26" i="23"/>
  <c r="J28" i="18" s="1"/>
  <c r="V26" i="23"/>
  <c r="U26" i="23"/>
  <c r="T26" i="23"/>
  <c r="G28" i="18" s="1"/>
  <c r="S26" i="23"/>
  <c r="F28" i="18" s="1"/>
  <c r="K26" i="23"/>
  <c r="K24" i="18" s="1"/>
  <c r="J26" i="23"/>
  <c r="J24" i="18" s="1"/>
  <c r="I26" i="23"/>
  <c r="I24" i="18" s="1"/>
  <c r="H26" i="23"/>
  <c r="H24" i="18" s="1"/>
  <c r="G26" i="23"/>
  <c r="G24" i="18" s="1"/>
  <c r="F26" i="23"/>
  <c r="F24" i="18" s="1"/>
  <c r="AK25" i="23"/>
  <c r="K32" i="27" s="1"/>
  <c r="AJ25" i="23"/>
  <c r="J32" i="27" s="1"/>
  <c r="AI25" i="23"/>
  <c r="I32" i="27" s="1"/>
  <c r="AH25" i="23"/>
  <c r="H32" i="27" s="1"/>
  <c r="AG25" i="23"/>
  <c r="G32" i="27" s="1"/>
  <c r="AF25" i="23"/>
  <c r="F32" i="27" s="1"/>
  <c r="X25" i="23"/>
  <c r="K28" i="27" s="1"/>
  <c r="W25" i="23"/>
  <c r="J28" i="27" s="1"/>
  <c r="V25" i="23"/>
  <c r="I28" i="27" s="1"/>
  <c r="U25" i="23"/>
  <c r="H28" i="27" s="1"/>
  <c r="T25" i="23"/>
  <c r="G28" i="27" s="1"/>
  <c r="S25" i="23"/>
  <c r="F28" i="27" s="1"/>
  <c r="K25" i="23"/>
  <c r="K24" i="27" s="1"/>
  <c r="J25" i="23"/>
  <c r="J24" i="27" s="1"/>
  <c r="I25" i="23"/>
  <c r="I24" i="27" s="1"/>
  <c r="H25" i="23"/>
  <c r="H24" i="27" s="1"/>
  <c r="G25" i="23"/>
  <c r="G24" i="27" s="1"/>
  <c r="F25" i="23"/>
  <c r="F24" i="27" s="1"/>
  <c r="AK24" i="23"/>
  <c r="AJ24" i="23"/>
  <c r="AI24" i="23"/>
  <c r="AH24" i="23"/>
  <c r="AG24" i="23"/>
  <c r="AF24" i="23"/>
  <c r="X24" i="23"/>
  <c r="W24" i="23"/>
  <c r="V24" i="23"/>
  <c r="U24" i="23"/>
  <c r="T24" i="23"/>
  <c r="S24" i="23"/>
  <c r="K24" i="23"/>
  <c r="J24" i="23"/>
  <c r="I24" i="23"/>
  <c r="H24" i="23"/>
  <c r="G24" i="23"/>
  <c r="F24" i="23"/>
  <c r="AK23" i="23"/>
  <c r="AJ23" i="23"/>
  <c r="AI23" i="23"/>
  <c r="AH23" i="23"/>
  <c r="AG23" i="23"/>
  <c r="AF23" i="23"/>
  <c r="X23" i="23"/>
  <c r="W23" i="23"/>
  <c r="V23" i="23"/>
  <c r="U23" i="23"/>
  <c r="T23" i="23"/>
  <c r="S23" i="23"/>
  <c r="K23" i="23"/>
  <c r="J23" i="23"/>
  <c r="I23" i="23"/>
  <c r="H23" i="23"/>
  <c r="G23" i="23"/>
  <c r="F23" i="23"/>
  <c r="AK22" i="23"/>
  <c r="AJ22" i="23"/>
  <c r="AI22" i="23"/>
  <c r="AH22" i="23"/>
  <c r="AG22" i="23"/>
  <c r="AF22" i="23"/>
  <c r="X22" i="23"/>
  <c r="W22" i="23"/>
  <c r="V22" i="23"/>
  <c r="U22" i="23"/>
  <c r="T22" i="23"/>
  <c r="S22" i="23"/>
  <c r="K22" i="23"/>
  <c r="J22" i="23"/>
  <c r="I22" i="23"/>
  <c r="H22" i="23"/>
  <c r="G22" i="23"/>
  <c r="F22" i="23"/>
  <c r="AK21" i="23"/>
  <c r="AJ21" i="23"/>
  <c r="AI21" i="23"/>
  <c r="AH21" i="23"/>
  <c r="AG21" i="23"/>
  <c r="AF21" i="23"/>
  <c r="X21" i="23"/>
  <c r="W21" i="23"/>
  <c r="V21" i="23"/>
  <c r="U21" i="23"/>
  <c r="T21" i="23"/>
  <c r="S21" i="23"/>
  <c r="K21" i="23"/>
  <c r="J21" i="23"/>
  <c r="I21" i="23"/>
  <c r="H21" i="23"/>
  <c r="G21" i="23"/>
  <c r="F21" i="23"/>
  <c r="AK20" i="23"/>
  <c r="AJ20" i="23"/>
  <c r="AI20" i="23"/>
  <c r="AH20" i="23"/>
  <c r="AG20" i="23"/>
  <c r="AF20" i="23"/>
  <c r="X20" i="23"/>
  <c r="W20" i="23"/>
  <c r="V20" i="23"/>
  <c r="U20" i="23"/>
  <c r="T20" i="23"/>
  <c r="S20" i="23"/>
  <c r="K20" i="23"/>
  <c r="J20" i="23"/>
  <c r="I20" i="23"/>
  <c r="H20" i="23"/>
  <c r="G20" i="23"/>
  <c r="F20" i="23"/>
  <c r="AK19" i="23"/>
  <c r="AJ19" i="23"/>
  <c r="AI19" i="23"/>
  <c r="AH19" i="23"/>
  <c r="AG19" i="23"/>
  <c r="AF19" i="23"/>
  <c r="X19" i="23"/>
  <c r="W19" i="23"/>
  <c r="V19" i="23"/>
  <c r="U19" i="23"/>
  <c r="T19" i="23"/>
  <c r="S19" i="23"/>
  <c r="K19" i="23"/>
  <c r="J19" i="23"/>
  <c r="I19" i="23"/>
  <c r="H19" i="23"/>
  <c r="G19" i="23"/>
  <c r="F19" i="23"/>
  <c r="AK18" i="23"/>
  <c r="AJ18" i="23"/>
  <c r="AI18" i="23"/>
  <c r="AH18" i="23"/>
  <c r="AG18" i="23"/>
  <c r="AF18" i="23"/>
  <c r="X18" i="23"/>
  <c r="W18" i="23"/>
  <c r="V18" i="23"/>
  <c r="U18" i="23"/>
  <c r="T18" i="23"/>
  <c r="S18" i="23"/>
  <c r="K18" i="23"/>
  <c r="J18" i="23"/>
  <c r="I18" i="23"/>
  <c r="H18" i="23"/>
  <c r="G18" i="23"/>
  <c r="F18" i="23"/>
  <c r="AK17" i="23"/>
  <c r="AJ17" i="23"/>
  <c r="AI17" i="23"/>
  <c r="AH17" i="23"/>
  <c r="AG17" i="23"/>
  <c r="AF17" i="23"/>
  <c r="X17" i="23"/>
  <c r="W17" i="23"/>
  <c r="V17" i="23"/>
  <c r="U17" i="23"/>
  <c r="T17" i="23"/>
  <c r="S17" i="23"/>
  <c r="K17" i="23"/>
  <c r="J17" i="23"/>
  <c r="I17" i="23"/>
  <c r="H17" i="23"/>
  <c r="G17" i="23"/>
  <c r="F17" i="23"/>
  <c r="Y16" i="23"/>
  <c r="Y15" i="23"/>
  <c r="Y14" i="23"/>
  <c r="Y13" i="23"/>
  <c r="Y12" i="23"/>
  <c r="Y11" i="23"/>
  <c r="Y10" i="23"/>
  <c r="Y9" i="23"/>
  <c r="Y8" i="23"/>
  <c r="Y7" i="23"/>
  <c r="Y6" i="23"/>
  <c r="Y5" i="23"/>
  <c r="Y4" i="23"/>
  <c r="Y3" i="23"/>
  <c r="Y2" i="23"/>
  <c r="AF17" i="21"/>
  <c r="AG17" i="21"/>
  <c r="AH17" i="21"/>
  <c r="AI17" i="21"/>
  <c r="AJ17" i="21"/>
  <c r="AK17" i="21"/>
  <c r="AF18" i="21"/>
  <c r="AG18" i="21"/>
  <c r="AH18" i="21"/>
  <c r="AI18" i="21"/>
  <c r="AJ18" i="21"/>
  <c r="AK18" i="21"/>
  <c r="AF19" i="21"/>
  <c r="AG19" i="21"/>
  <c r="AH19" i="21"/>
  <c r="AI19" i="21"/>
  <c r="AJ19" i="21"/>
  <c r="AK19" i="21"/>
  <c r="AF20" i="21"/>
  <c r="AG20" i="21"/>
  <c r="AH20" i="21"/>
  <c r="AI20" i="21"/>
  <c r="AJ20" i="21"/>
  <c r="AK20" i="21"/>
  <c r="AF21" i="21"/>
  <c r="AG21" i="21"/>
  <c r="AH21" i="21"/>
  <c r="AI21" i="21"/>
  <c r="AJ21" i="21"/>
  <c r="AK21" i="21"/>
  <c r="AF22" i="21"/>
  <c r="AG22" i="21"/>
  <c r="AH22" i="21"/>
  <c r="AI22" i="21"/>
  <c r="AJ22" i="21"/>
  <c r="AK22" i="21"/>
  <c r="AF23" i="21"/>
  <c r="AG23" i="21"/>
  <c r="AH23" i="21"/>
  <c r="AI23" i="21"/>
  <c r="AJ23" i="21"/>
  <c r="AK23" i="21"/>
  <c r="AF24" i="21"/>
  <c r="AG24" i="21"/>
  <c r="AH24" i="21"/>
  <c r="AI24" i="21"/>
  <c r="AJ24" i="21"/>
  <c r="AK24" i="21"/>
  <c r="AF25" i="21"/>
  <c r="F31" i="27" s="1"/>
  <c r="AG25" i="21"/>
  <c r="G31" i="27" s="1"/>
  <c r="AH25" i="21"/>
  <c r="H31" i="27" s="1"/>
  <c r="AI25" i="21"/>
  <c r="I31" i="27" s="1"/>
  <c r="AJ25" i="21"/>
  <c r="J31" i="27" s="1"/>
  <c r="AK25" i="21"/>
  <c r="K31" i="27" s="1"/>
  <c r="AK26" i="21"/>
  <c r="AJ26" i="21"/>
  <c r="AI26" i="21"/>
  <c r="I31" i="18" s="1"/>
  <c r="AH26" i="21"/>
  <c r="H31" i="18" s="1"/>
  <c r="AG26" i="21"/>
  <c r="G31" i="18" s="1"/>
  <c r="AF26" i="21"/>
  <c r="F31" i="18" s="1"/>
  <c r="AL37" i="21"/>
  <c r="AL36" i="21"/>
  <c r="AL35" i="21"/>
  <c r="AL34" i="21"/>
  <c r="AL33" i="21"/>
  <c r="AL32" i="21"/>
  <c r="AL29" i="21"/>
  <c r="S17" i="21"/>
  <c r="T17" i="21"/>
  <c r="U17" i="21"/>
  <c r="V17" i="21"/>
  <c r="W17" i="21"/>
  <c r="X17" i="21"/>
  <c r="S18" i="21"/>
  <c r="T18" i="21"/>
  <c r="U18" i="21"/>
  <c r="V18" i="21"/>
  <c r="W18" i="21"/>
  <c r="X18" i="21"/>
  <c r="S19" i="21"/>
  <c r="T19" i="21"/>
  <c r="U19" i="21"/>
  <c r="V19" i="21"/>
  <c r="W19" i="21"/>
  <c r="X19" i="21"/>
  <c r="S20" i="21"/>
  <c r="T20" i="21"/>
  <c r="U20" i="21"/>
  <c r="V20" i="21"/>
  <c r="W20" i="21"/>
  <c r="X20" i="21"/>
  <c r="S21" i="21"/>
  <c r="T21" i="21"/>
  <c r="U21" i="21"/>
  <c r="V21" i="21"/>
  <c r="W21" i="21"/>
  <c r="X21" i="21"/>
  <c r="S22" i="21"/>
  <c r="T22" i="21"/>
  <c r="U22" i="21"/>
  <c r="V22" i="21"/>
  <c r="W22" i="21"/>
  <c r="X22" i="21"/>
  <c r="S23" i="21"/>
  <c r="T23" i="21"/>
  <c r="U23" i="21"/>
  <c r="V23" i="21"/>
  <c r="W23" i="21"/>
  <c r="X23" i="21"/>
  <c r="S24" i="21"/>
  <c r="T24" i="21"/>
  <c r="U24" i="21"/>
  <c r="V24" i="21"/>
  <c r="W24" i="21"/>
  <c r="X24" i="21"/>
  <c r="S25" i="21"/>
  <c r="T25" i="21"/>
  <c r="G27" i="27" s="1"/>
  <c r="U25" i="21"/>
  <c r="H27" i="27" s="1"/>
  <c r="V25" i="21"/>
  <c r="I27" i="27" s="1"/>
  <c r="W25" i="21"/>
  <c r="J27" i="27" s="1"/>
  <c r="X25" i="21"/>
  <c r="K27" i="27" s="1"/>
  <c r="X26" i="21"/>
  <c r="K27" i="18" s="1"/>
  <c r="W26" i="21"/>
  <c r="J27" i="18" s="1"/>
  <c r="V26" i="21"/>
  <c r="I27" i="18" s="1"/>
  <c r="U26" i="21"/>
  <c r="H27" i="18" s="1"/>
  <c r="T26" i="21"/>
  <c r="S26" i="21"/>
  <c r="Y37" i="21"/>
  <c r="Y36" i="21"/>
  <c r="Y35" i="21"/>
  <c r="Y34" i="21"/>
  <c r="Y33" i="21"/>
  <c r="Y32" i="21"/>
  <c r="Y29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Y3" i="21"/>
  <c r="Y2" i="21"/>
  <c r="F17" i="21"/>
  <c r="G17" i="21"/>
  <c r="H17" i="21"/>
  <c r="I17" i="21"/>
  <c r="J17" i="21"/>
  <c r="K17" i="21"/>
  <c r="F18" i="21"/>
  <c r="G18" i="21"/>
  <c r="H18" i="21"/>
  <c r="I18" i="21"/>
  <c r="J18" i="21"/>
  <c r="K18" i="21"/>
  <c r="F19" i="21"/>
  <c r="G19" i="21"/>
  <c r="H19" i="21"/>
  <c r="I19" i="21"/>
  <c r="J19" i="21"/>
  <c r="K19" i="21"/>
  <c r="F20" i="21"/>
  <c r="G20" i="21"/>
  <c r="H20" i="21"/>
  <c r="I20" i="21"/>
  <c r="J20" i="21"/>
  <c r="K20" i="21"/>
  <c r="F21" i="21"/>
  <c r="G21" i="21"/>
  <c r="H21" i="21"/>
  <c r="I21" i="21"/>
  <c r="J21" i="21"/>
  <c r="K21" i="21"/>
  <c r="F22" i="21"/>
  <c r="G22" i="21"/>
  <c r="H22" i="21"/>
  <c r="I22" i="21"/>
  <c r="J22" i="21"/>
  <c r="K22" i="21"/>
  <c r="F23" i="21"/>
  <c r="G23" i="21"/>
  <c r="H23" i="21"/>
  <c r="I23" i="21"/>
  <c r="J23" i="21"/>
  <c r="K23" i="21"/>
  <c r="F24" i="21"/>
  <c r="G24" i="21"/>
  <c r="H24" i="21"/>
  <c r="I24" i="21"/>
  <c r="J24" i="21"/>
  <c r="K24" i="21"/>
  <c r="F25" i="21"/>
  <c r="F23" i="27" s="1"/>
  <c r="G25" i="21"/>
  <c r="G23" i="27" s="1"/>
  <c r="H25" i="21"/>
  <c r="H23" i="27" s="1"/>
  <c r="I25" i="21"/>
  <c r="I23" i="27" s="1"/>
  <c r="J25" i="21"/>
  <c r="J23" i="27" s="1"/>
  <c r="K25" i="21"/>
  <c r="K23" i="27" s="1"/>
  <c r="K26" i="21"/>
  <c r="J26" i="21"/>
  <c r="I26" i="21"/>
  <c r="I23" i="18" s="1"/>
  <c r="H26" i="21"/>
  <c r="H23" i="18" s="1"/>
  <c r="G26" i="21"/>
  <c r="G23" i="18" s="1"/>
  <c r="F26" i="21"/>
  <c r="F23" i="18" s="1"/>
  <c r="T6" i="22"/>
  <c r="T7" i="22"/>
  <c r="T8" i="22"/>
  <c r="T9" i="22"/>
  <c r="T10" i="22"/>
  <c r="T11" i="22"/>
  <c r="T12" i="22"/>
  <c r="T13" i="22"/>
  <c r="T14" i="22"/>
  <c r="T20" i="22"/>
  <c r="T21" i="22"/>
  <c r="T22" i="22"/>
  <c r="T23" i="22"/>
  <c r="T24" i="22"/>
  <c r="T25" i="22"/>
  <c r="N6" i="22"/>
  <c r="O6" i="22"/>
  <c r="P6" i="22"/>
  <c r="Q6" i="22"/>
  <c r="R6" i="22"/>
  <c r="S6" i="22"/>
  <c r="N7" i="22"/>
  <c r="O7" i="22"/>
  <c r="P7" i="22"/>
  <c r="Q7" i="22"/>
  <c r="R7" i="22"/>
  <c r="S7" i="22"/>
  <c r="N8" i="22"/>
  <c r="O8" i="22"/>
  <c r="P8" i="22"/>
  <c r="Q8" i="22"/>
  <c r="R8" i="22"/>
  <c r="S8" i="22"/>
  <c r="N9" i="22"/>
  <c r="O9" i="22"/>
  <c r="P9" i="22"/>
  <c r="Q9" i="22"/>
  <c r="R9" i="22"/>
  <c r="S9" i="22"/>
  <c r="N10" i="22"/>
  <c r="O10" i="22"/>
  <c r="P10" i="22"/>
  <c r="Q10" i="22"/>
  <c r="R10" i="22"/>
  <c r="S10" i="22"/>
  <c r="N11" i="22"/>
  <c r="O11" i="22"/>
  <c r="P11" i="22"/>
  <c r="Q11" i="22"/>
  <c r="R11" i="22"/>
  <c r="S11" i="22"/>
  <c r="N12" i="22"/>
  <c r="O12" i="22"/>
  <c r="P12" i="22"/>
  <c r="Q12" i="22"/>
  <c r="R12" i="22"/>
  <c r="S12" i="22"/>
  <c r="N13" i="22"/>
  <c r="O13" i="22"/>
  <c r="P13" i="22"/>
  <c r="Q13" i="22"/>
  <c r="R13" i="22"/>
  <c r="S13" i="22"/>
  <c r="N14" i="22"/>
  <c r="O14" i="22"/>
  <c r="P14" i="22"/>
  <c r="Q14" i="22"/>
  <c r="R14" i="22"/>
  <c r="S14" i="22"/>
  <c r="N20" i="22"/>
  <c r="O20" i="22"/>
  <c r="P20" i="22"/>
  <c r="Q20" i="22"/>
  <c r="R20" i="22"/>
  <c r="S20" i="22"/>
  <c r="N21" i="22"/>
  <c r="O21" i="22"/>
  <c r="P21" i="22"/>
  <c r="Q21" i="22"/>
  <c r="R21" i="22"/>
  <c r="S21" i="22"/>
  <c r="N22" i="22"/>
  <c r="O22" i="22"/>
  <c r="P22" i="22"/>
  <c r="Q22" i="22"/>
  <c r="R22" i="22"/>
  <c r="S22" i="22"/>
  <c r="N23" i="22"/>
  <c r="O23" i="22"/>
  <c r="P23" i="22"/>
  <c r="Q23" i="22"/>
  <c r="R23" i="22"/>
  <c r="S23" i="22"/>
  <c r="N24" i="22"/>
  <c r="O24" i="22"/>
  <c r="P24" i="22"/>
  <c r="Q24" i="22"/>
  <c r="R24" i="22"/>
  <c r="S24" i="22"/>
  <c r="N25" i="22"/>
  <c r="O25" i="22"/>
  <c r="P25" i="22"/>
  <c r="Q25" i="22"/>
  <c r="R25" i="22"/>
  <c r="S25" i="22"/>
  <c r="S5" i="22"/>
  <c r="R5" i="22"/>
  <c r="Q5" i="22"/>
  <c r="P5" i="22"/>
  <c r="O5" i="22"/>
  <c r="N5" i="22"/>
  <c r="K14" i="22"/>
  <c r="J14" i="22"/>
  <c r="I14" i="22"/>
  <c r="H14" i="22"/>
  <c r="G14" i="22"/>
  <c r="F14" i="22"/>
  <c r="L6" i="22"/>
  <c r="L25" i="22"/>
  <c r="L24" i="22"/>
  <c r="L23" i="22"/>
  <c r="L22" i="22"/>
  <c r="L21" i="22"/>
  <c r="L20" i="22"/>
  <c r="L19" i="22"/>
  <c r="S19" i="22" s="1"/>
  <c r="L18" i="22"/>
  <c r="P18" i="22" s="1"/>
  <c r="L17" i="22"/>
  <c r="O17" i="22" s="1"/>
  <c r="L16" i="22"/>
  <c r="P16" i="22" s="1"/>
  <c r="L15" i="22"/>
  <c r="P15" i="22" s="1"/>
  <c r="L14" i="22"/>
  <c r="L13" i="22"/>
  <c r="L12" i="22"/>
  <c r="L11" i="22"/>
  <c r="L10" i="22"/>
  <c r="L9" i="22"/>
  <c r="L8" i="22"/>
  <c r="L7" i="22"/>
  <c r="L5" i="22"/>
  <c r="L37" i="21"/>
  <c r="L36" i="21"/>
  <c r="L35" i="21"/>
  <c r="L34" i="21"/>
  <c r="L33" i="21"/>
  <c r="L32" i="21"/>
  <c r="L29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J38" i="19"/>
  <c r="H38" i="19"/>
  <c r="G38" i="19"/>
  <c r="F38" i="19"/>
  <c r="J37" i="19"/>
  <c r="H37" i="19"/>
  <c r="G37" i="19"/>
  <c r="F37" i="19"/>
  <c r="J36" i="19"/>
  <c r="H36" i="19"/>
  <c r="G36" i="19"/>
  <c r="F36" i="19"/>
  <c r="J35" i="19"/>
  <c r="H35" i="19"/>
  <c r="G35" i="19"/>
  <c r="F35" i="19"/>
  <c r="J34" i="19"/>
  <c r="H34" i="19"/>
  <c r="G34" i="19"/>
  <c r="F34" i="19"/>
  <c r="J33" i="19"/>
  <c r="H33" i="19"/>
  <c r="G33" i="19"/>
  <c r="F33" i="19"/>
  <c r="J32" i="19"/>
  <c r="H32" i="19"/>
  <c r="G32" i="19"/>
  <c r="F32" i="19"/>
  <c r="J31" i="19"/>
  <c r="H31" i="19"/>
  <c r="J18" i="38" s="1"/>
  <c r="G31" i="19"/>
  <c r="I18" i="38" s="1"/>
  <c r="I21" i="38" s="1"/>
  <c r="F31" i="19"/>
  <c r="G18" i="38" s="1"/>
  <c r="G21" i="38" s="1"/>
  <c r="J30" i="19"/>
  <c r="H30" i="19"/>
  <c r="J18" i="37" s="1"/>
  <c r="J21" i="37" s="1"/>
  <c r="G30" i="19"/>
  <c r="I18" i="37" s="1"/>
  <c r="I21" i="37" s="1"/>
  <c r="F30" i="19"/>
  <c r="G18" i="37" s="1"/>
  <c r="G21" i="37" s="1"/>
  <c r="J29" i="19"/>
  <c r="H29" i="19"/>
  <c r="J18" i="36" s="1"/>
  <c r="G29" i="19"/>
  <c r="I18" i="36" s="1"/>
  <c r="I21" i="36" s="1"/>
  <c r="F29" i="19"/>
  <c r="G18" i="36" s="1"/>
  <c r="G21" i="36" s="1"/>
  <c r="J28" i="19"/>
  <c r="H28" i="19"/>
  <c r="J18" i="35" s="1"/>
  <c r="J21" i="35" s="1"/>
  <c r="G28" i="19"/>
  <c r="I18" i="35" s="1"/>
  <c r="I21" i="35" s="1"/>
  <c r="F28" i="19"/>
  <c r="G18" i="35" s="1"/>
  <c r="G21" i="35" s="1"/>
  <c r="J27" i="19"/>
  <c r="M18" i="25" s="1"/>
  <c r="H27" i="19"/>
  <c r="J18" i="25" s="1"/>
  <c r="G27" i="19"/>
  <c r="I18" i="18" s="1"/>
  <c r="F27" i="19"/>
  <c r="G18" i="18" s="1"/>
  <c r="G21" i="18" s="1"/>
  <c r="J26" i="19"/>
  <c r="M18" i="27" s="1"/>
  <c r="H26" i="19"/>
  <c r="G26" i="19"/>
  <c r="I18" i="27" s="1"/>
  <c r="F26" i="19"/>
  <c r="G18" i="27" s="1"/>
  <c r="G21" i="27" s="1"/>
  <c r="E26" i="19"/>
  <c r="F18" i="27" s="1"/>
  <c r="AC16" i="19"/>
  <c r="AB16" i="19"/>
  <c r="AA16" i="19"/>
  <c r="Z16" i="19"/>
  <c r="Y16" i="19"/>
  <c r="X16" i="19"/>
  <c r="W16" i="19"/>
  <c r="V16" i="19"/>
  <c r="U16" i="19"/>
  <c r="T16" i="19"/>
  <c r="S16" i="19"/>
  <c r="R16" i="19"/>
  <c r="AO20" i="19"/>
  <c r="AN20" i="19"/>
  <c r="AM20" i="19"/>
  <c r="N36" i="19" s="1"/>
  <c r="AL20" i="19"/>
  <c r="N35" i="19" s="1"/>
  <c r="AK20" i="19"/>
  <c r="AJ20" i="19"/>
  <c r="AI20" i="19"/>
  <c r="N32" i="19" s="1"/>
  <c r="AH20" i="19"/>
  <c r="N31" i="19" s="1"/>
  <c r="K22" i="38" s="1"/>
  <c r="AG20" i="19"/>
  <c r="N30" i="19" s="1"/>
  <c r="K22" i="37" s="1"/>
  <c r="AF20" i="19"/>
  <c r="N29" i="19" s="1"/>
  <c r="K22" i="36" s="1"/>
  <c r="AE20" i="19"/>
  <c r="AO19" i="19"/>
  <c r="AN19" i="19"/>
  <c r="AM19" i="19"/>
  <c r="M36" i="19" s="1"/>
  <c r="AL19" i="19"/>
  <c r="AL21" i="19" s="1"/>
  <c r="AK19" i="19"/>
  <c r="M34" i="19" s="1"/>
  <c r="AJ19" i="19"/>
  <c r="AJ21" i="19" s="1"/>
  <c r="AI19" i="19"/>
  <c r="M32" i="19" s="1"/>
  <c r="AH19" i="19"/>
  <c r="M31" i="19" s="1"/>
  <c r="F22" i="38" s="1"/>
  <c r="AG19" i="19"/>
  <c r="AF19" i="19"/>
  <c r="M29" i="19" s="1"/>
  <c r="F22" i="36" s="1"/>
  <c r="AE19" i="19"/>
  <c r="M28" i="19" s="1"/>
  <c r="F22" i="35" s="1"/>
  <c r="W21" i="19"/>
  <c r="AD20" i="19"/>
  <c r="AD21" i="19" s="1"/>
  <c r="AC20" i="19"/>
  <c r="I26" i="19" s="1"/>
  <c r="AB20" i="19"/>
  <c r="AA20" i="19"/>
  <c r="Z20" i="19"/>
  <c r="Y20" i="19"/>
  <c r="X20" i="19"/>
  <c r="X21" i="19" s="1"/>
  <c r="W20" i="19"/>
  <c r="V20" i="19"/>
  <c r="V21" i="19" s="1"/>
  <c r="U20" i="19"/>
  <c r="T20" i="19"/>
  <c r="AD19" i="19"/>
  <c r="M27" i="19" s="1"/>
  <c r="F22" i="18" s="1"/>
  <c r="AC19" i="19"/>
  <c r="AC21" i="19" s="1"/>
  <c r="AB19" i="19"/>
  <c r="AB21" i="19" s="1"/>
  <c r="AA19" i="19"/>
  <c r="AA21" i="19" s="1"/>
  <c r="Z19" i="19"/>
  <c r="Y19" i="19"/>
  <c r="X19" i="19"/>
  <c r="W19" i="19"/>
  <c r="V19" i="19"/>
  <c r="U19" i="19"/>
  <c r="U21" i="19" s="1"/>
  <c r="T19" i="19"/>
  <c r="T21" i="19" s="1"/>
  <c r="S20" i="19"/>
  <c r="S19" i="19"/>
  <c r="S21" i="19" s="1"/>
  <c r="L25" i="19"/>
  <c r="M24" i="20" s="1"/>
  <c r="L24" i="19"/>
  <c r="M23" i="20" s="1"/>
  <c r="L23" i="19"/>
  <c r="M22" i="20" s="1"/>
  <c r="L22" i="19"/>
  <c r="M21" i="20" s="1"/>
  <c r="H21" i="20" s="1"/>
  <c r="L21" i="19"/>
  <c r="M20" i="20" s="1"/>
  <c r="G20" i="20" s="1"/>
  <c r="L20" i="19"/>
  <c r="M19" i="20" s="1"/>
  <c r="E19" i="20" s="1"/>
  <c r="L19" i="19"/>
  <c r="M18" i="20" s="1"/>
  <c r="E18" i="20" s="1"/>
  <c r="L18" i="19"/>
  <c r="M17" i="20" s="1"/>
  <c r="H17" i="20" s="1"/>
  <c r="L17" i="19"/>
  <c r="M16" i="20" s="1"/>
  <c r="I16" i="20" s="1"/>
  <c r="L16" i="19"/>
  <c r="M15" i="20" s="1"/>
  <c r="I15" i="20" s="1"/>
  <c r="L14" i="19"/>
  <c r="M14" i="20" s="1"/>
  <c r="E14" i="20" s="1"/>
  <c r="L13" i="19"/>
  <c r="M13" i="20" s="1"/>
  <c r="F13" i="20" s="1"/>
  <c r="L12" i="19"/>
  <c r="M12" i="20" s="1"/>
  <c r="I12" i="20" s="1"/>
  <c r="L11" i="19"/>
  <c r="M11" i="20" s="1"/>
  <c r="G11" i="20" s="1"/>
  <c r="L10" i="19"/>
  <c r="M10" i="20" s="1"/>
  <c r="E10" i="20" s="1"/>
  <c r="L9" i="19"/>
  <c r="L8" i="19"/>
  <c r="M8" i="20" s="1"/>
  <c r="J8" i="20" s="1"/>
  <c r="L7" i="19"/>
  <c r="M7" i="20" s="1"/>
  <c r="L6" i="19"/>
  <c r="M6" i="20" s="1"/>
  <c r="J6" i="20" s="1"/>
  <c r="L5" i="19"/>
  <c r="M5" i="20" s="1"/>
  <c r="H5" i="20" s="1"/>
  <c r="L4" i="19"/>
  <c r="M4" i="20" s="1"/>
  <c r="E4" i="20" s="1"/>
  <c r="L3" i="19"/>
  <c r="M3" i="20" s="1"/>
  <c r="G3" i="20" s="1"/>
  <c r="L2" i="19"/>
  <c r="M2" i="20" s="1"/>
  <c r="I2" i="20" s="1"/>
  <c r="M17" i="18"/>
  <c r="M16" i="18"/>
  <c r="AG15" i="18"/>
  <c r="M14" i="18"/>
  <c r="L8" i="18"/>
  <c r="L34" i="18" s="1"/>
  <c r="K8" i="18"/>
  <c r="J8" i="18"/>
  <c r="I8" i="18"/>
  <c r="H8" i="18"/>
  <c r="F8" i="18"/>
  <c r="N19" i="22" l="1"/>
  <c r="O19" i="22"/>
  <c r="P19" i="22"/>
  <c r="Q19" i="22"/>
  <c r="I31" i="23" s="1"/>
  <c r="I24" i="40" s="1"/>
  <c r="I25" i="40" s="1"/>
  <c r="R19" i="22"/>
  <c r="X31" i="23"/>
  <c r="K28" i="40" s="1"/>
  <c r="K29" i="40" s="1"/>
  <c r="K31" i="23"/>
  <c r="K24" i="40" s="1"/>
  <c r="K25" i="40" s="1"/>
  <c r="AK31" i="23"/>
  <c r="K32" i="40" s="1"/>
  <c r="K33" i="40" s="1"/>
  <c r="AK31" i="21"/>
  <c r="K31" i="40" s="1"/>
  <c r="K34" i="40" s="1"/>
  <c r="K31" i="21"/>
  <c r="K23" i="40" s="1"/>
  <c r="K26" i="40" s="1"/>
  <c r="X31" i="21"/>
  <c r="K27" i="40" s="1"/>
  <c r="K30" i="40" s="1"/>
  <c r="V31" i="23"/>
  <c r="I28" i="40" s="1"/>
  <c r="I29" i="40" s="1"/>
  <c r="AI31" i="21"/>
  <c r="I31" i="40" s="1"/>
  <c r="I34" i="40" s="1"/>
  <c r="I31" i="21"/>
  <c r="I23" i="40" s="1"/>
  <c r="I26" i="40" s="1"/>
  <c r="V31" i="21"/>
  <c r="I27" i="40" s="1"/>
  <c r="I30" i="40" s="1"/>
  <c r="G31" i="21"/>
  <c r="G23" i="40" s="1"/>
  <c r="G26" i="40" s="1"/>
  <c r="T31" i="21"/>
  <c r="G27" i="40" s="1"/>
  <c r="G30" i="40" s="1"/>
  <c r="AG31" i="23"/>
  <c r="G32" i="40" s="1"/>
  <c r="G33" i="40" s="1"/>
  <c r="T31" i="23"/>
  <c r="G28" i="40" s="1"/>
  <c r="G29" i="40" s="1"/>
  <c r="G31" i="23"/>
  <c r="G24" i="40" s="1"/>
  <c r="G25" i="40" s="1"/>
  <c r="AG31" i="21"/>
  <c r="G31" i="40" s="1"/>
  <c r="G34" i="40" s="1"/>
  <c r="W31" i="23"/>
  <c r="J28" i="40" s="1"/>
  <c r="J29" i="40" s="1"/>
  <c r="J31" i="23"/>
  <c r="J24" i="40" s="1"/>
  <c r="J25" i="40" s="1"/>
  <c r="AJ31" i="23"/>
  <c r="J32" i="40" s="1"/>
  <c r="J33" i="40" s="1"/>
  <c r="AJ31" i="21"/>
  <c r="J31" i="40" s="1"/>
  <c r="J34" i="40" s="1"/>
  <c r="J31" i="21"/>
  <c r="J23" i="40" s="1"/>
  <c r="J26" i="40" s="1"/>
  <c r="W31" i="21"/>
  <c r="J27" i="40" s="1"/>
  <c r="J30" i="40" s="1"/>
  <c r="U31" i="23"/>
  <c r="H28" i="40" s="1"/>
  <c r="H29" i="40" s="1"/>
  <c r="H31" i="23"/>
  <c r="H24" i="40" s="1"/>
  <c r="H25" i="40" s="1"/>
  <c r="AH31" i="23"/>
  <c r="H32" i="40" s="1"/>
  <c r="H33" i="40" s="1"/>
  <c r="AH31" i="21"/>
  <c r="H31" i="40" s="1"/>
  <c r="H34" i="40" s="1"/>
  <c r="H31" i="21"/>
  <c r="H23" i="40" s="1"/>
  <c r="H26" i="40" s="1"/>
  <c r="U31" i="21"/>
  <c r="H27" i="40" s="1"/>
  <c r="H30" i="40" s="1"/>
  <c r="S31" i="21"/>
  <c r="F31" i="21"/>
  <c r="S31" i="23"/>
  <c r="F31" i="23"/>
  <c r="AF31" i="23"/>
  <c r="AF31" i="21"/>
  <c r="I33" i="19"/>
  <c r="O18" i="22"/>
  <c r="N18" i="22"/>
  <c r="U30" i="23"/>
  <c r="H28" i="38" s="1"/>
  <c r="H29" i="38" s="1"/>
  <c r="U30" i="21"/>
  <c r="H27" i="38" s="1"/>
  <c r="H30" i="38" s="1"/>
  <c r="AH30" i="21"/>
  <c r="H31" i="38" s="1"/>
  <c r="H34" i="38" s="1"/>
  <c r="H30" i="21"/>
  <c r="H23" i="38" s="1"/>
  <c r="H26" i="38" s="1"/>
  <c r="AH30" i="23"/>
  <c r="H32" i="38" s="1"/>
  <c r="H33" i="38" s="1"/>
  <c r="H30" i="23"/>
  <c r="H24" i="38" s="1"/>
  <c r="H25" i="38" s="1"/>
  <c r="S18" i="22"/>
  <c r="AF30" i="21"/>
  <c r="F30" i="21"/>
  <c r="AF30" i="23"/>
  <c r="F30" i="23"/>
  <c r="S30" i="23"/>
  <c r="S30" i="21"/>
  <c r="R18" i="22"/>
  <c r="Q18" i="22"/>
  <c r="AG30" i="21"/>
  <c r="G31" i="38" s="1"/>
  <c r="G34" i="38" s="1"/>
  <c r="G30" i="21"/>
  <c r="G23" i="38" s="1"/>
  <c r="G26" i="38" s="1"/>
  <c r="T30" i="23"/>
  <c r="G28" i="38" s="1"/>
  <c r="G29" i="38" s="1"/>
  <c r="AG30" i="23"/>
  <c r="G32" i="38" s="1"/>
  <c r="G33" i="38" s="1"/>
  <c r="G30" i="23"/>
  <c r="G24" i="38" s="1"/>
  <c r="G25" i="38" s="1"/>
  <c r="T30" i="21"/>
  <c r="G27" i="38" s="1"/>
  <c r="G30" i="38" s="1"/>
  <c r="K18" i="27"/>
  <c r="K21" i="27" s="1"/>
  <c r="K18" i="26"/>
  <c r="K21" i="26" s="1"/>
  <c r="AN21" i="19"/>
  <c r="I37" i="19" s="1"/>
  <c r="AK21" i="19"/>
  <c r="I34" i="19" s="1"/>
  <c r="E27" i="19"/>
  <c r="F18" i="18" s="1"/>
  <c r="F21" i="18" s="1"/>
  <c r="J18" i="18"/>
  <c r="J21" i="18" s="1"/>
  <c r="M33" i="19"/>
  <c r="M37" i="19"/>
  <c r="AO21" i="19"/>
  <c r="I38" i="19" s="1"/>
  <c r="I36" i="19"/>
  <c r="E38" i="19"/>
  <c r="N37" i="20" s="1"/>
  <c r="N33" i="19"/>
  <c r="N37" i="19"/>
  <c r="M18" i="26"/>
  <c r="M38" i="19"/>
  <c r="G18" i="25"/>
  <c r="G21" i="25" s="1"/>
  <c r="E33" i="19"/>
  <c r="L33" i="19" s="1"/>
  <c r="M32" i="20" s="1"/>
  <c r="N32" i="20" s="1"/>
  <c r="I35" i="19"/>
  <c r="E37" i="19"/>
  <c r="N34" i="19"/>
  <c r="N38" i="19"/>
  <c r="I18" i="25"/>
  <c r="I21" i="25" s="1"/>
  <c r="I27" i="19"/>
  <c r="K18" i="18" s="1"/>
  <c r="K21" i="18" s="1"/>
  <c r="M35" i="19"/>
  <c r="F18" i="26"/>
  <c r="Y21" i="19"/>
  <c r="L26" i="19"/>
  <c r="G25" i="20" s="1"/>
  <c r="I19" i="27" s="1"/>
  <c r="I20" i="27" s="1"/>
  <c r="N27" i="19"/>
  <c r="K22" i="18" s="1"/>
  <c r="N22" i="18" s="1"/>
  <c r="G18" i="26"/>
  <c r="G21" i="26" s="1"/>
  <c r="Z21" i="19"/>
  <c r="I18" i="26"/>
  <c r="I21" i="26" s="1"/>
  <c r="AE21" i="19"/>
  <c r="E28" i="19" s="1"/>
  <c r="F18" i="35" s="1"/>
  <c r="AM21" i="19"/>
  <c r="E36" i="19" s="1"/>
  <c r="N35" i="20" s="1"/>
  <c r="E35" i="19"/>
  <c r="N34" i="20" s="1"/>
  <c r="N28" i="19"/>
  <c r="K22" i="35" s="1"/>
  <c r="N22" i="35" s="1"/>
  <c r="J18" i="26"/>
  <c r="J21" i="26" s="1"/>
  <c r="J18" i="27"/>
  <c r="J21" i="27" s="1"/>
  <c r="J2" i="20"/>
  <c r="F2" i="20"/>
  <c r="H8" i="20"/>
  <c r="H7" i="20"/>
  <c r="E23" i="20"/>
  <c r="G7" i="20"/>
  <c r="F22" i="20"/>
  <c r="F7" i="20"/>
  <c r="E7" i="20"/>
  <c r="I8" i="20"/>
  <c r="J7" i="20"/>
  <c r="I7" i="20"/>
  <c r="G24" i="20"/>
  <c r="AI21" i="19"/>
  <c r="E32" i="19" s="1"/>
  <c r="N22" i="38"/>
  <c r="J21" i="38"/>
  <c r="E16" i="20"/>
  <c r="F16" i="20"/>
  <c r="G16" i="20"/>
  <c r="R17" i="22"/>
  <c r="N17" i="22"/>
  <c r="S17" i="22"/>
  <c r="Q17" i="22"/>
  <c r="P17" i="22"/>
  <c r="F5" i="20"/>
  <c r="H14" i="20"/>
  <c r="G5" i="20"/>
  <c r="J14" i="20"/>
  <c r="E5" i="20"/>
  <c r="I14" i="20"/>
  <c r="J5" i="20"/>
  <c r="I5" i="20"/>
  <c r="G14" i="20"/>
  <c r="N22" i="36"/>
  <c r="AG21" i="19"/>
  <c r="I30" i="19" s="1"/>
  <c r="K18" i="37" s="1"/>
  <c r="K21" i="37" s="1"/>
  <c r="AH21" i="19"/>
  <c r="I31" i="19" s="1"/>
  <c r="K18" i="38" s="1"/>
  <c r="K21" i="38" s="1"/>
  <c r="S16" i="22"/>
  <c r="N16" i="22"/>
  <c r="R16" i="22"/>
  <c r="Q16" i="22"/>
  <c r="I28" i="23" s="1"/>
  <c r="I24" i="36" s="1"/>
  <c r="I25" i="36" s="1"/>
  <c r="O16" i="22"/>
  <c r="H28" i="21"/>
  <c r="H23" i="36" s="1"/>
  <c r="H26" i="36" s="1"/>
  <c r="U28" i="23"/>
  <c r="H28" i="36" s="1"/>
  <c r="H29" i="36" s="1"/>
  <c r="AH28" i="23"/>
  <c r="H32" i="36" s="1"/>
  <c r="H33" i="36" s="1"/>
  <c r="U28" i="21"/>
  <c r="H27" i="36" s="1"/>
  <c r="H30" i="36" s="1"/>
  <c r="AH28" i="21"/>
  <c r="H31" i="36" s="1"/>
  <c r="H34" i="36" s="1"/>
  <c r="H28" i="23"/>
  <c r="H24" i="36" s="1"/>
  <c r="H25" i="36" s="1"/>
  <c r="AK28" i="21"/>
  <c r="K31" i="36" s="1"/>
  <c r="K34" i="36" s="1"/>
  <c r="K28" i="23"/>
  <c r="K24" i="36" s="1"/>
  <c r="K25" i="36" s="1"/>
  <c r="X28" i="23"/>
  <c r="K28" i="36" s="1"/>
  <c r="K29" i="36" s="1"/>
  <c r="K28" i="21"/>
  <c r="K23" i="36" s="1"/>
  <c r="K26" i="36" s="1"/>
  <c r="AK28" i="23"/>
  <c r="K32" i="36" s="1"/>
  <c r="K33" i="36" s="1"/>
  <c r="X28" i="21"/>
  <c r="K27" i="36" s="1"/>
  <c r="K30" i="36" s="1"/>
  <c r="J28" i="23"/>
  <c r="J24" i="36" s="1"/>
  <c r="J25" i="36" s="1"/>
  <c r="J28" i="21"/>
  <c r="J23" i="36" s="1"/>
  <c r="J26" i="36" s="1"/>
  <c r="W28" i="23"/>
  <c r="J28" i="36" s="1"/>
  <c r="J29" i="36" s="1"/>
  <c r="AJ28" i="21"/>
  <c r="J31" i="36" s="1"/>
  <c r="J34" i="36" s="1"/>
  <c r="AJ28" i="23"/>
  <c r="J32" i="36" s="1"/>
  <c r="J33" i="36" s="1"/>
  <c r="W28" i="21"/>
  <c r="J27" i="36" s="1"/>
  <c r="J30" i="36" s="1"/>
  <c r="V28" i="21"/>
  <c r="I27" i="36" s="1"/>
  <c r="I30" i="36" s="1"/>
  <c r="T28" i="23"/>
  <c r="G28" i="36" s="1"/>
  <c r="G29" i="36" s="1"/>
  <c r="G28" i="21"/>
  <c r="G23" i="36" s="1"/>
  <c r="G26" i="36" s="1"/>
  <c r="AG28" i="23"/>
  <c r="G32" i="36" s="1"/>
  <c r="G33" i="36" s="1"/>
  <c r="T28" i="21"/>
  <c r="G27" i="36" s="1"/>
  <c r="G30" i="36" s="1"/>
  <c r="AG28" i="21"/>
  <c r="G31" i="36" s="1"/>
  <c r="G34" i="36" s="1"/>
  <c r="G28" i="23"/>
  <c r="G24" i="36" s="1"/>
  <c r="G25" i="36" s="1"/>
  <c r="AF28" i="23"/>
  <c r="S28" i="21"/>
  <c r="F28" i="21"/>
  <c r="AF28" i="21"/>
  <c r="F28" i="23"/>
  <c r="S28" i="23"/>
  <c r="H15" i="20"/>
  <c r="I6" i="20"/>
  <c r="G15" i="20"/>
  <c r="H6" i="20"/>
  <c r="E15" i="20"/>
  <c r="G6" i="20"/>
  <c r="F6" i="20"/>
  <c r="E6" i="20"/>
  <c r="I3" i="20"/>
  <c r="H3" i="20"/>
  <c r="F3" i="20"/>
  <c r="E3" i="20"/>
  <c r="F15" i="20"/>
  <c r="J3" i="20"/>
  <c r="M30" i="19"/>
  <c r="F22" i="37" s="1"/>
  <c r="N22" i="37" s="1"/>
  <c r="J21" i="36"/>
  <c r="H2" i="20"/>
  <c r="G2" i="20"/>
  <c r="J15" i="20"/>
  <c r="E2" i="20"/>
  <c r="I11" i="20"/>
  <c r="G28" i="26"/>
  <c r="G29" i="26" s="1"/>
  <c r="I32" i="26"/>
  <c r="I33" i="26" s="1"/>
  <c r="J24" i="26"/>
  <c r="J25" i="26" s="1"/>
  <c r="F32" i="26"/>
  <c r="F33" i="26" s="1"/>
  <c r="L18" i="21"/>
  <c r="I27" i="26"/>
  <c r="I30" i="26" s="1"/>
  <c r="L19" i="21"/>
  <c r="Y18" i="21"/>
  <c r="F24" i="26"/>
  <c r="F25" i="26" s="1"/>
  <c r="H28" i="26"/>
  <c r="H29" i="26" s="1"/>
  <c r="J32" i="26"/>
  <c r="J33" i="26" s="1"/>
  <c r="G27" i="26"/>
  <c r="G30" i="26" s="1"/>
  <c r="H24" i="26"/>
  <c r="H25" i="26" s="1"/>
  <c r="J28" i="26"/>
  <c r="J29" i="26" s="1"/>
  <c r="L23" i="21"/>
  <c r="I31" i="26"/>
  <c r="I34" i="26" s="1"/>
  <c r="K24" i="26"/>
  <c r="K25" i="26" s="1"/>
  <c r="G32" i="26"/>
  <c r="G33" i="26" s="1"/>
  <c r="G31" i="26"/>
  <c r="G34" i="26" s="1"/>
  <c r="I23" i="26"/>
  <c r="I26" i="26" s="1"/>
  <c r="Y23" i="21"/>
  <c r="Y21" i="21"/>
  <c r="Y20" i="21"/>
  <c r="Y19" i="21"/>
  <c r="Y17" i="21"/>
  <c r="H31" i="26"/>
  <c r="H34" i="26" s="1"/>
  <c r="F28" i="26"/>
  <c r="H32" i="26"/>
  <c r="H33" i="26" s="1"/>
  <c r="N32" i="18"/>
  <c r="K23" i="26"/>
  <c r="K26" i="26" s="1"/>
  <c r="J23" i="26"/>
  <c r="J26" i="26" s="1"/>
  <c r="H27" i="26"/>
  <c r="H30" i="26" s="1"/>
  <c r="F31" i="26"/>
  <c r="F34" i="26" s="1"/>
  <c r="G24" i="26"/>
  <c r="I28" i="26"/>
  <c r="I29" i="26" s="1"/>
  <c r="K32" i="26"/>
  <c r="K33" i="26" s="1"/>
  <c r="L21" i="21"/>
  <c r="L20" i="21"/>
  <c r="H23" i="26"/>
  <c r="H26" i="26" s="1"/>
  <c r="F27" i="26"/>
  <c r="F30" i="26" s="1"/>
  <c r="G23" i="26"/>
  <c r="G26" i="26" s="1"/>
  <c r="Y22" i="21"/>
  <c r="K27" i="26"/>
  <c r="K30" i="26" s="1"/>
  <c r="K31" i="26"/>
  <c r="K34" i="26" s="1"/>
  <c r="I24" i="26"/>
  <c r="I25" i="26" s="1"/>
  <c r="K28" i="26"/>
  <c r="K29" i="26" s="1"/>
  <c r="F23" i="26"/>
  <c r="J31" i="26"/>
  <c r="J34" i="26" s="1"/>
  <c r="N24" i="18"/>
  <c r="U27" i="23"/>
  <c r="H27" i="21"/>
  <c r="AH27" i="23"/>
  <c r="H27" i="23"/>
  <c r="H24" i="35" s="1"/>
  <c r="H25" i="35" s="1"/>
  <c r="U27" i="21"/>
  <c r="AH27" i="21"/>
  <c r="Y21" i="23"/>
  <c r="J23" i="18"/>
  <c r="F27" i="18"/>
  <c r="F30" i="18" s="1"/>
  <c r="H28" i="18"/>
  <c r="H29" i="18" s="1"/>
  <c r="J31" i="18"/>
  <c r="J34" i="18" s="1"/>
  <c r="J33" i="27"/>
  <c r="N15" i="22"/>
  <c r="Y24" i="21"/>
  <c r="L19" i="23"/>
  <c r="K23" i="18"/>
  <c r="K26" i="18" s="1"/>
  <c r="G27" i="18"/>
  <c r="G30" i="18" s="1"/>
  <c r="I28" i="18"/>
  <c r="I29" i="18" s="1"/>
  <c r="K31" i="18"/>
  <c r="K34" i="18" s="1"/>
  <c r="S15" i="22"/>
  <c r="Y25" i="21"/>
  <c r="F27" i="27"/>
  <c r="N27" i="27" s="1"/>
  <c r="L26" i="23"/>
  <c r="R15" i="22"/>
  <c r="L24" i="21"/>
  <c r="L17" i="21"/>
  <c r="Q15" i="22"/>
  <c r="J27" i="26"/>
  <c r="J30" i="26" s="1"/>
  <c r="F29" i="27"/>
  <c r="O15" i="22"/>
  <c r="L22" i="21"/>
  <c r="L25" i="21"/>
  <c r="Y20" i="23"/>
  <c r="L23" i="23"/>
  <c r="J11" i="20"/>
  <c r="F18" i="25"/>
  <c r="N22" i="25"/>
  <c r="AF21" i="19"/>
  <c r="E29" i="19" s="1"/>
  <c r="F18" i="36" s="1"/>
  <c r="F21" i="36" s="1"/>
  <c r="F33" i="18"/>
  <c r="M16" i="24"/>
  <c r="G26" i="24" s="1"/>
  <c r="F11" i="20"/>
  <c r="E11" i="20"/>
  <c r="F14" i="20"/>
  <c r="H12" i="20"/>
  <c r="G12" i="20"/>
  <c r="J22" i="20"/>
  <c r="F12" i="20"/>
  <c r="E12" i="20"/>
  <c r="F17" i="20"/>
  <c r="J13" i="20"/>
  <c r="J4" i="20"/>
  <c r="H16" i="20"/>
  <c r="I13" i="20"/>
  <c r="I4" i="20"/>
  <c r="H13" i="20"/>
  <c r="H4" i="20"/>
  <c r="G13" i="20"/>
  <c r="G4" i="20"/>
  <c r="F4" i="20"/>
  <c r="N32" i="27"/>
  <c r="K26" i="27"/>
  <c r="G30" i="27"/>
  <c r="I29" i="27"/>
  <c r="N22" i="27"/>
  <c r="N24" i="27"/>
  <c r="H30" i="27"/>
  <c r="J29" i="27"/>
  <c r="G25" i="27"/>
  <c r="I30" i="27"/>
  <c r="N28" i="27"/>
  <c r="G33" i="27"/>
  <c r="F26" i="27"/>
  <c r="H25" i="27"/>
  <c r="J30" i="27"/>
  <c r="F34" i="27"/>
  <c r="H33" i="27"/>
  <c r="G26" i="27"/>
  <c r="I25" i="27"/>
  <c r="K30" i="27"/>
  <c r="G34" i="27"/>
  <c r="I33" i="27"/>
  <c r="H26" i="27"/>
  <c r="J25" i="27"/>
  <c r="H34" i="27"/>
  <c r="I26" i="27"/>
  <c r="K25" i="27"/>
  <c r="G29" i="27"/>
  <c r="I34" i="27"/>
  <c r="K33" i="27"/>
  <c r="I21" i="27"/>
  <c r="J26" i="27"/>
  <c r="H29" i="27"/>
  <c r="J34" i="27"/>
  <c r="N23" i="27"/>
  <c r="F25" i="27"/>
  <c r="N31" i="27"/>
  <c r="F33" i="27"/>
  <c r="N8" i="27"/>
  <c r="F21" i="27"/>
  <c r="K29" i="27"/>
  <c r="K34" i="27"/>
  <c r="N22" i="26"/>
  <c r="N8" i="26"/>
  <c r="F25" i="18"/>
  <c r="K25" i="18"/>
  <c r="G29" i="18"/>
  <c r="I30" i="18"/>
  <c r="K33" i="18"/>
  <c r="F26" i="18"/>
  <c r="J25" i="18"/>
  <c r="J33" i="18"/>
  <c r="G26" i="18"/>
  <c r="F29" i="18"/>
  <c r="I34" i="18"/>
  <c r="H25" i="18"/>
  <c r="I25" i="18"/>
  <c r="J30" i="18"/>
  <c r="I33" i="18"/>
  <c r="H34" i="18"/>
  <c r="G25" i="18"/>
  <c r="H33" i="18"/>
  <c r="K30" i="18"/>
  <c r="G33" i="18"/>
  <c r="H26" i="18"/>
  <c r="I26" i="18"/>
  <c r="K29" i="18"/>
  <c r="H30" i="18"/>
  <c r="F34" i="18"/>
  <c r="G34" i="18"/>
  <c r="J29" i="18"/>
  <c r="I21" i="18"/>
  <c r="J21" i="25"/>
  <c r="N8" i="25"/>
  <c r="H10" i="24"/>
  <c r="M10" i="24" s="1"/>
  <c r="AL17" i="23"/>
  <c r="AL25" i="23"/>
  <c r="AL18" i="23"/>
  <c r="AL21" i="23"/>
  <c r="AL22" i="23"/>
  <c r="AL26" i="23"/>
  <c r="AL19" i="23"/>
  <c r="AL23" i="23"/>
  <c r="AL20" i="23"/>
  <c r="AL24" i="23"/>
  <c r="Y24" i="23"/>
  <c r="Y25" i="23"/>
  <c r="Y17" i="23"/>
  <c r="Y18" i="23"/>
  <c r="Y22" i="23"/>
  <c r="Y26" i="23"/>
  <c r="Y19" i="23"/>
  <c r="Y23" i="23"/>
  <c r="L20" i="23"/>
  <c r="L24" i="23"/>
  <c r="L17" i="23"/>
  <c r="L21" i="23"/>
  <c r="L25" i="23"/>
  <c r="L18" i="23"/>
  <c r="L22" i="23"/>
  <c r="AL17" i="21"/>
  <c r="AL19" i="21"/>
  <c r="AL20" i="21"/>
  <c r="AL24" i="21"/>
  <c r="AL18" i="21"/>
  <c r="AL21" i="21"/>
  <c r="AL25" i="21"/>
  <c r="AL23" i="21"/>
  <c r="AL22" i="21"/>
  <c r="AL26" i="21"/>
  <c r="Y26" i="21"/>
  <c r="L26" i="21"/>
  <c r="T5" i="22"/>
  <c r="H11" i="20"/>
  <c r="F19" i="20"/>
  <c r="G21" i="20"/>
  <c r="E13" i="20"/>
  <c r="H22" i="20"/>
  <c r="E22" i="20"/>
  <c r="J16" i="20"/>
  <c r="J12" i="20"/>
  <c r="J21" i="20"/>
  <c r="I21" i="20"/>
  <c r="F21" i="20"/>
  <c r="G23" i="20"/>
  <c r="G19" i="20"/>
  <c r="G17" i="20"/>
  <c r="I22" i="20"/>
  <c r="E21" i="20"/>
  <c r="E17" i="20"/>
  <c r="G8" i="20"/>
  <c r="F8" i="20"/>
  <c r="E8" i="20"/>
  <c r="J17" i="20"/>
  <c r="I17" i="20"/>
  <c r="J23" i="20"/>
  <c r="F23" i="20"/>
  <c r="J18" i="20"/>
  <c r="J10" i="20"/>
  <c r="I18" i="20"/>
  <c r="I10" i="20"/>
  <c r="H18" i="20"/>
  <c r="H10" i="20"/>
  <c r="G18" i="20"/>
  <c r="G10" i="20"/>
  <c r="G22" i="20"/>
  <c r="F18" i="20"/>
  <c r="F10" i="20"/>
  <c r="J19" i="20"/>
  <c r="I24" i="20"/>
  <c r="I20" i="20"/>
  <c r="F24" i="20"/>
  <c r="F20" i="20"/>
  <c r="E20" i="20"/>
  <c r="E24" i="20"/>
  <c r="I23" i="20"/>
  <c r="I19" i="20"/>
  <c r="J24" i="20"/>
  <c r="H23" i="20"/>
  <c r="J20" i="20"/>
  <c r="H19" i="20"/>
  <c r="H24" i="20"/>
  <c r="H20" i="20"/>
  <c r="N8" i="18"/>
  <c r="AI7" i="16"/>
  <c r="AI6" i="16"/>
  <c r="AI5" i="16"/>
  <c r="AI4" i="16"/>
  <c r="AI3" i="16"/>
  <c r="AI2" i="16"/>
  <c r="AH7" i="16"/>
  <c r="AH6" i="16"/>
  <c r="AH5" i="16"/>
  <c r="AH4" i="16"/>
  <c r="AH3" i="16"/>
  <c r="AH2" i="16"/>
  <c r="U3" i="16"/>
  <c r="U4" i="16"/>
  <c r="U5" i="16"/>
  <c r="U6" i="16"/>
  <c r="U7" i="16"/>
  <c r="U2" i="16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D17" i="8"/>
  <c r="E17" i="8"/>
  <c r="F17" i="8"/>
  <c r="D18" i="8"/>
  <c r="E18" i="8"/>
  <c r="F18" i="8"/>
  <c r="D19" i="8"/>
  <c r="E19" i="8"/>
  <c r="F19" i="8"/>
  <c r="D20" i="8"/>
  <c r="E20" i="8"/>
  <c r="F20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1" i="8"/>
  <c r="E31" i="8"/>
  <c r="F31" i="8"/>
  <c r="D32" i="8"/>
  <c r="E32" i="8"/>
  <c r="F32" i="8"/>
  <c r="D33" i="8"/>
  <c r="E33" i="8"/>
  <c r="F33" i="8"/>
  <c r="D34" i="8"/>
  <c r="E34" i="8"/>
  <c r="F34" i="8"/>
  <c r="D35" i="8"/>
  <c r="E35" i="8"/>
  <c r="F35" i="8"/>
  <c r="D36" i="8"/>
  <c r="E36" i="8"/>
  <c r="F36" i="8"/>
  <c r="D37" i="8"/>
  <c r="E37" i="8"/>
  <c r="F37" i="8"/>
  <c r="E38" i="8"/>
  <c r="F38" i="8"/>
  <c r="D39" i="8"/>
  <c r="E39" i="8"/>
  <c r="E39" i="16" s="1"/>
  <c r="F39" i="8"/>
  <c r="F39" i="16" s="1"/>
  <c r="D40" i="8"/>
  <c r="E40" i="8"/>
  <c r="E40" i="16" s="1"/>
  <c r="F40" i="8"/>
  <c r="F40" i="16" s="1"/>
  <c r="D41" i="8"/>
  <c r="E41" i="8"/>
  <c r="E41" i="16" s="1"/>
  <c r="F41" i="8"/>
  <c r="F41" i="16" s="1"/>
  <c r="D42" i="8"/>
  <c r="E42" i="8"/>
  <c r="E42" i="16" s="1"/>
  <c r="F42" i="8"/>
  <c r="F42" i="16" s="1"/>
  <c r="D43" i="8"/>
  <c r="E43" i="8"/>
  <c r="E43" i="16" s="1"/>
  <c r="F43" i="8"/>
  <c r="F43" i="16" s="1"/>
  <c r="D44" i="8"/>
  <c r="E44" i="8"/>
  <c r="E44" i="16" s="1"/>
  <c r="F44" i="8"/>
  <c r="F44" i="16" s="1"/>
  <c r="D45" i="8"/>
  <c r="E45" i="8"/>
  <c r="E45" i="16" s="1"/>
  <c r="F45" i="8"/>
  <c r="F45" i="16" s="1"/>
  <c r="D46" i="8"/>
  <c r="E46" i="8"/>
  <c r="E46" i="16" s="1"/>
  <c r="F46" i="8"/>
  <c r="F46" i="16" s="1"/>
  <c r="D47" i="8"/>
  <c r="E47" i="8"/>
  <c r="E47" i="16" s="1"/>
  <c r="F47" i="8"/>
  <c r="F47" i="16" s="1"/>
  <c r="D48" i="8"/>
  <c r="E48" i="8"/>
  <c r="E48" i="16" s="1"/>
  <c r="F48" i="8"/>
  <c r="F48" i="16" s="1"/>
  <c r="D49" i="8"/>
  <c r="E49" i="8"/>
  <c r="E49" i="16" s="1"/>
  <c r="F49" i="8"/>
  <c r="F49" i="16" s="1"/>
  <c r="D4" i="8"/>
  <c r="E4" i="8"/>
  <c r="F4" i="8"/>
  <c r="D3" i="8"/>
  <c r="E3" i="8"/>
  <c r="F3" i="8"/>
  <c r="F2" i="8"/>
  <c r="E2" i="8"/>
  <c r="D2" i="8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R37" i="16" s="1"/>
  <c r="I36" i="16"/>
  <c r="R36" i="16" s="1"/>
  <c r="I35" i="16"/>
  <c r="R35" i="16" s="1"/>
  <c r="I34" i="16"/>
  <c r="R34" i="16" s="1"/>
  <c r="I33" i="16"/>
  <c r="R33" i="16" s="1"/>
  <c r="I32" i="16"/>
  <c r="R32" i="16" s="1"/>
  <c r="I31" i="16"/>
  <c r="R31" i="16" s="1"/>
  <c r="I30" i="16"/>
  <c r="R30" i="16" s="1"/>
  <c r="I29" i="16"/>
  <c r="R29" i="16" s="1"/>
  <c r="I28" i="16"/>
  <c r="R28" i="16" s="1"/>
  <c r="I27" i="16"/>
  <c r="R27" i="16" s="1"/>
  <c r="I26" i="16"/>
  <c r="R26" i="16" s="1"/>
  <c r="I25" i="16"/>
  <c r="R25" i="16" s="1"/>
  <c r="I24" i="16"/>
  <c r="R24" i="16" s="1"/>
  <c r="I23" i="16"/>
  <c r="R23" i="16" s="1"/>
  <c r="I22" i="16"/>
  <c r="R22" i="16" s="1"/>
  <c r="I21" i="16"/>
  <c r="R21" i="16" s="1"/>
  <c r="I20" i="16"/>
  <c r="R20" i="16" s="1"/>
  <c r="I19" i="16"/>
  <c r="R19" i="16" s="1"/>
  <c r="I18" i="16"/>
  <c r="R18" i="16" s="1"/>
  <c r="I17" i="16"/>
  <c r="R17" i="16" s="1"/>
  <c r="I16" i="16"/>
  <c r="R16" i="16" s="1"/>
  <c r="I15" i="16"/>
  <c r="R15" i="16" s="1"/>
  <c r="I14" i="16"/>
  <c r="R14" i="16" s="1"/>
  <c r="I13" i="16"/>
  <c r="R13" i="16" s="1"/>
  <c r="I12" i="16"/>
  <c r="R12" i="16" s="1"/>
  <c r="I11" i="16"/>
  <c r="R11" i="16" s="1"/>
  <c r="I10" i="16"/>
  <c r="R10" i="16" s="1"/>
  <c r="I9" i="16"/>
  <c r="R9" i="16" s="1"/>
  <c r="I8" i="16"/>
  <c r="R8" i="16" s="1"/>
  <c r="I7" i="16"/>
  <c r="R7" i="16" s="1"/>
  <c r="I6" i="16"/>
  <c r="R6" i="16" s="1"/>
  <c r="I5" i="16"/>
  <c r="R5" i="16" s="1"/>
  <c r="I4" i="16"/>
  <c r="R4" i="16" s="1"/>
  <c r="I3" i="16"/>
  <c r="R3" i="16" s="1"/>
  <c r="I2" i="16"/>
  <c r="R2" i="16" s="1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" i="13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E6" i="12"/>
  <c r="D6" i="12"/>
  <c r="D10" i="10"/>
  <c r="E10" i="10"/>
  <c r="E10" i="16" s="1"/>
  <c r="F10" i="10"/>
  <c r="D11" i="10"/>
  <c r="E11" i="10"/>
  <c r="F11" i="10"/>
  <c r="D12" i="10"/>
  <c r="E12" i="10"/>
  <c r="E12" i="16" s="1"/>
  <c r="F12" i="10"/>
  <c r="D13" i="10"/>
  <c r="D13" i="16" s="1"/>
  <c r="E13" i="10"/>
  <c r="F13" i="10"/>
  <c r="F13" i="16" s="1"/>
  <c r="D14" i="10"/>
  <c r="E14" i="10"/>
  <c r="F14" i="10"/>
  <c r="D15" i="10"/>
  <c r="D15" i="16" s="1"/>
  <c r="E15" i="10"/>
  <c r="F15" i="10"/>
  <c r="D16" i="10"/>
  <c r="E16" i="10"/>
  <c r="E16" i="16" s="1"/>
  <c r="F16" i="10"/>
  <c r="D17" i="10"/>
  <c r="E17" i="10"/>
  <c r="F17" i="10"/>
  <c r="F17" i="16" s="1"/>
  <c r="D18" i="10"/>
  <c r="E18" i="10"/>
  <c r="E18" i="16" s="1"/>
  <c r="F18" i="10"/>
  <c r="D19" i="10"/>
  <c r="E19" i="10"/>
  <c r="F19" i="10"/>
  <c r="D20" i="10"/>
  <c r="E20" i="10"/>
  <c r="E20" i="16" s="1"/>
  <c r="F20" i="10"/>
  <c r="D21" i="10"/>
  <c r="D21" i="16" s="1"/>
  <c r="E21" i="10"/>
  <c r="F21" i="10"/>
  <c r="F21" i="16" s="1"/>
  <c r="D22" i="10"/>
  <c r="E22" i="10"/>
  <c r="F22" i="10"/>
  <c r="D23" i="10"/>
  <c r="D23" i="16" s="1"/>
  <c r="E23" i="10"/>
  <c r="F23" i="10"/>
  <c r="D24" i="10"/>
  <c r="E24" i="10"/>
  <c r="E24" i="16" s="1"/>
  <c r="F24" i="10"/>
  <c r="D25" i="10"/>
  <c r="E25" i="10"/>
  <c r="F25" i="10"/>
  <c r="F25" i="16" s="1"/>
  <c r="D26" i="10"/>
  <c r="E26" i="10"/>
  <c r="E26" i="16" s="1"/>
  <c r="F26" i="10"/>
  <c r="D27" i="10"/>
  <c r="E27" i="10"/>
  <c r="F27" i="10"/>
  <c r="D28" i="10"/>
  <c r="E28" i="10"/>
  <c r="E28" i="16" s="1"/>
  <c r="F28" i="10"/>
  <c r="D29" i="10"/>
  <c r="D29" i="16" s="1"/>
  <c r="E29" i="10"/>
  <c r="F29" i="10"/>
  <c r="D30" i="10"/>
  <c r="E30" i="10"/>
  <c r="F30" i="10"/>
  <c r="D31" i="10"/>
  <c r="D31" i="16" s="1"/>
  <c r="E31" i="10"/>
  <c r="F31" i="10"/>
  <c r="D32" i="10"/>
  <c r="E32" i="10"/>
  <c r="E32" i="16" s="1"/>
  <c r="F32" i="10"/>
  <c r="D33" i="10"/>
  <c r="E33" i="10"/>
  <c r="F33" i="10"/>
  <c r="F33" i="16" s="1"/>
  <c r="D34" i="10"/>
  <c r="E34" i="10"/>
  <c r="E34" i="16" s="1"/>
  <c r="F34" i="10"/>
  <c r="D35" i="10"/>
  <c r="E35" i="10"/>
  <c r="F35" i="10"/>
  <c r="D36" i="10"/>
  <c r="E36" i="10"/>
  <c r="E36" i="16" s="1"/>
  <c r="F36" i="10"/>
  <c r="D37" i="10"/>
  <c r="E37" i="10"/>
  <c r="F37" i="10"/>
  <c r="D38" i="10"/>
  <c r="B5" i="30" s="1"/>
  <c r="E38" i="10"/>
  <c r="F38" i="10"/>
  <c r="D2" i="10"/>
  <c r="E2" i="10"/>
  <c r="F2" i="10"/>
  <c r="D3" i="10"/>
  <c r="E3" i="10"/>
  <c r="F3" i="10"/>
  <c r="D4" i="10"/>
  <c r="E4" i="10"/>
  <c r="F4" i="10"/>
  <c r="D5" i="10"/>
  <c r="D5" i="16" s="1"/>
  <c r="E5" i="10"/>
  <c r="F5" i="10"/>
  <c r="F5" i="16" s="1"/>
  <c r="D6" i="10"/>
  <c r="E6" i="10"/>
  <c r="F6" i="10"/>
  <c r="D7" i="10"/>
  <c r="D7" i="16" s="1"/>
  <c r="E7" i="10"/>
  <c r="F7" i="10"/>
  <c r="D8" i="10"/>
  <c r="E8" i="10"/>
  <c r="E8" i="16" s="1"/>
  <c r="F8" i="10"/>
  <c r="F9" i="10"/>
  <c r="F9" i="16" s="1"/>
  <c r="E9" i="10"/>
  <c r="D9" i="10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R5" i="7"/>
  <c r="S5" i="7"/>
  <c r="T5" i="7"/>
  <c r="U5" i="7"/>
  <c r="R6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R18" i="7"/>
  <c r="S18" i="7"/>
  <c r="T18" i="7"/>
  <c r="U18" i="7"/>
  <c r="R19" i="7"/>
  <c r="S19" i="7"/>
  <c r="T19" i="7"/>
  <c r="U19" i="7"/>
  <c r="R20" i="7"/>
  <c r="S20" i="7"/>
  <c r="T20" i="7"/>
  <c r="U20" i="7"/>
  <c r="R21" i="7"/>
  <c r="S21" i="7"/>
  <c r="T21" i="7"/>
  <c r="U21" i="7"/>
  <c r="R22" i="7"/>
  <c r="S22" i="7"/>
  <c r="T22" i="7"/>
  <c r="U22" i="7"/>
  <c r="R23" i="7"/>
  <c r="S23" i="7"/>
  <c r="T23" i="7"/>
  <c r="U23" i="7"/>
  <c r="R24" i="7"/>
  <c r="S24" i="7"/>
  <c r="T24" i="7"/>
  <c r="U24" i="7"/>
  <c r="R25" i="7"/>
  <c r="S25" i="7"/>
  <c r="T25" i="7"/>
  <c r="U25" i="7"/>
  <c r="R26" i="7"/>
  <c r="S26" i="7"/>
  <c r="T26" i="7"/>
  <c r="U26" i="7"/>
  <c r="E5" i="7"/>
  <c r="J5" i="7"/>
  <c r="E6" i="7"/>
  <c r="J6" i="7"/>
  <c r="E7" i="7"/>
  <c r="J7" i="7"/>
  <c r="E8" i="7"/>
  <c r="J8" i="7"/>
  <c r="E9" i="7"/>
  <c r="J9" i="7"/>
  <c r="E10" i="7"/>
  <c r="J10" i="7"/>
  <c r="E11" i="7"/>
  <c r="J11" i="7"/>
  <c r="E12" i="7"/>
  <c r="J12" i="7"/>
  <c r="E13" i="7"/>
  <c r="J13" i="7"/>
  <c r="E14" i="7"/>
  <c r="J14" i="7"/>
  <c r="E15" i="7"/>
  <c r="J15" i="7"/>
  <c r="E16" i="7"/>
  <c r="J16" i="7"/>
  <c r="E17" i="7"/>
  <c r="J17" i="7"/>
  <c r="E18" i="7"/>
  <c r="J18" i="7"/>
  <c r="E19" i="7"/>
  <c r="J19" i="7"/>
  <c r="E20" i="7"/>
  <c r="J20" i="7"/>
  <c r="E21" i="7"/>
  <c r="J21" i="7"/>
  <c r="E22" i="7"/>
  <c r="J22" i="7"/>
  <c r="E23" i="7"/>
  <c r="J23" i="7"/>
  <c r="E24" i="7"/>
  <c r="J24" i="7"/>
  <c r="E25" i="7"/>
  <c r="J25" i="7"/>
  <c r="E26" i="7"/>
  <c r="J26" i="7"/>
  <c r="S4" i="7"/>
  <c r="T4" i="7"/>
  <c r="U4" i="7"/>
  <c r="R4" i="7"/>
  <c r="U3" i="7"/>
  <c r="T3" i="7"/>
  <c r="S3" i="7"/>
  <c r="R3" i="7"/>
  <c r="J3" i="7"/>
  <c r="J4" i="7"/>
  <c r="E3" i="7"/>
  <c r="E4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15" i="3"/>
  <c r="V14" i="3"/>
  <c r="V13" i="3"/>
  <c r="V12" i="3"/>
  <c r="V11" i="3"/>
  <c r="V10" i="3"/>
  <c r="V9" i="3"/>
  <c r="V8" i="3"/>
  <c r="V7" i="3"/>
  <c r="V6" i="3"/>
  <c r="V5" i="3"/>
  <c r="V4" i="3"/>
  <c r="V3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0" i="2"/>
  <c r="G5" i="5"/>
  <c r="G6" i="5"/>
  <c r="G7" i="5"/>
  <c r="G8" i="5"/>
  <c r="G3" i="5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AB45" i="2" s="1"/>
  <c r="V44" i="2"/>
  <c r="U44" i="2"/>
  <c r="AB44" i="2" s="1"/>
  <c r="V43" i="2"/>
  <c r="U43" i="2"/>
  <c r="AB43" i="2" s="1"/>
  <c r="V42" i="2"/>
  <c r="U42" i="2"/>
  <c r="AB42" i="2" s="1"/>
  <c r="V41" i="2"/>
  <c r="U41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V40" i="2"/>
  <c r="U40" i="2"/>
  <c r="AB4" i="2"/>
  <c r="T100" i="2"/>
  <c r="S100" i="2"/>
  <c r="T99" i="2"/>
  <c r="S99" i="2"/>
  <c r="T98" i="2"/>
  <c r="S98" i="2"/>
  <c r="T97" i="2"/>
  <c r="S97" i="2"/>
  <c r="T96" i="2"/>
  <c r="S96" i="2"/>
  <c r="T95" i="2"/>
  <c r="S95" i="2"/>
  <c r="T94" i="2"/>
  <c r="S94" i="2"/>
  <c r="T93" i="2"/>
  <c r="S93" i="2"/>
  <c r="T92" i="2"/>
  <c r="S92" i="2"/>
  <c r="T91" i="2"/>
  <c r="S91" i="2"/>
  <c r="T90" i="2"/>
  <c r="S90" i="2"/>
  <c r="T89" i="2"/>
  <c r="S89" i="2"/>
  <c r="T88" i="2"/>
  <c r="S88" i="2"/>
  <c r="T87" i="2"/>
  <c r="S87" i="2"/>
  <c r="T86" i="2"/>
  <c r="S86" i="2"/>
  <c r="T85" i="2"/>
  <c r="S85" i="2"/>
  <c r="T84" i="2"/>
  <c r="S84" i="2"/>
  <c r="T83" i="2"/>
  <c r="S83" i="2"/>
  <c r="T82" i="2"/>
  <c r="S82" i="2"/>
  <c r="T81" i="2"/>
  <c r="S81" i="2"/>
  <c r="T80" i="2"/>
  <c r="S80" i="2"/>
  <c r="T79" i="2"/>
  <c r="S79" i="2"/>
  <c r="T78" i="2"/>
  <c r="S78" i="2"/>
  <c r="T77" i="2"/>
  <c r="S77" i="2"/>
  <c r="T76" i="2"/>
  <c r="S76" i="2"/>
  <c r="T75" i="2"/>
  <c r="S75" i="2"/>
  <c r="T74" i="2"/>
  <c r="S74" i="2"/>
  <c r="T73" i="2"/>
  <c r="S73" i="2"/>
  <c r="T72" i="2"/>
  <c r="S72" i="2"/>
  <c r="T71" i="2"/>
  <c r="S71" i="2"/>
  <c r="T70" i="2"/>
  <c r="S70" i="2"/>
  <c r="T69" i="2"/>
  <c r="S69" i="2"/>
  <c r="T68" i="2"/>
  <c r="S68" i="2"/>
  <c r="T67" i="2"/>
  <c r="S67" i="2"/>
  <c r="T66" i="2"/>
  <c r="S66" i="2"/>
  <c r="T65" i="2"/>
  <c r="S65" i="2"/>
  <c r="T64" i="2"/>
  <c r="S64" i="2"/>
  <c r="T63" i="2"/>
  <c r="S63" i="2"/>
  <c r="T62" i="2"/>
  <c r="S62" i="2"/>
  <c r="T61" i="2"/>
  <c r="S61" i="2"/>
  <c r="T60" i="2"/>
  <c r="S60" i="2"/>
  <c r="T59" i="2"/>
  <c r="S59" i="2"/>
  <c r="T58" i="2"/>
  <c r="S58" i="2"/>
  <c r="T57" i="2"/>
  <c r="S57" i="2"/>
  <c r="T56" i="2"/>
  <c r="S56" i="2"/>
  <c r="T55" i="2"/>
  <c r="S55" i="2"/>
  <c r="T54" i="2"/>
  <c r="S54" i="2"/>
  <c r="T53" i="2"/>
  <c r="S53" i="2"/>
  <c r="T52" i="2"/>
  <c r="S52" i="2"/>
  <c r="T51" i="2"/>
  <c r="S51" i="2"/>
  <c r="T50" i="2"/>
  <c r="S50" i="2"/>
  <c r="T49" i="2"/>
  <c r="S49" i="2"/>
  <c r="T48" i="2"/>
  <c r="S48" i="2"/>
  <c r="T47" i="2"/>
  <c r="S47" i="2"/>
  <c r="T45" i="2"/>
  <c r="T43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T46" i="2" s="1"/>
  <c r="P45" i="2"/>
  <c r="P44" i="2"/>
  <c r="T44" i="2" s="1"/>
  <c r="P43" i="2"/>
  <c r="P42" i="2"/>
  <c r="T42" i="2" s="1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S46" i="2" s="1"/>
  <c r="N45" i="2"/>
  <c r="S45" i="2" s="1"/>
  <c r="N44" i="2"/>
  <c r="S44" i="2" s="1"/>
  <c r="N43" i="2"/>
  <c r="S43" i="2" s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5" i="2"/>
  <c r="D9" i="16" l="1"/>
  <c r="AI31" i="23"/>
  <c r="I32" i="40" s="1"/>
  <c r="I33" i="40" s="1"/>
  <c r="T19" i="22"/>
  <c r="F27" i="40"/>
  <c r="Y31" i="21"/>
  <c r="F31" i="40"/>
  <c r="AL31" i="21"/>
  <c r="F32" i="40"/>
  <c r="AL31" i="23"/>
  <c r="F24" i="40"/>
  <c r="L31" i="23"/>
  <c r="F28" i="40"/>
  <c r="Y31" i="23"/>
  <c r="F23" i="40"/>
  <c r="L31" i="21"/>
  <c r="N18" i="27"/>
  <c r="N21" i="27" s="1"/>
  <c r="E35" i="16"/>
  <c r="F32" i="16"/>
  <c r="E27" i="16"/>
  <c r="F24" i="16"/>
  <c r="E19" i="16"/>
  <c r="F16" i="16"/>
  <c r="D14" i="16"/>
  <c r="E11" i="16"/>
  <c r="F8" i="16"/>
  <c r="D6" i="16"/>
  <c r="D37" i="16"/>
  <c r="T18" i="22"/>
  <c r="F31" i="38"/>
  <c r="I30" i="23"/>
  <c r="I24" i="38" s="1"/>
  <c r="I25" i="38" s="1"/>
  <c r="V30" i="23"/>
  <c r="I28" i="38" s="1"/>
  <c r="I29" i="38" s="1"/>
  <c r="V30" i="21"/>
  <c r="I27" i="38" s="1"/>
  <c r="I30" i="38" s="1"/>
  <c r="AI30" i="21"/>
  <c r="I31" i="38" s="1"/>
  <c r="I34" i="38" s="1"/>
  <c r="I30" i="21"/>
  <c r="I23" i="38" s="1"/>
  <c r="I26" i="38" s="1"/>
  <c r="AI30" i="23"/>
  <c r="I32" i="38" s="1"/>
  <c r="I33" i="38" s="1"/>
  <c r="K30" i="23"/>
  <c r="K24" i="38" s="1"/>
  <c r="K25" i="38" s="1"/>
  <c r="X30" i="23"/>
  <c r="K28" i="38" s="1"/>
  <c r="K29" i="38" s="1"/>
  <c r="X30" i="21"/>
  <c r="K27" i="38" s="1"/>
  <c r="K30" i="38" s="1"/>
  <c r="AK30" i="21"/>
  <c r="K31" i="38" s="1"/>
  <c r="K34" i="38" s="1"/>
  <c r="K30" i="21"/>
  <c r="K23" i="38" s="1"/>
  <c r="K26" i="38" s="1"/>
  <c r="AK30" i="23"/>
  <c r="K32" i="38" s="1"/>
  <c r="K33" i="38" s="1"/>
  <c r="J30" i="23"/>
  <c r="J24" i="38" s="1"/>
  <c r="J25" i="38" s="1"/>
  <c r="W30" i="23"/>
  <c r="J28" i="38" s="1"/>
  <c r="J29" i="38" s="1"/>
  <c r="W30" i="21"/>
  <c r="J27" i="38" s="1"/>
  <c r="J30" i="38" s="1"/>
  <c r="AJ30" i="21"/>
  <c r="J31" i="38" s="1"/>
  <c r="J34" i="38" s="1"/>
  <c r="J30" i="21"/>
  <c r="J23" i="38" s="1"/>
  <c r="J26" i="38" s="1"/>
  <c r="AJ30" i="23"/>
  <c r="J32" i="38" s="1"/>
  <c r="J33" i="38" s="1"/>
  <c r="F27" i="38"/>
  <c r="F28" i="38"/>
  <c r="F24" i="38"/>
  <c r="F32" i="38"/>
  <c r="F23" i="38"/>
  <c r="L14" i="20"/>
  <c r="P14" i="20" s="1"/>
  <c r="L7" i="20"/>
  <c r="N7" i="20" s="1"/>
  <c r="N18" i="26"/>
  <c r="N21" i="26" s="1"/>
  <c r="H25" i="20"/>
  <c r="J19" i="27" s="1"/>
  <c r="J20" i="27" s="1"/>
  <c r="N18" i="18"/>
  <c r="N21" i="18" s="1"/>
  <c r="F21" i="26"/>
  <c r="E25" i="20"/>
  <c r="F19" i="27" s="1"/>
  <c r="F20" i="27" s="1"/>
  <c r="E34" i="19"/>
  <c r="N33" i="20" s="1"/>
  <c r="F25" i="20"/>
  <c r="G19" i="27" s="1"/>
  <c r="G20" i="27" s="1"/>
  <c r="I25" i="20"/>
  <c r="K19" i="27" s="1"/>
  <c r="K20" i="27" s="1"/>
  <c r="F21" i="35"/>
  <c r="N36" i="20"/>
  <c r="I28" i="19"/>
  <c r="E30" i="19"/>
  <c r="F18" i="37" s="1"/>
  <c r="J25" i="20"/>
  <c r="M19" i="27" s="1"/>
  <c r="I32" i="19"/>
  <c r="L32" i="19" s="1"/>
  <c r="N31" i="20" s="1"/>
  <c r="L15" i="20"/>
  <c r="N15" i="20" s="1"/>
  <c r="F37" i="16"/>
  <c r="F29" i="16"/>
  <c r="G9" i="8"/>
  <c r="G25" i="8"/>
  <c r="G17" i="8"/>
  <c r="E3" i="16"/>
  <c r="D30" i="16"/>
  <c r="D22" i="16"/>
  <c r="E9" i="16"/>
  <c r="F6" i="16"/>
  <c r="E33" i="16"/>
  <c r="F30" i="16"/>
  <c r="D28" i="16"/>
  <c r="E25" i="16"/>
  <c r="F22" i="16"/>
  <c r="D20" i="16"/>
  <c r="E17" i="16"/>
  <c r="F14" i="16"/>
  <c r="D12" i="16"/>
  <c r="G22" i="8"/>
  <c r="G14" i="8"/>
  <c r="G6" i="8"/>
  <c r="L5" i="20"/>
  <c r="P5" i="20" s="1"/>
  <c r="L2" i="20"/>
  <c r="P2" i="20" s="1"/>
  <c r="AI28" i="21"/>
  <c r="I31" i="36" s="1"/>
  <c r="I34" i="36" s="1"/>
  <c r="AI28" i="23"/>
  <c r="I32" i="36" s="1"/>
  <c r="I33" i="36" s="1"/>
  <c r="T16" i="22"/>
  <c r="I28" i="21"/>
  <c r="I23" i="36" s="1"/>
  <c r="I26" i="36" s="1"/>
  <c r="V28" i="23"/>
  <c r="I28" i="36" s="1"/>
  <c r="I29" i="36" s="1"/>
  <c r="T17" i="22"/>
  <c r="L6" i="20"/>
  <c r="P6" i="20" s="1"/>
  <c r="L24" i="20"/>
  <c r="N24" i="20" s="1"/>
  <c r="L3" i="20"/>
  <c r="P3" i="20" s="1"/>
  <c r="G19" i="8"/>
  <c r="G11" i="8"/>
  <c r="E6" i="16"/>
  <c r="D19" i="16"/>
  <c r="D35" i="16"/>
  <c r="D27" i="16"/>
  <c r="D11" i="16"/>
  <c r="G8" i="8"/>
  <c r="G7" i="8"/>
  <c r="V12" i="7"/>
  <c r="G12" i="7" s="1"/>
  <c r="V20" i="7"/>
  <c r="D20" i="7" s="1"/>
  <c r="V6" i="7"/>
  <c r="G6" i="7" s="1"/>
  <c r="E31" i="19"/>
  <c r="F27" i="36"/>
  <c r="Y28" i="21"/>
  <c r="H27" i="25"/>
  <c r="H30" i="25" s="1"/>
  <c r="H27" i="35"/>
  <c r="H30" i="35" s="1"/>
  <c r="H32" i="25"/>
  <c r="H33" i="25" s="1"/>
  <c r="H32" i="35"/>
  <c r="H33" i="35" s="1"/>
  <c r="F32" i="36"/>
  <c r="H28" i="25"/>
  <c r="H29" i="25" s="1"/>
  <c r="H28" i="35"/>
  <c r="H29" i="35" s="1"/>
  <c r="F28" i="36"/>
  <c r="H24" i="25"/>
  <c r="H25" i="25" s="1"/>
  <c r="F24" i="36"/>
  <c r="L28" i="23"/>
  <c r="H23" i="25"/>
  <c r="H26" i="25" s="1"/>
  <c r="H23" i="35"/>
  <c r="H26" i="35" s="1"/>
  <c r="H31" i="25"/>
  <c r="H34" i="25" s="1"/>
  <c r="H31" i="35"/>
  <c r="H34" i="35" s="1"/>
  <c r="F31" i="36"/>
  <c r="AL28" i="21"/>
  <c r="F23" i="36"/>
  <c r="V3" i="7"/>
  <c r="V19" i="7"/>
  <c r="V13" i="7"/>
  <c r="V25" i="7"/>
  <c r="V23" i="7"/>
  <c r="V7" i="7"/>
  <c r="H7" i="7" s="1"/>
  <c r="V5" i="7"/>
  <c r="V14" i="7"/>
  <c r="I14" i="7" s="1"/>
  <c r="F31" i="16"/>
  <c r="F23" i="16"/>
  <c r="F15" i="16"/>
  <c r="F7" i="16"/>
  <c r="G38" i="8"/>
  <c r="D43" i="16"/>
  <c r="S43" i="16" s="1"/>
  <c r="G43" i="8"/>
  <c r="D48" i="16"/>
  <c r="S48" i="16" s="1"/>
  <c r="G48" i="8"/>
  <c r="D40" i="16"/>
  <c r="S40" i="16" s="1"/>
  <c r="G40" i="8"/>
  <c r="L17" i="7" s="1"/>
  <c r="D45" i="16"/>
  <c r="S45" i="16" s="1"/>
  <c r="G45" i="8"/>
  <c r="D7" i="30"/>
  <c r="D9" i="30" s="1"/>
  <c r="D8" i="30"/>
  <c r="D42" i="16"/>
  <c r="S42" i="16" s="1"/>
  <c r="G42" i="8"/>
  <c r="C7" i="30"/>
  <c r="C9" i="30" s="1"/>
  <c r="C8" i="30"/>
  <c r="D47" i="16"/>
  <c r="S47" i="16" s="1"/>
  <c r="G47" i="8"/>
  <c r="D39" i="16"/>
  <c r="G39" i="16" s="1"/>
  <c r="G39" i="8"/>
  <c r="D44" i="16"/>
  <c r="S44" i="16" s="1"/>
  <c r="G44" i="8"/>
  <c r="D49" i="16"/>
  <c r="S49" i="16" s="1"/>
  <c r="G49" i="8"/>
  <c r="L26" i="7" s="1"/>
  <c r="D41" i="16"/>
  <c r="S41" i="16" s="1"/>
  <c r="G41" i="8"/>
  <c r="D46" i="16"/>
  <c r="S46" i="16" s="1"/>
  <c r="G46" i="8"/>
  <c r="N24" i="26"/>
  <c r="N25" i="26" s="1"/>
  <c r="G25" i="26"/>
  <c r="F30" i="27"/>
  <c r="N28" i="26"/>
  <c r="N29" i="26" s="1"/>
  <c r="F29" i="26"/>
  <c r="N23" i="26"/>
  <c r="N26" i="26" s="1"/>
  <c r="N31" i="26"/>
  <c r="N34" i="26" s="1"/>
  <c r="N32" i="26"/>
  <c r="N33" i="26" s="1"/>
  <c r="F26" i="26"/>
  <c r="N31" i="18"/>
  <c r="N34" i="18" s="1"/>
  <c r="N23" i="18"/>
  <c r="N26" i="18" s="1"/>
  <c r="J26" i="18"/>
  <c r="N28" i="18"/>
  <c r="N29" i="18" s="1"/>
  <c r="N27" i="26"/>
  <c r="N30" i="26" s="1"/>
  <c r="I27" i="23"/>
  <c r="I27" i="21"/>
  <c r="V27" i="23"/>
  <c r="AI27" i="23"/>
  <c r="V27" i="21"/>
  <c r="AI27" i="21"/>
  <c r="J27" i="23"/>
  <c r="AJ27" i="21"/>
  <c r="W27" i="23"/>
  <c r="J27" i="21"/>
  <c r="AJ27" i="23"/>
  <c r="W27" i="21"/>
  <c r="AK27" i="21"/>
  <c r="K27" i="23"/>
  <c r="X27" i="23"/>
  <c r="K27" i="21"/>
  <c r="AK27" i="23"/>
  <c r="X27" i="21"/>
  <c r="N25" i="27"/>
  <c r="T27" i="23"/>
  <c r="G27" i="21"/>
  <c r="T27" i="21"/>
  <c r="AG27" i="23"/>
  <c r="AG27" i="21"/>
  <c r="G27" i="23"/>
  <c r="F27" i="21"/>
  <c r="F23" i="35" s="1"/>
  <c r="AF27" i="23"/>
  <c r="F32" i="35" s="1"/>
  <c r="S27" i="21"/>
  <c r="F27" i="35" s="1"/>
  <c r="AF27" i="21"/>
  <c r="F31" i="35" s="1"/>
  <c r="F27" i="23"/>
  <c r="F24" i="35" s="1"/>
  <c r="S27" i="23"/>
  <c r="F28" i="35" s="1"/>
  <c r="T15" i="22"/>
  <c r="N27" i="18"/>
  <c r="N30" i="18" s="1"/>
  <c r="N30" i="27"/>
  <c r="AB41" i="2"/>
  <c r="G4" i="5" s="1"/>
  <c r="H5" i="5" s="1"/>
  <c r="I47" i="12"/>
  <c r="M47" i="12" s="1"/>
  <c r="R49" i="10" s="1"/>
  <c r="U49" i="16" s="1"/>
  <c r="I43" i="12"/>
  <c r="M43" i="12" s="1"/>
  <c r="R45" i="10" s="1"/>
  <c r="U45" i="16" s="1"/>
  <c r="I39" i="12"/>
  <c r="M39" i="12" s="1"/>
  <c r="R41" i="10" s="1"/>
  <c r="U41" i="16" s="1"/>
  <c r="I35" i="12"/>
  <c r="M35" i="12" s="1"/>
  <c r="R37" i="10" s="1"/>
  <c r="U37" i="16" s="1"/>
  <c r="I31" i="12"/>
  <c r="M31" i="12" s="1"/>
  <c r="R33" i="10" s="1"/>
  <c r="U33" i="16" s="1"/>
  <c r="I27" i="12"/>
  <c r="M27" i="12" s="1"/>
  <c r="R29" i="10" s="1"/>
  <c r="U29" i="16" s="1"/>
  <c r="I23" i="12"/>
  <c r="M23" i="12" s="1"/>
  <c r="R25" i="10" s="1"/>
  <c r="U25" i="16" s="1"/>
  <c r="I19" i="12"/>
  <c r="M19" i="12" s="1"/>
  <c r="R21" i="10" s="1"/>
  <c r="U21" i="16" s="1"/>
  <c r="I15" i="12"/>
  <c r="M15" i="12" s="1"/>
  <c r="R17" i="10" s="1"/>
  <c r="U17" i="16" s="1"/>
  <c r="I11" i="12"/>
  <c r="M11" i="12" s="1"/>
  <c r="R13" i="10" s="1"/>
  <c r="U13" i="16" s="1"/>
  <c r="I7" i="12"/>
  <c r="M7" i="12" s="1"/>
  <c r="R9" i="10" s="1"/>
  <c r="U9" i="16" s="1"/>
  <c r="I45" i="12"/>
  <c r="M45" i="12" s="1"/>
  <c r="R47" i="10" s="1"/>
  <c r="U47" i="16" s="1"/>
  <c r="I41" i="12"/>
  <c r="M41" i="12" s="1"/>
  <c r="R43" i="10" s="1"/>
  <c r="U43" i="16" s="1"/>
  <c r="I37" i="12"/>
  <c r="M37" i="12" s="1"/>
  <c r="R39" i="10" s="1"/>
  <c r="U39" i="16" s="1"/>
  <c r="I33" i="12"/>
  <c r="M33" i="12" s="1"/>
  <c r="R35" i="10" s="1"/>
  <c r="U35" i="16" s="1"/>
  <c r="I29" i="12"/>
  <c r="M29" i="12" s="1"/>
  <c r="R31" i="10" s="1"/>
  <c r="U31" i="16" s="1"/>
  <c r="I25" i="12"/>
  <c r="M25" i="12" s="1"/>
  <c r="R27" i="10" s="1"/>
  <c r="U27" i="16" s="1"/>
  <c r="I21" i="12"/>
  <c r="M21" i="12" s="1"/>
  <c r="R23" i="10" s="1"/>
  <c r="U23" i="16" s="1"/>
  <c r="I17" i="12"/>
  <c r="M17" i="12" s="1"/>
  <c r="R19" i="10" s="1"/>
  <c r="U19" i="16" s="1"/>
  <c r="I13" i="12"/>
  <c r="M13" i="12" s="1"/>
  <c r="R15" i="10" s="1"/>
  <c r="U15" i="16" s="1"/>
  <c r="I9" i="12"/>
  <c r="M9" i="12" s="1"/>
  <c r="R11" i="10" s="1"/>
  <c r="U11" i="16" s="1"/>
  <c r="I44" i="12"/>
  <c r="M44" i="12" s="1"/>
  <c r="R46" i="10" s="1"/>
  <c r="U46" i="16" s="1"/>
  <c r="I40" i="12"/>
  <c r="M40" i="12" s="1"/>
  <c r="R42" i="10" s="1"/>
  <c r="U42" i="16" s="1"/>
  <c r="I36" i="12"/>
  <c r="M36" i="12" s="1"/>
  <c r="R38" i="10" s="1"/>
  <c r="U38" i="16" s="1"/>
  <c r="I32" i="12"/>
  <c r="M32" i="12" s="1"/>
  <c r="R34" i="10" s="1"/>
  <c r="U34" i="16" s="1"/>
  <c r="I28" i="12"/>
  <c r="M28" i="12" s="1"/>
  <c r="R30" i="10" s="1"/>
  <c r="U30" i="16" s="1"/>
  <c r="I24" i="12"/>
  <c r="M24" i="12" s="1"/>
  <c r="R26" i="10" s="1"/>
  <c r="U26" i="16" s="1"/>
  <c r="I20" i="12"/>
  <c r="M20" i="12" s="1"/>
  <c r="R22" i="10" s="1"/>
  <c r="U22" i="16" s="1"/>
  <c r="I16" i="12"/>
  <c r="M16" i="12" s="1"/>
  <c r="R18" i="10" s="1"/>
  <c r="U18" i="16" s="1"/>
  <c r="I12" i="12"/>
  <c r="M12" i="12" s="1"/>
  <c r="R14" i="10" s="1"/>
  <c r="U14" i="16" s="1"/>
  <c r="I8" i="12"/>
  <c r="M8" i="12" s="1"/>
  <c r="R10" i="10" s="1"/>
  <c r="U10" i="16" s="1"/>
  <c r="G24" i="8"/>
  <c r="G21" i="8"/>
  <c r="G16" i="8"/>
  <c r="G13" i="8"/>
  <c r="G5" i="8"/>
  <c r="I46" i="12"/>
  <c r="M46" i="12" s="1"/>
  <c r="R48" i="10" s="1"/>
  <c r="U48" i="16" s="1"/>
  <c r="I42" i="12"/>
  <c r="M42" i="12" s="1"/>
  <c r="R44" i="10" s="1"/>
  <c r="U44" i="16" s="1"/>
  <c r="I38" i="12"/>
  <c r="M38" i="12" s="1"/>
  <c r="R40" i="10" s="1"/>
  <c r="U40" i="16" s="1"/>
  <c r="I34" i="12"/>
  <c r="M34" i="12" s="1"/>
  <c r="R36" i="10" s="1"/>
  <c r="U36" i="16" s="1"/>
  <c r="I30" i="12"/>
  <c r="M30" i="12" s="1"/>
  <c r="R32" i="10" s="1"/>
  <c r="U32" i="16" s="1"/>
  <c r="I26" i="12"/>
  <c r="M26" i="12" s="1"/>
  <c r="R28" i="10" s="1"/>
  <c r="U28" i="16" s="1"/>
  <c r="I22" i="12"/>
  <c r="M22" i="12" s="1"/>
  <c r="R24" i="10" s="1"/>
  <c r="U24" i="16" s="1"/>
  <c r="I18" i="12"/>
  <c r="M18" i="12" s="1"/>
  <c r="R20" i="10" s="1"/>
  <c r="U20" i="16" s="1"/>
  <c r="I14" i="12"/>
  <c r="M14" i="12" s="1"/>
  <c r="R16" i="10" s="1"/>
  <c r="U16" i="16" s="1"/>
  <c r="I10" i="12"/>
  <c r="M10" i="12" s="1"/>
  <c r="R12" i="10" s="1"/>
  <c r="U12" i="16" s="1"/>
  <c r="I6" i="12"/>
  <c r="M6" i="12" s="1"/>
  <c r="R8" i="10" s="1"/>
  <c r="U8" i="16" s="1"/>
  <c r="F35" i="16"/>
  <c r="G35" i="16" s="1"/>
  <c r="D33" i="16"/>
  <c r="E30" i="16"/>
  <c r="G30" i="16" s="1"/>
  <c r="F27" i="16"/>
  <c r="D25" i="16"/>
  <c r="S25" i="16" s="1"/>
  <c r="E22" i="16"/>
  <c r="F19" i="16"/>
  <c r="D17" i="16"/>
  <c r="E14" i="16"/>
  <c r="F11" i="16"/>
  <c r="F34" i="16"/>
  <c r="F26" i="16"/>
  <c r="F18" i="16"/>
  <c r="F10" i="16"/>
  <c r="G18" i="8"/>
  <c r="G10" i="8"/>
  <c r="E5" i="16"/>
  <c r="G5" i="16" s="1"/>
  <c r="E37" i="16"/>
  <c r="E29" i="16"/>
  <c r="G29" i="16" s="1"/>
  <c r="E21" i="16"/>
  <c r="G21" i="16" s="1"/>
  <c r="E13" i="16"/>
  <c r="S13" i="16" s="1"/>
  <c r="G37" i="8"/>
  <c r="L14" i="7" s="1"/>
  <c r="G29" i="8"/>
  <c r="L6" i="7" s="1"/>
  <c r="G4" i="8"/>
  <c r="G23" i="8"/>
  <c r="G20" i="8"/>
  <c r="G15" i="8"/>
  <c r="G12" i="8"/>
  <c r="D24" i="16"/>
  <c r="S24" i="16" s="1"/>
  <c r="D36" i="16"/>
  <c r="D8" i="16"/>
  <c r="G8" i="16" s="1"/>
  <c r="D32" i="16"/>
  <c r="D16" i="16"/>
  <c r="E7" i="16"/>
  <c r="F36" i="16"/>
  <c r="D34" i="16"/>
  <c r="E31" i="16"/>
  <c r="G31" i="16" s="1"/>
  <c r="F28" i="16"/>
  <c r="D26" i="16"/>
  <c r="E23" i="16"/>
  <c r="F20" i="16"/>
  <c r="D18" i="16"/>
  <c r="E15" i="16"/>
  <c r="G15" i="16" s="1"/>
  <c r="F12" i="16"/>
  <c r="D10" i="16"/>
  <c r="E4" i="16"/>
  <c r="G36" i="8"/>
  <c r="L13" i="7" s="1"/>
  <c r="G28" i="8"/>
  <c r="L5" i="7" s="1"/>
  <c r="G3" i="8"/>
  <c r="G30" i="8"/>
  <c r="L7" i="7" s="1"/>
  <c r="G32" i="8"/>
  <c r="L9" i="7" s="1"/>
  <c r="G34" i="8"/>
  <c r="L11" i="7" s="1"/>
  <c r="G26" i="8"/>
  <c r="L3" i="7" s="1"/>
  <c r="G2" i="8"/>
  <c r="G31" i="8"/>
  <c r="L8" i="7" s="1"/>
  <c r="D5" i="30"/>
  <c r="F38" i="16"/>
  <c r="G33" i="8"/>
  <c r="L10" i="7" s="1"/>
  <c r="E38" i="16"/>
  <c r="C5" i="30"/>
  <c r="F4" i="16"/>
  <c r="G35" i="8"/>
  <c r="L12" i="7" s="1"/>
  <c r="G27" i="8"/>
  <c r="L4" i="7" s="1"/>
  <c r="L11" i="20"/>
  <c r="N11" i="20" s="1"/>
  <c r="G20" i="7"/>
  <c r="D12" i="7"/>
  <c r="H6" i="7"/>
  <c r="V26" i="7"/>
  <c r="V24" i="7"/>
  <c r="G24" i="7" s="1"/>
  <c r="V18" i="7"/>
  <c r="I18" i="7" s="1"/>
  <c r="V16" i="7"/>
  <c r="D16" i="7" s="1"/>
  <c r="V4" i="7"/>
  <c r="H4" i="7" s="1"/>
  <c r="V10" i="7"/>
  <c r="D10" i="7" s="1"/>
  <c r="V8" i="7"/>
  <c r="D8" i="7" s="1"/>
  <c r="V21" i="7"/>
  <c r="I21" i="7" s="1"/>
  <c r="V11" i="7"/>
  <c r="D11" i="7" s="1"/>
  <c r="V17" i="7"/>
  <c r="V15" i="7"/>
  <c r="D15" i="7" s="1"/>
  <c r="V22" i="7"/>
  <c r="V9" i="7"/>
  <c r="I9" i="7" s="1"/>
  <c r="I29" i="19"/>
  <c r="F21" i="25"/>
  <c r="F26" i="24"/>
  <c r="J26" i="24" s="1"/>
  <c r="M23" i="24"/>
  <c r="L13" i="20"/>
  <c r="N13" i="20" s="1"/>
  <c r="L12" i="20"/>
  <c r="P12" i="20" s="1"/>
  <c r="L4" i="20"/>
  <c r="P4" i="20" s="1"/>
  <c r="L16" i="20"/>
  <c r="P16" i="20" s="1"/>
  <c r="G19" i="26"/>
  <c r="G20" i="26" s="1"/>
  <c r="J19" i="26"/>
  <c r="J20" i="26" s="1"/>
  <c r="I19" i="26"/>
  <c r="I20" i="26" s="1"/>
  <c r="AN4" i="16"/>
  <c r="AO4" i="16" s="1"/>
  <c r="D2" i="16"/>
  <c r="D4" i="16"/>
  <c r="D51" i="10"/>
  <c r="D38" i="16"/>
  <c r="N34" i="27"/>
  <c r="N29" i="27"/>
  <c r="N26" i="27"/>
  <c r="N33" i="27"/>
  <c r="N33" i="18"/>
  <c r="N25" i="18"/>
  <c r="N14" i="20"/>
  <c r="L21" i="20"/>
  <c r="L8" i="20"/>
  <c r="P8" i="20" s="1"/>
  <c r="L17" i="20"/>
  <c r="P17" i="20" s="1"/>
  <c r="L22" i="20"/>
  <c r="L10" i="20"/>
  <c r="N10" i="20" s="1"/>
  <c r="L23" i="20"/>
  <c r="N23" i="20" s="1"/>
  <c r="L18" i="20"/>
  <c r="N18" i="20" s="1"/>
  <c r="L20" i="20"/>
  <c r="N20" i="20" s="1"/>
  <c r="L19" i="20"/>
  <c r="N19" i="20" s="1"/>
  <c r="AN2" i="16"/>
  <c r="AN3" i="16"/>
  <c r="AO3" i="16" s="1"/>
  <c r="AN5" i="16"/>
  <c r="AP5" i="16" s="1"/>
  <c r="AN6" i="16"/>
  <c r="AO6" i="16" s="1"/>
  <c r="AN7" i="16"/>
  <c r="L48" i="10"/>
  <c r="L40" i="10"/>
  <c r="L32" i="10"/>
  <c r="L24" i="10"/>
  <c r="L16" i="10"/>
  <c r="M37" i="10"/>
  <c r="AI37" i="16" s="1"/>
  <c r="M29" i="10"/>
  <c r="AI29" i="16" s="1"/>
  <c r="M21" i="10"/>
  <c r="AI21" i="16" s="1"/>
  <c r="M13" i="10"/>
  <c r="AI13" i="16" s="1"/>
  <c r="M47" i="10"/>
  <c r="O47" i="10" s="1"/>
  <c r="M39" i="10"/>
  <c r="O39" i="10" s="1"/>
  <c r="L47" i="10"/>
  <c r="L39" i="10"/>
  <c r="L31" i="10"/>
  <c r="L23" i="10"/>
  <c r="L15" i="10"/>
  <c r="M36" i="10"/>
  <c r="AI36" i="16" s="1"/>
  <c r="M28" i="10"/>
  <c r="AI28" i="16" s="1"/>
  <c r="M20" i="10"/>
  <c r="AI20" i="16" s="1"/>
  <c r="M12" i="10"/>
  <c r="AI12" i="16" s="1"/>
  <c r="M46" i="10"/>
  <c r="O46" i="10" s="1"/>
  <c r="L46" i="10"/>
  <c r="L38" i="10"/>
  <c r="AH38" i="16" s="1"/>
  <c r="L30" i="10"/>
  <c r="L22" i="10"/>
  <c r="L14" i="10"/>
  <c r="M35" i="10"/>
  <c r="AI35" i="16" s="1"/>
  <c r="M27" i="10"/>
  <c r="AI27" i="16" s="1"/>
  <c r="M19" i="10"/>
  <c r="AI19" i="16" s="1"/>
  <c r="M11" i="10"/>
  <c r="AI11" i="16" s="1"/>
  <c r="M45" i="10"/>
  <c r="O45" i="10" s="1"/>
  <c r="L45" i="10"/>
  <c r="L37" i="10"/>
  <c r="L29" i="10"/>
  <c r="L21" i="10"/>
  <c r="L13" i="10"/>
  <c r="M34" i="10"/>
  <c r="AI34" i="16" s="1"/>
  <c r="M26" i="10"/>
  <c r="AI26" i="16" s="1"/>
  <c r="M18" i="10"/>
  <c r="AI18" i="16" s="1"/>
  <c r="M10" i="10"/>
  <c r="AI10" i="16" s="1"/>
  <c r="M44" i="10"/>
  <c r="O44" i="10" s="1"/>
  <c r="L44" i="10"/>
  <c r="L36" i="10"/>
  <c r="L28" i="10"/>
  <c r="L20" i="10"/>
  <c r="L12" i="10"/>
  <c r="M33" i="10"/>
  <c r="AI33" i="16" s="1"/>
  <c r="M25" i="10"/>
  <c r="AI25" i="16" s="1"/>
  <c r="M17" i="10"/>
  <c r="AI17" i="16" s="1"/>
  <c r="M9" i="10"/>
  <c r="AI9" i="16" s="1"/>
  <c r="M43" i="10"/>
  <c r="O43" i="10" s="1"/>
  <c r="G25" i="16"/>
  <c r="L8" i="10"/>
  <c r="L43" i="10"/>
  <c r="L35" i="10"/>
  <c r="L27" i="10"/>
  <c r="L19" i="10"/>
  <c r="L11" i="10"/>
  <c r="M32" i="10"/>
  <c r="AI32" i="16" s="1"/>
  <c r="M24" i="10"/>
  <c r="AI24" i="16" s="1"/>
  <c r="M16" i="10"/>
  <c r="AI16" i="16" s="1"/>
  <c r="M38" i="10"/>
  <c r="M42" i="10"/>
  <c r="O42" i="10" s="1"/>
  <c r="L9" i="10"/>
  <c r="L42" i="10"/>
  <c r="L34" i="10"/>
  <c r="L26" i="10"/>
  <c r="L18" i="10"/>
  <c r="L10" i="10"/>
  <c r="M31" i="10"/>
  <c r="AI31" i="16" s="1"/>
  <c r="M23" i="10"/>
  <c r="AI23" i="16" s="1"/>
  <c r="M15" i="10"/>
  <c r="AI15" i="16" s="1"/>
  <c r="M49" i="10"/>
  <c r="O49" i="10" s="1"/>
  <c r="M41" i="10"/>
  <c r="O41" i="10" s="1"/>
  <c r="G9" i="16"/>
  <c r="L49" i="10"/>
  <c r="L41" i="10"/>
  <c r="L33" i="10"/>
  <c r="L25" i="10"/>
  <c r="L17" i="10"/>
  <c r="M8" i="10"/>
  <c r="AI8" i="16" s="1"/>
  <c r="M30" i="10"/>
  <c r="AI30" i="16" s="1"/>
  <c r="M22" i="10"/>
  <c r="AI22" i="16" s="1"/>
  <c r="M14" i="10"/>
  <c r="AI14" i="16" s="1"/>
  <c r="M48" i="10"/>
  <c r="O48" i="10" s="1"/>
  <c r="M40" i="10"/>
  <c r="O40" i="10" s="1"/>
  <c r="F3" i="16"/>
  <c r="D3" i="16"/>
  <c r="E2" i="16"/>
  <c r="F2" i="16"/>
  <c r="T2" i="16"/>
  <c r="T10" i="16"/>
  <c r="T18" i="16"/>
  <c r="T26" i="16"/>
  <c r="T34" i="16"/>
  <c r="T3" i="16"/>
  <c r="T11" i="16"/>
  <c r="T19" i="16"/>
  <c r="T27" i="16"/>
  <c r="T35" i="16"/>
  <c r="T4" i="16"/>
  <c r="T12" i="16"/>
  <c r="T20" i="16"/>
  <c r="T28" i="16"/>
  <c r="T36" i="16"/>
  <c r="T5" i="16"/>
  <c r="T13" i="16"/>
  <c r="T21" i="16"/>
  <c r="T29" i="16"/>
  <c r="T37" i="16"/>
  <c r="T6" i="16"/>
  <c r="T14" i="16"/>
  <c r="T22" i="16"/>
  <c r="T30" i="16"/>
  <c r="T7" i="16"/>
  <c r="T15" i="16"/>
  <c r="T23" i="16"/>
  <c r="T31" i="16"/>
  <c r="T8" i="16"/>
  <c r="T16" i="16"/>
  <c r="T24" i="16"/>
  <c r="T32" i="16"/>
  <c r="S33" i="16"/>
  <c r="S9" i="16"/>
  <c r="T9" i="16"/>
  <c r="T17" i="16"/>
  <c r="T25" i="16"/>
  <c r="T33" i="16"/>
  <c r="G11" i="10"/>
  <c r="G5" i="10"/>
  <c r="G45" i="10"/>
  <c r="G37" i="10"/>
  <c r="G29" i="10"/>
  <c r="G21" i="10"/>
  <c r="G26" i="10"/>
  <c r="G10" i="10"/>
  <c r="G9" i="10"/>
  <c r="G7" i="10"/>
  <c r="G47" i="10"/>
  <c r="G39" i="10"/>
  <c r="G31" i="10"/>
  <c r="G23" i="10"/>
  <c r="G15" i="10"/>
  <c r="G4" i="10"/>
  <c r="G44" i="10"/>
  <c r="G36" i="10"/>
  <c r="G28" i="10"/>
  <c r="G20" i="10"/>
  <c r="G12" i="10"/>
  <c r="G49" i="10"/>
  <c r="G41" i="10"/>
  <c r="G33" i="10"/>
  <c r="G25" i="10"/>
  <c r="G17" i="10"/>
  <c r="G6" i="10"/>
  <c r="G46" i="10"/>
  <c r="G38" i="10"/>
  <c r="G30" i="10"/>
  <c r="G22" i="10"/>
  <c r="G14" i="10"/>
  <c r="G3" i="10"/>
  <c r="G43" i="10"/>
  <c r="G35" i="10"/>
  <c r="G27" i="10"/>
  <c r="G19" i="10"/>
  <c r="G8" i="10"/>
  <c r="G48" i="10"/>
  <c r="G40" i="10"/>
  <c r="G32" i="10"/>
  <c r="G24" i="10"/>
  <c r="G16" i="10"/>
  <c r="G13" i="10"/>
  <c r="G2" i="10"/>
  <c r="G42" i="10"/>
  <c r="G34" i="10"/>
  <c r="G18" i="10"/>
  <c r="G7" i="7"/>
  <c r="H14" i="7"/>
  <c r="D14" i="7"/>
  <c r="F5" i="7"/>
  <c r="G5" i="7"/>
  <c r="H5" i="7"/>
  <c r="I5" i="7"/>
  <c r="D5" i="7"/>
  <c r="D26" i="7"/>
  <c r="F26" i="7"/>
  <c r="G26" i="7"/>
  <c r="H26" i="7"/>
  <c r="I26" i="7"/>
  <c r="H18" i="7"/>
  <c r="I16" i="7"/>
  <c r="G16" i="7"/>
  <c r="H16" i="7"/>
  <c r="F24" i="7"/>
  <c r="G21" i="7"/>
  <c r="H21" i="7"/>
  <c r="F13" i="7"/>
  <c r="G13" i="7"/>
  <c r="H13" i="7"/>
  <c r="I13" i="7"/>
  <c r="D13" i="7"/>
  <c r="D25" i="7"/>
  <c r="F25" i="7"/>
  <c r="G25" i="7"/>
  <c r="I25" i="7"/>
  <c r="H25" i="7"/>
  <c r="H23" i="7"/>
  <c r="I23" i="7"/>
  <c r="D23" i="7"/>
  <c r="F23" i="7"/>
  <c r="G23" i="7"/>
  <c r="D19" i="7"/>
  <c r="F19" i="7"/>
  <c r="G19" i="7"/>
  <c r="H19" i="7"/>
  <c r="I19" i="7"/>
  <c r="D17" i="7"/>
  <c r="F17" i="7"/>
  <c r="G17" i="7"/>
  <c r="H17" i="7"/>
  <c r="I17" i="7"/>
  <c r="H15" i="7"/>
  <c r="I15" i="7"/>
  <c r="F15" i="7"/>
  <c r="G15" i="7"/>
  <c r="G22" i="7"/>
  <c r="H22" i="7"/>
  <c r="I22" i="7"/>
  <c r="D22" i="7"/>
  <c r="F22" i="7"/>
  <c r="D6" i="7"/>
  <c r="I20" i="7"/>
  <c r="H20" i="7"/>
  <c r="I6" i="7"/>
  <c r="I4" i="7"/>
  <c r="I8" i="7" l="1"/>
  <c r="F21" i="7"/>
  <c r="D21" i="7"/>
  <c r="F16" i="7"/>
  <c r="K16" i="7" s="1"/>
  <c r="J15" i="9" s="1"/>
  <c r="X15" i="14" s="1"/>
  <c r="H8" i="7"/>
  <c r="G8" i="7"/>
  <c r="F8" i="7"/>
  <c r="I10" i="7"/>
  <c r="H10" i="7"/>
  <c r="H12" i="7"/>
  <c r="I12" i="7"/>
  <c r="G10" i="7"/>
  <c r="F10" i="7"/>
  <c r="F12" i="7"/>
  <c r="S11" i="16"/>
  <c r="G12" i="16"/>
  <c r="F25" i="40"/>
  <c r="N24" i="40"/>
  <c r="N25" i="40" s="1"/>
  <c r="N32" i="40"/>
  <c r="N33" i="40" s="1"/>
  <c r="F33" i="40"/>
  <c r="F26" i="40"/>
  <c r="N23" i="40"/>
  <c r="N26" i="40" s="1"/>
  <c r="F34" i="40"/>
  <c r="N31" i="40"/>
  <c r="N34" i="40" s="1"/>
  <c r="F29" i="40"/>
  <c r="N28" i="40"/>
  <c r="N29" i="40" s="1"/>
  <c r="N27" i="40"/>
  <c r="N30" i="40" s="1"/>
  <c r="F30" i="40"/>
  <c r="K19" i="26"/>
  <c r="K20" i="26" s="1"/>
  <c r="G16" i="16"/>
  <c r="S22" i="16"/>
  <c r="Z22" i="16" s="1"/>
  <c r="AA22" i="16" s="1"/>
  <c r="AF22" i="16" s="1"/>
  <c r="S6" i="16"/>
  <c r="Z6" i="16" s="1"/>
  <c r="AB6" i="16" s="1"/>
  <c r="G32" i="16"/>
  <c r="G37" i="16"/>
  <c r="N38" i="29"/>
  <c r="G11" i="16"/>
  <c r="P7" i="20"/>
  <c r="Y30" i="23"/>
  <c r="Y30" i="21"/>
  <c r="L28" i="21"/>
  <c r="Y28" i="23"/>
  <c r="AL28" i="23"/>
  <c r="AL30" i="23"/>
  <c r="L30" i="21"/>
  <c r="N23" i="38"/>
  <c r="N26" i="38" s="1"/>
  <c r="F26" i="38"/>
  <c r="F30" i="38"/>
  <c r="N27" i="38"/>
  <c r="N30" i="38" s="1"/>
  <c r="N28" i="38"/>
  <c r="N29" i="38" s="1"/>
  <c r="F29" i="38"/>
  <c r="N32" i="38"/>
  <c r="N33" i="38" s="1"/>
  <c r="F33" i="38"/>
  <c r="L30" i="23"/>
  <c r="AL30" i="21"/>
  <c r="N24" i="38"/>
  <c r="N25" i="38" s="1"/>
  <c r="F25" i="38"/>
  <c r="N31" i="38"/>
  <c r="N34" i="38" s="1"/>
  <c r="F34" i="38"/>
  <c r="N5" i="20"/>
  <c r="P13" i="20"/>
  <c r="P15" i="20"/>
  <c r="M19" i="26"/>
  <c r="F19" i="26"/>
  <c r="F20" i="26" s="1"/>
  <c r="N19" i="27"/>
  <c r="N20" i="27" s="1"/>
  <c r="N18" i="37"/>
  <c r="N21" i="37" s="1"/>
  <c r="F21" i="37"/>
  <c r="L25" i="20"/>
  <c r="N25" i="20" s="1"/>
  <c r="K18" i="35"/>
  <c r="P11" i="20"/>
  <c r="N2" i="20"/>
  <c r="F18" i="38"/>
  <c r="G14" i="7"/>
  <c r="F14" i="7"/>
  <c r="F20" i="7"/>
  <c r="K20" i="7" s="1"/>
  <c r="G19" i="9" s="1"/>
  <c r="F6" i="7"/>
  <c r="K6" i="7" s="1"/>
  <c r="J5" i="9" s="1"/>
  <c r="X5" i="14" s="1"/>
  <c r="J5" i="14" s="1"/>
  <c r="S29" i="16"/>
  <c r="Z29" i="16" s="1"/>
  <c r="AA29" i="16" s="1"/>
  <c r="G33" i="16"/>
  <c r="G17" i="16"/>
  <c r="S27" i="16"/>
  <c r="Z27" i="16" s="1"/>
  <c r="AA27" i="16" s="1"/>
  <c r="AF27" i="16" s="1"/>
  <c r="G6" i="16"/>
  <c r="G23" i="16"/>
  <c r="S14" i="16"/>
  <c r="Z14" i="16" s="1"/>
  <c r="AB14" i="16" s="1"/>
  <c r="S34" i="16"/>
  <c r="Z34" i="16" s="1"/>
  <c r="AA34" i="16" s="1"/>
  <c r="AF34" i="16" s="1"/>
  <c r="S18" i="16"/>
  <c r="Z18" i="16" s="1"/>
  <c r="AB18" i="16" s="1"/>
  <c r="S30" i="16"/>
  <c r="Z30" i="16" s="1"/>
  <c r="AA30" i="16" s="1"/>
  <c r="AF30" i="16" s="1"/>
  <c r="S19" i="16"/>
  <c r="Z19" i="16" s="1"/>
  <c r="S20" i="16"/>
  <c r="Z20" i="16" s="1"/>
  <c r="L18" i="7"/>
  <c r="S5" i="16"/>
  <c r="G13" i="16"/>
  <c r="L24" i="7"/>
  <c r="G15" i="11"/>
  <c r="W38" i="16" s="1"/>
  <c r="S28" i="16"/>
  <c r="Z28" i="16" s="1"/>
  <c r="AA28" i="16" s="1"/>
  <c r="G19" i="16"/>
  <c r="G20" i="16"/>
  <c r="N16" i="20"/>
  <c r="N6" i="20"/>
  <c r="N3" i="20"/>
  <c r="F29" i="20"/>
  <c r="G19" i="37" s="1"/>
  <c r="G20" i="37" s="1"/>
  <c r="E29" i="20"/>
  <c r="G29" i="20"/>
  <c r="I19" i="37" s="1"/>
  <c r="I20" i="37" s="1"/>
  <c r="I29" i="20"/>
  <c r="K19" i="37" s="1"/>
  <c r="K20" i="37" s="1"/>
  <c r="H29" i="20"/>
  <c r="J19" i="37" s="1"/>
  <c r="J20" i="37" s="1"/>
  <c r="J29" i="20"/>
  <c r="M19" i="37" s="1"/>
  <c r="P22" i="20"/>
  <c r="N22" i="20"/>
  <c r="P21" i="20"/>
  <c r="N21" i="20"/>
  <c r="AP6" i="16"/>
  <c r="AQ6" i="16" s="1"/>
  <c r="S12" i="16"/>
  <c r="Z12" i="16" s="1"/>
  <c r="AA12" i="16" s="1"/>
  <c r="AF12" i="16" s="1"/>
  <c r="S15" i="16"/>
  <c r="Z15" i="16" s="1"/>
  <c r="S31" i="16"/>
  <c r="Z31" i="16" s="1"/>
  <c r="G36" i="16"/>
  <c r="S37" i="16"/>
  <c r="Z37" i="16" s="1"/>
  <c r="AA37" i="16" s="1"/>
  <c r="AF37" i="16" s="1"/>
  <c r="G7" i="16"/>
  <c r="D24" i="7"/>
  <c r="F7" i="7"/>
  <c r="I11" i="7"/>
  <c r="I24" i="7"/>
  <c r="D7" i="7"/>
  <c r="H11" i="7"/>
  <c r="I7" i="7"/>
  <c r="G11" i="7"/>
  <c r="F11" i="7"/>
  <c r="H9" i="7"/>
  <c r="H24" i="7"/>
  <c r="N23" i="36"/>
  <c r="N26" i="36" s="1"/>
  <c r="F26" i="36"/>
  <c r="J27" i="25"/>
  <c r="J30" i="25" s="1"/>
  <c r="J27" i="35"/>
  <c r="J30" i="35" s="1"/>
  <c r="F33" i="35"/>
  <c r="J32" i="25"/>
  <c r="J33" i="25" s="1"/>
  <c r="J32" i="35"/>
  <c r="J33" i="35" s="1"/>
  <c r="I28" i="25"/>
  <c r="I29" i="25" s="1"/>
  <c r="I28" i="35"/>
  <c r="I29" i="35" s="1"/>
  <c r="F30" i="35"/>
  <c r="F26" i="35"/>
  <c r="K27" i="25"/>
  <c r="K30" i="25" s="1"/>
  <c r="K27" i="35"/>
  <c r="K30" i="35" s="1"/>
  <c r="J23" i="25"/>
  <c r="J26" i="25" s="1"/>
  <c r="J23" i="35"/>
  <c r="J26" i="35" s="1"/>
  <c r="I23" i="25"/>
  <c r="I26" i="25" s="1"/>
  <c r="I23" i="35"/>
  <c r="I26" i="35" s="1"/>
  <c r="N32" i="36"/>
  <c r="N33" i="36" s="1"/>
  <c r="F33" i="36"/>
  <c r="G24" i="25"/>
  <c r="G25" i="25" s="1"/>
  <c r="G24" i="35"/>
  <c r="G25" i="35" s="1"/>
  <c r="J28" i="25"/>
  <c r="J29" i="25" s="1"/>
  <c r="J28" i="35"/>
  <c r="J29" i="35" s="1"/>
  <c r="G31" i="25"/>
  <c r="G34" i="25" s="1"/>
  <c r="G31" i="35"/>
  <c r="G34" i="35" s="1"/>
  <c r="K23" i="25"/>
  <c r="K26" i="25" s="1"/>
  <c r="K23" i="35"/>
  <c r="K26" i="35" s="1"/>
  <c r="J31" i="25"/>
  <c r="J34" i="25" s="1"/>
  <c r="J31" i="35"/>
  <c r="J34" i="35" s="1"/>
  <c r="N24" i="36"/>
  <c r="N25" i="36" s="1"/>
  <c r="F25" i="36"/>
  <c r="F29" i="35"/>
  <c r="G32" i="25"/>
  <c r="G33" i="25" s="1"/>
  <c r="G32" i="35"/>
  <c r="G33" i="35" s="1"/>
  <c r="K28" i="25"/>
  <c r="K29" i="25" s="1"/>
  <c r="K28" i="35"/>
  <c r="K29" i="35" s="1"/>
  <c r="J24" i="25"/>
  <c r="J25" i="25" s="1"/>
  <c r="J24" i="35"/>
  <c r="J25" i="35" s="1"/>
  <c r="N31" i="36"/>
  <c r="N34" i="36" s="1"/>
  <c r="F34" i="36"/>
  <c r="F25" i="35"/>
  <c r="G27" i="25"/>
  <c r="G30" i="25" s="1"/>
  <c r="G27" i="35"/>
  <c r="G30" i="35" s="1"/>
  <c r="K24" i="25"/>
  <c r="K25" i="25" s="1"/>
  <c r="K24" i="35"/>
  <c r="K25" i="35" s="1"/>
  <c r="I31" i="25"/>
  <c r="I34" i="25" s="1"/>
  <c r="I31" i="35"/>
  <c r="I34" i="35" s="1"/>
  <c r="F29" i="36"/>
  <c r="N28" i="36"/>
  <c r="N29" i="36" s="1"/>
  <c r="K32" i="25"/>
  <c r="K33" i="25" s="1"/>
  <c r="K32" i="35"/>
  <c r="K33" i="35" s="1"/>
  <c r="F34" i="35"/>
  <c r="G23" i="25"/>
  <c r="G26" i="25" s="1"/>
  <c r="G23" i="35"/>
  <c r="G26" i="35" s="1"/>
  <c r="K31" i="25"/>
  <c r="K34" i="25" s="1"/>
  <c r="K31" i="35"/>
  <c r="K34" i="35" s="1"/>
  <c r="I27" i="25"/>
  <c r="I30" i="25" s="1"/>
  <c r="I27" i="35"/>
  <c r="I30" i="35" s="1"/>
  <c r="I24" i="25"/>
  <c r="I25" i="25" s="1"/>
  <c r="I24" i="35"/>
  <c r="I25" i="35" s="1"/>
  <c r="G28" i="25"/>
  <c r="G29" i="25" s="1"/>
  <c r="G28" i="35"/>
  <c r="G29" i="35" s="1"/>
  <c r="I32" i="25"/>
  <c r="I33" i="25" s="1"/>
  <c r="I32" i="35"/>
  <c r="I33" i="35" s="1"/>
  <c r="F30" i="36"/>
  <c r="N27" i="36"/>
  <c r="N30" i="36" s="1"/>
  <c r="G4" i="7"/>
  <c r="G9" i="7"/>
  <c r="F9" i="7"/>
  <c r="F4" i="7"/>
  <c r="D9" i="7"/>
  <c r="D4" i="7"/>
  <c r="G4" i="16"/>
  <c r="S8" i="16"/>
  <c r="Z8" i="16" s="1"/>
  <c r="S17" i="16"/>
  <c r="Z17" i="16" s="1"/>
  <c r="S26" i="16"/>
  <c r="Z26" i="16" s="1"/>
  <c r="N15" i="11"/>
  <c r="S15" i="11" s="1"/>
  <c r="AM38" i="16" s="1"/>
  <c r="H18" i="11"/>
  <c r="X41" i="16" s="1"/>
  <c r="H16" i="11"/>
  <c r="X39" i="16" s="1"/>
  <c r="G43" i="16"/>
  <c r="G40" i="16"/>
  <c r="G48" i="16"/>
  <c r="G42" i="16"/>
  <c r="G49" i="16"/>
  <c r="H6" i="5"/>
  <c r="H3" i="5"/>
  <c r="S36" i="16"/>
  <c r="Z36" i="16" s="1"/>
  <c r="G45" i="16"/>
  <c r="S32" i="16"/>
  <c r="Z32" i="16" s="1"/>
  <c r="G44" i="16"/>
  <c r="S4" i="16"/>
  <c r="Z4" i="16" s="1"/>
  <c r="S10" i="16"/>
  <c r="Z10" i="16" s="1"/>
  <c r="G14" i="16"/>
  <c r="G18" i="11"/>
  <c r="W41" i="16" s="1"/>
  <c r="D18" i="11"/>
  <c r="G24" i="11"/>
  <c r="W47" i="16" s="1"/>
  <c r="D24" i="11"/>
  <c r="G22" i="11"/>
  <c r="W45" i="16" s="1"/>
  <c r="D22" i="11"/>
  <c r="G26" i="11"/>
  <c r="W49" i="16" s="1"/>
  <c r="D26" i="11"/>
  <c r="G17" i="11"/>
  <c r="W40" i="16" s="1"/>
  <c r="D17" i="11"/>
  <c r="G21" i="11"/>
  <c r="W44" i="16" s="1"/>
  <c r="D21" i="11"/>
  <c r="G19" i="11"/>
  <c r="W42" i="16" s="1"/>
  <c r="D19" i="11"/>
  <c r="G25" i="11"/>
  <c r="W48" i="16" s="1"/>
  <c r="D25" i="11"/>
  <c r="G23" i="11"/>
  <c r="W46" i="16" s="1"/>
  <c r="D23" i="11"/>
  <c r="G41" i="16"/>
  <c r="G16" i="11"/>
  <c r="W39" i="16" s="1"/>
  <c r="D16" i="11"/>
  <c r="N39" i="29"/>
  <c r="G20" i="11"/>
  <c r="W43" i="16" s="1"/>
  <c r="D20" i="11"/>
  <c r="B7" i="30"/>
  <c r="B9" i="30" s="1"/>
  <c r="E9" i="30" s="1"/>
  <c r="S39" i="16"/>
  <c r="B8" i="30"/>
  <c r="N12" i="20"/>
  <c r="K18" i="25"/>
  <c r="K21" i="25" s="1"/>
  <c r="K18" i="36"/>
  <c r="N4" i="20"/>
  <c r="G28" i="16"/>
  <c r="AO5" i="16"/>
  <c r="AQ5" i="16" s="1"/>
  <c r="S16" i="16"/>
  <c r="Z16" i="16" s="1"/>
  <c r="G34" i="16"/>
  <c r="AP3" i="16"/>
  <c r="AQ3" i="16" s="1"/>
  <c r="AP4" i="16"/>
  <c r="AQ4" i="16" s="1"/>
  <c r="AL27" i="21"/>
  <c r="F31" i="25"/>
  <c r="L27" i="23"/>
  <c r="F24" i="25"/>
  <c r="F32" i="25"/>
  <c r="AL27" i="23"/>
  <c r="Y27" i="21"/>
  <c r="F27" i="25"/>
  <c r="F30" i="25" s="1"/>
  <c r="L27" i="21"/>
  <c r="F23" i="25"/>
  <c r="Y27" i="23"/>
  <c r="F28" i="25"/>
  <c r="H7" i="5"/>
  <c r="J3" i="5"/>
  <c r="J44" i="29" s="1"/>
  <c r="H4" i="5"/>
  <c r="H8" i="5"/>
  <c r="G24" i="16"/>
  <c r="G10" i="16"/>
  <c r="S35" i="16"/>
  <c r="Z35" i="16" s="1"/>
  <c r="G27" i="16"/>
  <c r="Z13" i="16"/>
  <c r="AA13" i="16" s="1"/>
  <c r="AF13" i="16" s="1"/>
  <c r="G22" i="16"/>
  <c r="S21" i="16"/>
  <c r="Z21" i="16" s="1"/>
  <c r="G26" i="16"/>
  <c r="G18" i="16"/>
  <c r="G2" i="16"/>
  <c r="I16" i="11"/>
  <c r="Y39" i="16" s="1"/>
  <c r="H25" i="11"/>
  <c r="X48" i="16" s="1"/>
  <c r="Q15" i="11"/>
  <c r="I18" i="11"/>
  <c r="Y41" i="16" s="1"/>
  <c r="I25" i="11"/>
  <c r="Y48" i="16" s="1"/>
  <c r="L25" i="7"/>
  <c r="G46" i="16"/>
  <c r="H17" i="11"/>
  <c r="X40" i="16" s="1"/>
  <c r="I17" i="11"/>
  <c r="Y40" i="16" s="1"/>
  <c r="S7" i="16"/>
  <c r="Z7" i="16" s="1"/>
  <c r="G47" i="16"/>
  <c r="L16" i="7"/>
  <c r="G3" i="16"/>
  <c r="I24" i="11"/>
  <c r="Y47" i="16" s="1"/>
  <c r="I26" i="11"/>
  <c r="Y49" i="16" s="1"/>
  <c r="S23" i="16"/>
  <c r="Z23" i="16" s="1"/>
  <c r="H26" i="11"/>
  <c r="X49" i="16" s="1"/>
  <c r="H24" i="11"/>
  <c r="X47" i="16" s="1"/>
  <c r="L19" i="7"/>
  <c r="H19" i="11"/>
  <c r="X42" i="16" s="1"/>
  <c r="I19" i="11"/>
  <c r="Y42" i="16" s="1"/>
  <c r="L22" i="7"/>
  <c r="I22" i="11"/>
  <c r="Y45" i="16" s="1"/>
  <c r="H22" i="11"/>
  <c r="X45" i="16" s="1"/>
  <c r="I23" i="11"/>
  <c r="Y46" i="16" s="1"/>
  <c r="H23" i="11"/>
  <c r="X46" i="16" s="1"/>
  <c r="L23" i="7"/>
  <c r="H21" i="11"/>
  <c r="X44" i="16" s="1"/>
  <c r="L21" i="7"/>
  <c r="I21" i="11"/>
  <c r="Y44" i="16" s="1"/>
  <c r="D15" i="11"/>
  <c r="L15" i="7"/>
  <c r="I15" i="11"/>
  <c r="H15" i="11"/>
  <c r="E5" i="30"/>
  <c r="H20" i="11"/>
  <c r="X43" i="16" s="1"/>
  <c r="L20" i="7"/>
  <c r="I20" i="11"/>
  <c r="Y43" i="16" s="1"/>
  <c r="G18" i="7"/>
  <c r="F18" i="7"/>
  <c r="D18" i="7"/>
  <c r="G38" i="16"/>
  <c r="S38" i="16"/>
  <c r="N17" i="20"/>
  <c r="N8" i="20"/>
  <c r="P10" i="20"/>
  <c r="P23" i="20"/>
  <c r="P18" i="20"/>
  <c r="Z33" i="16"/>
  <c r="Z9" i="16"/>
  <c r="AA9" i="16" s="1"/>
  <c r="AF9" i="16" s="1"/>
  <c r="Z11" i="16"/>
  <c r="AB11" i="16" s="1"/>
  <c r="P20" i="20"/>
  <c r="P24" i="20"/>
  <c r="P19" i="20"/>
  <c r="N48" i="10"/>
  <c r="AH41" i="16"/>
  <c r="AH10" i="16"/>
  <c r="AN10" i="16" s="1"/>
  <c r="AP10" i="16" s="1"/>
  <c r="N10" i="10"/>
  <c r="O10" i="10"/>
  <c r="AH27" i="16"/>
  <c r="AN27" i="16" s="1"/>
  <c r="AO27" i="16" s="1"/>
  <c r="N27" i="10"/>
  <c r="O27" i="10"/>
  <c r="AH12" i="16"/>
  <c r="AN12" i="16" s="1"/>
  <c r="AP12" i="16" s="1"/>
  <c r="N12" i="10"/>
  <c r="O12" i="10"/>
  <c r="AH46" i="16"/>
  <c r="AH31" i="16"/>
  <c r="AN31" i="16" s="1"/>
  <c r="AP31" i="16" s="1"/>
  <c r="N31" i="10"/>
  <c r="O31" i="10"/>
  <c r="AH49" i="16"/>
  <c r="AH18" i="16"/>
  <c r="AN18" i="16" s="1"/>
  <c r="AP18" i="16" s="1"/>
  <c r="N18" i="10"/>
  <c r="O18" i="10"/>
  <c r="N42" i="10"/>
  <c r="AH35" i="16"/>
  <c r="AN35" i="16" s="1"/>
  <c r="AO35" i="16" s="1"/>
  <c r="N35" i="10"/>
  <c r="O35" i="10"/>
  <c r="AH20" i="16"/>
  <c r="AN20" i="16" s="1"/>
  <c r="AO20" i="16" s="1"/>
  <c r="N20" i="10"/>
  <c r="O20" i="10"/>
  <c r="N46" i="10"/>
  <c r="AH39" i="16"/>
  <c r="AH16" i="16"/>
  <c r="AN16" i="16" s="1"/>
  <c r="N16" i="10"/>
  <c r="O16" i="10"/>
  <c r="AH26" i="16"/>
  <c r="AN26" i="16" s="1"/>
  <c r="N26" i="10"/>
  <c r="O26" i="10"/>
  <c r="N38" i="10"/>
  <c r="O38" i="10"/>
  <c r="AH43" i="16"/>
  <c r="AH28" i="16"/>
  <c r="AN28" i="16" s="1"/>
  <c r="AP28" i="16" s="1"/>
  <c r="N28" i="10"/>
  <c r="O28" i="10"/>
  <c r="AH13" i="16"/>
  <c r="AN13" i="16" s="1"/>
  <c r="AO13" i="16" s="1"/>
  <c r="N13" i="10"/>
  <c r="O13" i="10"/>
  <c r="AH47" i="16"/>
  <c r="AH24" i="16"/>
  <c r="AN24" i="16" s="1"/>
  <c r="N24" i="10"/>
  <c r="O24" i="10"/>
  <c r="N41" i="10"/>
  <c r="AH34" i="16"/>
  <c r="AN34" i="16" s="1"/>
  <c r="N34" i="10"/>
  <c r="O34" i="10"/>
  <c r="AH8" i="16"/>
  <c r="AN8" i="16" s="1"/>
  <c r="N8" i="10"/>
  <c r="O8" i="10"/>
  <c r="N43" i="10"/>
  <c r="AH36" i="16"/>
  <c r="AN36" i="16" s="1"/>
  <c r="AO36" i="16" s="1"/>
  <c r="N36" i="10"/>
  <c r="O36" i="10"/>
  <c r="AH21" i="16"/>
  <c r="AN21" i="16" s="1"/>
  <c r="AP21" i="16" s="1"/>
  <c r="N21" i="10"/>
  <c r="O21" i="10"/>
  <c r="N39" i="10"/>
  <c r="AH32" i="16"/>
  <c r="AN32" i="16" s="1"/>
  <c r="N32" i="10"/>
  <c r="O32" i="10"/>
  <c r="AO7" i="16"/>
  <c r="AP7" i="16"/>
  <c r="N49" i="10"/>
  <c r="AH42" i="16"/>
  <c r="AH44" i="16"/>
  <c r="AH29" i="16"/>
  <c r="AN29" i="16" s="1"/>
  <c r="AO29" i="16" s="1"/>
  <c r="N29" i="10"/>
  <c r="O29" i="10"/>
  <c r="AH14" i="16"/>
  <c r="AN14" i="16" s="1"/>
  <c r="N14" i="10"/>
  <c r="O14" i="10"/>
  <c r="N47" i="10"/>
  <c r="AH40" i="16"/>
  <c r="AO2" i="16"/>
  <c r="AP2" i="16"/>
  <c r="AH17" i="16"/>
  <c r="AN17" i="16" s="1"/>
  <c r="AP17" i="16" s="1"/>
  <c r="N17" i="10"/>
  <c r="O17" i="10"/>
  <c r="AH9" i="16"/>
  <c r="AN9" i="16" s="1"/>
  <c r="AO9" i="16" s="1"/>
  <c r="N9" i="10"/>
  <c r="O9" i="10"/>
  <c r="N44" i="10"/>
  <c r="AH37" i="16"/>
  <c r="AN37" i="16" s="1"/>
  <c r="N37" i="10"/>
  <c r="O37" i="10"/>
  <c r="AH22" i="16"/>
  <c r="AN22" i="16" s="1"/>
  <c r="N22" i="10"/>
  <c r="O22" i="10"/>
  <c r="AH48" i="16"/>
  <c r="AH25" i="16"/>
  <c r="AN25" i="16" s="1"/>
  <c r="AO25" i="16" s="1"/>
  <c r="N25" i="10"/>
  <c r="O25" i="10"/>
  <c r="AH11" i="16"/>
  <c r="AN11" i="16" s="1"/>
  <c r="N11" i="10"/>
  <c r="O11" i="10"/>
  <c r="AH45" i="16"/>
  <c r="AH30" i="16"/>
  <c r="AN30" i="16" s="1"/>
  <c r="N30" i="10"/>
  <c r="O30" i="10"/>
  <c r="AH15" i="16"/>
  <c r="AN15" i="16" s="1"/>
  <c r="N15" i="10"/>
  <c r="O15" i="10"/>
  <c r="S2" i="16"/>
  <c r="Z2" i="16" s="1"/>
  <c r="N40" i="10"/>
  <c r="AH33" i="16"/>
  <c r="AN33" i="16" s="1"/>
  <c r="AO33" i="16" s="1"/>
  <c r="N33" i="10"/>
  <c r="O33" i="10"/>
  <c r="AH19" i="16"/>
  <c r="AN19" i="16" s="1"/>
  <c r="N19" i="10"/>
  <c r="O19" i="10"/>
  <c r="N45" i="10"/>
  <c r="AH23" i="16"/>
  <c r="AN23" i="16" s="1"/>
  <c r="N23" i="10"/>
  <c r="O23" i="10"/>
  <c r="N20" i="11"/>
  <c r="N13" i="11"/>
  <c r="D13" i="11" s="1"/>
  <c r="N4" i="11"/>
  <c r="D4" i="11" s="1"/>
  <c r="N23" i="11"/>
  <c r="N16" i="11"/>
  <c r="Q16" i="11" s="1"/>
  <c r="AK39" i="16" s="1"/>
  <c r="N14" i="11"/>
  <c r="D14" i="11" s="1"/>
  <c r="N12" i="11"/>
  <c r="D12" i="11" s="1"/>
  <c r="N5" i="11"/>
  <c r="D5" i="11" s="1"/>
  <c r="N24" i="11"/>
  <c r="N22" i="11"/>
  <c r="Z5" i="16"/>
  <c r="AB5" i="16" s="1"/>
  <c r="N9" i="11"/>
  <c r="D9" i="11" s="1"/>
  <c r="N21" i="11"/>
  <c r="N17" i="11"/>
  <c r="Q17" i="11" s="1"/>
  <c r="AK40" i="16" s="1"/>
  <c r="N10" i="11"/>
  <c r="D10" i="11" s="1"/>
  <c r="N11" i="11"/>
  <c r="D11" i="11" s="1"/>
  <c r="N25" i="11"/>
  <c r="N18" i="11"/>
  <c r="Q18" i="11" s="1"/>
  <c r="AK41" i="16" s="1"/>
  <c r="N3" i="11"/>
  <c r="D3" i="11" s="1"/>
  <c r="S3" i="16"/>
  <c r="Z3" i="16" s="1"/>
  <c r="N19" i="11"/>
  <c r="Q19" i="11" s="1"/>
  <c r="AK42" i="16" s="1"/>
  <c r="N7" i="11"/>
  <c r="D7" i="11" s="1"/>
  <c r="N26" i="11"/>
  <c r="N8" i="11"/>
  <c r="D8" i="11" s="1"/>
  <c r="N6" i="11"/>
  <c r="D6" i="11" s="1"/>
  <c r="Z24" i="16"/>
  <c r="Z25" i="16"/>
  <c r="K15" i="7"/>
  <c r="H14" i="9" s="1"/>
  <c r="R24" i="18" s="1"/>
  <c r="K26" i="7"/>
  <c r="I25" i="9" s="1"/>
  <c r="W25" i="14" s="1"/>
  <c r="K22" i="7"/>
  <c r="H21" i="9" s="1"/>
  <c r="K5" i="7"/>
  <c r="K25" i="7"/>
  <c r="J24" i="9" s="1"/>
  <c r="K19" i="7"/>
  <c r="J18" i="9" s="1"/>
  <c r="X18" i="14" s="1"/>
  <c r="K17" i="7"/>
  <c r="H16" i="9" s="1"/>
  <c r="V16" i="14" s="1"/>
  <c r="K23" i="7"/>
  <c r="G22" i="9" s="1"/>
  <c r="U22" i="14" s="1"/>
  <c r="K13" i="7"/>
  <c r="I3" i="7"/>
  <c r="D3" i="7"/>
  <c r="H3" i="7"/>
  <c r="G3" i="7"/>
  <c r="F3" i="7"/>
  <c r="K21" i="7" l="1"/>
  <c r="J20" i="9" s="1"/>
  <c r="X20" i="14" s="1"/>
  <c r="J20" i="14" s="1"/>
  <c r="K14" i="7"/>
  <c r="H13" i="9" s="1"/>
  <c r="K8" i="7"/>
  <c r="H7" i="9" s="1"/>
  <c r="V7" i="14" s="1"/>
  <c r="H7" i="14" s="1"/>
  <c r="K9" i="7"/>
  <c r="E8" i="9" s="1"/>
  <c r="K12" i="7"/>
  <c r="I11" i="9" s="1"/>
  <c r="W11" i="14" s="1"/>
  <c r="I11" i="14" s="1"/>
  <c r="K10" i="7"/>
  <c r="H9" i="9" s="1"/>
  <c r="V9" i="14" s="1"/>
  <c r="H9" i="14" s="1"/>
  <c r="V14" i="14"/>
  <c r="H14" i="14" s="1"/>
  <c r="K7" i="7"/>
  <c r="P7" i="7" s="1"/>
  <c r="R23" i="40"/>
  <c r="AB15" i="40"/>
  <c r="K24" i="7"/>
  <c r="H23" i="9" s="1"/>
  <c r="U19" i="14"/>
  <c r="H11" i="40" s="1"/>
  <c r="X24" i="14"/>
  <c r="J24" i="14" s="1"/>
  <c r="V21" i="14"/>
  <c r="H21" i="14" s="1"/>
  <c r="I25" i="14"/>
  <c r="P25" i="20"/>
  <c r="L29" i="20"/>
  <c r="N19" i="26"/>
  <c r="N20" i="26" s="1"/>
  <c r="F19" i="37"/>
  <c r="F20" i="37" s="1"/>
  <c r="K21" i="35"/>
  <c r="N18" i="35"/>
  <c r="N21" i="35" s="1"/>
  <c r="E30" i="20"/>
  <c r="F30" i="20"/>
  <c r="G19" i="38" s="1"/>
  <c r="G20" i="38" s="1"/>
  <c r="G30" i="20"/>
  <c r="I19" i="38" s="1"/>
  <c r="I20" i="38" s="1"/>
  <c r="J30" i="20"/>
  <c r="M19" i="38" s="1"/>
  <c r="H30" i="20"/>
  <c r="J19" i="38" s="1"/>
  <c r="J20" i="38" s="1"/>
  <c r="I30" i="20"/>
  <c r="K19" i="38" s="1"/>
  <c r="K20" i="38" s="1"/>
  <c r="F21" i="38"/>
  <c r="N18" i="38"/>
  <c r="N21" i="38" s="1"/>
  <c r="R26" i="38"/>
  <c r="AE15" i="38"/>
  <c r="R15" i="11"/>
  <c r="AL38" i="16" s="1"/>
  <c r="N38" i="16"/>
  <c r="R38" i="16" s="1"/>
  <c r="J42" i="8"/>
  <c r="J49" i="29"/>
  <c r="K18" i="7"/>
  <c r="I17" i="9" s="1"/>
  <c r="W17" i="14" s="1"/>
  <c r="H11" i="9"/>
  <c r="V11" i="14" s="1"/>
  <c r="H11" i="14" s="1"/>
  <c r="K4" i="7"/>
  <c r="I3" i="9" s="1"/>
  <c r="W3" i="14" s="1"/>
  <c r="I3" i="14" s="1"/>
  <c r="E22" i="9"/>
  <c r="K11" i="7"/>
  <c r="G10" i="9" s="1"/>
  <c r="U10" i="14" s="1"/>
  <c r="G10" i="14" s="1"/>
  <c r="G20" i="9"/>
  <c r="E24" i="9"/>
  <c r="J22" i="9"/>
  <c r="G28" i="20"/>
  <c r="I19" i="36" s="1"/>
  <c r="I20" i="36" s="1"/>
  <c r="E28" i="20"/>
  <c r="I28" i="20"/>
  <c r="K19" i="36" s="1"/>
  <c r="K20" i="36" s="1"/>
  <c r="F28" i="20"/>
  <c r="G19" i="36" s="1"/>
  <c r="G20" i="36" s="1"/>
  <c r="H28" i="20"/>
  <c r="J19" i="36" s="1"/>
  <c r="J20" i="36" s="1"/>
  <c r="J28" i="20"/>
  <c r="M19" i="36" s="1"/>
  <c r="N24" i="35"/>
  <c r="N25" i="35" s="1"/>
  <c r="N32" i="35"/>
  <c r="N33" i="35" s="1"/>
  <c r="N23" i="35"/>
  <c r="N26" i="35" s="1"/>
  <c r="N27" i="35"/>
  <c r="N30" i="35" s="1"/>
  <c r="N28" i="35"/>
  <c r="N29" i="35" s="1"/>
  <c r="N31" i="35"/>
  <c r="N34" i="35" s="1"/>
  <c r="R24" i="36"/>
  <c r="AC15" i="36"/>
  <c r="R26" i="35"/>
  <c r="AE15" i="35"/>
  <c r="J15" i="14"/>
  <c r="G22" i="14"/>
  <c r="K19" i="9"/>
  <c r="F19" i="9"/>
  <c r="E16" i="9"/>
  <c r="S16" i="14" s="1"/>
  <c r="G24" i="9"/>
  <c r="U24" i="14" s="1"/>
  <c r="E19" i="9"/>
  <c r="K22" i="9"/>
  <c r="Y22" i="14" s="1"/>
  <c r="F22" i="9"/>
  <c r="F25" i="9"/>
  <c r="K25" i="9"/>
  <c r="G16" i="9"/>
  <c r="U16" i="14" s="1"/>
  <c r="H22" i="9"/>
  <c r="V22" i="14" s="1"/>
  <c r="H20" i="9"/>
  <c r="K21" i="9"/>
  <c r="Y21" i="14" s="1"/>
  <c r="F21" i="9"/>
  <c r="K15" i="9"/>
  <c r="Y15" i="14" s="1"/>
  <c r="F15" i="9"/>
  <c r="T15" i="14" s="1"/>
  <c r="I19" i="9"/>
  <c r="J21" i="9"/>
  <c r="X21" i="14" s="1"/>
  <c r="H24" i="9"/>
  <c r="V24" i="14" s="1"/>
  <c r="J25" i="9"/>
  <c r="K16" i="9"/>
  <c r="Y16" i="14" s="1"/>
  <c r="F16" i="9"/>
  <c r="T16" i="14" s="1"/>
  <c r="F23" i="9"/>
  <c r="K18" i="9"/>
  <c r="Y18" i="14" s="1"/>
  <c r="F18" i="9"/>
  <c r="T18" i="14" s="1"/>
  <c r="G18" i="9"/>
  <c r="U18" i="14" s="1"/>
  <c r="I21" i="9"/>
  <c r="E18" i="9"/>
  <c r="S18" i="14" s="1"/>
  <c r="E20" i="9"/>
  <c r="S20" i="14" s="1"/>
  <c r="J19" i="9"/>
  <c r="J16" i="9"/>
  <c r="X16" i="14" s="1"/>
  <c r="I16" i="9"/>
  <c r="W16" i="14" s="1"/>
  <c r="I20" i="9"/>
  <c r="W20" i="14" s="1"/>
  <c r="I22" i="9"/>
  <c r="F24" i="9"/>
  <c r="T24" i="14" s="1"/>
  <c r="K24" i="9"/>
  <c r="Y24" i="14" s="1"/>
  <c r="K20" i="9"/>
  <c r="Y20" i="14" s="1"/>
  <c r="F20" i="9"/>
  <c r="P20" i="7"/>
  <c r="E25" i="9"/>
  <c r="S25" i="14" s="1"/>
  <c r="AA25" i="14" s="1"/>
  <c r="G25" i="9"/>
  <c r="H25" i="9"/>
  <c r="V25" i="14" s="1"/>
  <c r="E21" i="9"/>
  <c r="S21" i="14" s="1"/>
  <c r="I24" i="9"/>
  <c r="I18" i="9"/>
  <c r="W18" i="14" s="1"/>
  <c r="G15" i="9"/>
  <c r="U15" i="14" s="1"/>
  <c r="H15" i="9"/>
  <c r="V15" i="14" s="1"/>
  <c r="I15" i="9"/>
  <c r="W15" i="14" s="1"/>
  <c r="H19" i="9"/>
  <c r="E15" i="9"/>
  <c r="S15" i="14" s="1"/>
  <c r="G21" i="9"/>
  <c r="H18" i="9"/>
  <c r="V18" i="14" s="1"/>
  <c r="AA4" i="16"/>
  <c r="AB4" i="16"/>
  <c r="J47" i="8"/>
  <c r="J41" i="29"/>
  <c r="AA10" i="16"/>
  <c r="AF10" i="16" s="1"/>
  <c r="AB10" i="16"/>
  <c r="AB13" i="16"/>
  <c r="AC13" i="16" s="1"/>
  <c r="AE13" i="16" s="1"/>
  <c r="N46" i="16"/>
  <c r="R46" i="16" s="1"/>
  <c r="J41" i="8"/>
  <c r="R40" i="16"/>
  <c r="J47" i="29"/>
  <c r="J45" i="8"/>
  <c r="N39" i="16"/>
  <c r="R39" i="16" s="1"/>
  <c r="N44" i="16"/>
  <c r="R44" i="16" s="1"/>
  <c r="J43" i="29"/>
  <c r="N41" i="16"/>
  <c r="R41" i="16" s="1"/>
  <c r="R43" i="16"/>
  <c r="N48" i="16"/>
  <c r="R48" i="16" s="1"/>
  <c r="J39" i="29"/>
  <c r="AA14" i="16"/>
  <c r="AF14" i="16" s="1"/>
  <c r="J46" i="8"/>
  <c r="N45" i="16"/>
  <c r="R45" i="16" s="1"/>
  <c r="N47" i="16"/>
  <c r="R47" i="16" s="1"/>
  <c r="J38" i="29"/>
  <c r="J42" i="29"/>
  <c r="J44" i="8"/>
  <c r="N49" i="16"/>
  <c r="R49" i="16" s="1"/>
  <c r="J48" i="8"/>
  <c r="J46" i="29"/>
  <c r="J48" i="29"/>
  <c r="J38" i="8"/>
  <c r="J40" i="8"/>
  <c r="J45" i="29"/>
  <c r="J40" i="29"/>
  <c r="R42" i="16"/>
  <c r="J49" i="8"/>
  <c r="J39" i="8"/>
  <c r="N18" i="25"/>
  <c r="N21" i="25" s="1"/>
  <c r="K21" i="36"/>
  <c r="N18" i="36"/>
  <c r="N21" i="36" s="1"/>
  <c r="AB22" i="16"/>
  <c r="AC22" i="16" s="1"/>
  <c r="AE22" i="16" s="1"/>
  <c r="N27" i="25"/>
  <c r="N30" i="25" s="1"/>
  <c r="F29" i="25"/>
  <c r="N28" i="25"/>
  <c r="N29" i="25" s="1"/>
  <c r="N32" i="25"/>
  <c r="N33" i="25" s="1"/>
  <c r="F33" i="25"/>
  <c r="N24" i="25"/>
  <c r="N25" i="25" s="1"/>
  <c r="F25" i="25"/>
  <c r="N23" i="25"/>
  <c r="N26" i="25" s="1"/>
  <c r="F26" i="25"/>
  <c r="F34" i="25"/>
  <c r="N31" i="25"/>
  <c r="N34" i="25" s="1"/>
  <c r="AB30" i="16"/>
  <c r="AC30" i="16" s="1"/>
  <c r="AE30" i="16" s="1"/>
  <c r="AO28" i="16"/>
  <c r="AQ28" i="16" s="1"/>
  <c r="M20" i="7"/>
  <c r="O20" i="7" s="1"/>
  <c r="AB34" i="16"/>
  <c r="AC34" i="16" s="1"/>
  <c r="AE34" i="16" s="1"/>
  <c r="AA11" i="16"/>
  <c r="AC11" i="16" s="1"/>
  <c r="AE11" i="16" s="1"/>
  <c r="AA6" i="16"/>
  <c r="AF6" i="16" s="1"/>
  <c r="AT6" i="16" s="1"/>
  <c r="AB12" i="16"/>
  <c r="AC12" i="16" s="1"/>
  <c r="AE12" i="16" s="1"/>
  <c r="AC15" i="27"/>
  <c r="V13" i="14"/>
  <c r="H13" i="14" s="1"/>
  <c r="I10" i="27" s="1"/>
  <c r="S8" i="14"/>
  <c r="E8" i="14" s="1"/>
  <c r="F4" i="9"/>
  <c r="K4" i="9"/>
  <c r="Y4" i="14" s="1"/>
  <c r="K4" i="14" s="1"/>
  <c r="I5" i="9"/>
  <c r="W5" i="14" s="1"/>
  <c r="I5" i="14" s="1"/>
  <c r="G8" i="9"/>
  <c r="U8" i="14" s="1"/>
  <c r="G8" i="14" s="1"/>
  <c r="I8" i="9"/>
  <c r="W8" i="14" s="1"/>
  <c r="I8" i="14" s="1"/>
  <c r="E13" i="9"/>
  <c r="E13" i="15" s="1"/>
  <c r="F12" i="27" s="1"/>
  <c r="E5" i="9"/>
  <c r="K11" i="9"/>
  <c r="Y11" i="14" s="1"/>
  <c r="K11" i="14" s="1"/>
  <c r="F11" i="9"/>
  <c r="T11" i="14" s="1"/>
  <c r="F11" i="14" s="1"/>
  <c r="I4" i="9"/>
  <c r="W4" i="14" s="1"/>
  <c r="I4" i="14" s="1"/>
  <c r="G11" i="9"/>
  <c r="U11" i="14" s="1"/>
  <c r="G11" i="14" s="1"/>
  <c r="E4" i="9"/>
  <c r="S4" i="14" s="1"/>
  <c r="E4" i="14" s="1"/>
  <c r="I13" i="9"/>
  <c r="I13" i="15" s="1"/>
  <c r="J12" i="27" s="1"/>
  <c r="E7" i="9"/>
  <c r="G7" i="9"/>
  <c r="U7" i="14" s="1"/>
  <c r="G7" i="14" s="1"/>
  <c r="H8" i="9"/>
  <c r="V8" i="14" s="1"/>
  <c r="H8" i="14" s="1"/>
  <c r="J13" i="9"/>
  <c r="J13" i="15" s="1"/>
  <c r="K12" i="27" s="1"/>
  <c r="J8" i="9"/>
  <c r="X8" i="14" s="1"/>
  <c r="J8" i="14" s="1"/>
  <c r="K12" i="9"/>
  <c r="Y12" i="14" s="1"/>
  <c r="K12" i="14" s="1"/>
  <c r="F12" i="9"/>
  <c r="K7" i="9"/>
  <c r="Y7" i="14" s="1"/>
  <c r="K7" i="14" s="1"/>
  <c r="F7" i="9"/>
  <c r="T7" i="14" s="1"/>
  <c r="F7" i="14" s="1"/>
  <c r="J7" i="9"/>
  <c r="X7" i="14" s="1"/>
  <c r="J7" i="14" s="1"/>
  <c r="I12" i="9"/>
  <c r="W12" i="14" s="1"/>
  <c r="I12" i="14" s="1"/>
  <c r="J12" i="9"/>
  <c r="X12" i="14" s="1"/>
  <c r="J12" i="14" s="1"/>
  <c r="E12" i="9"/>
  <c r="S12" i="14" s="1"/>
  <c r="E12" i="14" s="1"/>
  <c r="J4" i="9"/>
  <c r="X4" i="14" s="1"/>
  <c r="J4" i="14" s="1"/>
  <c r="G12" i="9"/>
  <c r="U12" i="14" s="1"/>
  <c r="G12" i="14" s="1"/>
  <c r="F13" i="9"/>
  <c r="F13" i="15" s="1"/>
  <c r="G12" i="27" s="1"/>
  <c r="K13" i="9"/>
  <c r="K13" i="15" s="1"/>
  <c r="L12" i="27" s="1"/>
  <c r="P16" i="7"/>
  <c r="G4" i="9"/>
  <c r="U4" i="14" s="1"/>
  <c r="G4" i="14" s="1"/>
  <c r="I7" i="9"/>
  <c r="W7" i="14" s="1"/>
  <c r="I7" i="14" s="1"/>
  <c r="K8" i="9"/>
  <c r="Y8" i="14" s="1"/>
  <c r="K8" i="14" s="1"/>
  <c r="F8" i="9"/>
  <c r="T8" i="14" s="1"/>
  <c r="F8" i="14" s="1"/>
  <c r="F5" i="9"/>
  <c r="T5" i="14" s="1"/>
  <c r="F5" i="14" s="1"/>
  <c r="K5" i="9"/>
  <c r="Y5" i="14" s="1"/>
  <c r="K5" i="14" s="1"/>
  <c r="H5" i="9"/>
  <c r="V5" i="14" s="1"/>
  <c r="H5" i="14" s="1"/>
  <c r="M16" i="7"/>
  <c r="O16" i="7" s="1"/>
  <c r="H12" i="9"/>
  <c r="V12" i="14" s="1"/>
  <c r="H12" i="14" s="1"/>
  <c r="G13" i="9"/>
  <c r="G13" i="15" s="1"/>
  <c r="H12" i="27" s="1"/>
  <c r="H4" i="9"/>
  <c r="V4" i="14" s="1"/>
  <c r="H4" i="14" s="1"/>
  <c r="E11" i="9"/>
  <c r="S11" i="14" s="1"/>
  <c r="G5" i="9"/>
  <c r="U5" i="14" s="1"/>
  <c r="G5" i="14" s="1"/>
  <c r="AC15" i="18"/>
  <c r="P15" i="7"/>
  <c r="F14" i="9"/>
  <c r="K14" i="9"/>
  <c r="Y14" i="14" s="1"/>
  <c r="L11" i="18" s="1"/>
  <c r="J14" i="9"/>
  <c r="X14" i="14" s="1"/>
  <c r="J14" i="14" s="1"/>
  <c r="E14" i="9"/>
  <c r="S14" i="14" s="1"/>
  <c r="E14" i="14" s="1"/>
  <c r="I14" i="9"/>
  <c r="W14" i="14" s="1"/>
  <c r="I14" i="14" s="1"/>
  <c r="G14" i="9"/>
  <c r="AA18" i="16"/>
  <c r="AF18" i="16" s="1"/>
  <c r="AA5" i="16"/>
  <c r="AC5" i="16" s="1"/>
  <c r="AE5" i="16" s="1"/>
  <c r="AS5" i="16" s="1"/>
  <c r="AB9" i="16"/>
  <c r="AC9" i="16" s="1"/>
  <c r="AE9" i="16" s="1"/>
  <c r="AB37" i="16"/>
  <c r="AC37" i="16" s="1"/>
  <c r="AE37" i="16" s="1"/>
  <c r="AB27" i="16"/>
  <c r="AC27" i="16" s="1"/>
  <c r="AE27" i="16" s="1"/>
  <c r="AO12" i="16"/>
  <c r="AQ12" i="16" s="1"/>
  <c r="AP29" i="16"/>
  <c r="AR29" i="16" s="1"/>
  <c r="AP20" i="16"/>
  <c r="AQ20" i="16" s="1"/>
  <c r="P41" i="10"/>
  <c r="Q41" i="10" s="1"/>
  <c r="P49" i="10"/>
  <c r="Q49" i="10" s="1"/>
  <c r="AO18" i="16"/>
  <c r="AQ18" i="16" s="1"/>
  <c r="AO10" i="16"/>
  <c r="AQ10" i="16" s="1"/>
  <c r="P20" i="10"/>
  <c r="Q20" i="10" s="1"/>
  <c r="AB29" i="16"/>
  <c r="AC29" i="16" s="1"/>
  <c r="AE29" i="16" s="1"/>
  <c r="P17" i="10"/>
  <c r="Q17" i="10" s="1"/>
  <c r="P8" i="10"/>
  <c r="Q8" i="10" s="1"/>
  <c r="P12" i="10"/>
  <c r="Q12" i="10" s="1"/>
  <c r="AP9" i="16"/>
  <c r="AR9" i="16" s="1"/>
  <c r="AT9" i="16" s="1"/>
  <c r="P9" i="10"/>
  <c r="Q9" i="10" s="1"/>
  <c r="P46" i="10"/>
  <c r="Q46" i="10" s="1"/>
  <c r="AP13" i="16"/>
  <c r="AQ13" i="16" s="1"/>
  <c r="AO21" i="16"/>
  <c r="AQ21" i="16" s="1"/>
  <c r="P23" i="10"/>
  <c r="Q23" i="10" s="1"/>
  <c r="P13" i="10"/>
  <c r="Q13" i="10" s="1"/>
  <c r="P38" i="10"/>
  <c r="Q38" i="10" s="1"/>
  <c r="P43" i="10"/>
  <c r="Q43" i="10" s="1"/>
  <c r="P18" i="10"/>
  <c r="Q18" i="10" s="1"/>
  <c r="AP35" i="16"/>
  <c r="AQ35" i="16" s="1"/>
  <c r="AO17" i="16"/>
  <c r="AQ17" i="16" s="1"/>
  <c r="P45" i="10"/>
  <c r="Q45" i="10" s="1"/>
  <c r="AP36" i="16"/>
  <c r="AQ36" i="16" s="1"/>
  <c r="P47" i="10"/>
  <c r="Q47" i="10" s="1"/>
  <c r="P21" i="10"/>
  <c r="Q21" i="10" s="1"/>
  <c r="P16" i="10"/>
  <c r="Q16" i="10" s="1"/>
  <c r="AP33" i="16"/>
  <c r="AR33" i="16" s="1"/>
  <c r="AP25" i="16"/>
  <c r="AQ25" i="16" s="1"/>
  <c r="P19" i="10"/>
  <c r="Q19" i="10" s="1"/>
  <c r="P15" i="10"/>
  <c r="Q15" i="10" s="1"/>
  <c r="P11" i="10"/>
  <c r="Q11" i="10" s="1"/>
  <c r="P22" i="10"/>
  <c r="Q22" i="10" s="1"/>
  <c r="P29" i="10"/>
  <c r="Q29" i="10" s="1"/>
  <c r="P31" i="10"/>
  <c r="Q31" i="10" s="1"/>
  <c r="AB28" i="16"/>
  <c r="AC28" i="16" s="1"/>
  <c r="AE28" i="16" s="1"/>
  <c r="P36" i="10"/>
  <c r="Q36" i="10" s="1"/>
  <c r="P33" i="10"/>
  <c r="Q33" i="10" s="1"/>
  <c r="P42" i="10"/>
  <c r="Q42" i="10" s="1"/>
  <c r="P25" i="10"/>
  <c r="Q25" i="10" s="1"/>
  <c r="P39" i="10"/>
  <c r="Q39" i="10" s="1"/>
  <c r="AB2" i="16"/>
  <c r="AA2" i="16"/>
  <c r="AF2" i="16" s="1"/>
  <c r="AT2" i="16" s="1"/>
  <c r="H13" i="15"/>
  <c r="I12" i="27" s="1"/>
  <c r="P26" i="10"/>
  <c r="Q26" i="10" s="1"/>
  <c r="P10" i="10"/>
  <c r="Q10" i="10" s="1"/>
  <c r="AB7" i="16"/>
  <c r="AR31" i="16"/>
  <c r="AF28" i="16"/>
  <c r="P30" i="10"/>
  <c r="Q30" i="10" s="1"/>
  <c r="P24" i="10"/>
  <c r="Q24" i="10" s="1"/>
  <c r="P28" i="10"/>
  <c r="Q28" i="10" s="1"/>
  <c r="AR18" i="16"/>
  <c r="AR10" i="16"/>
  <c r="AF29" i="16"/>
  <c r="AR21" i="16"/>
  <c r="AR28" i="16"/>
  <c r="AP27" i="16"/>
  <c r="AQ27" i="16" s="1"/>
  <c r="P40" i="10"/>
  <c r="Q40" i="10" s="1"/>
  <c r="P37" i="10"/>
  <c r="Q37" i="10" s="1"/>
  <c r="P32" i="10"/>
  <c r="Q32" i="10" s="1"/>
  <c r="P35" i="10"/>
  <c r="Q35" i="10" s="1"/>
  <c r="AR12" i="16"/>
  <c r="AT12" i="16" s="1"/>
  <c r="P48" i="10"/>
  <c r="Q48" i="10" s="1"/>
  <c r="AO31" i="16"/>
  <c r="AQ31" i="16" s="1"/>
  <c r="P44" i="10"/>
  <c r="Q44" i="10" s="1"/>
  <c r="AR17" i="16"/>
  <c r="P14" i="10"/>
  <c r="Q14" i="10" s="1"/>
  <c r="P34" i="10"/>
  <c r="Q34" i="10" s="1"/>
  <c r="P27" i="10"/>
  <c r="Q27" i="10" s="1"/>
  <c r="AQ7" i="16"/>
  <c r="AQ2" i="16"/>
  <c r="AB3" i="16"/>
  <c r="AA3" i="16"/>
  <c r="AP22" i="16"/>
  <c r="AR22" i="16" s="1"/>
  <c r="AO22" i="16"/>
  <c r="AP23" i="16"/>
  <c r="AR23" i="16" s="1"/>
  <c r="AO23" i="16"/>
  <c r="AP30" i="16"/>
  <c r="AR30" i="16" s="1"/>
  <c r="AO30" i="16"/>
  <c r="R18" i="11"/>
  <c r="AL41" i="16" s="1"/>
  <c r="S18" i="11"/>
  <c r="AM41" i="16" s="1"/>
  <c r="R20" i="11"/>
  <c r="AL43" i="16" s="1"/>
  <c r="S20" i="11"/>
  <c r="AM43" i="16" s="1"/>
  <c r="AP34" i="16"/>
  <c r="AR34" i="16" s="1"/>
  <c r="AO34" i="16"/>
  <c r="R19" i="11"/>
  <c r="AL42" i="16" s="1"/>
  <c r="S19" i="11"/>
  <c r="AM42" i="16" s="1"/>
  <c r="AO11" i="16"/>
  <c r="AP11" i="16"/>
  <c r="AR11" i="16" s="1"/>
  <c r="AP8" i="16"/>
  <c r="AR8" i="16" s="1"/>
  <c r="AO8" i="16"/>
  <c r="R26" i="11"/>
  <c r="AL49" i="16" s="1"/>
  <c r="S26" i="11"/>
  <c r="AM49" i="16" s="1"/>
  <c r="AP26" i="16"/>
  <c r="AR26" i="16" s="1"/>
  <c r="AO26" i="16"/>
  <c r="R25" i="11"/>
  <c r="AL48" i="16" s="1"/>
  <c r="S25" i="11"/>
  <c r="AM48" i="16" s="1"/>
  <c r="R17" i="11"/>
  <c r="AL40" i="16" s="1"/>
  <c r="S17" i="11"/>
  <c r="AM40" i="16" s="1"/>
  <c r="AP14" i="16"/>
  <c r="AR14" i="16" s="1"/>
  <c r="AO14" i="16"/>
  <c r="R24" i="11"/>
  <c r="AL47" i="16" s="1"/>
  <c r="S24" i="11"/>
  <c r="AM47" i="16" s="1"/>
  <c r="R21" i="11"/>
  <c r="AL44" i="16" s="1"/>
  <c r="S21" i="11"/>
  <c r="AM44" i="16" s="1"/>
  <c r="AO19" i="16"/>
  <c r="AP19" i="16"/>
  <c r="AR19" i="16" s="1"/>
  <c r="R22" i="11"/>
  <c r="AL45" i="16" s="1"/>
  <c r="S22" i="11"/>
  <c r="AM45" i="16" s="1"/>
  <c r="R16" i="11"/>
  <c r="AL39" i="16" s="1"/>
  <c r="S16" i="11"/>
  <c r="AM39" i="16" s="1"/>
  <c r="AP16" i="16"/>
  <c r="AR16" i="16" s="1"/>
  <c r="AO16" i="16"/>
  <c r="R23" i="11"/>
  <c r="AL46" i="16" s="1"/>
  <c r="S23" i="11"/>
  <c r="AM46" i="16" s="1"/>
  <c r="AP15" i="16"/>
  <c r="AO15" i="16"/>
  <c r="AP37" i="16"/>
  <c r="AR37" i="16" s="1"/>
  <c r="AO37" i="16"/>
  <c r="AP32" i="16"/>
  <c r="AR32" i="16" s="1"/>
  <c r="AO32" i="16"/>
  <c r="AP24" i="16"/>
  <c r="AR24" i="16" s="1"/>
  <c r="AO24" i="16"/>
  <c r="AA7" i="16"/>
  <c r="AA8" i="16"/>
  <c r="AF8" i="16" s="1"/>
  <c r="AB8" i="16"/>
  <c r="AA24" i="16"/>
  <c r="AF24" i="16" s="1"/>
  <c r="AB24" i="16"/>
  <c r="AA33" i="16"/>
  <c r="AB33" i="16"/>
  <c r="AA23" i="16"/>
  <c r="AF23" i="16" s="1"/>
  <c r="AB23" i="16"/>
  <c r="AA20" i="16"/>
  <c r="AB20" i="16"/>
  <c r="AA16" i="16"/>
  <c r="AF16" i="16" s="1"/>
  <c r="AB16" i="16"/>
  <c r="AA26" i="16"/>
  <c r="AF26" i="16" s="1"/>
  <c r="AB26" i="16"/>
  <c r="AA36" i="16"/>
  <c r="AF36" i="16" s="1"/>
  <c r="AB36" i="16"/>
  <c r="AA25" i="16"/>
  <c r="AF25" i="16" s="1"/>
  <c r="AB25" i="16"/>
  <c r="AA31" i="16"/>
  <c r="AF31" i="16" s="1"/>
  <c r="AB31" i="16"/>
  <c r="AA32" i="16"/>
  <c r="AF32" i="16" s="1"/>
  <c r="AB32" i="16"/>
  <c r="AA15" i="16"/>
  <c r="AF15" i="16" s="1"/>
  <c r="AB15" i="16"/>
  <c r="AA21" i="16"/>
  <c r="AB21" i="16"/>
  <c r="AA17" i="16"/>
  <c r="AB17" i="16"/>
  <c r="AA19" i="16"/>
  <c r="AF19" i="16" s="1"/>
  <c r="AB19" i="16"/>
  <c r="AA35" i="16"/>
  <c r="AB35" i="16"/>
  <c r="M15" i="7"/>
  <c r="O15" i="7" s="1"/>
  <c r="M11" i="7"/>
  <c r="O11" i="7" s="1"/>
  <c r="M26" i="7"/>
  <c r="O26" i="7" s="1"/>
  <c r="P26" i="7"/>
  <c r="P24" i="7"/>
  <c r="M24" i="7"/>
  <c r="O24" i="7" s="1"/>
  <c r="P25" i="7"/>
  <c r="M25" i="7"/>
  <c r="O25" i="7" s="1"/>
  <c r="M14" i="7"/>
  <c r="O14" i="7" s="1"/>
  <c r="P14" i="7"/>
  <c r="M9" i="7"/>
  <c r="O9" i="7" s="1"/>
  <c r="P9" i="7"/>
  <c r="P6" i="7"/>
  <c r="M6" i="7"/>
  <c r="O6" i="7" s="1"/>
  <c r="M13" i="7"/>
  <c r="O13" i="7" s="1"/>
  <c r="P13" i="7"/>
  <c r="M5" i="7"/>
  <c r="O5" i="7" s="1"/>
  <c r="P5" i="7"/>
  <c r="M21" i="7"/>
  <c r="O21" i="7" s="1"/>
  <c r="P21" i="7"/>
  <c r="M22" i="7"/>
  <c r="O22" i="7" s="1"/>
  <c r="P22" i="7"/>
  <c r="P19" i="7"/>
  <c r="M19" i="7"/>
  <c r="O19" i="7" s="1"/>
  <c r="M8" i="7"/>
  <c r="O8" i="7" s="1"/>
  <c r="P8" i="7"/>
  <c r="M23" i="7"/>
  <c r="O23" i="7" s="1"/>
  <c r="P23" i="7"/>
  <c r="M17" i="7"/>
  <c r="O17" i="7" s="1"/>
  <c r="P17" i="7"/>
  <c r="K3" i="7"/>
  <c r="G2" i="9" s="1"/>
  <c r="E23" i="9" l="1"/>
  <c r="S23" i="14" s="1"/>
  <c r="AA23" i="14" s="1"/>
  <c r="P11" i="7"/>
  <c r="I11" i="18"/>
  <c r="M10" i="7"/>
  <c r="O10" i="7" s="1"/>
  <c r="F10" i="9"/>
  <c r="F10" i="15" s="1"/>
  <c r="G10" i="15"/>
  <c r="J10" i="9"/>
  <c r="X10" i="14" s="1"/>
  <c r="J10" i="14" s="1"/>
  <c r="K10" i="9"/>
  <c r="Y10" i="14" s="1"/>
  <c r="K10" i="14" s="1"/>
  <c r="G9" i="9"/>
  <c r="U9" i="14" s="1"/>
  <c r="G9" i="14" s="1"/>
  <c r="P18" i="7"/>
  <c r="J11" i="9"/>
  <c r="X11" i="14" s="1"/>
  <c r="J11" i="14" s="1"/>
  <c r="M12" i="7"/>
  <c r="O12" i="7" s="1"/>
  <c r="P12" i="7"/>
  <c r="E6" i="9"/>
  <c r="E6" i="15" s="1"/>
  <c r="M7" i="7"/>
  <c r="O7" i="7" s="1"/>
  <c r="F6" i="9"/>
  <c r="T6" i="14" s="1"/>
  <c r="F6" i="14" s="1"/>
  <c r="G6" i="9"/>
  <c r="U6" i="14" s="1"/>
  <c r="G6" i="14" s="1"/>
  <c r="J6" i="9"/>
  <c r="X6" i="14" s="1"/>
  <c r="J6" i="14" s="1"/>
  <c r="I9" i="9"/>
  <c r="W9" i="14" s="1"/>
  <c r="I9" i="14" s="1"/>
  <c r="J9" i="9"/>
  <c r="X9" i="14" s="1"/>
  <c r="J9" i="14" s="1"/>
  <c r="K9" i="9"/>
  <c r="Y9" i="14" s="1"/>
  <c r="K9" i="14" s="1"/>
  <c r="F9" i="9"/>
  <c r="T9" i="14" s="1"/>
  <c r="F9" i="14" s="1"/>
  <c r="P10" i="7"/>
  <c r="E9" i="9"/>
  <c r="S9" i="14" s="1"/>
  <c r="K6" i="9"/>
  <c r="Y6" i="14" s="1"/>
  <c r="K6" i="14" s="1"/>
  <c r="M18" i="7"/>
  <c r="O18" i="7" s="1"/>
  <c r="I17" i="14"/>
  <c r="J10" i="37" s="1"/>
  <c r="I6" i="9"/>
  <c r="K17" i="9"/>
  <c r="Y17" i="14" s="1"/>
  <c r="E17" i="9"/>
  <c r="S17" i="14" s="1"/>
  <c r="H6" i="9"/>
  <c r="V6" i="14" s="1"/>
  <c r="H6" i="14" s="1"/>
  <c r="G17" i="9"/>
  <c r="U17" i="14" s="1"/>
  <c r="K3" i="9"/>
  <c r="Y3" i="14" s="1"/>
  <c r="K3" i="14" s="1"/>
  <c r="G3" i="9"/>
  <c r="U3" i="14" s="1"/>
  <c r="G3" i="14" s="1"/>
  <c r="I3" i="15"/>
  <c r="H3" i="9"/>
  <c r="H3" i="15" s="1"/>
  <c r="J3" i="9"/>
  <c r="P4" i="7"/>
  <c r="E3" i="9"/>
  <c r="F3" i="9"/>
  <c r="T3" i="14" s="1"/>
  <c r="F3" i="14" s="1"/>
  <c r="M4" i="7"/>
  <c r="O4" i="7" s="1"/>
  <c r="J23" i="9"/>
  <c r="X23" i="14" s="1"/>
  <c r="J23" i="14" s="1"/>
  <c r="I23" i="9"/>
  <c r="W23" i="14" s="1"/>
  <c r="I23" i="14" s="1"/>
  <c r="G23" i="9"/>
  <c r="K23" i="9"/>
  <c r="Y23" i="14" s="1"/>
  <c r="K23" i="14" s="1"/>
  <c r="E10" i="9"/>
  <c r="H10" i="9"/>
  <c r="V10" i="14" s="1"/>
  <c r="H10" i="14" s="1"/>
  <c r="I10" i="9"/>
  <c r="W10" i="14" s="1"/>
  <c r="I10" i="14" s="1"/>
  <c r="J6" i="15"/>
  <c r="F17" i="9"/>
  <c r="T17" i="14" s="1"/>
  <c r="H17" i="9"/>
  <c r="V17" i="14" s="1"/>
  <c r="J17" i="9"/>
  <c r="X17" i="14" s="1"/>
  <c r="AA16" i="14"/>
  <c r="AA15" i="14"/>
  <c r="AA18" i="14"/>
  <c r="V20" i="14"/>
  <c r="H20" i="14" s="1"/>
  <c r="R27" i="40"/>
  <c r="AF15" i="40"/>
  <c r="Y19" i="14"/>
  <c r="L11" i="40" s="1"/>
  <c r="W11" i="40" s="1"/>
  <c r="X11" i="40" s="1"/>
  <c r="L22" i="9"/>
  <c r="S22" i="14"/>
  <c r="U25" i="14"/>
  <c r="G25" i="14" s="1"/>
  <c r="W22" i="14"/>
  <c r="I22" i="14" s="1"/>
  <c r="U23" i="14"/>
  <c r="G23" i="14" s="1"/>
  <c r="U14" i="14"/>
  <c r="G14" i="14" s="1"/>
  <c r="R25" i="40"/>
  <c r="AD15" i="40"/>
  <c r="W19" i="14"/>
  <c r="J11" i="40" s="1"/>
  <c r="R21" i="40"/>
  <c r="Z15" i="40"/>
  <c r="S19" i="14"/>
  <c r="E19" i="14" s="1"/>
  <c r="T23" i="14"/>
  <c r="F23" i="14" s="1"/>
  <c r="V23" i="14"/>
  <c r="H23" i="14" s="1"/>
  <c r="W21" i="14"/>
  <c r="I21" i="14" s="1"/>
  <c r="X22" i="14"/>
  <c r="J22" i="14" s="1"/>
  <c r="K14" i="14"/>
  <c r="L10" i="18" s="1"/>
  <c r="U21" i="14"/>
  <c r="G21" i="14" s="1"/>
  <c r="W24" i="14"/>
  <c r="I24" i="14" s="1"/>
  <c r="T20" i="14"/>
  <c r="F20" i="14" s="1"/>
  <c r="R26" i="40"/>
  <c r="AE15" i="40"/>
  <c r="X19" i="14"/>
  <c r="K11" i="40" s="1"/>
  <c r="Y25" i="14"/>
  <c r="K25" i="14" s="1"/>
  <c r="L24" i="9"/>
  <c r="S24" i="14"/>
  <c r="T21" i="14"/>
  <c r="F21" i="14" s="1"/>
  <c r="T25" i="14"/>
  <c r="F25" i="14" s="1"/>
  <c r="U20" i="14"/>
  <c r="G20" i="14" s="1"/>
  <c r="G19" i="14"/>
  <c r="H10" i="40" s="1"/>
  <c r="H9" i="40" s="1"/>
  <c r="H17" i="40" s="1"/>
  <c r="T14" i="14"/>
  <c r="F14" i="14" s="1"/>
  <c r="R24" i="40"/>
  <c r="AC15" i="40"/>
  <c r="V19" i="14"/>
  <c r="I11" i="40" s="1"/>
  <c r="X25" i="14"/>
  <c r="J25" i="14" s="1"/>
  <c r="T22" i="14"/>
  <c r="F22" i="14" s="1"/>
  <c r="R22" i="40"/>
  <c r="AA15" i="40"/>
  <c r="T19" i="14"/>
  <c r="G11" i="40" s="1"/>
  <c r="L28" i="20"/>
  <c r="Q28" i="20" s="1"/>
  <c r="I11" i="36"/>
  <c r="H16" i="14"/>
  <c r="I10" i="36" s="1"/>
  <c r="K11" i="38"/>
  <c r="J18" i="14"/>
  <c r="K10" i="38" s="1"/>
  <c r="K11" i="35"/>
  <c r="T45" i="16"/>
  <c r="Z45" i="16" s="1"/>
  <c r="AF45" i="16" s="1"/>
  <c r="T44" i="16"/>
  <c r="Z44" i="16" s="1"/>
  <c r="AF44" i="16" s="1"/>
  <c r="T39" i="16"/>
  <c r="Z39" i="16" s="1"/>
  <c r="AB39" i="16" s="1"/>
  <c r="T42" i="16"/>
  <c r="Z42" i="16" s="1"/>
  <c r="AB42" i="16" s="1"/>
  <c r="T49" i="16"/>
  <c r="Z49" i="16" s="1"/>
  <c r="T48" i="16"/>
  <c r="Z48" i="16" s="1"/>
  <c r="AB48" i="16" s="1"/>
  <c r="T40" i="16"/>
  <c r="Z40" i="16" s="1"/>
  <c r="T43" i="16"/>
  <c r="Z43" i="16" s="1"/>
  <c r="T41" i="16"/>
  <c r="Z41" i="16" s="1"/>
  <c r="AA41" i="16" s="1"/>
  <c r="AF41" i="16" s="1"/>
  <c r="T46" i="16"/>
  <c r="Z46" i="16" s="1"/>
  <c r="AB46" i="16" s="1"/>
  <c r="T38" i="16"/>
  <c r="T47" i="16"/>
  <c r="Z47" i="16" s="1"/>
  <c r="AF47" i="16" s="1"/>
  <c r="L30" i="20"/>
  <c r="N19" i="37"/>
  <c r="N20" i="37" s="1"/>
  <c r="F19" i="38"/>
  <c r="I11" i="27"/>
  <c r="I9" i="27" s="1"/>
  <c r="I17" i="27" s="1"/>
  <c r="R24" i="38"/>
  <c r="AC15" i="38"/>
  <c r="R25" i="38"/>
  <c r="AD15" i="38"/>
  <c r="R21" i="38"/>
  <c r="Z15" i="38"/>
  <c r="R23" i="38"/>
  <c r="AB15" i="38"/>
  <c r="R25" i="37"/>
  <c r="AD15" i="37"/>
  <c r="AF15" i="37"/>
  <c r="R22" i="38"/>
  <c r="AA15" i="38"/>
  <c r="R27" i="38"/>
  <c r="AF15" i="38"/>
  <c r="R26" i="37"/>
  <c r="AE15" i="37"/>
  <c r="AF11" i="16"/>
  <c r="AT11" i="16" s="1"/>
  <c r="J11" i="37"/>
  <c r="L11" i="37"/>
  <c r="W11" i="37" s="1"/>
  <c r="X11" i="37" s="1"/>
  <c r="AT10" i="16"/>
  <c r="AC14" i="16"/>
  <c r="AE14" i="16" s="1"/>
  <c r="N29" i="20"/>
  <c r="P29" i="20"/>
  <c r="AC6" i="16"/>
  <c r="AE6" i="16" s="1"/>
  <c r="AS6" i="16" s="1"/>
  <c r="AC4" i="16"/>
  <c r="AE4" i="16" s="1"/>
  <c r="AS4" i="16" s="1"/>
  <c r="AF4" i="16"/>
  <c r="AT4" i="16" s="1"/>
  <c r="F19" i="36"/>
  <c r="K10" i="35"/>
  <c r="R23" i="18"/>
  <c r="J10" i="15"/>
  <c r="R22" i="18"/>
  <c r="R25" i="35"/>
  <c r="AD15" i="35"/>
  <c r="I15" i="14"/>
  <c r="H25" i="14"/>
  <c r="K20" i="14"/>
  <c r="R27" i="36"/>
  <c r="AF15" i="36"/>
  <c r="R27" i="18"/>
  <c r="R24" i="35"/>
  <c r="AC15" i="35"/>
  <c r="H15" i="14"/>
  <c r="K24" i="14"/>
  <c r="K21" i="14"/>
  <c r="R23" i="35"/>
  <c r="AB15" i="35"/>
  <c r="G15" i="14"/>
  <c r="L25" i="9"/>
  <c r="E25" i="14"/>
  <c r="M25" i="14" s="1"/>
  <c r="F24" i="14"/>
  <c r="L20" i="9"/>
  <c r="E20" i="14"/>
  <c r="F18" i="14"/>
  <c r="H24" i="14"/>
  <c r="K22" i="14"/>
  <c r="J21" i="14"/>
  <c r="H22" i="14"/>
  <c r="R25" i="18"/>
  <c r="J11" i="18"/>
  <c r="I10" i="18"/>
  <c r="H18" i="14"/>
  <c r="I18" i="14"/>
  <c r="I20" i="14"/>
  <c r="L23" i="9"/>
  <c r="E23" i="14"/>
  <c r="M23" i="14" s="1"/>
  <c r="R23" i="36"/>
  <c r="AB15" i="36"/>
  <c r="L19" i="9"/>
  <c r="R21" i="18"/>
  <c r="F11" i="18"/>
  <c r="R25" i="36"/>
  <c r="AD15" i="36"/>
  <c r="I16" i="14"/>
  <c r="L18" i="9"/>
  <c r="P18" i="9" s="1"/>
  <c r="E18" i="14"/>
  <c r="R26" i="18"/>
  <c r="K11" i="18"/>
  <c r="R21" i="35"/>
  <c r="Z15" i="35"/>
  <c r="L15" i="9"/>
  <c r="N15" i="9" s="1"/>
  <c r="E15" i="14"/>
  <c r="L21" i="9"/>
  <c r="E21" i="14"/>
  <c r="R26" i="36"/>
  <c r="AE15" i="36"/>
  <c r="R22" i="35"/>
  <c r="AA15" i="35"/>
  <c r="F15" i="14"/>
  <c r="G24" i="14"/>
  <c r="G18" i="14"/>
  <c r="R22" i="36"/>
  <c r="AA15" i="36"/>
  <c r="F16" i="14"/>
  <c r="R27" i="35"/>
  <c r="AF15" i="35"/>
  <c r="K15" i="14"/>
  <c r="L10" i="35" s="1"/>
  <c r="R21" i="36"/>
  <c r="Z15" i="36"/>
  <c r="L16" i="9"/>
  <c r="P16" i="9" s="1"/>
  <c r="AC10" i="16"/>
  <c r="AE10" i="16" s="1"/>
  <c r="AS10" i="16" s="1"/>
  <c r="AC15" i="25"/>
  <c r="E11" i="14"/>
  <c r="AF5" i="16"/>
  <c r="AT5" i="16" s="1"/>
  <c r="AT18" i="16"/>
  <c r="AC18" i="16"/>
  <c r="AE18" i="16" s="1"/>
  <c r="AS18" i="16" s="1"/>
  <c r="M8" i="14"/>
  <c r="U2" i="14"/>
  <c r="L13" i="9"/>
  <c r="Z15" i="27"/>
  <c r="S13" i="14"/>
  <c r="L4" i="9"/>
  <c r="T4" i="14"/>
  <c r="AF15" i="27"/>
  <c r="Y13" i="14"/>
  <c r="K2" i="9"/>
  <c r="AA2" i="15" s="1"/>
  <c r="F2" i="9"/>
  <c r="F2" i="15" s="1"/>
  <c r="AA8" i="14"/>
  <c r="AA15" i="27"/>
  <c r="T13" i="14"/>
  <c r="J2" i="9"/>
  <c r="J2" i="15" s="1"/>
  <c r="L7" i="9"/>
  <c r="S7" i="14"/>
  <c r="H2" i="9"/>
  <c r="H2" i="15" s="1"/>
  <c r="L8" i="9"/>
  <c r="E2" i="9"/>
  <c r="E2" i="15" s="1"/>
  <c r="L12" i="9"/>
  <c r="T12" i="14"/>
  <c r="I2" i="9"/>
  <c r="Y2" i="15" s="1"/>
  <c r="V3" i="14"/>
  <c r="S6" i="14"/>
  <c r="L5" i="9"/>
  <c r="S5" i="14"/>
  <c r="AB15" i="27"/>
  <c r="U13" i="14"/>
  <c r="AD15" i="27"/>
  <c r="W13" i="14"/>
  <c r="T10" i="14"/>
  <c r="AE15" i="27"/>
  <c r="X13" i="14"/>
  <c r="Z15" i="25"/>
  <c r="Z15" i="18"/>
  <c r="AE15" i="18"/>
  <c r="AE15" i="25"/>
  <c r="AF15" i="18"/>
  <c r="AF15" i="25"/>
  <c r="AA15" i="18"/>
  <c r="AA15" i="25"/>
  <c r="AB15" i="18"/>
  <c r="AB15" i="25"/>
  <c r="AD15" i="25"/>
  <c r="AD15" i="18"/>
  <c r="AN44" i="16"/>
  <c r="AP44" i="16" s="1"/>
  <c r="AR44" i="16" s="1"/>
  <c r="AR20" i="16"/>
  <c r="AS28" i="16"/>
  <c r="AQ29" i="16"/>
  <c r="AS29" i="16" s="1"/>
  <c r="AN39" i="16"/>
  <c r="AO39" i="16" s="1"/>
  <c r="AN48" i="16"/>
  <c r="AP48" i="16" s="1"/>
  <c r="AR48" i="16" s="1"/>
  <c r="AN41" i="16"/>
  <c r="AP41" i="16" s="1"/>
  <c r="AR41" i="16" s="1"/>
  <c r="AQ9" i="16"/>
  <c r="AS9" i="16" s="1"/>
  <c r="AN43" i="16"/>
  <c r="AO43" i="16" s="1"/>
  <c r="AN40" i="16"/>
  <c r="AP40" i="16" s="1"/>
  <c r="AR40" i="16" s="1"/>
  <c r="AN49" i="16"/>
  <c r="AO49" i="16" s="1"/>
  <c r="AN46" i="16"/>
  <c r="AP46" i="16" s="1"/>
  <c r="AR46" i="16" s="1"/>
  <c r="AN47" i="16"/>
  <c r="AO47" i="16" s="1"/>
  <c r="AN42" i="16"/>
  <c r="AP42" i="16" s="1"/>
  <c r="AR42" i="16" s="1"/>
  <c r="AN45" i="16"/>
  <c r="AP45" i="16" s="1"/>
  <c r="AR45" i="16" s="1"/>
  <c r="W12" i="27"/>
  <c r="X12" i="27" s="1"/>
  <c r="U12" i="27"/>
  <c r="N12" i="27"/>
  <c r="AT28" i="16"/>
  <c r="AR13" i="16"/>
  <c r="AT13" i="16" s="1"/>
  <c r="AQ15" i="16"/>
  <c r="AR35" i="16"/>
  <c r="AA11" i="15" s="1"/>
  <c r="AC2" i="16"/>
  <c r="AE2" i="16" s="1"/>
  <c r="AS2" i="16" s="1"/>
  <c r="AR36" i="16"/>
  <c r="V12" i="15" s="1"/>
  <c r="AQ33" i="16"/>
  <c r="AS13" i="16"/>
  <c r="AQ34" i="16"/>
  <c r="AS34" i="16" s="1"/>
  <c r="AQ23" i="16"/>
  <c r="AT29" i="16"/>
  <c r="AQ32" i="16"/>
  <c r="AR25" i="16"/>
  <c r="AT25" i="16" s="1"/>
  <c r="AQ11" i="16"/>
  <c r="AS11" i="16" s="1"/>
  <c r="AQ14" i="16"/>
  <c r="AQ8" i="16"/>
  <c r="Z6" i="15"/>
  <c r="U6" i="15"/>
  <c r="G7" i="15"/>
  <c r="H7" i="15"/>
  <c r="I7" i="15"/>
  <c r="J7" i="15"/>
  <c r="K7" i="15"/>
  <c r="E7" i="15"/>
  <c r="F7" i="15"/>
  <c r="E12" i="15"/>
  <c r="F12" i="15"/>
  <c r="G12" i="15"/>
  <c r="H12" i="15"/>
  <c r="I12" i="15"/>
  <c r="J12" i="15"/>
  <c r="K12" i="15"/>
  <c r="W2" i="15"/>
  <c r="H8" i="15"/>
  <c r="I8" i="15"/>
  <c r="J8" i="15"/>
  <c r="K8" i="15"/>
  <c r="E8" i="15"/>
  <c r="F8" i="15"/>
  <c r="G8" i="15"/>
  <c r="AA10" i="15"/>
  <c r="U10" i="15"/>
  <c r="V10" i="15"/>
  <c r="W10" i="15"/>
  <c r="X10" i="15"/>
  <c r="Y8" i="15"/>
  <c r="Z8" i="15"/>
  <c r="AA8" i="15"/>
  <c r="U8" i="15"/>
  <c r="V8" i="15"/>
  <c r="W8" i="15"/>
  <c r="X8" i="15"/>
  <c r="G2" i="15"/>
  <c r="AS12" i="16"/>
  <c r="AQ16" i="16"/>
  <c r="AF20" i="16"/>
  <c r="V13" i="15"/>
  <c r="G13" i="27" s="1"/>
  <c r="G14" i="27" s="1"/>
  <c r="W13" i="15"/>
  <c r="H13" i="27" s="1"/>
  <c r="H14" i="27" s="1"/>
  <c r="X13" i="15"/>
  <c r="I13" i="27" s="1"/>
  <c r="I14" i="27" s="1"/>
  <c r="I15" i="27" s="1"/>
  <c r="I16" i="27" s="1"/>
  <c r="Y13" i="15"/>
  <c r="J13" i="27" s="1"/>
  <c r="J14" i="27" s="1"/>
  <c r="Z13" i="15"/>
  <c r="K13" i="27" s="1"/>
  <c r="K14" i="27" s="1"/>
  <c r="AA13" i="15"/>
  <c r="L13" i="27" s="1"/>
  <c r="W13" i="27" s="1"/>
  <c r="X13" i="27" s="1"/>
  <c r="U13" i="15"/>
  <c r="F13" i="27" s="1"/>
  <c r="F14" i="27" s="1"/>
  <c r="AQ37" i="16"/>
  <c r="AT37" i="16" s="1"/>
  <c r="AF3" i="16"/>
  <c r="AT3" i="16" s="1"/>
  <c r="U4" i="15"/>
  <c r="V4" i="15"/>
  <c r="W4" i="15"/>
  <c r="X4" i="15"/>
  <c r="Y4" i="15"/>
  <c r="Z4" i="15"/>
  <c r="AA4" i="15"/>
  <c r="V5" i="15"/>
  <c r="W5" i="15"/>
  <c r="X5" i="15"/>
  <c r="Y5" i="15"/>
  <c r="Z5" i="15"/>
  <c r="AA5" i="15"/>
  <c r="U5" i="15"/>
  <c r="X7" i="15"/>
  <c r="Y7" i="15"/>
  <c r="Z7" i="15"/>
  <c r="AA7" i="15"/>
  <c r="U7" i="15"/>
  <c r="V7" i="15"/>
  <c r="W7" i="15"/>
  <c r="AF21" i="16"/>
  <c r="AT21" i="16" s="1"/>
  <c r="AR27" i="16"/>
  <c r="AT34" i="16"/>
  <c r="AF33" i="16"/>
  <c r="AT33" i="16" s="1"/>
  <c r="AS27" i="16"/>
  <c r="AT14" i="16"/>
  <c r="AR15" i="16"/>
  <c r="AT15" i="16" s="1"/>
  <c r="AF35" i="16"/>
  <c r="AF17" i="16"/>
  <c r="AT17" i="16" s="1"/>
  <c r="AQ24" i="16"/>
  <c r="AA9" i="15"/>
  <c r="V9" i="15"/>
  <c r="X9" i="15"/>
  <c r="E5" i="15"/>
  <c r="F5" i="15"/>
  <c r="G5" i="15"/>
  <c r="H5" i="15"/>
  <c r="I5" i="15"/>
  <c r="J5" i="15"/>
  <c r="K5" i="15"/>
  <c r="AF7" i="16"/>
  <c r="AT7" i="16" s="1"/>
  <c r="E4" i="15"/>
  <c r="F4" i="15"/>
  <c r="G4" i="15"/>
  <c r="H4" i="15"/>
  <c r="I4" i="15"/>
  <c r="J4" i="15"/>
  <c r="K4" i="15"/>
  <c r="AT31" i="16"/>
  <c r="AQ19" i="16"/>
  <c r="AQ30" i="16"/>
  <c r="AT30" i="16" s="1"/>
  <c r="AC21" i="16"/>
  <c r="AE21" i="16" s="1"/>
  <c r="AS21" i="16" s="1"/>
  <c r="AQ22" i="16"/>
  <c r="AT22" i="16" s="1"/>
  <c r="AC3" i="16"/>
  <c r="AE3" i="16" s="1"/>
  <c r="AS3" i="16" s="1"/>
  <c r="AQ26" i="16"/>
  <c r="M13" i="15"/>
  <c r="AT32" i="16"/>
  <c r="AT26" i="16"/>
  <c r="AT8" i="16"/>
  <c r="AC7" i="16"/>
  <c r="AE7" i="16" s="1"/>
  <c r="AS7" i="16" s="1"/>
  <c r="AT24" i="16"/>
  <c r="AT19" i="16"/>
  <c r="AT16" i="16"/>
  <c r="AT23" i="16"/>
  <c r="X38" i="16"/>
  <c r="Y38" i="16"/>
  <c r="AN38" i="16"/>
  <c r="AC36" i="16"/>
  <c r="AE36" i="16" s="1"/>
  <c r="AS36" i="16" s="1"/>
  <c r="AC35" i="16"/>
  <c r="AE35" i="16" s="1"/>
  <c r="AS35" i="16" s="1"/>
  <c r="AC16" i="16"/>
  <c r="AE16" i="16" s="1"/>
  <c r="AC17" i="16"/>
  <c r="AE17" i="16" s="1"/>
  <c r="AS17" i="16" s="1"/>
  <c r="AC15" i="16"/>
  <c r="AE15" i="16" s="1"/>
  <c r="AC25" i="16"/>
  <c r="AE25" i="16" s="1"/>
  <c r="AS25" i="16" s="1"/>
  <c r="AC20" i="16"/>
  <c r="AE20" i="16" s="1"/>
  <c r="AS20" i="16" s="1"/>
  <c r="AC8" i="16"/>
  <c r="AE8" i="16" s="1"/>
  <c r="AC33" i="16"/>
  <c r="AE33" i="16" s="1"/>
  <c r="AC32" i="16"/>
  <c r="AE32" i="16" s="1"/>
  <c r="AC31" i="16"/>
  <c r="AE31" i="16" s="1"/>
  <c r="AS31" i="16" s="1"/>
  <c r="AC26" i="16"/>
  <c r="AE26" i="16" s="1"/>
  <c r="AC23" i="16"/>
  <c r="AE23" i="16" s="1"/>
  <c r="AC24" i="16"/>
  <c r="AE24" i="16" s="1"/>
  <c r="AC19" i="16"/>
  <c r="AE19" i="16" s="1"/>
  <c r="P3" i="7"/>
  <c r="M3" i="7"/>
  <c r="O3" i="7" s="1"/>
  <c r="K10" i="15" l="1"/>
  <c r="X6" i="15"/>
  <c r="W6" i="15"/>
  <c r="AB15" i="26"/>
  <c r="Z10" i="15"/>
  <c r="W9" i="15"/>
  <c r="AA15" i="37"/>
  <c r="G6" i="15"/>
  <c r="AA6" i="15"/>
  <c r="K6" i="15"/>
  <c r="AA11" i="14"/>
  <c r="L11" i="9"/>
  <c r="Y9" i="15"/>
  <c r="M11" i="14"/>
  <c r="R24" i="37"/>
  <c r="R22" i="37"/>
  <c r="F17" i="14"/>
  <c r="G10" i="37" s="1"/>
  <c r="G3" i="15"/>
  <c r="L10" i="9"/>
  <c r="L9" i="9"/>
  <c r="U9" i="15"/>
  <c r="V6" i="15"/>
  <c r="F6" i="15"/>
  <c r="L6" i="9"/>
  <c r="Y6" i="15"/>
  <c r="M21" i="14"/>
  <c r="H17" i="14"/>
  <c r="I10" i="37" s="1"/>
  <c r="K19" i="14"/>
  <c r="L10" i="40" s="1"/>
  <c r="W10" i="40" s="1"/>
  <c r="X10" i="40" s="1"/>
  <c r="Z9" i="15"/>
  <c r="AC15" i="37"/>
  <c r="AA21" i="14"/>
  <c r="R27" i="37"/>
  <c r="AA22" i="14"/>
  <c r="E17" i="14"/>
  <c r="F10" i="37" s="1"/>
  <c r="Z15" i="37"/>
  <c r="R21" i="37"/>
  <c r="H10" i="15"/>
  <c r="H19" i="14"/>
  <c r="I10" i="40" s="1"/>
  <c r="I9" i="40" s="1"/>
  <c r="I17" i="40" s="1"/>
  <c r="G17" i="14"/>
  <c r="H10" i="37" s="1"/>
  <c r="L17" i="9"/>
  <c r="P17" i="9" s="1"/>
  <c r="AB15" i="37"/>
  <c r="R23" i="37"/>
  <c r="H6" i="15"/>
  <c r="K3" i="15"/>
  <c r="W6" i="14"/>
  <c r="I6" i="14" s="1"/>
  <c r="I6" i="15"/>
  <c r="M20" i="14"/>
  <c r="AA20" i="14"/>
  <c r="G11" i="18"/>
  <c r="F3" i="15"/>
  <c r="L3" i="9"/>
  <c r="I10" i="15"/>
  <c r="Y10" i="15"/>
  <c r="AC10" i="15" s="1"/>
  <c r="S3" i="14"/>
  <c r="E3" i="14" s="1"/>
  <c r="E3" i="15"/>
  <c r="X3" i="14"/>
  <c r="J3" i="14" s="1"/>
  <c r="J3" i="15"/>
  <c r="J19" i="14"/>
  <c r="K10" i="40" s="1"/>
  <c r="K9" i="40" s="1"/>
  <c r="K17" i="40" s="1"/>
  <c r="I19" i="14"/>
  <c r="J10" i="40" s="1"/>
  <c r="J9" i="40" s="1"/>
  <c r="J17" i="40" s="1"/>
  <c r="R28" i="40"/>
  <c r="S10" i="14"/>
  <c r="E10" i="14" s="1"/>
  <c r="E10" i="15"/>
  <c r="K2" i="15"/>
  <c r="K15" i="27"/>
  <c r="K16" i="27" s="1"/>
  <c r="I2" i="15"/>
  <c r="AA17" i="14"/>
  <c r="AA14" i="14"/>
  <c r="M14" i="14"/>
  <c r="F19" i="14"/>
  <c r="G10" i="40" s="1"/>
  <c r="G9" i="40" s="1"/>
  <c r="G17" i="40" s="1"/>
  <c r="H11" i="18"/>
  <c r="E22" i="14"/>
  <c r="M22" i="14" s="1"/>
  <c r="AA19" i="14"/>
  <c r="F11" i="40"/>
  <c r="AA24" i="14"/>
  <c r="E24" i="14"/>
  <c r="M24" i="14" s="1"/>
  <c r="K9" i="35"/>
  <c r="K17" i="35" s="1"/>
  <c r="K9" i="38"/>
  <c r="K17" i="38" s="1"/>
  <c r="F10" i="40"/>
  <c r="Z38" i="16"/>
  <c r="G21" i="15"/>
  <c r="H21" i="15"/>
  <c r="J21" i="15"/>
  <c r="E21" i="15"/>
  <c r="F21" i="15"/>
  <c r="I21" i="15"/>
  <c r="K21" i="15"/>
  <c r="F20" i="15"/>
  <c r="G20" i="15"/>
  <c r="I20" i="15"/>
  <c r="K20" i="15"/>
  <c r="H20" i="15"/>
  <c r="J20" i="15"/>
  <c r="E20" i="15"/>
  <c r="AF49" i="16"/>
  <c r="AB49" i="16"/>
  <c r="AA49" i="16"/>
  <c r="AC49" i="16"/>
  <c r="AE49" i="16" s="1"/>
  <c r="J17" i="15"/>
  <c r="K12" i="37" s="1"/>
  <c r="H17" i="15"/>
  <c r="I12" i="37" s="1"/>
  <c r="G17" i="15"/>
  <c r="H12" i="37" s="1"/>
  <c r="I17" i="15"/>
  <c r="J12" i="37" s="1"/>
  <c r="E17" i="15"/>
  <c r="F12" i="37" s="1"/>
  <c r="I23" i="15"/>
  <c r="J23" i="15"/>
  <c r="F23" i="15"/>
  <c r="G23" i="15"/>
  <c r="K23" i="15"/>
  <c r="E23" i="15"/>
  <c r="H23" i="15"/>
  <c r="F17" i="15"/>
  <c r="G12" i="37" s="1"/>
  <c r="K17" i="15"/>
  <c r="L12" i="37" s="1"/>
  <c r="M15" i="14"/>
  <c r="I9" i="36"/>
  <c r="I17" i="36" s="1"/>
  <c r="K18" i="14"/>
  <c r="L10" i="38" s="1"/>
  <c r="G11" i="37"/>
  <c r="I11" i="35"/>
  <c r="I11" i="25"/>
  <c r="F11" i="36"/>
  <c r="E16" i="14"/>
  <c r="K11" i="36"/>
  <c r="J16" i="14"/>
  <c r="K10" i="36" s="1"/>
  <c r="G11" i="35"/>
  <c r="F11" i="35"/>
  <c r="H11" i="35"/>
  <c r="L11" i="36"/>
  <c r="W11" i="36" s="1"/>
  <c r="X11" i="36" s="1"/>
  <c r="K16" i="14"/>
  <c r="L10" i="36" s="1"/>
  <c r="K17" i="14"/>
  <c r="L10" i="37" s="1"/>
  <c r="K11" i="37"/>
  <c r="J17" i="14"/>
  <c r="K10" i="37" s="1"/>
  <c r="H11" i="36"/>
  <c r="G16" i="14"/>
  <c r="H10" i="36" s="1"/>
  <c r="L11" i="38"/>
  <c r="W11" i="38" s="1"/>
  <c r="X11" i="38" s="1"/>
  <c r="AA42" i="16"/>
  <c r="AF42" i="16" s="1"/>
  <c r="AT42" i="16" s="1"/>
  <c r="N30" i="20"/>
  <c r="P30" i="20"/>
  <c r="N19" i="38"/>
  <c r="N20" i="38" s="1"/>
  <c r="F20" i="38"/>
  <c r="R28" i="38"/>
  <c r="U2" i="15"/>
  <c r="AS14" i="16"/>
  <c r="J9" i="37"/>
  <c r="J17" i="37" s="1"/>
  <c r="J10" i="38"/>
  <c r="J11" i="38"/>
  <c r="I11" i="37"/>
  <c r="I11" i="38"/>
  <c r="I10" i="38"/>
  <c r="H11" i="37"/>
  <c r="H10" i="38"/>
  <c r="H11" i="38"/>
  <c r="G10" i="38"/>
  <c r="G11" i="38"/>
  <c r="F11" i="37"/>
  <c r="F11" i="38"/>
  <c r="N28" i="20"/>
  <c r="P28" i="20"/>
  <c r="AB41" i="16"/>
  <c r="AC41" i="16" s="1"/>
  <c r="AE41" i="16" s="1"/>
  <c r="AC46" i="16"/>
  <c r="AE46" i="16" s="1"/>
  <c r="AB44" i="16"/>
  <c r="AA44" i="16"/>
  <c r="AC44" i="16"/>
  <c r="AE44" i="16" s="1"/>
  <c r="AA39" i="16"/>
  <c r="AF39" i="16" s="1"/>
  <c r="H10" i="18"/>
  <c r="V2" i="15"/>
  <c r="F15" i="27"/>
  <c r="F16" i="27" s="1"/>
  <c r="J10" i="18"/>
  <c r="Z2" i="15"/>
  <c r="AF46" i="16"/>
  <c r="AA46" i="16"/>
  <c r="F20" i="36"/>
  <c r="N19" i="36"/>
  <c r="N20" i="36" s="1"/>
  <c r="H10" i="35"/>
  <c r="K10" i="18"/>
  <c r="G11" i="36"/>
  <c r="G10" i="36"/>
  <c r="R28" i="35"/>
  <c r="G10" i="18"/>
  <c r="X2" i="15"/>
  <c r="R28" i="36"/>
  <c r="G10" i="35"/>
  <c r="R28" i="18"/>
  <c r="L11" i="35"/>
  <c r="W11" i="35" s="1"/>
  <c r="X11" i="35" s="1"/>
  <c r="J11" i="35"/>
  <c r="J10" i="35"/>
  <c r="J11" i="36"/>
  <c r="J10" i="36"/>
  <c r="AA43" i="16"/>
  <c r="AF43" i="16" s="1"/>
  <c r="AB45" i="16"/>
  <c r="AC45" i="16"/>
  <c r="AE45" i="16" s="1"/>
  <c r="AA45" i="16"/>
  <c r="AB43" i="16"/>
  <c r="AA40" i="16"/>
  <c r="AF40" i="16" s="1"/>
  <c r="AB40" i="16"/>
  <c r="AF48" i="16"/>
  <c r="AA48" i="16"/>
  <c r="AC48" i="16"/>
  <c r="AE48" i="16" s="1"/>
  <c r="AC47" i="16"/>
  <c r="AE47" i="16" s="1"/>
  <c r="AB47" i="16"/>
  <c r="AA47" i="16"/>
  <c r="J15" i="27"/>
  <c r="J16" i="27" s="1"/>
  <c r="H15" i="27"/>
  <c r="H16" i="27" s="1"/>
  <c r="G15" i="27"/>
  <c r="G16" i="27" s="1"/>
  <c r="AO44" i="16"/>
  <c r="AQ44" i="16" s="1"/>
  <c r="AP49" i="16"/>
  <c r="AR49" i="16" s="1"/>
  <c r="W25" i="15" s="1"/>
  <c r="AT20" i="16"/>
  <c r="I9" i="18"/>
  <c r="I17" i="18" s="1"/>
  <c r="F10" i="14"/>
  <c r="Z15" i="26"/>
  <c r="S2" i="14"/>
  <c r="N20" i="9"/>
  <c r="P20" i="9"/>
  <c r="E6" i="14"/>
  <c r="AE15" i="26"/>
  <c r="X2" i="14"/>
  <c r="F4" i="14"/>
  <c r="M4" i="14" s="1"/>
  <c r="AA4" i="14"/>
  <c r="F11" i="27"/>
  <c r="AA13" i="14"/>
  <c r="E13" i="14"/>
  <c r="N22" i="9"/>
  <c r="P22" i="9"/>
  <c r="G11" i="27"/>
  <c r="F13" i="14"/>
  <c r="G10" i="27" s="1"/>
  <c r="AA15" i="26"/>
  <c r="T2" i="14"/>
  <c r="N16" i="9"/>
  <c r="P19" i="9"/>
  <c r="N19" i="9"/>
  <c r="P25" i="9"/>
  <c r="N25" i="9"/>
  <c r="P15" i="9"/>
  <c r="H3" i="14"/>
  <c r="AF15" i="26"/>
  <c r="Y2" i="14"/>
  <c r="AA9" i="14"/>
  <c r="E9" i="14"/>
  <c r="M9" i="14" s="1"/>
  <c r="I13" i="14"/>
  <c r="J10" i="27" s="1"/>
  <c r="J11" i="27"/>
  <c r="G13" i="14"/>
  <c r="H10" i="27" s="1"/>
  <c r="H11" i="27"/>
  <c r="AA5" i="14"/>
  <c r="E5" i="14"/>
  <c r="M5" i="14" s="1"/>
  <c r="AD15" i="26"/>
  <c r="W2" i="14"/>
  <c r="AC15" i="26"/>
  <c r="V2" i="14"/>
  <c r="G2" i="14"/>
  <c r="H11" i="26"/>
  <c r="J13" i="14"/>
  <c r="K10" i="27" s="1"/>
  <c r="K11" i="27"/>
  <c r="N18" i="9"/>
  <c r="F12" i="14"/>
  <c r="M12" i="14" s="1"/>
  <c r="AA12" i="14"/>
  <c r="E7" i="14"/>
  <c r="M7" i="14" s="1"/>
  <c r="AA7" i="14"/>
  <c r="P21" i="9"/>
  <c r="N21" i="9"/>
  <c r="K13" i="14"/>
  <c r="L10" i="27" s="1"/>
  <c r="L11" i="27"/>
  <c r="W11" i="27" s="1"/>
  <c r="X11" i="27" s="1"/>
  <c r="P24" i="9"/>
  <c r="N24" i="9"/>
  <c r="P23" i="9"/>
  <c r="N23" i="9"/>
  <c r="L2" i="9"/>
  <c r="K11" i="25"/>
  <c r="G11" i="25"/>
  <c r="F11" i="25"/>
  <c r="H11" i="25"/>
  <c r="L11" i="25"/>
  <c r="W11" i="25" s="1"/>
  <c r="X11" i="25" s="1"/>
  <c r="W11" i="18"/>
  <c r="X11" i="18" s="1"/>
  <c r="AP39" i="16"/>
  <c r="AR39" i="16" s="1"/>
  <c r="U15" i="15" s="1"/>
  <c r="AS8" i="16"/>
  <c r="AS26" i="16"/>
  <c r="AO41" i="16"/>
  <c r="AQ41" i="16" s="1"/>
  <c r="AA12" i="15"/>
  <c r="AS15" i="16"/>
  <c r="AO46" i="16"/>
  <c r="AQ46" i="16" s="1"/>
  <c r="AO45" i="16"/>
  <c r="AQ45" i="16" s="1"/>
  <c r="AT41" i="16"/>
  <c r="U17" i="15"/>
  <c r="V17" i="15"/>
  <c r="G13" i="37" s="1"/>
  <c r="Y17" i="15"/>
  <c r="J13" i="37" s="1"/>
  <c r="W17" i="15"/>
  <c r="X17" i="15"/>
  <c r="Z17" i="15"/>
  <c r="K13" i="37" s="1"/>
  <c r="AA17" i="15"/>
  <c r="AO40" i="16"/>
  <c r="AQ40" i="16" s="1"/>
  <c r="AO48" i="16"/>
  <c r="AQ48" i="16" s="1"/>
  <c r="AP43" i="16"/>
  <c r="AR43" i="16" s="1"/>
  <c r="Y19" i="15" s="1"/>
  <c r="J13" i="40" s="1"/>
  <c r="U18" i="15"/>
  <c r="AA18" i="15"/>
  <c r="V18" i="15"/>
  <c r="G13" i="38" s="1"/>
  <c r="W18" i="15"/>
  <c r="H13" i="38" s="1"/>
  <c r="X18" i="15"/>
  <c r="I13" i="38" s="1"/>
  <c r="Y18" i="15"/>
  <c r="J13" i="38" s="1"/>
  <c r="Z18" i="15"/>
  <c r="K13" i="38" s="1"/>
  <c r="AS33" i="16"/>
  <c r="Z11" i="15"/>
  <c r="AO42" i="16"/>
  <c r="AQ42" i="16" s="1"/>
  <c r="AT35" i="16"/>
  <c r="Y11" i="15"/>
  <c r="U11" i="15"/>
  <c r="W16" i="15"/>
  <c r="H13" i="36" s="1"/>
  <c r="X16" i="15"/>
  <c r="I13" i="36" s="1"/>
  <c r="Z16" i="15"/>
  <c r="K13" i="36" s="1"/>
  <c r="U16" i="15"/>
  <c r="Y16" i="15"/>
  <c r="J13" i="36" s="1"/>
  <c r="AA16" i="15"/>
  <c r="L13" i="36" s="1"/>
  <c r="V16" i="15"/>
  <c r="G13" i="36" s="1"/>
  <c r="AP47" i="16"/>
  <c r="AR47" i="16" s="1"/>
  <c r="U24" i="15"/>
  <c r="AC24" i="15" s="1"/>
  <c r="AE24" i="15" s="1"/>
  <c r="AA24" i="15"/>
  <c r="V24" i="15"/>
  <c r="W24" i="15"/>
  <c r="Y24" i="15"/>
  <c r="Z24" i="15"/>
  <c r="X24" i="15"/>
  <c r="V22" i="15"/>
  <c r="X22" i="15"/>
  <c r="W22" i="15"/>
  <c r="Y22" i="15"/>
  <c r="AA22" i="15"/>
  <c r="U22" i="15"/>
  <c r="Z22" i="15"/>
  <c r="AT45" i="16"/>
  <c r="X21" i="15"/>
  <c r="Y21" i="15"/>
  <c r="Z21" i="15"/>
  <c r="AA21" i="15"/>
  <c r="W21" i="15"/>
  <c r="U21" i="15"/>
  <c r="V21" i="15"/>
  <c r="W20" i="15"/>
  <c r="AT44" i="16"/>
  <c r="Y20" i="15"/>
  <c r="U20" i="15"/>
  <c r="Z20" i="15"/>
  <c r="V20" i="15"/>
  <c r="AA20" i="15"/>
  <c r="X20" i="15"/>
  <c r="AS19" i="16"/>
  <c r="X11" i="15"/>
  <c r="W11" i="15"/>
  <c r="V11" i="15"/>
  <c r="L14" i="27"/>
  <c r="L15" i="27" s="1"/>
  <c r="L16" i="27" s="1"/>
  <c r="U13" i="27"/>
  <c r="N13" i="27"/>
  <c r="N14" i="27" s="1"/>
  <c r="AB38" i="16"/>
  <c r="AT36" i="16"/>
  <c r="X12" i="15"/>
  <c r="W12" i="15"/>
  <c r="U12" i="15"/>
  <c r="M5" i="15"/>
  <c r="Z12" i="15"/>
  <c r="Y12" i="15"/>
  <c r="AS32" i="16"/>
  <c r="M8" i="15"/>
  <c r="AS23" i="16"/>
  <c r="AS24" i="16"/>
  <c r="AS16" i="16"/>
  <c r="M7" i="15"/>
  <c r="AS30" i="16"/>
  <c r="M4" i="15"/>
  <c r="M12" i="15"/>
  <c r="AS22" i="16"/>
  <c r="AC13" i="15"/>
  <c r="AC8" i="15"/>
  <c r="AS37" i="16"/>
  <c r="AC9" i="15"/>
  <c r="K11" i="15"/>
  <c r="E11" i="15"/>
  <c r="F11" i="15"/>
  <c r="G11" i="15"/>
  <c r="H11" i="15"/>
  <c r="I11" i="15"/>
  <c r="J11" i="15"/>
  <c r="U3" i="15"/>
  <c r="V3" i="15"/>
  <c r="W3" i="15"/>
  <c r="X3" i="15"/>
  <c r="Y3" i="15"/>
  <c r="Z3" i="15"/>
  <c r="AA3" i="15"/>
  <c r="AT27" i="16"/>
  <c r="AC4" i="15"/>
  <c r="AC5" i="15"/>
  <c r="AC7" i="15"/>
  <c r="I9" i="15"/>
  <c r="J9" i="15"/>
  <c r="K9" i="15"/>
  <c r="E9" i="15"/>
  <c r="F9" i="15"/>
  <c r="G9" i="15"/>
  <c r="H9" i="15"/>
  <c r="AP38" i="16"/>
  <c r="AR38" i="16" s="1"/>
  <c r="U14" i="15" s="1"/>
  <c r="AO38" i="16"/>
  <c r="G9" i="37" l="1"/>
  <c r="G17" i="37" s="1"/>
  <c r="I13" i="37"/>
  <c r="AC6" i="15"/>
  <c r="H13" i="37"/>
  <c r="H14" i="37" s="1"/>
  <c r="H15" i="37" s="1"/>
  <c r="H16" i="37" s="1"/>
  <c r="L9" i="40"/>
  <c r="L17" i="40" s="1"/>
  <c r="M10" i="14"/>
  <c r="M6" i="14"/>
  <c r="AA6" i="14"/>
  <c r="M6" i="15"/>
  <c r="R28" i="37"/>
  <c r="N17" i="9"/>
  <c r="AC21" i="15"/>
  <c r="AE21" i="15" s="1"/>
  <c r="AC22" i="15"/>
  <c r="AE22" i="15" s="1"/>
  <c r="AA10" i="14"/>
  <c r="M10" i="15"/>
  <c r="AC20" i="15"/>
  <c r="AE20" i="15" s="1"/>
  <c r="AA3" i="14"/>
  <c r="M3" i="15"/>
  <c r="M3" i="14"/>
  <c r="M2" i="15"/>
  <c r="M19" i="14"/>
  <c r="H9" i="35"/>
  <c r="H17" i="35" s="1"/>
  <c r="N11" i="40"/>
  <c r="U11" i="40"/>
  <c r="H19" i="15"/>
  <c r="I12" i="40" s="1"/>
  <c r="J19" i="15"/>
  <c r="K12" i="40" s="1"/>
  <c r="K19" i="15"/>
  <c r="L12" i="40" s="1"/>
  <c r="W12" i="40" s="1"/>
  <c r="X12" i="40" s="1"/>
  <c r="G19" i="15"/>
  <c r="H12" i="40" s="1"/>
  <c r="I19" i="15"/>
  <c r="J12" i="40" s="1"/>
  <c r="J14" i="40" s="1"/>
  <c r="J15" i="40" s="1"/>
  <c r="J16" i="40" s="1"/>
  <c r="F19" i="15"/>
  <c r="G12" i="40" s="1"/>
  <c r="E19" i="15"/>
  <c r="F12" i="40" s="1"/>
  <c r="AC43" i="16"/>
  <c r="AE43" i="16" s="1"/>
  <c r="U11" i="35"/>
  <c r="G9" i="35"/>
  <c r="G17" i="35" s="1"/>
  <c r="H9" i="36"/>
  <c r="H17" i="36" s="1"/>
  <c r="N10" i="40"/>
  <c r="U10" i="40"/>
  <c r="F9" i="40"/>
  <c r="M17" i="14"/>
  <c r="M17" i="15"/>
  <c r="O17" i="15" s="1"/>
  <c r="F13" i="36"/>
  <c r="U13" i="36" s="1"/>
  <c r="AC16" i="15"/>
  <c r="AE16" i="15" s="1"/>
  <c r="F13" i="38"/>
  <c r="U13" i="38" s="1"/>
  <c r="AC18" i="15"/>
  <c r="AE18" i="15" s="1"/>
  <c r="K15" i="15"/>
  <c r="L12" i="35" s="1"/>
  <c r="W12" i="35" s="1"/>
  <c r="X12" i="35" s="1"/>
  <c r="I15" i="15"/>
  <c r="J12" i="35" s="1"/>
  <c r="G15" i="15"/>
  <c r="H12" i="35" s="1"/>
  <c r="F15" i="15"/>
  <c r="G12" i="35" s="1"/>
  <c r="E15" i="15"/>
  <c r="F12" i="35" s="1"/>
  <c r="J15" i="15"/>
  <c r="K12" i="35" s="1"/>
  <c r="H15" i="15"/>
  <c r="I12" i="35" s="1"/>
  <c r="AT46" i="16"/>
  <c r="H22" i="15"/>
  <c r="I22" i="15"/>
  <c r="K22" i="15"/>
  <c r="E22" i="15"/>
  <c r="F22" i="15"/>
  <c r="J22" i="15"/>
  <c r="G22" i="15"/>
  <c r="E18" i="15"/>
  <c r="G18" i="15"/>
  <c r="H12" i="38" s="1"/>
  <c r="H14" i="38" s="1"/>
  <c r="H15" i="38" s="1"/>
  <c r="H16" i="38" s="1"/>
  <c r="I18" i="15"/>
  <c r="J12" i="38" s="1"/>
  <c r="J14" i="38" s="1"/>
  <c r="J15" i="38" s="1"/>
  <c r="J16" i="38" s="1"/>
  <c r="J18" i="15"/>
  <c r="K12" i="38" s="1"/>
  <c r="K14" i="38" s="1"/>
  <c r="K15" i="38" s="1"/>
  <c r="K16" i="38" s="1"/>
  <c r="F18" i="15"/>
  <c r="G12" i="38" s="1"/>
  <c r="G14" i="38" s="1"/>
  <c r="G15" i="38" s="1"/>
  <c r="G16" i="38" s="1"/>
  <c r="H18" i="15"/>
  <c r="I12" i="38" s="1"/>
  <c r="I14" i="38" s="1"/>
  <c r="I15" i="38" s="1"/>
  <c r="I16" i="38" s="1"/>
  <c r="K18" i="15"/>
  <c r="L12" i="38" s="1"/>
  <c r="K25" i="15"/>
  <c r="F25" i="15"/>
  <c r="H25" i="15"/>
  <c r="I25" i="15"/>
  <c r="E25" i="15"/>
  <c r="G25" i="15"/>
  <c r="J25" i="15"/>
  <c r="M20" i="15"/>
  <c r="O20" i="15" s="1"/>
  <c r="F13" i="37"/>
  <c r="U13" i="37" s="1"/>
  <c r="AC17" i="15"/>
  <c r="AE17" i="15" s="1"/>
  <c r="F13" i="35"/>
  <c r="M23" i="15"/>
  <c r="O23" i="15" s="1"/>
  <c r="M21" i="15"/>
  <c r="O21" i="15" s="1"/>
  <c r="L13" i="37"/>
  <c r="W13" i="37" s="1"/>
  <c r="X13" i="37" s="1"/>
  <c r="AT48" i="16"/>
  <c r="J24" i="15"/>
  <c r="K24" i="15"/>
  <c r="E24" i="15"/>
  <c r="G24" i="15"/>
  <c r="H24" i="15"/>
  <c r="I24" i="15"/>
  <c r="F24" i="15"/>
  <c r="AC42" i="16"/>
  <c r="AE42" i="16" s="1"/>
  <c r="AS42" i="16" s="1"/>
  <c r="F13" i="18"/>
  <c r="L13" i="38"/>
  <c r="W13" i="38" s="1"/>
  <c r="X13" i="38" s="1"/>
  <c r="K16" i="15"/>
  <c r="L12" i="36" s="1"/>
  <c r="J16" i="15"/>
  <c r="K12" i="36" s="1"/>
  <c r="K14" i="36" s="1"/>
  <c r="K15" i="36" s="1"/>
  <c r="K16" i="36" s="1"/>
  <c r="H16" i="15"/>
  <c r="I12" i="36" s="1"/>
  <c r="I14" i="36" s="1"/>
  <c r="I15" i="36" s="1"/>
  <c r="I16" i="36" s="1"/>
  <c r="E16" i="15"/>
  <c r="F12" i="36" s="1"/>
  <c r="G16" i="15"/>
  <c r="H12" i="36" s="1"/>
  <c r="H14" i="36" s="1"/>
  <c r="H15" i="36" s="1"/>
  <c r="H16" i="36" s="1"/>
  <c r="F16" i="15"/>
  <c r="G12" i="36" s="1"/>
  <c r="G14" i="36" s="1"/>
  <c r="G15" i="36" s="1"/>
  <c r="G16" i="36" s="1"/>
  <c r="I16" i="15"/>
  <c r="J12" i="36" s="1"/>
  <c r="J14" i="36" s="1"/>
  <c r="J15" i="36" s="1"/>
  <c r="J16" i="36" s="1"/>
  <c r="M16" i="14"/>
  <c r="M18" i="14"/>
  <c r="F10" i="36"/>
  <c r="N10" i="36" s="1"/>
  <c r="U11" i="36"/>
  <c r="I9" i="37"/>
  <c r="I17" i="37" s="1"/>
  <c r="K9" i="37"/>
  <c r="K17" i="37" s="1"/>
  <c r="K9" i="36"/>
  <c r="K17" i="36" s="1"/>
  <c r="L9" i="38"/>
  <c r="L17" i="38" s="1"/>
  <c r="W10" i="38"/>
  <c r="X10" i="38" s="1"/>
  <c r="W10" i="37"/>
  <c r="X10" i="37" s="1"/>
  <c r="L9" i="37"/>
  <c r="L17" i="37" s="1"/>
  <c r="W13" i="36"/>
  <c r="X13" i="36" s="1"/>
  <c r="F9" i="37"/>
  <c r="F17" i="37" s="1"/>
  <c r="F10" i="18"/>
  <c r="N11" i="38"/>
  <c r="I9" i="38"/>
  <c r="I17" i="38" s="1"/>
  <c r="H9" i="38"/>
  <c r="H17" i="38" s="1"/>
  <c r="F10" i="38"/>
  <c r="F9" i="38" s="1"/>
  <c r="H9" i="37"/>
  <c r="H17" i="37" s="1"/>
  <c r="N10" i="37"/>
  <c r="U11" i="38"/>
  <c r="J9" i="38"/>
  <c r="J17" i="38" s="1"/>
  <c r="G9" i="36"/>
  <c r="G17" i="36" s="1"/>
  <c r="J14" i="37"/>
  <c r="J15" i="37" s="1"/>
  <c r="J16" i="37" s="1"/>
  <c r="G9" i="38"/>
  <c r="G17" i="38" s="1"/>
  <c r="K14" i="37"/>
  <c r="K15" i="37" s="1"/>
  <c r="K16" i="37" s="1"/>
  <c r="I14" i="37"/>
  <c r="I15" i="37" s="1"/>
  <c r="I16" i="37" s="1"/>
  <c r="U10" i="37"/>
  <c r="N11" i="37"/>
  <c r="U11" i="37"/>
  <c r="G14" i="37"/>
  <c r="G15" i="37" s="1"/>
  <c r="G16" i="37" s="1"/>
  <c r="W12" i="37"/>
  <c r="X12" i="37" s="1"/>
  <c r="U12" i="37"/>
  <c r="N12" i="37"/>
  <c r="K12" i="26"/>
  <c r="AC39" i="16"/>
  <c r="AE39" i="16" s="1"/>
  <c r="J12" i="26"/>
  <c r="AC2" i="15"/>
  <c r="AS46" i="16"/>
  <c r="AS44" i="16"/>
  <c r="AS41" i="16"/>
  <c r="AS45" i="16"/>
  <c r="N11" i="35"/>
  <c r="J9" i="35"/>
  <c r="J17" i="35" s="1"/>
  <c r="Y25" i="15"/>
  <c r="AT49" i="16"/>
  <c r="J9" i="36"/>
  <c r="J17" i="36" s="1"/>
  <c r="AT40" i="16"/>
  <c r="AC40" i="16"/>
  <c r="AE40" i="16" s="1"/>
  <c r="AS40" i="16" s="1"/>
  <c r="N11" i="36"/>
  <c r="W10" i="36"/>
  <c r="X10" i="36" s="1"/>
  <c r="L9" i="36"/>
  <c r="L17" i="36" s="1"/>
  <c r="I10" i="35"/>
  <c r="I9" i="35" s="1"/>
  <c r="I17" i="35" s="1"/>
  <c r="I10" i="25"/>
  <c r="I9" i="25" s="1"/>
  <c r="I17" i="25" s="1"/>
  <c r="W10" i="35"/>
  <c r="X10" i="35" s="1"/>
  <c r="L9" i="35"/>
  <c r="L17" i="35" s="1"/>
  <c r="AS48" i="16"/>
  <c r="V25" i="15"/>
  <c r="U25" i="15"/>
  <c r="AC25" i="15" s="1"/>
  <c r="AE25" i="15" s="1"/>
  <c r="X25" i="15"/>
  <c r="AA25" i="15"/>
  <c r="Z25" i="15"/>
  <c r="AQ49" i="16"/>
  <c r="AS49" i="16" s="1"/>
  <c r="J9" i="27"/>
  <c r="J17" i="27" s="1"/>
  <c r="K9" i="27"/>
  <c r="K17" i="27" s="1"/>
  <c r="U11" i="27"/>
  <c r="H9" i="27"/>
  <c r="H17" i="27" s="1"/>
  <c r="G9" i="27"/>
  <c r="G17" i="27" s="1"/>
  <c r="H10" i="26"/>
  <c r="H9" i="26" s="1"/>
  <c r="H17" i="26" s="1"/>
  <c r="H2" i="14"/>
  <c r="I10" i="26" s="1"/>
  <c r="I11" i="26"/>
  <c r="F2" i="14"/>
  <c r="G10" i="26" s="1"/>
  <c r="G11" i="26"/>
  <c r="J2" i="14"/>
  <c r="K10" i="26" s="1"/>
  <c r="K11" i="26"/>
  <c r="F11" i="26"/>
  <c r="E2" i="14"/>
  <c r="AA2" i="14"/>
  <c r="I2" i="14"/>
  <c r="J10" i="26" s="1"/>
  <c r="J11" i="26"/>
  <c r="M13" i="14"/>
  <c r="F10" i="27"/>
  <c r="W10" i="27"/>
  <c r="X10" i="27" s="1"/>
  <c r="L9" i="27"/>
  <c r="L17" i="27" s="1"/>
  <c r="L13" i="26"/>
  <c r="W13" i="26" s="1"/>
  <c r="X13" i="26" s="1"/>
  <c r="K2" i="14"/>
  <c r="L10" i="26" s="1"/>
  <c r="L11" i="26"/>
  <c r="W11" i="26" s="1"/>
  <c r="X11" i="26" s="1"/>
  <c r="N11" i="27"/>
  <c r="S11" i="27" s="1"/>
  <c r="U11" i="25"/>
  <c r="U11" i="18"/>
  <c r="L10" i="25"/>
  <c r="G9" i="18"/>
  <c r="G17" i="18" s="1"/>
  <c r="G10" i="25"/>
  <c r="G9" i="25" s="1"/>
  <c r="G17" i="25" s="1"/>
  <c r="H9" i="18"/>
  <c r="H17" i="18" s="1"/>
  <c r="H10" i="25"/>
  <c r="H9" i="25" s="1"/>
  <c r="H17" i="25" s="1"/>
  <c r="K9" i="18"/>
  <c r="K17" i="18" s="1"/>
  <c r="K10" i="25"/>
  <c r="K9" i="25" s="1"/>
  <c r="K17" i="25" s="1"/>
  <c r="Y15" i="15"/>
  <c r="J13" i="35" s="1"/>
  <c r="AA15" i="15"/>
  <c r="Z15" i="15"/>
  <c r="K13" i="35" s="1"/>
  <c r="X15" i="15"/>
  <c r="I13" i="35" s="1"/>
  <c r="AT39" i="16"/>
  <c r="W15" i="15"/>
  <c r="H13" i="35" s="1"/>
  <c r="V15" i="15"/>
  <c r="G13" i="35" s="1"/>
  <c r="AQ39" i="16"/>
  <c r="V19" i="15"/>
  <c r="G13" i="40" s="1"/>
  <c r="I13" i="26"/>
  <c r="AQ47" i="16"/>
  <c r="AS47" i="16" s="1"/>
  <c r="AT43" i="16"/>
  <c r="F12" i="26"/>
  <c r="AC11" i="15"/>
  <c r="H13" i="26"/>
  <c r="U19" i="15"/>
  <c r="AA19" i="15"/>
  <c r="L13" i="40" s="1"/>
  <c r="W13" i="40" s="1"/>
  <c r="X13" i="40" s="1"/>
  <c r="X19" i="15"/>
  <c r="I13" i="40" s="1"/>
  <c r="Z19" i="15"/>
  <c r="K13" i="40" s="1"/>
  <c r="W19" i="15"/>
  <c r="H13" i="40" s="1"/>
  <c r="AQ43" i="16"/>
  <c r="I12" i="26"/>
  <c r="G12" i="26"/>
  <c r="K13" i="26"/>
  <c r="J13" i="26"/>
  <c r="G13" i="26"/>
  <c r="H12" i="26"/>
  <c r="W23" i="15"/>
  <c r="X23" i="15"/>
  <c r="U23" i="15"/>
  <c r="AC23" i="15" s="1"/>
  <c r="AE23" i="15" s="1"/>
  <c r="Y23" i="15"/>
  <c r="Z23" i="15"/>
  <c r="AA23" i="15"/>
  <c r="AT47" i="16"/>
  <c r="V23" i="15"/>
  <c r="L12" i="26"/>
  <c r="W12" i="26" s="1"/>
  <c r="X12" i="26" s="1"/>
  <c r="AA38" i="16"/>
  <c r="AF38" i="16" s="1"/>
  <c r="F13" i="26"/>
  <c r="S13" i="27"/>
  <c r="N15" i="27"/>
  <c r="N16" i="27" s="1"/>
  <c r="AC12" i="15"/>
  <c r="M11" i="15"/>
  <c r="M9" i="15"/>
  <c r="AC3" i="15"/>
  <c r="V14" i="15"/>
  <c r="G13" i="18" s="1"/>
  <c r="W14" i="15"/>
  <c r="H13" i="18" s="1"/>
  <c r="X14" i="15"/>
  <c r="I13" i="18" s="1"/>
  <c r="Z14" i="15"/>
  <c r="K13" i="18" s="1"/>
  <c r="AA14" i="15"/>
  <c r="L13" i="18" s="1"/>
  <c r="AQ38" i="16"/>
  <c r="Y14" i="15"/>
  <c r="J13" i="18" s="1"/>
  <c r="J11" i="25"/>
  <c r="N11" i="25" s="1"/>
  <c r="S11" i="25" s="1"/>
  <c r="L14" i="9"/>
  <c r="N14" i="9" s="1"/>
  <c r="I14" i="40" l="1"/>
  <c r="I15" i="40" s="1"/>
  <c r="I16" i="40" s="1"/>
  <c r="K14" i="40"/>
  <c r="K15" i="40" s="1"/>
  <c r="K16" i="40" s="1"/>
  <c r="H14" i="40"/>
  <c r="H15" i="40" s="1"/>
  <c r="H16" i="40" s="1"/>
  <c r="G14" i="40"/>
  <c r="G15" i="40" s="1"/>
  <c r="G16" i="40" s="1"/>
  <c r="M19" i="15"/>
  <c r="O19" i="15" s="1"/>
  <c r="N12" i="40"/>
  <c r="U12" i="40"/>
  <c r="AS43" i="16"/>
  <c r="L14" i="40"/>
  <c r="L15" i="40" s="1"/>
  <c r="L16" i="40" s="1"/>
  <c r="AC19" i="15"/>
  <c r="AE19" i="15" s="1"/>
  <c r="F13" i="40"/>
  <c r="N9" i="40"/>
  <c r="N17" i="40" s="1"/>
  <c r="F17" i="40"/>
  <c r="I14" i="35"/>
  <c r="I15" i="35" s="1"/>
  <c r="I16" i="35" s="1"/>
  <c r="F14" i="35"/>
  <c r="F15" i="35" s="1"/>
  <c r="F16" i="35" s="1"/>
  <c r="L14" i="38"/>
  <c r="L15" i="38" s="1"/>
  <c r="L16" i="38" s="1"/>
  <c r="N13" i="38"/>
  <c r="U13" i="35"/>
  <c r="W12" i="38"/>
  <c r="X12" i="38" s="1"/>
  <c r="M24" i="15"/>
  <c r="O24" i="15" s="1"/>
  <c r="AC15" i="15"/>
  <c r="AE15" i="15" s="1"/>
  <c r="L14" i="37"/>
  <c r="L15" i="37" s="1"/>
  <c r="L16" i="37" s="1"/>
  <c r="AC14" i="15"/>
  <c r="AE14" i="15" s="1"/>
  <c r="M18" i="15"/>
  <c r="F12" i="38"/>
  <c r="N13" i="37"/>
  <c r="N14" i="37" s="1"/>
  <c r="F14" i="37"/>
  <c r="F15" i="37" s="1"/>
  <c r="F16" i="37" s="1"/>
  <c r="M22" i="15"/>
  <c r="O22" i="15" s="1"/>
  <c r="L13" i="35"/>
  <c r="L14" i="35" s="1"/>
  <c r="L15" i="35" s="1"/>
  <c r="L16" i="35" s="1"/>
  <c r="M15" i="15"/>
  <c r="O15" i="15" s="1"/>
  <c r="M25" i="15"/>
  <c r="O25" i="15" s="1"/>
  <c r="U10" i="36"/>
  <c r="F9" i="36"/>
  <c r="F17" i="36" s="1"/>
  <c r="N13" i="36"/>
  <c r="S18" i="36" s="1"/>
  <c r="W12" i="36"/>
  <c r="X12" i="36" s="1"/>
  <c r="S12" i="27"/>
  <c r="K14" i="15"/>
  <c r="L12" i="18" s="1"/>
  <c r="J14" i="15"/>
  <c r="K12" i="18" s="1"/>
  <c r="I14" i="15"/>
  <c r="J12" i="18" s="1"/>
  <c r="H14" i="15"/>
  <c r="I12" i="18" s="1"/>
  <c r="G14" i="15"/>
  <c r="H12" i="25" s="1"/>
  <c r="E14" i="15"/>
  <c r="F14" i="15"/>
  <c r="G12" i="25" s="1"/>
  <c r="F14" i="36"/>
  <c r="F15" i="36" s="1"/>
  <c r="F16" i="36" s="1"/>
  <c r="N9" i="37"/>
  <c r="N17" i="37" s="1"/>
  <c r="N10" i="38"/>
  <c r="U10" i="38"/>
  <c r="AS39" i="16"/>
  <c r="F17" i="38"/>
  <c r="N9" i="38"/>
  <c r="N17" i="38" s="1"/>
  <c r="K14" i="35"/>
  <c r="K15" i="35" s="1"/>
  <c r="K16" i="35" s="1"/>
  <c r="J14" i="26"/>
  <c r="J15" i="26" s="1"/>
  <c r="J16" i="26" s="1"/>
  <c r="K14" i="26"/>
  <c r="K15" i="26" s="1"/>
  <c r="K16" i="26" s="1"/>
  <c r="U12" i="35"/>
  <c r="J14" i="35"/>
  <c r="J15" i="35" s="1"/>
  <c r="J16" i="35" s="1"/>
  <c r="N12" i="35"/>
  <c r="H14" i="35"/>
  <c r="H15" i="35" s="1"/>
  <c r="H16" i="35" s="1"/>
  <c r="U12" i="36"/>
  <c r="G14" i="35"/>
  <c r="G15" i="35" s="1"/>
  <c r="G16" i="35" s="1"/>
  <c r="K9" i="26"/>
  <c r="K17" i="26" s="1"/>
  <c r="G9" i="26"/>
  <c r="G17" i="26" s="1"/>
  <c r="I9" i="26"/>
  <c r="I17" i="26" s="1"/>
  <c r="M2" i="14"/>
  <c r="F10" i="26"/>
  <c r="U11" i="26"/>
  <c r="N11" i="26"/>
  <c r="S11" i="26" s="1"/>
  <c r="F9" i="27"/>
  <c r="N10" i="27"/>
  <c r="S10" i="27" s="1"/>
  <c r="U10" i="27"/>
  <c r="L9" i="26"/>
  <c r="L17" i="26" s="1"/>
  <c r="W10" i="26"/>
  <c r="X10" i="26" s="1"/>
  <c r="J9" i="26"/>
  <c r="J17" i="26" s="1"/>
  <c r="L9" i="25"/>
  <c r="L17" i="25" s="1"/>
  <c r="W10" i="25"/>
  <c r="X10" i="25" s="1"/>
  <c r="L9" i="18"/>
  <c r="L17" i="18" s="1"/>
  <c r="W10" i="18"/>
  <c r="X10" i="18" s="1"/>
  <c r="F9" i="18"/>
  <c r="F17" i="18" s="1"/>
  <c r="U10" i="18"/>
  <c r="I14" i="26"/>
  <c r="I15" i="26" s="1"/>
  <c r="I16" i="26" s="1"/>
  <c r="U12" i="26"/>
  <c r="N12" i="26"/>
  <c r="S12" i="26" s="1"/>
  <c r="G14" i="26"/>
  <c r="G15" i="26" s="1"/>
  <c r="G16" i="26" s="1"/>
  <c r="AT38" i="16"/>
  <c r="N13" i="26"/>
  <c r="S13" i="26" s="1"/>
  <c r="F14" i="26"/>
  <c r="F15" i="26" s="1"/>
  <c r="F16" i="26" s="1"/>
  <c r="H14" i="26"/>
  <c r="H15" i="26" s="1"/>
  <c r="H16" i="26" s="1"/>
  <c r="U13" i="26"/>
  <c r="L14" i="26"/>
  <c r="L15" i="26" s="1"/>
  <c r="L16" i="26" s="1"/>
  <c r="AC38" i="16"/>
  <c r="AE38" i="16" s="1"/>
  <c r="AS38" i="16" s="1"/>
  <c r="W13" i="18"/>
  <c r="X13" i="18" s="1"/>
  <c r="L13" i="25"/>
  <c r="W13" i="25" s="1"/>
  <c r="X13" i="25" s="1"/>
  <c r="I13" i="25"/>
  <c r="P14" i="9"/>
  <c r="K13" i="25"/>
  <c r="J13" i="25"/>
  <c r="H13" i="25"/>
  <c r="G13" i="25"/>
  <c r="J10" i="25"/>
  <c r="U13" i="40" l="1"/>
  <c r="N13" i="40"/>
  <c r="N14" i="40" s="1"/>
  <c r="F14" i="40"/>
  <c r="F15" i="40" s="1"/>
  <c r="N15" i="37"/>
  <c r="N16" i="37" s="1"/>
  <c r="O18" i="15"/>
  <c r="L12" i="25"/>
  <c r="L14" i="25" s="1"/>
  <c r="L15" i="25" s="1"/>
  <c r="L16" i="25" s="1"/>
  <c r="N13" i="35"/>
  <c r="N14" i="35" s="1"/>
  <c r="U12" i="38"/>
  <c r="N12" i="38"/>
  <c r="N14" i="38" s="1"/>
  <c r="F14" i="38"/>
  <c r="F15" i="38" s="1"/>
  <c r="W13" i="35"/>
  <c r="X13" i="35" s="1"/>
  <c r="N9" i="36"/>
  <c r="N17" i="36" s="1"/>
  <c r="N12" i="36"/>
  <c r="S16" i="36" s="1"/>
  <c r="L14" i="36"/>
  <c r="L15" i="36" s="1"/>
  <c r="L16" i="36" s="1"/>
  <c r="M14" i="15"/>
  <c r="O14" i="15" s="1"/>
  <c r="Q14" i="35"/>
  <c r="N15" i="35"/>
  <c r="N16" i="35" s="1"/>
  <c r="H12" i="18"/>
  <c r="H14" i="18" s="1"/>
  <c r="H15" i="18" s="1"/>
  <c r="H16" i="18" s="1"/>
  <c r="G12" i="18"/>
  <c r="G14" i="18" s="1"/>
  <c r="G15" i="18" s="1"/>
  <c r="G16" i="18" s="1"/>
  <c r="F17" i="27"/>
  <c r="N9" i="27"/>
  <c r="N17" i="27" s="1"/>
  <c r="F9" i="26"/>
  <c r="U10" i="26"/>
  <c r="N10" i="26"/>
  <c r="S10" i="26" s="1"/>
  <c r="I12" i="25"/>
  <c r="I14" i="25" s="1"/>
  <c r="I15" i="25" s="1"/>
  <c r="I16" i="25" s="1"/>
  <c r="H14" i="25"/>
  <c r="H15" i="25" s="1"/>
  <c r="H16" i="25" s="1"/>
  <c r="J12" i="25"/>
  <c r="J14" i="25" s="1"/>
  <c r="J15" i="25" s="1"/>
  <c r="J16" i="25" s="1"/>
  <c r="N14" i="26"/>
  <c r="L14" i="18"/>
  <c r="L15" i="18" s="1"/>
  <c r="L16" i="18" s="1"/>
  <c r="K12" i="25"/>
  <c r="N15" i="26"/>
  <c r="N16" i="26" s="1"/>
  <c r="G14" i="25"/>
  <c r="G15" i="25" s="1"/>
  <c r="G16" i="25" s="1"/>
  <c r="K14" i="18"/>
  <c r="K15" i="18" s="1"/>
  <c r="K16" i="18" s="1"/>
  <c r="J9" i="25"/>
  <c r="I14" i="18"/>
  <c r="I15" i="18" s="1"/>
  <c r="I16" i="18" s="1"/>
  <c r="J14" i="18"/>
  <c r="J15" i="18" s="1"/>
  <c r="J16" i="18" s="1"/>
  <c r="F16" i="40" l="1"/>
  <c r="N15" i="40"/>
  <c r="N16" i="40" s="1"/>
  <c r="Q15" i="35"/>
  <c r="W12" i="25"/>
  <c r="X12" i="25" s="1"/>
  <c r="F16" i="38"/>
  <c r="N15" i="38"/>
  <c r="N16" i="38" s="1"/>
  <c r="N14" i="36"/>
  <c r="N15" i="36"/>
  <c r="N16" i="36" s="1"/>
  <c r="F17" i="26"/>
  <c r="N9" i="26"/>
  <c r="N17" i="26" s="1"/>
  <c r="W12" i="18"/>
  <c r="X12" i="18" s="1"/>
  <c r="K14" i="25"/>
  <c r="K15" i="25" s="1"/>
  <c r="K16" i="25" s="1"/>
  <c r="J17" i="25"/>
  <c r="N10" i="18"/>
  <c r="M9" i="20"/>
  <c r="F9" i="20" l="1"/>
  <c r="I9" i="20"/>
  <c r="J9" i="20"/>
  <c r="G9" i="20"/>
  <c r="E9" i="20"/>
  <c r="H9" i="20"/>
  <c r="L9" i="20" l="1"/>
  <c r="N9" i="20" s="1"/>
  <c r="P9" i="20" l="1"/>
  <c r="I27" i="20" l="1"/>
  <c r="K19" i="35" s="1"/>
  <c r="K20" i="35" s="1"/>
  <c r="H27" i="20"/>
  <c r="J19" i="35" s="1"/>
  <c r="J20" i="35" s="1"/>
  <c r="G27" i="20"/>
  <c r="I19" i="35" s="1"/>
  <c r="I20" i="35" s="1"/>
  <c r="F27" i="20"/>
  <c r="G19" i="35" s="1"/>
  <c r="G20" i="35" s="1"/>
  <c r="E27" i="20"/>
  <c r="J27" i="20"/>
  <c r="M19" i="35" s="1"/>
  <c r="L27" i="20" l="1"/>
  <c r="Q27" i="20" s="1"/>
  <c r="F19" i="35"/>
  <c r="N19" i="35" s="1"/>
  <c r="N20" i="35" s="1"/>
  <c r="N27" i="20" l="1"/>
  <c r="P27" i="20"/>
  <c r="F20" i="35"/>
  <c r="J9" i="18"/>
  <c r="J17" i="18" s="1"/>
  <c r="N11" i="18"/>
  <c r="N9" i="18" l="1"/>
  <c r="N17" i="18" s="1"/>
  <c r="AD24" i="19" l="1"/>
  <c r="J26" i="20"/>
  <c r="M19" i="18" s="1"/>
  <c r="I26" i="20"/>
  <c r="K19" i="18" s="1"/>
  <c r="K20" i="18" s="1"/>
  <c r="K19" i="25"/>
  <c r="K20" i="25" s="1"/>
  <c r="G26" i="20"/>
  <c r="I19" i="25" s="1"/>
  <c r="I20" i="25" s="1"/>
  <c r="F26" i="20"/>
  <c r="G19" i="18" s="1"/>
  <c r="G20" i="18" s="1"/>
  <c r="E26" i="20"/>
  <c r="F19" i="18" s="1"/>
  <c r="H26" i="20"/>
  <c r="J19" i="18" s="1"/>
  <c r="J20" i="18" s="1"/>
  <c r="M19" i="25" l="1"/>
  <c r="F19" i="25"/>
  <c r="F20" i="25" s="1"/>
  <c r="J19" i="25"/>
  <c r="J20" i="25" s="1"/>
  <c r="L26" i="20"/>
  <c r="R26" i="20" s="1"/>
  <c r="G19" i="25"/>
  <c r="G20" i="25" s="1"/>
  <c r="I19" i="18"/>
  <c r="I20" i="18" s="1"/>
  <c r="F20" i="18"/>
  <c r="N19" i="18" l="1"/>
  <c r="N20" i="18" s="1"/>
  <c r="P26" i="20"/>
  <c r="N26" i="20"/>
  <c r="N19" i="25"/>
  <c r="N20" i="25" s="1"/>
  <c r="F12" i="18"/>
  <c r="N12" i="18" s="1"/>
  <c r="F12" i="25"/>
  <c r="U12" i="25" s="1"/>
  <c r="Q14" i="18" l="1"/>
  <c r="U12" i="18"/>
  <c r="N12" i="25"/>
  <c r="S12" i="25" l="1"/>
  <c r="F13" i="25"/>
  <c r="N13" i="25" s="1"/>
  <c r="U13" i="18"/>
  <c r="N14" i="25" l="1"/>
  <c r="S13" i="25"/>
  <c r="U13" i="25"/>
  <c r="F14" i="18"/>
  <c r="F15" i="18" s="1"/>
  <c r="N13" i="18"/>
  <c r="F14" i="25"/>
  <c r="F15" i="25" s="1"/>
  <c r="N14" i="18" l="1"/>
  <c r="Q15" i="18"/>
  <c r="F16" i="25"/>
  <c r="N15" i="25"/>
  <c r="N16" i="25" s="1"/>
  <c r="N15" i="18"/>
  <c r="N16" i="18" s="1"/>
  <c r="F16" i="18"/>
  <c r="F10" i="35"/>
  <c r="N10" i="35" s="1"/>
  <c r="F10" i="25"/>
  <c r="F9" i="25" s="1"/>
  <c r="N9" i="25" l="1"/>
  <c r="N17" i="25" s="1"/>
  <c r="F17" i="25"/>
  <c r="N10" i="25"/>
  <c r="S10" i="25" s="1"/>
  <c r="U10" i="25"/>
  <c r="U10" i="35"/>
  <c r="F9" i="35"/>
  <c r="N9" i="35" l="1"/>
  <c r="N17" i="35" s="1"/>
  <c r="F17" i="35"/>
  <c r="M16" i="15"/>
  <c r="O16" i="15" s="1"/>
</calcChain>
</file>

<file path=xl/comments1.xml><?xml version="1.0" encoding="utf-8"?>
<comments xmlns="http://schemas.openxmlformats.org/spreadsheetml/2006/main">
  <authors>
    <author>seah</author>
  </authors>
  <commentList>
    <comment ref="D14" authorId="0">
      <text>
        <r>
          <rPr>
            <b/>
            <sz val="9"/>
            <color indexed="81"/>
            <rFont val="돋움"/>
            <family val="3"/>
            <charset val="129"/>
          </rPr>
          <t>전력감시</t>
        </r>
        <r>
          <rPr>
            <b/>
            <sz val="9"/>
            <color indexed="81"/>
            <rFont val="Tahoma"/>
            <family val="2"/>
          </rPr>
          <t xml:space="preserve"> data </t>
        </r>
        <r>
          <rPr>
            <b/>
            <sz val="9"/>
            <color indexed="81"/>
            <rFont val="돋움"/>
            <family val="3"/>
            <charset val="129"/>
          </rPr>
          <t>월간
사용량을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복사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붙여넣기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해당월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10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11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12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13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2.xml><?xml version="1.0" encoding="utf-8"?>
<comments xmlns="http://schemas.openxmlformats.org/spreadsheetml/2006/main">
  <authors>
    <author>seah</author>
  </authors>
  <commentList>
    <comment ref="N15" authorId="0">
      <text>
        <r>
          <rPr>
            <sz val="9"/>
            <color indexed="81"/>
            <rFont val="Tahoma"/>
            <family val="2"/>
          </rPr>
          <t xml:space="preserve">1) O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 N </t>
        </r>
        <r>
          <rPr>
            <sz val="9"/>
            <color indexed="81"/>
            <rFont val="돋움"/>
            <family val="3"/>
            <charset val="129"/>
          </rPr>
          <t>열로</t>
        </r>
        <r>
          <rPr>
            <sz val="9"/>
            <color indexed="81"/>
            <rFont val="Tahoma"/>
            <family val="2"/>
          </rPr>
          <t xml:space="preserve"> 
   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 xml:space="preserve">2) P </t>
        </r>
        <r>
          <rPr>
            <sz val="9"/>
            <color indexed="81"/>
            <rFont val="돋움"/>
            <family val="3"/>
            <charset val="129"/>
          </rPr>
          <t>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</t>
        </r>
        <r>
          <rPr>
            <sz val="9"/>
            <color indexed="81"/>
            <rFont val="Tahoma"/>
            <family val="2"/>
          </rPr>
          <t xml:space="preserve">/ </t>
        </r>
        <r>
          <rPr>
            <sz val="9"/>
            <color indexed="81"/>
            <rFont val="돋움"/>
            <family val="3"/>
            <charset val="129"/>
          </rPr>
          <t xml:space="preserve">불일치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  [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이상무</t>
        </r>
        <r>
          <rPr>
            <sz val="9"/>
            <color indexed="81"/>
            <rFont val="Tahoma"/>
            <family val="2"/>
          </rPr>
          <t>]</t>
        </r>
      </text>
    </comment>
  </commentList>
</comments>
</file>

<file path=xl/comments3.xml><?xml version="1.0" encoding="utf-8"?>
<comments xmlns="http://schemas.openxmlformats.org/spreadsheetml/2006/main">
  <authors>
    <author>seah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적용값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O</t>
        </r>
        <r>
          <rPr>
            <sz val="9"/>
            <color indexed="81"/>
            <rFont val="돋움"/>
            <family val="3"/>
            <charset val="129"/>
          </rPr>
          <t>항으로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 xml:space="preserve">값복사
</t>
        </r>
      </text>
    </comment>
  </commentList>
</comments>
</file>

<file path=xl/comments4.xml><?xml version="1.0" encoding="utf-8"?>
<comments xmlns="http://schemas.openxmlformats.org/spreadsheetml/2006/main">
  <authors>
    <author>seah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백분율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적용값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O</t>
        </r>
        <r>
          <rPr>
            <sz val="9"/>
            <color indexed="81"/>
            <rFont val="돋움"/>
            <family val="3"/>
            <charset val="129"/>
          </rPr>
          <t>항으로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 xml:space="preserve">값복사
</t>
        </r>
      </text>
    </comment>
  </commentList>
</comments>
</file>

<file path=xl/comments5.xml><?xml version="1.0" encoding="utf-8"?>
<comments xmlns="http://schemas.openxmlformats.org/spreadsheetml/2006/main">
  <authors>
    <author>seah</author>
  </authors>
  <commentLis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</commentList>
</comments>
</file>

<file path=xl/comments6.xml><?xml version="1.0" encoding="utf-8"?>
<comments xmlns="http://schemas.openxmlformats.org/spreadsheetml/2006/main">
  <authors>
    <author>seah</author>
  </authors>
  <commentLis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</commentList>
</comments>
</file>

<file path=xl/comments7.xml><?xml version="1.0" encoding="utf-8"?>
<comments xmlns="http://schemas.openxmlformats.org/spreadsheetml/2006/main">
  <authors>
    <author>seah</author>
  </authors>
  <commentLis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</commentList>
</comments>
</file>

<file path=xl/comments8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comments9.xml><?xml version="1.0" encoding="utf-8"?>
<comments xmlns="http://schemas.openxmlformats.org/spreadsheetml/2006/main">
  <authors>
    <author>seah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기입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 xml:space="preserve">고지서에서
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sz val="9"/>
            <color indexed="81"/>
            <rFont val="돋움"/>
            <family val="3"/>
            <charset val="129"/>
          </rPr>
          <t>전력요금계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전력기금</t>
        </r>
        <r>
          <rPr>
            <sz val="9"/>
            <color indexed="81"/>
            <rFont val="Tahoma"/>
            <family val="2"/>
          </rPr>
          <t>]-N</t>
        </r>
        <r>
          <rPr>
            <sz val="9"/>
            <color indexed="81"/>
            <rFont val="돋움"/>
            <family val="3"/>
            <charset val="129"/>
          </rPr>
          <t>항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(
Q</t>
        </r>
        <r>
          <rPr>
            <sz val="9"/>
            <color indexed="81"/>
            <rFont val="돋움"/>
            <family val="3"/>
            <charset val="129"/>
          </rPr>
          <t xml:space="preserve">항복사하여
</t>
        </r>
        <r>
          <rPr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T1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S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
T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N12</t>
        </r>
        <r>
          <rPr>
            <sz val="9"/>
            <color indexed="81"/>
            <rFont val="돋움"/>
            <family val="3"/>
            <charset val="129"/>
          </rPr>
          <t>항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부가가치세</t>
        </r>
        <r>
          <rPr>
            <sz val="9"/>
            <color indexed="81"/>
            <rFont val="Tahoma"/>
            <family val="2"/>
          </rPr>
          <t>+2500</t>
        </r>
      </text>
    </comment>
  </commentList>
</comments>
</file>

<file path=xl/sharedStrings.xml><?xml version="1.0" encoding="utf-8"?>
<sst xmlns="http://schemas.openxmlformats.org/spreadsheetml/2006/main" count="5707" uniqueCount="482">
  <si>
    <t>기본요금</t>
    <phoneticPr fontId="2" type="noConversion"/>
  </si>
  <si>
    <t>년</t>
  </si>
  <si>
    <t>년</t>
    <phoneticPr fontId="2" type="noConversion"/>
  </si>
  <si>
    <t>월</t>
  </si>
  <si>
    <t>월</t>
    <phoneticPr fontId="2" type="noConversion"/>
  </si>
  <si>
    <t>GROUP</t>
    <phoneticPr fontId="2" type="noConversion"/>
  </si>
  <si>
    <t>단가</t>
    <phoneticPr fontId="2" type="noConversion"/>
  </si>
  <si>
    <t>할인단가</t>
    <phoneticPr fontId="2" type="noConversion"/>
  </si>
  <si>
    <t>2018년</t>
  </si>
  <si>
    <t>1월</t>
  </si>
  <si>
    <t>경</t>
  </si>
  <si>
    <t>중간</t>
  </si>
  <si>
    <t>최대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</si>
  <si>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</si>
  <si>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</si>
  <si>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</si>
  <si>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</si>
  <si>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</si>
  <si>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</si>
  <si>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</si>
  <si>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</si>
  <si>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</si>
  <si>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</si>
  <si>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</si>
  <si>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2019년</t>
  </si>
  <si>
    <t>2020년</t>
  </si>
  <si>
    <t>2021년</t>
  </si>
  <si>
    <t>백만이하</t>
  </si>
  <si>
    <t>백만이상</t>
  </si>
  <si>
    <t>20.7.1변경(14.3708→12.1440)</t>
  </si>
  <si>
    <t>20.7.1변경(14.2435→12.0167)</t>
  </si>
  <si>
    <t>20.8.1변경(12.1440→12.4525)</t>
  </si>
  <si>
    <t>20.8.1변경(12.0167→12.3252)</t>
  </si>
  <si>
    <t>20.9.1변경(12.4525→11.3223)</t>
  </si>
  <si>
    <t>20.9.1변경(12.3252→11.1863)</t>
  </si>
  <si>
    <t>20.7.1변경(14.4435→12.2072)</t>
  </si>
  <si>
    <t>20.8.1변경(12.2072→12.5157)</t>
  </si>
  <si>
    <t>20.9.1변경(12.5157→11.3855)</t>
  </si>
  <si>
    <t>20.10.1변경(11.3855→10.4258)</t>
  </si>
  <si>
    <t>20.7.1변경(14.3162→12.0799)</t>
  </si>
  <si>
    <t>20.8.1변경(12.0799→12.3884)</t>
  </si>
  <si>
    <t>20.9.1변경(12.3884→11.2495)</t>
  </si>
  <si>
    <t>20.10.1변경(11.2495→10.2898)</t>
  </si>
  <si>
    <t>20.11.1변경(10.4258→10.3566)</t>
  </si>
  <si>
    <t>20.11.1변경(10.2898→10.2206)</t>
  </si>
  <si>
    <t>20.7.1변경(15.0097→12.9454)</t>
  </si>
  <si>
    <t>20.8.1변경(12.9454→13.2539)</t>
  </si>
  <si>
    <t>20.9.1변경(13.2539→12.1237)</t>
  </si>
  <si>
    <t>20.10.1변경(12.1237→11.1640)</t>
  </si>
  <si>
    <t>20.11.1변경(11.1640→11.0948)</t>
  </si>
  <si>
    <t>20.12.1변경(11.0948→11.9085)</t>
  </si>
  <si>
    <t>20.7.1변경(14.8824→12.8181)</t>
  </si>
  <si>
    <t>20.8.1변경(12.8181→13.1266)</t>
  </si>
  <si>
    <t>20.9.1변경(13.1266→11.9877)</t>
  </si>
  <si>
    <t>20.10.1변경(11.9877→11.0280)</t>
  </si>
  <si>
    <t>20.11.1변경(11.0280→10.9588)</t>
  </si>
  <si>
    <t>20.12.1변경(10.9588→11.7725)</t>
  </si>
  <si>
    <t>21.1.1변경(11.9085→12.4400)</t>
  </si>
  <si>
    <t>21.1.1변경(11.7725→12.3040)</t>
  </si>
  <si>
    <t>2월</t>
    <phoneticPr fontId="2" type="noConversion"/>
  </si>
  <si>
    <t>21.2.1변경(12.4400→13.2495)</t>
    <phoneticPr fontId="2" type="noConversion"/>
  </si>
  <si>
    <t>21.2.1변경(12.3040→13.1135)</t>
    <phoneticPr fontId="2" type="noConversion"/>
  </si>
  <si>
    <t>년도</t>
  </si>
  <si>
    <t>구분</t>
  </si>
  <si>
    <t>사용유효전력량</t>
  </si>
  <si>
    <t>무효전력량</t>
  </si>
  <si>
    <t>최대전력량</t>
  </si>
  <si>
    <t>역률</t>
  </si>
  <si>
    <t>피크
주간</t>
  </si>
  <si>
    <t>피크
최대</t>
  </si>
  <si>
    <t>주간(12)</t>
  </si>
  <si>
    <t>야간(13)</t>
  </si>
  <si>
    <t>주간(14)</t>
  </si>
  <si>
    <t>야간(15)</t>
  </si>
  <si>
    <t>전월</t>
  </si>
  <si>
    <t>당월</t>
  </si>
  <si>
    <t>통합
주간
Peak</t>
    <phoneticPr fontId="2" type="noConversion"/>
  </si>
  <si>
    <t>통합
최대
Peak</t>
    <phoneticPr fontId="2" type="noConversion"/>
  </si>
  <si>
    <t>통합
15번</t>
    <phoneticPr fontId="2" type="noConversion"/>
  </si>
  <si>
    <t>통합
14번</t>
    <phoneticPr fontId="2" type="noConversion"/>
  </si>
  <si>
    <t>적용값</t>
    <phoneticPr fontId="2" type="noConversion"/>
  </si>
  <si>
    <t>년</t>
    <phoneticPr fontId="2" type="noConversion"/>
  </si>
  <si>
    <t>PEAK</t>
    <phoneticPr fontId="2" type="noConversion"/>
  </si>
  <si>
    <t>RANK</t>
    <phoneticPr fontId="2" type="noConversion"/>
  </si>
  <si>
    <t>1월</t>
    <phoneticPr fontId="2" type="noConversion"/>
  </si>
  <si>
    <t>2020년</t>
    <phoneticPr fontId="2" type="noConversion"/>
  </si>
  <si>
    <t>2월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</si>
  <si>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</si>
  <si>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</si>
  <si>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</si>
  <si>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12월</t>
    <phoneticPr fontId="2" type="noConversion"/>
  </si>
  <si>
    <t>2021년</t>
    <phoneticPr fontId="2" type="noConversion"/>
  </si>
  <si>
    <t>적용값</t>
    <phoneticPr fontId="2" type="noConversion"/>
  </si>
  <si>
    <t>년도</t>
    <phoneticPr fontId="2" type="noConversion"/>
  </si>
  <si>
    <t>구분</t>
    <phoneticPr fontId="2" type="noConversion"/>
  </si>
  <si>
    <t>전월</t>
    <phoneticPr fontId="2" type="noConversion"/>
  </si>
  <si>
    <t>당월</t>
    <phoneticPr fontId="2" type="noConversion"/>
  </si>
  <si>
    <t>충전용 계기</t>
    <phoneticPr fontId="2" type="noConversion"/>
  </si>
  <si>
    <t>방전용 계기</t>
    <phoneticPr fontId="2" type="noConversion"/>
  </si>
  <si>
    <t>SHV-2</t>
  </si>
  <si>
    <t>HV-2b</t>
  </si>
  <si>
    <t>HV-2a</t>
  </si>
  <si>
    <t>HV-6</t>
  </si>
  <si>
    <t>SHV-6</t>
  </si>
  <si>
    <t>HV-9a</t>
  </si>
  <si>
    <t>HV-9b</t>
  </si>
  <si>
    <t>LV-2-1</t>
  </si>
  <si>
    <t>LV-2</t>
  </si>
  <si>
    <t>LV-6</t>
  </si>
  <si>
    <t>LV-4</t>
  </si>
  <si>
    <t>Comp#1</t>
  </si>
  <si>
    <t>Comp#2</t>
  </si>
  <si>
    <t>Comp#4</t>
  </si>
  <si>
    <t>Main</t>
  </si>
  <si>
    <t>CPL+ARP</t>
  </si>
  <si>
    <t>CRM(6600)</t>
  </si>
  <si>
    <t>CRM(3300)</t>
  </si>
  <si>
    <t>CGL</t>
  </si>
  <si>
    <t>#1CCL</t>
  </si>
  <si>
    <t>#2CCL</t>
  </si>
  <si>
    <t>ARP</t>
  </si>
  <si>
    <t>SSCL</t>
  </si>
  <si>
    <t>Comp#3
500HP</t>
  </si>
  <si>
    <t>사무동</t>
  </si>
  <si>
    <t>450HP</t>
  </si>
  <si>
    <t>220HP</t>
  </si>
  <si>
    <t>년</t>
    <phoneticPr fontId="2" type="noConversion"/>
  </si>
  <si>
    <t>월</t>
    <phoneticPr fontId="2" type="noConversion"/>
  </si>
  <si>
    <t>LINE
SUM</t>
    <phoneticPr fontId="2" type="noConversion"/>
  </si>
  <si>
    <t>MAIN
- LINE SUM</t>
    <phoneticPr fontId="2" type="noConversion"/>
  </si>
  <si>
    <t>COMP'
SUM</t>
    <phoneticPr fontId="2" type="noConversion"/>
  </si>
  <si>
    <t>년</t>
    <phoneticPr fontId="2" type="noConversion"/>
  </si>
  <si>
    <t>소계</t>
    <phoneticPr fontId="2" type="noConversion"/>
  </si>
  <si>
    <t>CPL</t>
    <phoneticPr fontId="2" type="noConversion"/>
  </si>
  <si>
    <t>ARP</t>
    <phoneticPr fontId="2" type="noConversion"/>
  </si>
  <si>
    <t>CRM</t>
    <phoneticPr fontId="2" type="noConversion"/>
  </si>
  <si>
    <t>CGL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</si>
  <si>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</si>
  <si>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</si>
  <si>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</si>
  <si>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TOTAL</t>
    <phoneticPr fontId="2" type="noConversion"/>
  </si>
  <si>
    <t>450HP-#1</t>
    <phoneticPr fontId="2" type="noConversion"/>
  </si>
  <si>
    <t>450HP-#2</t>
  </si>
  <si>
    <t>500HP-#1</t>
    <phoneticPr fontId="2" type="noConversion"/>
  </si>
  <si>
    <t>220HP-#1</t>
    <phoneticPr fontId="2" type="noConversion"/>
  </si>
  <si>
    <t>소계</t>
    <phoneticPr fontId="2" type="noConversion"/>
  </si>
  <si>
    <t xml:space="preserve">COMPRESSOR </t>
    <phoneticPr fontId="2" type="noConversion"/>
  </si>
  <si>
    <t>CPL</t>
    <phoneticPr fontId="2" type="noConversion"/>
  </si>
  <si>
    <t>CRM</t>
    <phoneticPr fontId="2" type="noConversion"/>
  </si>
  <si>
    <t>CGL</t>
    <phoneticPr fontId="2" type="noConversion"/>
  </si>
  <si>
    <t>1CCL</t>
    <phoneticPr fontId="2" type="noConversion"/>
  </si>
  <si>
    <t>COMPRESSOR 분배비율</t>
    <phoneticPr fontId="2" type="noConversion"/>
  </si>
  <si>
    <t>한전값</t>
    <phoneticPr fontId="2" type="noConversion"/>
  </si>
  <si>
    <t>DEV.</t>
    <phoneticPr fontId="2" type="noConversion"/>
  </si>
  <si>
    <t>보정값</t>
    <phoneticPr fontId="2" type="noConversion"/>
  </si>
  <si>
    <t>경(심야)</t>
  </si>
  <si>
    <t>총사용량</t>
  </si>
  <si>
    <t>경부하
(11)</t>
    <phoneticPr fontId="2" type="noConversion"/>
  </si>
  <si>
    <t>중간부하
(9)</t>
    <phoneticPr fontId="2" type="noConversion"/>
  </si>
  <si>
    <t>최대부하
(10)</t>
    <phoneticPr fontId="2" type="noConversion"/>
  </si>
  <si>
    <t>PEAK적용</t>
    <phoneticPr fontId="2" type="noConversion"/>
  </si>
  <si>
    <t>역율</t>
    <phoneticPr fontId="2" type="noConversion"/>
  </si>
  <si>
    <t>기본요금
적용값</t>
    <phoneticPr fontId="2" type="noConversion"/>
  </si>
  <si>
    <t>년</t>
    <phoneticPr fontId="2" type="noConversion"/>
  </si>
  <si>
    <t>월</t>
    <phoneticPr fontId="2" type="noConversion"/>
  </si>
  <si>
    <t>CPL</t>
    <phoneticPr fontId="2" type="noConversion"/>
  </si>
  <si>
    <t>ARP</t>
    <phoneticPr fontId="2" type="noConversion"/>
  </si>
  <si>
    <t>CRM</t>
    <phoneticPr fontId="2" type="noConversion"/>
  </si>
  <si>
    <t>CGL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</si>
  <si>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</si>
  <si>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</si>
  <si>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</si>
  <si>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소계</t>
    <phoneticPr fontId="2" type="noConversion"/>
  </si>
  <si>
    <t>중간
(9)</t>
    <phoneticPr fontId="2" type="noConversion"/>
  </si>
  <si>
    <t>최대
(10)</t>
    <phoneticPr fontId="2" type="noConversion"/>
  </si>
  <si>
    <t>최대
(10)</t>
    <phoneticPr fontId="2" type="noConversion"/>
  </si>
  <si>
    <t>총사용량</t>
    <phoneticPr fontId="2" type="noConversion"/>
  </si>
  <si>
    <t>기후환경
적용값</t>
    <phoneticPr fontId="2" type="noConversion"/>
  </si>
  <si>
    <t>연료비
조정금
적용값</t>
    <phoneticPr fontId="2" type="noConversion"/>
  </si>
  <si>
    <t>요금(1)
-기후환경</t>
    <phoneticPr fontId="2" type="noConversion"/>
  </si>
  <si>
    <t>요금(2)
-연료비조정</t>
    <phoneticPr fontId="2" type="noConversion"/>
  </si>
  <si>
    <t>충전비용
할인전</t>
    <phoneticPr fontId="2" type="noConversion"/>
  </si>
  <si>
    <t>충전비용
할인</t>
    <phoneticPr fontId="2" type="noConversion"/>
  </si>
  <si>
    <t>부가세</t>
    <phoneticPr fontId="2" type="noConversion"/>
  </si>
  <si>
    <t>전력기금</t>
    <phoneticPr fontId="2" type="noConversion"/>
  </si>
  <si>
    <t>ESS요금
(부가제외)</t>
    <phoneticPr fontId="2" type="noConversion"/>
  </si>
  <si>
    <t>적용값
(전력기금)</t>
    <phoneticPr fontId="2" type="noConversion"/>
  </si>
  <si>
    <t>경</t>
    <phoneticPr fontId="2" type="noConversion"/>
  </si>
  <si>
    <t>적용값
(충전할인)</t>
    <phoneticPr fontId="2" type="noConversion"/>
  </si>
  <si>
    <t>적용값
(부가세)</t>
    <phoneticPr fontId="2" type="noConversion"/>
  </si>
  <si>
    <t>구분</t>
    <phoneticPr fontId="2" type="noConversion"/>
  </si>
  <si>
    <t>ESS</t>
    <phoneticPr fontId="2" type="noConversion"/>
  </si>
  <si>
    <t>구분</t>
    <phoneticPr fontId="2" type="noConversion"/>
  </si>
  <si>
    <t>2018년</t>
    <phoneticPr fontId="2" type="noConversion"/>
  </si>
  <si>
    <t>7월</t>
    <phoneticPr fontId="2" type="noConversion"/>
  </si>
  <si>
    <t>2019년</t>
    <phoneticPr fontId="2" type="noConversion"/>
  </si>
  <si>
    <t>1월</t>
    <phoneticPr fontId="2" type="noConversion"/>
  </si>
  <si>
    <t>방전량합계</t>
    <phoneticPr fontId="2" type="noConversion"/>
  </si>
  <si>
    <t>충전량합계</t>
    <phoneticPr fontId="2" type="noConversion"/>
  </si>
  <si>
    <t>계기변수</t>
    <phoneticPr fontId="2" type="noConversion"/>
  </si>
  <si>
    <t>평일수</t>
    <phoneticPr fontId="2" type="noConversion"/>
  </si>
  <si>
    <t>평균수요
감축량</t>
    <phoneticPr fontId="2" type="noConversion"/>
  </si>
  <si>
    <t>평균 최대수요 전력 감축량 =    해당월 평일 최대부하시간대 방전량 합계 - 해당월 평일 최대부하시간대 충전량 합계</t>
  </si>
  <si>
    <t>해당월 평일일수 *  3시간</t>
  </si>
  <si>
    <t>적용값
(시간)</t>
    <phoneticPr fontId="2" type="noConversion"/>
  </si>
  <si>
    <t>적용값
(배터리)</t>
    <phoneticPr fontId="2" type="noConversion"/>
  </si>
  <si>
    <t>적용값
(최대수요)</t>
    <phoneticPr fontId="2" type="noConversion"/>
  </si>
  <si>
    <t>적용값
(단가)</t>
    <phoneticPr fontId="2" type="noConversion"/>
  </si>
  <si>
    <t>기본요금
할인금</t>
    <phoneticPr fontId="2" type="noConversion"/>
  </si>
  <si>
    <t>ESS
기본할인</t>
    <phoneticPr fontId="2" type="noConversion"/>
  </si>
  <si>
    <t>ESS충전
총요금</t>
    <phoneticPr fontId="2" type="noConversion"/>
  </si>
  <si>
    <t>CGL</t>
    <phoneticPr fontId="2" type="noConversion"/>
  </si>
  <si>
    <t>월</t>
    <phoneticPr fontId="2" type="noConversion"/>
  </si>
  <si>
    <t>본전력</t>
    <phoneticPr fontId="2" type="noConversion"/>
  </si>
  <si>
    <t>ARP</t>
    <phoneticPr fontId="2" type="noConversion"/>
  </si>
  <si>
    <t>SSCL</t>
    <phoneticPr fontId="2" type="noConversion"/>
  </si>
  <si>
    <t>ESS전력</t>
    <phoneticPr fontId="2" type="noConversion"/>
  </si>
  <si>
    <t>기본요금</t>
    <phoneticPr fontId="2" type="noConversion"/>
  </si>
  <si>
    <t>본전력
사용요금</t>
    <phoneticPr fontId="2" type="noConversion"/>
  </si>
  <si>
    <t>역율할인</t>
    <phoneticPr fontId="2" type="noConversion"/>
  </si>
  <si>
    <t>기본할인</t>
    <phoneticPr fontId="2" type="noConversion"/>
  </si>
  <si>
    <t>전력기금</t>
    <phoneticPr fontId="2" type="noConversion"/>
  </si>
  <si>
    <t>부가
가치세</t>
    <phoneticPr fontId="2" type="noConversion"/>
  </si>
  <si>
    <t>요금소계</t>
    <phoneticPr fontId="2" type="noConversion"/>
  </si>
  <si>
    <t>TV수신료</t>
    <phoneticPr fontId="2" type="noConversion"/>
  </si>
  <si>
    <t>총계</t>
    <phoneticPr fontId="2" type="noConversion"/>
  </si>
  <si>
    <t>총계
(부가제외)</t>
    <phoneticPr fontId="2" type="noConversion"/>
  </si>
  <si>
    <t>ESS
충전요금</t>
    <phoneticPr fontId="2" type="noConversion"/>
  </si>
  <si>
    <t>ESS
감액요금</t>
    <phoneticPr fontId="2" type="noConversion"/>
  </si>
  <si>
    <t>ESS
전기요금</t>
    <phoneticPr fontId="2" type="noConversion"/>
  </si>
  <si>
    <t>ESS
부가세</t>
    <phoneticPr fontId="2" type="noConversion"/>
  </si>
  <si>
    <t>ESS
전력기금</t>
    <phoneticPr fontId="2" type="noConversion"/>
  </si>
  <si>
    <t>ESS
요금계</t>
    <phoneticPr fontId="2" type="noConversion"/>
  </si>
  <si>
    <t>ESS
부가제외</t>
    <phoneticPr fontId="2" type="noConversion"/>
  </si>
  <si>
    <t>총요금</t>
    <phoneticPr fontId="2" type="noConversion"/>
  </si>
  <si>
    <t>총요금
(부가제외)</t>
    <phoneticPr fontId="2" type="noConversion"/>
  </si>
  <si>
    <t>변동비
(기후변화)</t>
    <phoneticPr fontId="2" type="noConversion"/>
  </si>
  <si>
    <t>변동비
(연료비)</t>
    <phoneticPr fontId="2" type="noConversion"/>
  </si>
  <si>
    <t>ESS변동
(기후변화)</t>
    <phoneticPr fontId="2" type="noConversion"/>
  </si>
  <si>
    <t>ESS변동
(연료비)</t>
    <phoneticPr fontId="2" type="noConversion"/>
  </si>
  <si>
    <t>기대수익</t>
  </si>
  <si>
    <t>분기</t>
  </si>
  <si>
    <t>누적</t>
  </si>
  <si>
    <t>2022년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</si>
  <si>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</si>
  <si>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</si>
  <si>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</si>
  <si>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</si>
  <si>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</si>
  <si>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</si>
  <si>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</si>
  <si>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</si>
  <si>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</si>
  <si>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</si>
  <si>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</si>
  <si>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분기</t>
    <phoneticPr fontId="2" type="noConversion"/>
  </si>
  <si>
    <t>1분기</t>
  </si>
  <si>
    <t>1분기</t>
    <phoneticPr fontId="2" type="noConversion"/>
  </si>
  <si>
    <t>2분기</t>
  </si>
  <si>
    <t>2분기</t>
    <phoneticPr fontId="2" type="noConversion"/>
  </si>
  <si>
    <t>3분기</t>
  </si>
  <si>
    <t>3분기</t>
    <phoneticPr fontId="2" type="noConversion"/>
  </si>
  <si>
    <t>4분기</t>
  </si>
  <si>
    <t>4분기</t>
    <phoneticPr fontId="2" type="noConversion"/>
  </si>
  <si>
    <t>2021년 1월 유틸리티 사용량 및 금액</t>
  </si>
  <si>
    <t>생산량(톤)</t>
    <phoneticPr fontId="2" type="noConversion"/>
  </si>
  <si>
    <t>본전력사용량(kWh)</t>
    <phoneticPr fontId="2" type="noConversion"/>
  </si>
  <si>
    <t>총사용량(kWh)</t>
    <phoneticPr fontId="2" type="noConversion"/>
  </si>
  <si>
    <t>전표(1) 본전력비(원)</t>
    <phoneticPr fontId="2" type="noConversion"/>
  </si>
  <si>
    <t>전표(2) ESS전력비(원)</t>
    <phoneticPr fontId="2" type="noConversion"/>
  </si>
  <si>
    <t>전표(3) 소계(원)</t>
    <phoneticPr fontId="2" type="noConversion"/>
  </si>
  <si>
    <t>추정 전력비(생산참조)</t>
    <phoneticPr fontId="2" type="noConversion"/>
  </si>
  <si>
    <t>금액원단위(원/톤)</t>
    <phoneticPr fontId="2" type="noConversion"/>
  </si>
  <si>
    <t>전력원단위(kWh/톤)</t>
    <phoneticPr fontId="2" type="noConversion"/>
  </si>
  <si>
    <t>전력</t>
    <phoneticPr fontId="2" type="noConversion"/>
  </si>
  <si>
    <t>CPL</t>
  </si>
  <si>
    <t>CPL</t>
    <phoneticPr fontId="2" type="noConversion"/>
  </si>
  <si>
    <t>CRM</t>
  </si>
  <si>
    <t>CRM</t>
    <phoneticPr fontId="2" type="noConversion"/>
  </si>
  <si>
    <t>1CCL</t>
  </si>
  <si>
    <t>1CCL</t>
    <phoneticPr fontId="2" type="noConversion"/>
  </si>
  <si>
    <t>2CCL</t>
  </si>
  <si>
    <t>2CCL</t>
    <phoneticPr fontId="2" type="noConversion"/>
  </si>
  <si>
    <t>SSCL</t>
    <phoneticPr fontId="2" type="noConversion"/>
  </si>
  <si>
    <t>기타(사무동)</t>
    <phoneticPr fontId="2" type="noConversion"/>
  </si>
  <si>
    <t>소계</t>
  </si>
  <si>
    <t>소계</t>
    <phoneticPr fontId="2" type="noConversion"/>
  </si>
  <si>
    <t>비고</t>
    <phoneticPr fontId="2" type="noConversion"/>
  </si>
  <si>
    <t>CPL소계</t>
    <phoneticPr fontId="2" type="noConversion"/>
  </si>
  <si>
    <t>1CCL소계</t>
    <phoneticPr fontId="2" type="noConversion"/>
  </si>
  <si>
    <t>SLIT</t>
    <phoneticPr fontId="2" type="noConversion"/>
  </si>
  <si>
    <t>SHEAR</t>
    <phoneticPr fontId="2" type="noConversion"/>
  </si>
  <si>
    <t>담당</t>
  </si>
  <si>
    <t>P/L</t>
  </si>
  <si>
    <t>T/M</t>
  </si>
  <si>
    <t>상수</t>
    <phoneticPr fontId="2" type="noConversion"/>
  </si>
  <si>
    <t>공업용수</t>
  </si>
  <si>
    <t>공업용수</t>
    <phoneticPr fontId="2" type="noConversion"/>
  </si>
  <si>
    <t>하수</t>
  </si>
  <si>
    <t>하수</t>
    <phoneticPr fontId="2" type="noConversion"/>
  </si>
  <si>
    <t>2021년</t>
    <phoneticPr fontId="2" type="noConversion"/>
  </si>
  <si>
    <t>기타</t>
    <phoneticPr fontId="2" type="noConversion"/>
  </si>
  <si>
    <t>차이값</t>
    <phoneticPr fontId="2" type="noConversion"/>
  </si>
  <si>
    <t>ESS사용량(kWh)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</si>
  <si>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</si>
  <si>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</si>
  <si>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</si>
  <si>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월</t>
    <phoneticPr fontId="2" type="noConversion"/>
  </si>
  <si>
    <t>CPL</t>
    <phoneticPr fontId="2" type="noConversion"/>
  </si>
  <si>
    <t>ARP</t>
    <phoneticPr fontId="2" type="noConversion"/>
  </si>
  <si>
    <t>CGL</t>
    <phoneticPr fontId="2" type="noConversion"/>
  </si>
  <si>
    <t>사무동</t>
    <phoneticPr fontId="2" type="noConversion"/>
  </si>
  <si>
    <t>소계</t>
    <phoneticPr fontId="2" type="noConversion"/>
  </si>
  <si>
    <t>스팀CPL</t>
    <phoneticPr fontId="2" type="noConversion"/>
  </si>
  <si>
    <t>스팀2CCL</t>
    <phoneticPr fontId="2" type="noConversion"/>
  </si>
  <si>
    <t>1월</t>
    <phoneticPr fontId="2" type="noConversion"/>
  </si>
  <si>
    <t>분기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</si>
  <si>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</si>
  <si>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</si>
  <si>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</si>
  <si>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</si>
  <si>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#1CCL A/B</t>
  </si>
  <si>
    <t>#1CCL CHEMICAL</t>
  </si>
  <si>
    <t>복지관보일러G10</t>
  </si>
  <si>
    <t>복지관보일러G6</t>
  </si>
  <si>
    <t>본관식당</t>
  </si>
  <si>
    <t>본관 GHP</t>
  </si>
  <si>
    <t>CPL보일러</t>
  </si>
  <si>
    <t>#2CCL OVEN</t>
  </si>
  <si>
    <t>#2CCL RTO</t>
  </si>
  <si>
    <t>#2CCL CHEMICAL</t>
  </si>
  <si>
    <t>#2CCL OVEN(PRIMER)</t>
  </si>
  <si>
    <t>위치</t>
    <phoneticPr fontId="2" type="noConversion"/>
  </si>
  <si>
    <t>20.1월</t>
  </si>
  <si>
    <t>20.2월</t>
  </si>
  <si>
    <t>20.3월</t>
  </si>
  <si>
    <t>20.4월</t>
  </si>
  <si>
    <t>20.5월</t>
  </si>
  <si>
    <t>20.6월</t>
  </si>
  <si>
    <t>20.7월</t>
  </si>
  <si>
    <t>20.8월</t>
  </si>
  <si>
    <t>20.9월</t>
  </si>
  <si>
    <t>20.10월</t>
  </si>
  <si>
    <t>20.11월</t>
  </si>
  <si>
    <t>20.12월</t>
  </si>
  <si>
    <t>21.1월</t>
  </si>
  <si>
    <t>21.2월</t>
  </si>
  <si>
    <t>21.3월</t>
  </si>
  <si>
    <t>21.4월</t>
  </si>
  <si>
    <t>21.5월</t>
  </si>
  <si>
    <t>21.6월</t>
  </si>
  <si>
    <t>21.7월</t>
  </si>
  <si>
    <t>21.8월</t>
  </si>
  <si>
    <t>21.9월</t>
  </si>
  <si>
    <t>21.10월</t>
  </si>
  <si>
    <t>21.11월</t>
  </si>
  <si>
    <t>21.12월</t>
  </si>
  <si>
    <t>스팀-CPL</t>
    <phoneticPr fontId="2" type="noConversion"/>
  </si>
  <si>
    <t>스팀-2CCL</t>
    <phoneticPr fontId="2" type="noConversion"/>
  </si>
  <si>
    <t>금액확인</t>
  </si>
  <si>
    <t>차이</t>
  </si>
  <si>
    <t>2019년</t>
    <phoneticPr fontId="2" type="noConversion"/>
  </si>
  <si>
    <t>분기</t>
    <phoneticPr fontId="2" type="noConversion"/>
  </si>
  <si>
    <t>1분기</t>
    <phoneticPr fontId="2" type="noConversion"/>
  </si>
  <si>
    <t>2분기</t>
    <phoneticPr fontId="2" type="noConversion"/>
  </si>
  <si>
    <t>3분기</t>
    <phoneticPr fontId="2" type="noConversion"/>
  </si>
  <si>
    <t>4분기</t>
    <phoneticPr fontId="2" type="noConversion"/>
  </si>
  <si>
    <t>3분기</t>
    <phoneticPr fontId="2" type="noConversion"/>
  </si>
  <si>
    <t>4분기</t>
    <phoneticPr fontId="2" type="noConversion"/>
  </si>
  <si>
    <r>
      <t>사용량(Nm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</si>
  <si>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LNG금액(원)</t>
    <phoneticPr fontId="2" type="noConversion"/>
  </si>
  <si>
    <t>금액원단위(원/톤)</t>
    <phoneticPr fontId="2" type="noConversion"/>
  </si>
  <si>
    <r>
      <t>LNG원단위(Nm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/톤)</t>
    </r>
    <phoneticPr fontId="2" type="noConversion"/>
  </si>
  <si>
    <t>LNG</t>
    <phoneticPr fontId="2" type="noConversion"/>
  </si>
  <si>
    <t>스팀</t>
    <phoneticPr fontId="2" type="noConversion"/>
  </si>
  <si>
    <t>사용량(톤)</t>
    <phoneticPr fontId="2" type="noConversion"/>
  </si>
  <si>
    <t>공업용수금액(원)</t>
    <phoneticPr fontId="2" type="noConversion"/>
  </si>
  <si>
    <r>
      <t>공업용수원단위(Nm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/톤)</t>
    </r>
    <phoneticPr fontId="2" type="noConversion"/>
  </si>
  <si>
    <t>시수금액(원)</t>
  </si>
  <si>
    <t>시수원단위(Nm3/톤)</t>
  </si>
  <si>
    <t>하수금액(원)</t>
  </si>
  <si>
    <t>하수원단위(Nm3/톤)</t>
  </si>
  <si>
    <t>시수</t>
    <phoneticPr fontId="2" type="noConversion"/>
  </si>
  <si>
    <t>공업용수</t>
    <phoneticPr fontId="2" type="noConversion"/>
  </si>
  <si>
    <t>년</t>
    <phoneticPr fontId="2" type="noConversion"/>
  </si>
  <si>
    <t>분기</t>
    <phoneticPr fontId="2" type="noConversion"/>
  </si>
  <si>
    <t>월</t>
    <phoneticPr fontId="2" type="noConversion"/>
  </si>
  <si>
    <t>구분</t>
    <phoneticPr fontId="2" type="noConversion"/>
  </si>
  <si>
    <t>1CCL</t>
    <phoneticPr fontId="2" type="noConversion"/>
  </si>
  <si>
    <t>기입량</t>
    <phoneticPr fontId="2" type="noConversion"/>
  </si>
  <si>
    <t>R/O</t>
    <phoneticPr fontId="2" type="noConversion"/>
  </si>
  <si>
    <t>상수도</t>
    <phoneticPr fontId="2" type="noConversion"/>
  </si>
  <si>
    <t>단가</t>
    <phoneticPr fontId="2" type="noConversion"/>
  </si>
  <si>
    <t>(0~50)</t>
    <phoneticPr fontId="2" type="noConversion"/>
  </si>
  <si>
    <t>(50~100)</t>
    <phoneticPr fontId="2" type="noConversion"/>
  </si>
  <si>
    <t>(100~300)</t>
    <phoneticPr fontId="2" type="noConversion"/>
  </si>
  <si>
    <t>(300~1000)</t>
    <phoneticPr fontId="2" type="noConversion"/>
  </si>
  <si>
    <t>(1000이상)</t>
    <phoneticPr fontId="2" type="noConversion"/>
  </si>
  <si>
    <t>상수사용량</t>
    <phoneticPr fontId="2" type="noConversion"/>
  </si>
  <si>
    <t>하수도</t>
    <phoneticPr fontId="2" type="noConversion"/>
  </si>
  <si>
    <t>물이용부담금</t>
    <phoneticPr fontId="2" type="noConversion"/>
  </si>
  <si>
    <t>기본요금</t>
    <phoneticPr fontId="2" type="noConversion"/>
  </si>
  <si>
    <t>80구경</t>
    <phoneticPr fontId="2" type="noConversion"/>
  </si>
  <si>
    <t>32구경</t>
    <phoneticPr fontId="2" type="noConversion"/>
  </si>
  <si>
    <t>상수도</t>
    <phoneticPr fontId="2" type="noConversion"/>
  </si>
  <si>
    <t>공업용수사용량</t>
    <phoneticPr fontId="2" type="noConversion"/>
  </si>
  <si>
    <t>50구경</t>
    <phoneticPr fontId="2" type="noConversion"/>
  </si>
  <si>
    <t>80구경</t>
    <phoneticPr fontId="2" type="noConversion"/>
  </si>
  <si>
    <t>할인금</t>
    <phoneticPr fontId="2" type="noConversion"/>
  </si>
  <si>
    <t>하수도사용량</t>
    <phoneticPr fontId="2" type="noConversion"/>
  </si>
  <si>
    <t>사용량</t>
    <phoneticPr fontId="2" type="noConversion"/>
  </si>
  <si>
    <t>금액</t>
    <phoneticPr fontId="2" type="noConversion"/>
  </si>
  <si>
    <t>공업용수</t>
    <phoneticPr fontId="2" type="noConversion"/>
  </si>
  <si>
    <t>2021년 1분기 유틸리티 사용량 및 금액</t>
    <phoneticPr fontId="2" type="noConversion"/>
  </si>
  <si>
    <t>1분기</t>
    <phoneticPr fontId="2" type="noConversion"/>
  </si>
  <si>
    <t>분기</t>
    <phoneticPr fontId="2" type="noConversion"/>
  </si>
  <si>
    <t>2020년 유틸리티 사용량 및 금액</t>
    <phoneticPr fontId="2" type="noConversion"/>
  </si>
  <si>
    <t>12월</t>
    <phoneticPr fontId="2" type="noConversion"/>
  </si>
  <si>
    <t>변동비
(기후차감)</t>
    <phoneticPr fontId="2" type="noConversion"/>
  </si>
  <si>
    <t>기후환경
분리</t>
  </si>
  <si>
    <t>기후환경
분리</t>
    <phoneticPr fontId="2" type="noConversion"/>
  </si>
  <si>
    <t>요금(1)
-기후환경
추가조정</t>
    <phoneticPr fontId="2" type="noConversion"/>
  </si>
  <si>
    <r>
      <t>적용열량
MJ/Nm</t>
    </r>
    <r>
      <rPr>
        <b/>
        <vertAlign val="superscript"/>
        <sz val="11"/>
        <rFont val="맑은 고딕"/>
        <family val="3"/>
        <charset val="129"/>
        <scheme val="minor"/>
      </rPr>
      <t>3</t>
    </r>
    <phoneticPr fontId="2" type="noConversion"/>
  </si>
  <si>
    <t>보정값</t>
    <phoneticPr fontId="2" type="noConversion"/>
  </si>
  <si>
    <t>3월</t>
    <phoneticPr fontId="2" type="noConversion"/>
  </si>
  <si>
    <t>21.3.1변경(13.2495→14.3040)</t>
    <phoneticPr fontId="2" type="noConversion"/>
  </si>
  <si>
    <t>21.3.1변경(13.1135→14.1680)</t>
    <phoneticPr fontId="2" type="noConversion"/>
  </si>
  <si>
    <t>2월</t>
    <phoneticPr fontId="2" type="noConversion"/>
  </si>
  <si>
    <t>2021년</t>
    <phoneticPr fontId="2" type="noConversion"/>
  </si>
  <si>
    <t>2021년 2월 유틸리티 사용량 및 금액</t>
    <phoneticPr fontId="2" type="noConversion"/>
  </si>
  <si>
    <t>고지서차이</t>
    <phoneticPr fontId="2" type="noConversion"/>
  </si>
  <si>
    <t>적용값</t>
    <phoneticPr fontId="2" type="noConversion"/>
  </si>
  <si>
    <t>CPL</t>
    <phoneticPr fontId="2" type="noConversion"/>
  </si>
  <si>
    <t>ARP</t>
    <phoneticPr fontId="2" type="noConversion"/>
  </si>
  <si>
    <t>CGL</t>
    <phoneticPr fontId="2" type="noConversion"/>
  </si>
  <si>
    <t>1CCL</t>
    <phoneticPr fontId="2" type="noConversion"/>
  </si>
  <si>
    <t>2CCL</t>
    <phoneticPr fontId="2" type="noConversion"/>
  </si>
  <si>
    <t>SSCL</t>
    <phoneticPr fontId="2" type="noConversion"/>
  </si>
  <si>
    <t>CRM</t>
    <phoneticPr fontId="2" type="noConversion"/>
  </si>
  <si>
    <t>2월</t>
    <phoneticPr fontId="2" type="noConversion"/>
  </si>
  <si>
    <t>1번</t>
    <phoneticPr fontId="2" type="noConversion"/>
  </si>
  <si>
    <t>2번</t>
    <phoneticPr fontId="2" type="noConversion"/>
  </si>
  <si>
    <t>3번</t>
    <phoneticPr fontId="2" type="noConversion"/>
  </si>
  <si>
    <t>4번</t>
    <phoneticPr fontId="2" type="noConversion"/>
  </si>
  <si>
    <t>순서주의</t>
    <phoneticPr fontId="2" type="noConversion"/>
  </si>
  <si>
    <t>3월</t>
    <phoneticPr fontId="2" type="noConversion"/>
  </si>
  <si>
    <t>4월</t>
    <phoneticPr fontId="2" type="noConversion"/>
  </si>
  <si>
    <t>21.4.1변경(14.3040→14.5194)</t>
    <phoneticPr fontId="2" type="noConversion"/>
  </si>
  <si>
    <t>21.4.1변경(14.1680→14.3834)</t>
    <phoneticPr fontId="2" type="noConversion"/>
  </si>
  <si>
    <t>2021년</t>
    <phoneticPr fontId="2" type="noConversion"/>
  </si>
  <si>
    <t>2021년 3월 유틸리티 사용량 및 금액</t>
    <phoneticPr fontId="2" type="noConversion"/>
  </si>
  <si>
    <t>할인금</t>
    <phoneticPr fontId="2" type="noConversion"/>
  </si>
  <si>
    <t>5월</t>
    <phoneticPr fontId="2" type="noConversion"/>
  </si>
  <si>
    <t>21.5.1변경(14.5194→13.2098)</t>
    <phoneticPr fontId="2" type="noConversion"/>
  </si>
  <si>
    <t>21.5.1변경(14.3834→13.0738)</t>
    <phoneticPr fontId="2" type="noConversion"/>
  </si>
  <si>
    <t>4월</t>
    <phoneticPr fontId="2" type="noConversion"/>
  </si>
  <si>
    <t>2021년 4월 유틸리티 사용량 및 금액</t>
    <phoneticPr fontId="2" type="noConversion"/>
  </si>
  <si>
    <t>5월</t>
    <phoneticPr fontId="2" type="noConversion"/>
  </si>
  <si>
    <t>6월</t>
    <phoneticPr fontId="2" type="noConversion"/>
  </si>
  <si>
    <t>21.6.1변경(13.2098→13.7771)</t>
    <phoneticPr fontId="2" type="noConversion"/>
  </si>
  <si>
    <t>21.6.1변경(13.0738→13.6411)</t>
    <phoneticPr fontId="2" type="noConversion"/>
  </si>
  <si>
    <t>5월</t>
    <phoneticPr fontId="2" type="noConversion"/>
  </si>
  <si>
    <t>보정</t>
    <phoneticPr fontId="2" type="noConversion"/>
  </si>
  <si>
    <t>보정</t>
    <phoneticPr fontId="2" type="noConversion"/>
  </si>
  <si>
    <t>2021년 5월 유틸리티 사용량 및 금액</t>
    <phoneticPr fontId="2" type="noConversion"/>
  </si>
  <si>
    <t>보정값</t>
    <phoneticPr fontId="2" type="noConversion"/>
  </si>
  <si>
    <t>보정값</t>
    <phoneticPr fontId="2" type="noConversion"/>
  </si>
  <si>
    <t>보정금</t>
    <phoneticPr fontId="2" type="noConversion"/>
  </si>
  <si>
    <t>보정금</t>
    <phoneticPr fontId="2" type="noConversion"/>
  </si>
  <si>
    <t>본전력량</t>
    <phoneticPr fontId="2" type="noConversion"/>
  </si>
  <si>
    <t>ESS전력량</t>
    <phoneticPr fontId="2" type="noConversion"/>
  </si>
  <si>
    <t>본전력</t>
    <phoneticPr fontId="2" type="noConversion"/>
  </si>
  <si>
    <t>ESS전력</t>
    <phoneticPr fontId="2" type="noConversion"/>
  </si>
  <si>
    <t>SUM</t>
    <phoneticPr fontId="2" type="noConversion"/>
  </si>
  <si>
    <t>비교SUM</t>
    <phoneticPr fontId="2" type="noConversion"/>
  </si>
  <si>
    <t>신설</t>
    <phoneticPr fontId="2" type="noConversion"/>
  </si>
  <si>
    <t>21.7.1변경(13.7771→14.3682)</t>
    <phoneticPr fontId="2" type="noConversion"/>
  </si>
  <si>
    <t>21.7.1변경(13.6411→14.2322)</t>
    <phoneticPr fontId="2" type="noConversion"/>
  </si>
  <si>
    <t>6월</t>
    <phoneticPr fontId="2" type="noConversion"/>
  </si>
  <si>
    <t>6월</t>
    <phoneticPr fontId="2" type="noConversion"/>
  </si>
  <si>
    <t>2021년 6월 유틸리티 사용량 및 금액</t>
    <phoneticPr fontId="2" type="noConversion"/>
  </si>
  <si>
    <t>6월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</si>
</sst>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0.0"/>
    <numFmt numFmtId="177" formatCode="_-* #,##0.0_-;\-* #,##0.0_-;_-* &quot;-&quot;_-;_-@_-"/>
    <numFmt numFmtId="178" formatCode="0.000"/>
    <numFmt numFmtId="179" formatCode="_-* #,##0_-;\-* #,##0_-;_-* &quot;-&quot;??_-;_-@_-"/>
    <numFmt numFmtId="180" formatCode="0.00000000"/>
    <numFmt numFmtId="181" formatCode="_-* #,##0.00_-;\-* #,##0.00_-;_-* &quot;-&quot;_-;_-@_-"/>
    <numFmt numFmtId="182" formatCode="0.0000"/>
    <numFmt numFmtId="183" formatCode="0.00000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b/>
      <vertAlign val="superscript"/>
      <sz val="1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7030A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/>
      <right/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/>
      <right style="double">
        <color auto="1"/>
      </right>
      <top style="thick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4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ill="1" applyBorder="1">
      <alignment vertical="center"/>
    </xf>
    <xf numFmtId="0" fontId="3" fillId="5" borderId="14" xfId="0" applyFont="1" applyFill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177" fontId="0" fillId="4" borderId="10" xfId="1" applyNumberFormat="1" applyFont="1" applyFill="1" applyBorder="1">
      <alignment vertical="center"/>
    </xf>
    <xf numFmtId="41" fontId="3" fillId="3" borderId="10" xfId="1" applyNumberFormat="1" applyFont="1" applyFill="1" applyBorder="1" applyAlignment="1">
      <alignment vertical="center" wrapText="1"/>
    </xf>
    <xf numFmtId="41" fontId="5" fillId="4" borderId="0" xfId="1" applyFont="1" applyFill="1" applyAlignment="1">
      <alignment horizontal="right" vertical="center"/>
    </xf>
    <xf numFmtId="41" fontId="5" fillId="0" borderId="0" xfId="1" applyFon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41" fontId="5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41" fontId="0" fillId="0" borderId="0" xfId="0" applyNumberFormat="1">
      <alignment vertical="center"/>
    </xf>
    <xf numFmtId="41" fontId="6" fillId="0" borderId="0" xfId="1" applyFont="1">
      <alignment vertical="center"/>
    </xf>
    <xf numFmtId="41" fontId="5" fillId="0" borderId="0" xfId="1" applyFont="1" applyFill="1">
      <alignment vertical="center"/>
    </xf>
    <xf numFmtId="41" fontId="5" fillId="2" borderId="0" xfId="1" applyFont="1" applyFill="1">
      <alignment vertical="center"/>
    </xf>
    <xf numFmtId="0" fontId="0" fillId="3" borderId="0" xfId="0" applyFont="1" applyFill="1" applyAlignment="1">
      <alignment horizontal="center" vertical="center"/>
    </xf>
    <xf numFmtId="41" fontId="5" fillId="3" borderId="0" xfId="1" applyFont="1" applyFill="1" applyAlignment="1">
      <alignment horizontal="right" vertical="center"/>
    </xf>
    <xf numFmtId="41" fontId="6" fillId="3" borderId="0" xfId="1" applyFont="1" applyFill="1" applyAlignment="1">
      <alignment horizontal="right" vertical="center"/>
    </xf>
    <xf numFmtId="41" fontId="0" fillId="3" borderId="0" xfId="0" applyNumberForma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0" fillId="4" borderId="0" xfId="0" applyFill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" fontId="0" fillId="0" borderId="0" xfId="1" applyNumberFormat="1" applyFo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4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0" fillId="6" borderId="3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2" fontId="0" fillId="0" borderId="0" xfId="1" applyNumberFormat="1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" fontId="0" fillId="6" borderId="0" xfId="0" applyNumberFormat="1" applyFill="1">
      <alignment vertical="center"/>
    </xf>
    <xf numFmtId="180" fontId="0" fillId="0" borderId="0" xfId="0" applyNumberForma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0" xfId="0" applyFill="1">
      <alignment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8" fontId="15" fillId="0" borderId="0" xfId="0" applyNumberFormat="1" applyFont="1">
      <alignment vertical="center"/>
    </xf>
    <xf numFmtId="41" fontId="15" fillId="0" borderId="0" xfId="0" applyNumberFormat="1" applyFont="1">
      <alignment vertical="center"/>
    </xf>
    <xf numFmtId="0" fontId="15" fillId="0" borderId="0" xfId="0" applyFont="1">
      <alignment vertical="center"/>
    </xf>
    <xf numFmtId="181" fontId="0" fillId="0" borderId="20" xfId="1" applyNumberFormat="1" applyFont="1" applyBorder="1">
      <alignment vertical="center"/>
    </xf>
    <xf numFmtId="41" fontId="15" fillId="0" borderId="20" xfId="1" applyFont="1" applyBorder="1">
      <alignment vertical="center"/>
    </xf>
    <xf numFmtId="0" fontId="15" fillId="0" borderId="20" xfId="0" applyFont="1" applyBorder="1">
      <alignment vertical="center"/>
    </xf>
    <xf numFmtId="41" fontId="3" fillId="0" borderId="20" xfId="1" applyFont="1" applyBorder="1">
      <alignment vertical="center"/>
    </xf>
    <xf numFmtId="0" fontId="0" fillId="0" borderId="27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41" fontId="0" fillId="0" borderId="20" xfId="0" applyNumberForma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>
      <alignment vertical="center"/>
    </xf>
    <xf numFmtId="41" fontId="0" fillId="0" borderId="0" xfId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" fontId="0" fillId="0" borderId="0" xfId="0" applyNumberFormat="1">
      <alignment vertical="center"/>
    </xf>
    <xf numFmtId="0" fontId="3" fillId="0" borderId="0" xfId="0" applyFont="1">
      <alignment vertical="center"/>
    </xf>
    <xf numFmtId="41" fontId="0" fillId="0" borderId="0" xfId="0" applyNumberFormat="1">
      <alignment vertical="center"/>
    </xf>
    <xf numFmtId="0" fontId="0" fillId="0" borderId="0" xfId="0">
      <alignment vertical="center"/>
    </xf>
    <xf numFmtId="0" fontId="15" fillId="0" borderId="0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1" applyFont="1">
      <alignment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41" fontId="0" fillId="0" borderId="20" xfId="0" applyNumberFormat="1" applyBorder="1">
      <alignment vertical="center"/>
    </xf>
    <xf numFmtId="41" fontId="3" fillId="0" borderId="0" xfId="1" applyFo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Fon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Border="1">
      <alignment vertical="center"/>
    </xf>
    <xf numFmtId="0" fontId="17" fillId="7" borderId="0" xfId="0" applyFont="1" applyFill="1" applyBorder="1">
      <alignment vertical="center"/>
    </xf>
    <xf numFmtId="41" fontId="18" fillId="0" borderId="0" xfId="1" applyFont="1" applyFill="1" applyBorder="1">
      <alignment vertical="center"/>
    </xf>
    <xf numFmtId="41" fontId="16" fillId="0" borderId="0" xfId="0" applyNumberFormat="1" applyFont="1" applyBorder="1">
      <alignment vertical="center"/>
    </xf>
    <xf numFmtId="41" fontId="19" fillId="0" borderId="0" xfId="0" applyNumberFormat="1" applyFont="1" applyBorder="1">
      <alignment vertical="center"/>
    </xf>
    <xf numFmtId="0" fontId="16" fillId="7" borderId="0" xfId="0" applyFont="1" applyFill="1" applyBorder="1" applyAlignment="1">
      <alignment horizontal="center" vertical="center"/>
    </xf>
    <xf numFmtId="0" fontId="16" fillId="0" borderId="0" xfId="0" applyFont="1" applyFill="1" applyBorder="1">
      <alignment vertical="center"/>
    </xf>
    <xf numFmtId="0" fontId="18" fillId="0" borderId="0" xfId="0" applyFont="1" applyFill="1" applyBorder="1">
      <alignment vertical="center"/>
    </xf>
    <xf numFmtId="41" fontId="3" fillId="8" borderId="0" xfId="0" applyNumberFormat="1" applyFont="1" applyFill="1">
      <alignment vertical="center"/>
    </xf>
    <xf numFmtId="41" fontId="17" fillId="7" borderId="0" xfId="1" applyFont="1" applyFill="1" applyBorder="1">
      <alignment vertical="center"/>
    </xf>
    <xf numFmtId="41" fontId="3" fillId="4" borderId="0" xfId="0" applyNumberFormat="1" applyFont="1" applyFill="1">
      <alignment vertical="center"/>
    </xf>
    <xf numFmtId="41" fontId="0" fillId="0" borderId="2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1" fontId="0" fillId="0" borderId="0" xfId="0" quotePrefix="1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right" vertical="center"/>
    </xf>
    <xf numFmtId="0" fontId="20" fillId="4" borderId="0" xfId="0" applyFont="1" applyFill="1" applyAlignment="1">
      <alignment horizontal="right" vertical="center"/>
    </xf>
    <xf numFmtId="0" fontId="20" fillId="4" borderId="0" xfId="0" applyFont="1" applyFill="1">
      <alignment vertical="center"/>
    </xf>
    <xf numFmtId="0" fontId="14" fillId="6" borderId="1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4" fillId="4" borderId="0" xfId="0" applyFont="1" applyFill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5" borderId="0" xfId="0" applyFont="1" applyFill="1">
      <alignment vertical="center"/>
    </xf>
    <xf numFmtId="0" fontId="20" fillId="5" borderId="0" xfId="0" applyFont="1" applyFill="1" applyAlignment="1">
      <alignment horizontal="right" vertical="center"/>
    </xf>
    <xf numFmtId="4" fontId="20" fillId="5" borderId="0" xfId="0" applyNumberFormat="1" applyFont="1" applyFill="1" applyAlignment="1">
      <alignment horizontal="right" vertical="center"/>
    </xf>
    <xf numFmtId="0" fontId="20" fillId="5" borderId="0" xfId="0" applyFont="1" applyFill="1" applyBorder="1">
      <alignment vertical="center"/>
    </xf>
    <xf numFmtId="0" fontId="20" fillId="6" borderId="15" xfId="0" applyFont="1" applyFill="1" applyBorder="1" applyAlignment="1">
      <alignment vertical="center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20" fillId="5" borderId="19" xfId="0" applyFont="1" applyFill="1" applyBorder="1">
      <alignment vertical="center"/>
    </xf>
    <xf numFmtId="0" fontId="20" fillId="5" borderId="16" xfId="0" applyFont="1" applyFill="1" applyBorder="1">
      <alignment vertical="center"/>
    </xf>
    <xf numFmtId="0" fontId="20" fillId="3" borderId="1" xfId="0" applyFont="1" applyFill="1" applyBorder="1" applyAlignment="1">
      <alignment vertical="center"/>
    </xf>
    <xf numFmtId="0" fontId="20" fillId="0" borderId="0" xfId="0" applyFont="1" applyAlignment="1">
      <alignment vertical="center" wrapText="1"/>
    </xf>
    <xf numFmtId="0" fontId="20" fillId="2" borderId="0" xfId="0" applyFont="1" applyFill="1">
      <alignment vertical="center"/>
    </xf>
    <xf numFmtId="0" fontId="20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29" xfId="0" applyFill="1" applyBorder="1">
      <alignment vertical="center"/>
    </xf>
    <xf numFmtId="0" fontId="20" fillId="6" borderId="13" xfId="0" applyFont="1" applyFill="1" applyBorder="1">
      <alignment vertical="center"/>
    </xf>
    <xf numFmtId="0" fontId="20" fillId="6" borderId="18" xfId="0" applyFont="1" applyFill="1" applyBorder="1">
      <alignment vertical="center"/>
    </xf>
    <xf numFmtId="176" fontId="20" fillId="2" borderId="0" xfId="0" applyNumberFormat="1" applyFont="1" applyFill="1">
      <alignment vertical="center"/>
    </xf>
    <xf numFmtId="0" fontId="20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0" fillId="0" borderId="0" xfId="0" applyFont="1" applyFill="1">
      <alignment vertical="center"/>
    </xf>
    <xf numFmtId="0" fontId="4" fillId="0" borderId="6" xfId="0" applyFont="1" applyFill="1" applyBorder="1">
      <alignment vertical="center"/>
    </xf>
    <xf numFmtId="0" fontId="20" fillId="0" borderId="6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>
      <alignment vertical="center"/>
    </xf>
    <xf numFmtId="0" fontId="15" fillId="2" borderId="0" xfId="0" applyFont="1" applyFill="1" applyBorder="1">
      <alignment vertical="center"/>
    </xf>
    <xf numFmtId="41" fontId="15" fillId="2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41" fontId="0" fillId="0" borderId="0" xfId="0" applyNumberFormat="1" applyFill="1">
      <alignment vertical="center"/>
    </xf>
    <xf numFmtId="41" fontId="0" fillId="0" borderId="0" xfId="1" applyFont="1" applyAlignment="1">
      <alignment horizontal="center" vertical="center"/>
    </xf>
    <xf numFmtId="41" fontId="0" fillId="4" borderId="0" xfId="1" applyFont="1" applyFill="1">
      <alignment vertical="center"/>
    </xf>
    <xf numFmtId="2" fontId="20" fillId="4" borderId="0" xfId="0" applyNumberFormat="1" applyFont="1" applyFill="1" applyAlignment="1">
      <alignment horizontal="right" vertical="center"/>
    </xf>
    <xf numFmtId="2" fontId="20" fillId="4" borderId="0" xfId="0" applyNumberFormat="1" applyFont="1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0" fontId="14" fillId="0" borderId="0" xfId="0" applyFont="1" applyFill="1" applyBorder="1">
      <alignment vertical="center"/>
    </xf>
    <xf numFmtId="41" fontId="15" fillId="8" borderId="0" xfId="0" applyNumberFormat="1" applyFont="1" applyFill="1" applyBorder="1">
      <alignment vertical="center"/>
    </xf>
    <xf numFmtId="0" fontId="15" fillId="8" borderId="0" xfId="0" applyFont="1" applyFill="1" applyBorder="1">
      <alignment vertical="center"/>
    </xf>
    <xf numFmtId="178" fontId="15" fillId="8" borderId="0" xfId="0" applyNumberFormat="1" applyFont="1" applyFill="1" applyBorder="1">
      <alignment vertical="center"/>
    </xf>
    <xf numFmtId="41" fontId="3" fillId="0" borderId="0" xfId="0" applyNumberFormat="1" applyFont="1">
      <alignment vertical="center"/>
    </xf>
    <xf numFmtId="41" fontId="15" fillId="8" borderId="0" xfId="1" applyFont="1" applyFill="1" applyBorder="1">
      <alignment vertical="center"/>
    </xf>
    <xf numFmtId="181" fontId="15" fillId="8" borderId="0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>
      <alignment vertical="center"/>
    </xf>
    <xf numFmtId="176" fontId="15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quotePrefix="1" applyBorder="1">
      <alignment vertical="center"/>
    </xf>
    <xf numFmtId="177" fontId="0" fillId="0" borderId="0" xfId="1" applyNumberFormat="1" applyFont="1" applyFill="1" applyBorder="1" applyAlignment="1">
      <alignment horizontal="center" vertical="center" wrapText="1"/>
    </xf>
    <xf numFmtId="41" fontId="3" fillId="0" borderId="0" xfId="1" applyNumberFormat="1" applyFont="1" applyFill="1" applyBorder="1" applyAlignment="1">
      <alignment vertical="center" wrapText="1"/>
    </xf>
    <xf numFmtId="177" fontId="0" fillId="0" borderId="0" xfId="1" applyNumberFormat="1" applyFont="1" applyFill="1" applyBorder="1">
      <alignment vertical="center"/>
    </xf>
    <xf numFmtId="181" fontId="0" fillId="0" borderId="0" xfId="1" applyNumberFormat="1" applyFont="1" applyFill="1" applyBorder="1">
      <alignment vertical="center"/>
    </xf>
    <xf numFmtId="181" fontId="20" fillId="5" borderId="0" xfId="1" applyNumberFormat="1" applyFont="1" applyFill="1">
      <alignment vertical="center"/>
    </xf>
    <xf numFmtId="177" fontId="0" fillId="0" borderId="0" xfId="1" applyNumberFormat="1" applyFont="1">
      <alignment vertical="center"/>
    </xf>
    <xf numFmtId="0" fontId="0" fillId="2" borderId="20" xfId="0" applyFill="1" applyBorder="1">
      <alignment vertical="center"/>
    </xf>
    <xf numFmtId="0" fontId="24" fillId="3" borderId="0" xfId="0" applyFont="1" applyFill="1" applyAlignment="1">
      <alignment horizontal="center" vertical="center"/>
    </xf>
    <xf numFmtId="0" fontId="8" fillId="3" borderId="0" xfId="0" applyFont="1" applyFill="1">
      <alignment vertical="center"/>
    </xf>
    <xf numFmtId="41" fontId="25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81" fontId="0" fillId="0" borderId="0" xfId="0" applyNumberFormat="1" applyAlignment="1">
      <alignment horizontal="right" vertical="center"/>
    </xf>
    <xf numFmtId="41" fontId="0" fillId="2" borderId="0" xfId="1" applyFont="1" applyFill="1">
      <alignment vertical="center"/>
    </xf>
    <xf numFmtId="43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77" fontId="0" fillId="3" borderId="8" xfId="1" applyNumberFormat="1" applyFont="1" applyFill="1" applyBorder="1" applyAlignment="1">
      <alignment horizontal="center" vertical="center" wrapText="1"/>
    </xf>
    <xf numFmtId="177" fontId="0" fillId="3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8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142875</xdr:rowOff>
    </xdr:from>
    <xdr:to>
      <xdr:col>8</xdr:col>
      <xdr:colOff>552450</xdr:colOff>
      <xdr:row>13</xdr:row>
      <xdr:rowOff>95250</xdr:rowOff>
    </xdr:to>
    <xdr:sp macro="" textlink="">
      <xdr:nvSpPr>
        <xdr:cNvPr id="3" name="사각형 설명선 2"/>
        <xdr:cNvSpPr/>
      </xdr:nvSpPr>
      <xdr:spPr>
        <a:xfrm>
          <a:off x="3162300" y="2095500"/>
          <a:ext cx="2876550" cy="790575"/>
        </a:xfrm>
        <a:prstGeom prst="wedgeRectCallout">
          <a:avLst>
            <a:gd name="adj1" fmla="val -40038"/>
            <a:gd name="adj2" fmla="val -84488"/>
          </a:avLst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년도 및 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 2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 7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 8</a:t>
          </a:r>
          <a:r>
            <a:rPr lang="ko-KR" altLang="en-US" sz="1100">
              <a:solidFill>
                <a:sysClr val="windowText" lastClr="000000"/>
              </a:solidFill>
            </a:rPr>
            <a:t>월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  <a:r>
            <a:rPr lang="en-US" altLang="ko-KR" sz="1100" baseline="0">
              <a:solidFill>
                <a:sysClr val="windowText" lastClr="000000"/>
              </a:solidFill>
            </a:rPr>
            <a:t> 9</a:t>
          </a:r>
          <a:r>
            <a:rPr lang="ko-KR" altLang="en-US" sz="1100" baseline="0">
              <a:solidFill>
                <a:sysClr val="windowText" lastClr="000000"/>
              </a:solidFill>
            </a:rPr>
            <a:t>월</a:t>
          </a:r>
          <a:r>
            <a:rPr lang="en-US" altLang="ko-KR" sz="1100" baseline="0">
              <a:solidFill>
                <a:sysClr val="windowText" lastClr="000000"/>
              </a:solidFill>
            </a:rPr>
            <a:t>, 12</a:t>
          </a:r>
          <a:r>
            <a:rPr lang="ko-KR" altLang="en-US" sz="1100" baseline="0">
              <a:solidFill>
                <a:sysClr val="windowText" lastClr="000000"/>
              </a:solidFill>
            </a:rPr>
            <a:t>월을  수정 </a:t>
          </a:r>
          <a:endParaRPr lang="en-US" altLang="ko-KR" sz="11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145"/>
  <sheetViews>
    <sheetView workbookViewId="0">
      <selection activeCell="H19" sqref="H19"/>
    </sheetView>
  </sheetViews>
  <sheetFormatPr defaultRowHeight="16.5"/>
  <cols>
    <col min="5" max="5" width="9" style="158"/>
  </cols>
  <sheetData>
    <row r="1" spans="2:9">
      <c r="B1" t="s">
        <v>0</v>
      </c>
      <c r="D1" t="s">
        <v>2</v>
      </c>
      <c r="E1" s="158" t="s">
        <v>362</v>
      </c>
      <c r="F1" t="s">
        <v>4</v>
      </c>
      <c r="G1" t="s">
        <v>5</v>
      </c>
      <c r="H1" t="s">
        <v>6</v>
      </c>
      <c r="I1" t="s">
        <v>7</v>
      </c>
    </row>
    <row r="2" spans="2:9" hidden="1">
      <c r="B2" s="1">
        <v>8320</v>
      </c>
      <c r="D2" s="2" t="s">
        <v>8</v>
      </c>
      <c r="E2" s="158" t="s">
        <v>363</v>
      </c>
      <c r="F2" s="2" t="s">
        <v>9</v>
      </c>
      <c r="G2" s="2" t="s">
        <v>10</v>
      </c>
      <c r="H2" s="2">
        <v>63.1</v>
      </c>
      <c r="I2" s="2">
        <v>31.55</v>
      </c>
    </row>
    <row r="3" spans="2:9" hidden="1">
      <c r="D3" s="2" t="s">
        <v>8</v>
      </c>
      <c r="E3" s="158" t="s">
        <v>363</v>
      </c>
      <c r="F3" s="2" t="s">
        <v>9</v>
      </c>
      <c r="G3" s="2" t="s">
        <v>11</v>
      </c>
      <c r="H3" s="2">
        <v>109.2</v>
      </c>
      <c r="I3" s="2"/>
    </row>
    <row r="4" spans="2:9" hidden="1">
      <c r="D4" s="2" t="s">
        <v>8</v>
      </c>
      <c r="E4" s="158" t="s">
        <v>363</v>
      </c>
      <c r="F4" s="2" t="s">
        <v>9</v>
      </c>
      <c r="G4" s="2" t="s">
        <v>12</v>
      </c>
      <c r="H4" s="2">
        <v>166.7</v>
      </c>
      <c r="I4" s="2"/>
    </row>
    <row r="5" spans="2:9" hidden="1">
      <c r="D5" s="2" t="s">
        <v>8</v>
      </c>
      <c r="E5" s="158" t="s">
        <v>363</v>
      </c>
      <c r="F5" s="2" t="s">
        <v>13</v>
      </c>
      <c r="G5" s="2" t="s">
        <v>10</v>
      </c>
      <c r="H5" s="2">
        <v>63.1</v>
      </c>
      <c r="I5" s="2">
        <v>31.55</v>
      </c>
    </row>
    <row r="6" spans="2:9" hidden="1">
      <c r="D6" s="2" t="s">
        <v>8</v>
      </c>
      <c r="E6" s="158" t="s">
        <v>363</v>
      </c>
      <c r="F6" s="2" t="s">
        <v>13</v>
      </c>
      <c r="G6" s="2" t="s">
        <v>11</v>
      </c>
      <c r="H6" s="2">
        <v>109.2</v>
      </c>
      <c r="I6" s="2"/>
    </row>
    <row r="7" spans="2:9" hidden="1">
      <c r="D7" s="2" t="s">
        <v>8</v>
      </c>
      <c r="E7" s="158" t="s">
        <v>363</v>
      </c>
      <c r="F7" s="2" t="s">
        <v>13</v>
      </c>
      <c r="G7" s="2" t="s">
        <v>12</v>
      </c>
      <c r="H7" s="2">
        <v>166.7</v>
      </c>
      <c r="I7" s="2"/>
    </row>
    <row r="8" spans="2:9" hidden="1">
      <c r="D8" s="2" t="s">
        <v>8</v>
      </c>
      <c r="E8" s="158" t="s">
        <v>363</v>
      </c>
      <c r="F8" s="2" t="s">
        <v>14</v>
      </c>
      <c r="G8" s="2" t="s">
        <v>10</v>
      </c>
      <c r="H8" s="2">
        <v>56.1</v>
      </c>
      <c r="I8" s="2">
        <v>28.05</v>
      </c>
    </row>
    <row r="9" spans="2:9" hidden="1">
      <c r="D9" s="2" t="s">
        <v>8</v>
      </c>
      <c r="E9" s="158" t="s">
        <v>363</v>
      </c>
      <c r="F9" s="2" t="s">
        <v>14</v>
      </c>
      <c r="G9" s="2" t="s">
        <v>11</v>
      </c>
      <c r="H9" s="2">
        <v>78.599999999999994</v>
      </c>
      <c r="I9" s="2"/>
    </row>
    <row r="10" spans="2:9" hidden="1">
      <c r="D10" s="2" t="s">
        <v>8</v>
      </c>
      <c r="E10" s="158" t="s">
        <v>363</v>
      </c>
      <c r="F10" s="2" t="s">
        <v>14</v>
      </c>
      <c r="G10" s="2" t="s">
        <v>12</v>
      </c>
      <c r="H10" s="2">
        <v>109.3</v>
      </c>
      <c r="I10" s="2"/>
    </row>
    <row r="11" spans="2:9" hidden="1">
      <c r="D11" s="2" t="s">
        <v>8</v>
      </c>
      <c r="E11" s="158" t="s">
        <v>364</v>
      </c>
      <c r="F11" s="2" t="s">
        <v>15</v>
      </c>
      <c r="G11" s="2" t="s">
        <v>10</v>
      </c>
      <c r="H11" s="2">
        <v>56.1</v>
      </c>
      <c r="I11" s="2">
        <v>28.05</v>
      </c>
    </row>
    <row r="12" spans="2:9" hidden="1">
      <c r="D12" s="2" t="s">
        <v>8</v>
      </c>
      <c r="E12" s="158" t="s">
        <v>364</v>
      </c>
      <c r="F12" s="2" t="s">
        <v>15</v>
      </c>
      <c r="G12" s="2" t="s">
        <v>11</v>
      </c>
      <c r="H12" s="2">
        <v>78.599999999999994</v>
      </c>
      <c r="I12" s="2"/>
    </row>
    <row r="13" spans="2:9" hidden="1">
      <c r="D13" s="2" t="s">
        <v>8</v>
      </c>
      <c r="E13" s="158" t="s">
        <v>364</v>
      </c>
      <c r="F13" s="2" t="s">
        <v>15</v>
      </c>
      <c r="G13" s="2" t="s">
        <v>12</v>
      </c>
      <c r="H13" s="2">
        <v>109.3</v>
      </c>
      <c r="I13" s="2"/>
    </row>
    <row r="14" spans="2:9" hidden="1">
      <c r="D14" s="2" t="s">
        <v>8</v>
      </c>
      <c r="E14" s="158" t="s">
        <v>364</v>
      </c>
      <c r="F14" s="2" t="s">
        <v>16</v>
      </c>
      <c r="G14" s="2" t="s">
        <v>10</v>
      </c>
      <c r="H14" s="2">
        <v>56.1</v>
      </c>
      <c r="I14" s="2">
        <v>28.05</v>
      </c>
    </row>
    <row r="15" spans="2:9" hidden="1">
      <c r="D15" s="2" t="s">
        <v>8</v>
      </c>
      <c r="E15" s="158" t="s">
        <v>364</v>
      </c>
      <c r="F15" s="2" t="s">
        <v>16</v>
      </c>
      <c r="G15" s="2" t="s">
        <v>11</v>
      </c>
      <c r="H15" s="2">
        <v>78.599999999999994</v>
      </c>
      <c r="I15" s="2"/>
    </row>
    <row r="16" spans="2:9" hidden="1">
      <c r="D16" s="2" t="s">
        <v>8</v>
      </c>
      <c r="E16" s="158" t="s">
        <v>364</v>
      </c>
      <c r="F16" s="2" t="s">
        <v>16</v>
      </c>
      <c r="G16" s="2" t="s">
        <v>12</v>
      </c>
      <c r="H16" s="2">
        <v>109.3</v>
      </c>
      <c r="I16" s="2"/>
    </row>
    <row r="17" spans="4:9">
      <c r="D17" s="2" t="s">
        <v>8</v>
      </c>
      <c r="E17" s="158" t="s">
        <v>364</v>
      </c>
      <c r="F17" s="2" t="s">
        <v>17</v>
      </c>
      <c r="G17" s="2" t="s">
        <v>10</v>
      </c>
      <c r="H17" s="2">
        <v>56.1</v>
      </c>
      <c r="I17" s="2">
        <v>28.05</v>
      </c>
    </row>
    <row r="18" spans="4:9">
      <c r="D18" s="2" t="s">
        <v>8</v>
      </c>
      <c r="E18" s="158" t="s">
        <v>364</v>
      </c>
      <c r="F18" s="2" t="s">
        <v>17</v>
      </c>
      <c r="G18" s="2" t="s">
        <v>11</v>
      </c>
      <c r="H18" s="2">
        <v>109</v>
      </c>
      <c r="I18" s="2"/>
    </row>
    <row r="19" spans="4:9">
      <c r="D19" s="2" t="s">
        <v>8</v>
      </c>
      <c r="E19" s="158" t="s">
        <v>364</v>
      </c>
      <c r="F19" s="2" t="s">
        <v>17</v>
      </c>
      <c r="G19" s="2" t="s">
        <v>12</v>
      </c>
      <c r="H19" s="2">
        <v>191.1</v>
      </c>
      <c r="I19" s="2"/>
    </row>
    <row r="20" spans="4:9" hidden="1">
      <c r="D20" s="2" t="s">
        <v>8</v>
      </c>
      <c r="E20" s="158" t="s">
        <v>365</v>
      </c>
      <c r="F20" s="2" t="s">
        <v>18</v>
      </c>
      <c r="G20" s="2" t="s">
        <v>10</v>
      </c>
      <c r="H20" s="2">
        <v>56.1</v>
      </c>
      <c r="I20" s="2">
        <v>28.05</v>
      </c>
    </row>
    <row r="21" spans="4:9" hidden="1">
      <c r="D21" s="2" t="s">
        <v>8</v>
      </c>
      <c r="E21" s="158" t="s">
        <v>365</v>
      </c>
      <c r="F21" s="2" t="s">
        <v>18</v>
      </c>
      <c r="G21" s="2" t="s">
        <v>11</v>
      </c>
      <c r="H21" s="2">
        <v>109</v>
      </c>
      <c r="I21" s="2"/>
    </row>
    <row r="22" spans="4:9" hidden="1">
      <c r="D22" s="2" t="s">
        <v>8</v>
      </c>
      <c r="E22" s="158" t="s">
        <v>365</v>
      </c>
      <c r="F22" s="2" t="s">
        <v>18</v>
      </c>
      <c r="G22" s="2" t="s">
        <v>12</v>
      </c>
      <c r="H22" s="2">
        <v>191.1</v>
      </c>
      <c r="I22" s="2"/>
    </row>
    <row r="23" spans="4:9" hidden="1">
      <c r="D23" s="2" t="s">
        <v>8</v>
      </c>
      <c r="E23" s="158" t="s">
        <v>365</v>
      </c>
      <c r="F23" s="2" t="s">
        <v>19</v>
      </c>
      <c r="G23" s="2" t="s">
        <v>10</v>
      </c>
      <c r="H23" s="2">
        <v>56.1</v>
      </c>
      <c r="I23" s="2">
        <v>28.05</v>
      </c>
    </row>
    <row r="24" spans="4:9" hidden="1">
      <c r="D24" s="2" t="s">
        <v>8</v>
      </c>
      <c r="E24" s="158" t="s">
        <v>365</v>
      </c>
      <c r="F24" s="2" t="s">
        <v>19</v>
      </c>
      <c r="G24" s="2" t="s">
        <v>11</v>
      </c>
      <c r="H24" s="2">
        <v>109</v>
      </c>
      <c r="I24" s="2"/>
    </row>
    <row r="25" spans="4:9" hidden="1">
      <c r="D25" s="2" t="s">
        <v>8</v>
      </c>
      <c r="E25" s="158" t="s">
        <v>365</v>
      </c>
      <c r="F25" s="2" t="s">
        <v>19</v>
      </c>
      <c r="G25" s="2" t="s">
        <v>12</v>
      </c>
      <c r="H25" s="2">
        <v>191.1</v>
      </c>
      <c r="I25" s="2"/>
    </row>
    <row r="26" spans="4:9" hidden="1">
      <c r="D26" s="2" t="s">
        <v>8</v>
      </c>
      <c r="E26" s="158" t="s">
        <v>365</v>
      </c>
      <c r="F26" s="2" t="s">
        <v>20</v>
      </c>
      <c r="G26" s="2" t="s">
        <v>10</v>
      </c>
      <c r="H26" s="2">
        <v>56.1</v>
      </c>
      <c r="I26" s="2">
        <v>28.05</v>
      </c>
    </row>
    <row r="27" spans="4:9" hidden="1">
      <c r="D27" s="2" t="s">
        <v>8</v>
      </c>
      <c r="E27" s="158" t="s">
        <v>365</v>
      </c>
      <c r="F27" s="2" t="s">
        <v>20</v>
      </c>
      <c r="G27" s="2" t="s">
        <v>11</v>
      </c>
      <c r="H27" s="2">
        <v>78.599999999999994</v>
      </c>
      <c r="I27" s="2"/>
    </row>
    <row r="28" spans="4:9" hidden="1">
      <c r="D28" s="2" t="s">
        <v>8</v>
      </c>
      <c r="E28" s="158" t="s">
        <v>365</v>
      </c>
      <c r="F28" s="2" t="s">
        <v>20</v>
      </c>
      <c r="G28" s="2" t="s">
        <v>12</v>
      </c>
      <c r="H28" s="2">
        <v>109.3</v>
      </c>
      <c r="I28" s="2"/>
    </row>
    <row r="29" spans="4:9" hidden="1">
      <c r="D29" s="2" t="s">
        <v>8</v>
      </c>
      <c r="E29" s="158" t="s">
        <v>366</v>
      </c>
      <c r="F29" s="2" t="s">
        <v>21</v>
      </c>
      <c r="G29" s="2" t="s">
        <v>10</v>
      </c>
      <c r="H29" s="2">
        <v>56.1</v>
      </c>
      <c r="I29" s="2">
        <v>28.05</v>
      </c>
    </row>
    <row r="30" spans="4:9" hidden="1">
      <c r="D30" s="2" t="s">
        <v>8</v>
      </c>
      <c r="E30" s="158" t="s">
        <v>366</v>
      </c>
      <c r="F30" s="2" t="s">
        <v>21</v>
      </c>
      <c r="G30" s="2" t="s">
        <v>11</v>
      </c>
      <c r="H30" s="2">
        <v>78.599999999999994</v>
      </c>
      <c r="I30" s="2"/>
    </row>
    <row r="31" spans="4:9" hidden="1">
      <c r="D31" s="2" t="s">
        <v>8</v>
      </c>
      <c r="E31" s="158" t="s">
        <v>366</v>
      </c>
      <c r="F31" s="2" t="s">
        <v>21</v>
      </c>
      <c r="G31" s="2" t="s">
        <v>12</v>
      </c>
      <c r="H31" s="2">
        <v>109.3</v>
      </c>
      <c r="I31" s="2"/>
    </row>
    <row r="32" spans="4:9" hidden="1">
      <c r="D32" s="2" t="s">
        <v>8</v>
      </c>
      <c r="E32" s="158" t="s">
        <v>366</v>
      </c>
      <c r="F32" s="2" t="s">
        <v>22</v>
      </c>
      <c r="G32" s="2" t="s">
        <v>10</v>
      </c>
      <c r="H32" s="2">
        <v>63.1</v>
      </c>
      <c r="I32" s="2">
        <v>31.55</v>
      </c>
    </row>
    <row r="33" spans="4:9" hidden="1">
      <c r="D33" s="2" t="s">
        <v>8</v>
      </c>
      <c r="E33" s="158" t="s">
        <v>366</v>
      </c>
      <c r="F33" s="2" t="s">
        <v>22</v>
      </c>
      <c r="G33" s="2" t="s">
        <v>11</v>
      </c>
      <c r="H33" s="2">
        <v>109.2</v>
      </c>
      <c r="I33" s="2"/>
    </row>
    <row r="34" spans="4:9" hidden="1">
      <c r="D34" s="2" t="s">
        <v>8</v>
      </c>
      <c r="E34" s="158" t="s">
        <v>366</v>
      </c>
      <c r="F34" s="2" t="s">
        <v>22</v>
      </c>
      <c r="G34" s="2" t="s">
        <v>12</v>
      </c>
      <c r="H34" s="2">
        <v>166.7</v>
      </c>
      <c r="I34" s="2"/>
    </row>
    <row r="35" spans="4:9" hidden="1">
      <c r="D35" s="2" t="s">
        <v>8</v>
      </c>
      <c r="E35" s="158" t="s">
        <v>366</v>
      </c>
      <c r="F35" s="2" t="s">
        <v>23</v>
      </c>
      <c r="G35" s="2" t="s">
        <v>10</v>
      </c>
      <c r="H35" s="2">
        <v>63.1</v>
      </c>
      <c r="I35" s="2">
        <v>31.55</v>
      </c>
    </row>
    <row r="36" spans="4:9" hidden="1">
      <c r="D36" s="2" t="s">
        <v>8</v>
      </c>
      <c r="E36" s="158" t="s">
        <v>366</v>
      </c>
      <c r="F36" s="2" t="s">
        <v>23</v>
      </c>
      <c r="G36" s="2" t="s">
        <v>11</v>
      </c>
      <c r="H36" s="2">
        <v>109.2</v>
      </c>
      <c r="I36" s="2"/>
    </row>
    <row r="37" spans="4:9" hidden="1">
      <c r="D37" s="2" t="s">
        <v>8</v>
      </c>
      <c r="E37" s="158" t="s">
        <v>366</v>
      </c>
      <c r="F37" s="2" t="s">
        <v>23</v>
      </c>
      <c r="G37" s="2" t="s">
        <v>12</v>
      </c>
      <c r="H37" s="2">
        <v>166.7</v>
      </c>
      <c r="I37" s="2"/>
    </row>
    <row r="38" spans="4:9" hidden="1">
      <c r="D38" s="2" t="s">
        <v>24</v>
      </c>
      <c r="E38" s="158" t="s">
        <v>363</v>
      </c>
      <c r="F38" s="2" t="s">
        <v>9</v>
      </c>
      <c r="G38" s="2" t="s">
        <v>10</v>
      </c>
      <c r="H38" s="2">
        <v>63.1</v>
      </c>
      <c r="I38" s="2">
        <v>31.55</v>
      </c>
    </row>
    <row r="39" spans="4:9" hidden="1">
      <c r="D39" s="2" t="s">
        <v>24</v>
      </c>
      <c r="E39" s="158" t="s">
        <v>363</v>
      </c>
      <c r="F39" s="2" t="s">
        <v>9</v>
      </c>
      <c r="G39" s="2" t="s">
        <v>11</v>
      </c>
      <c r="H39" s="2">
        <v>109.2</v>
      </c>
      <c r="I39" s="2"/>
    </row>
    <row r="40" spans="4:9" hidden="1">
      <c r="D40" s="2" t="s">
        <v>24</v>
      </c>
      <c r="E40" s="158" t="s">
        <v>363</v>
      </c>
      <c r="F40" s="2" t="s">
        <v>9</v>
      </c>
      <c r="G40" s="2" t="s">
        <v>12</v>
      </c>
      <c r="H40" s="2">
        <v>166.7</v>
      </c>
      <c r="I40" s="2"/>
    </row>
    <row r="41" spans="4:9" hidden="1">
      <c r="D41" s="2" t="s">
        <v>24</v>
      </c>
      <c r="E41" s="158" t="s">
        <v>363</v>
      </c>
      <c r="F41" s="2" t="s">
        <v>13</v>
      </c>
      <c r="G41" s="2" t="s">
        <v>10</v>
      </c>
      <c r="H41" s="2">
        <v>63.1</v>
      </c>
      <c r="I41" s="2">
        <v>31.55</v>
      </c>
    </row>
    <row r="42" spans="4:9" hidden="1">
      <c r="D42" s="2" t="s">
        <v>24</v>
      </c>
      <c r="E42" s="158" t="s">
        <v>363</v>
      </c>
      <c r="F42" s="2" t="s">
        <v>13</v>
      </c>
      <c r="G42" s="2" t="s">
        <v>11</v>
      </c>
      <c r="H42" s="2">
        <v>109.2</v>
      </c>
      <c r="I42" s="2"/>
    </row>
    <row r="43" spans="4:9" hidden="1">
      <c r="D43" s="2" t="s">
        <v>24</v>
      </c>
      <c r="E43" s="158" t="s">
        <v>363</v>
      </c>
      <c r="F43" s="2" t="s">
        <v>13</v>
      </c>
      <c r="G43" s="2" t="s">
        <v>12</v>
      </c>
      <c r="H43" s="2">
        <v>166.7</v>
      </c>
      <c r="I43" s="2"/>
    </row>
    <row r="44" spans="4:9" hidden="1">
      <c r="D44" s="2" t="s">
        <v>24</v>
      </c>
      <c r="E44" s="158" t="s">
        <v>363</v>
      </c>
      <c r="F44" s="2" t="s">
        <v>14</v>
      </c>
      <c r="G44" s="2" t="s">
        <v>10</v>
      </c>
      <c r="H44" s="2">
        <v>56.1</v>
      </c>
      <c r="I44" s="2">
        <v>28.05</v>
      </c>
    </row>
    <row r="45" spans="4:9" hidden="1">
      <c r="D45" s="2" t="s">
        <v>24</v>
      </c>
      <c r="E45" s="158" t="s">
        <v>363</v>
      </c>
      <c r="F45" s="2" t="s">
        <v>14</v>
      </c>
      <c r="G45" s="2" t="s">
        <v>11</v>
      </c>
      <c r="H45" s="2">
        <v>78.599999999999994</v>
      </c>
      <c r="I45" s="2"/>
    </row>
    <row r="46" spans="4:9" hidden="1">
      <c r="D46" s="2" t="s">
        <v>24</v>
      </c>
      <c r="E46" s="158" t="s">
        <v>363</v>
      </c>
      <c r="F46" s="2" t="s">
        <v>14</v>
      </c>
      <c r="G46" s="2" t="s">
        <v>12</v>
      </c>
      <c r="H46" s="2">
        <v>109.3</v>
      </c>
      <c r="I46" s="2"/>
    </row>
    <row r="47" spans="4:9" hidden="1">
      <c r="D47" s="2" t="s">
        <v>24</v>
      </c>
      <c r="E47" s="158" t="s">
        <v>364</v>
      </c>
      <c r="F47" s="2" t="s">
        <v>15</v>
      </c>
      <c r="G47" s="2" t="s">
        <v>10</v>
      </c>
      <c r="H47" s="2">
        <v>56.1</v>
      </c>
      <c r="I47" s="2">
        <v>28.05</v>
      </c>
    </row>
    <row r="48" spans="4:9" hidden="1">
      <c r="D48" s="2" t="s">
        <v>24</v>
      </c>
      <c r="E48" s="158" t="s">
        <v>364</v>
      </c>
      <c r="F48" s="2" t="s">
        <v>15</v>
      </c>
      <c r="G48" s="2" t="s">
        <v>11</v>
      </c>
      <c r="H48" s="2">
        <v>78.599999999999994</v>
      </c>
      <c r="I48" s="2"/>
    </row>
    <row r="49" spans="4:9" hidden="1">
      <c r="D49" s="2" t="s">
        <v>24</v>
      </c>
      <c r="E49" s="158" t="s">
        <v>364</v>
      </c>
      <c r="F49" s="2" t="s">
        <v>15</v>
      </c>
      <c r="G49" s="2" t="s">
        <v>12</v>
      </c>
      <c r="H49" s="2">
        <v>109.3</v>
      </c>
      <c r="I49" s="2"/>
    </row>
    <row r="50" spans="4:9" hidden="1">
      <c r="D50" s="2" t="s">
        <v>24</v>
      </c>
      <c r="E50" s="158" t="s">
        <v>364</v>
      </c>
      <c r="F50" s="2" t="s">
        <v>16</v>
      </c>
      <c r="G50" s="2" t="s">
        <v>10</v>
      </c>
      <c r="H50" s="2">
        <v>56.1</v>
      </c>
      <c r="I50" s="2">
        <v>28.05</v>
      </c>
    </row>
    <row r="51" spans="4:9" hidden="1">
      <c r="D51" s="2" t="s">
        <v>24</v>
      </c>
      <c r="E51" s="158" t="s">
        <v>364</v>
      </c>
      <c r="F51" s="2" t="s">
        <v>16</v>
      </c>
      <c r="G51" s="2" t="s">
        <v>11</v>
      </c>
      <c r="H51" s="2">
        <v>78.599999999999994</v>
      </c>
      <c r="I51" s="2"/>
    </row>
    <row r="52" spans="4:9" hidden="1">
      <c r="D52" s="2" t="s">
        <v>24</v>
      </c>
      <c r="E52" s="158" t="s">
        <v>364</v>
      </c>
      <c r="F52" s="2" t="s">
        <v>16</v>
      </c>
      <c r="G52" s="2" t="s">
        <v>12</v>
      </c>
      <c r="H52" s="2">
        <v>109.3</v>
      </c>
      <c r="I52" s="2"/>
    </row>
    <row r="53" spans="4:9">
      <c r="D53" s="2" t="s">
        <v>24</v>
      </c>
      <c r="E53" s="158" t="s">
        <v>364</v>
      </c>
      <c r="F53" s="2" t="s">
        <v>17</v>
      </c>
      <c r="G53" s="2" t="s">
        <v>10</v>
      </c>
      <c r="H53" s="2">
        <v>56.1</v>
      </c>
      <c r="I53" s="2">
        <v>28.05</v>
      </c>
    </row>
    <row r="54" spans="4:9">
      <c r="D54" s="2" t="s">
        <v>24</v>
      </c>
      <c r="E54" s="158" t="s">
        <v>364</v>
      </c>
      <c r="F54" s="2" t="s">
        <v>17</v>
      </c>
      <c r="G54" s="2" t="s">
        <v>11</v>
      </c>
      <c r="H54" s="2">
        <v>109</v>
      </c>
      <c r="I54" s="2"/>
    </row>
    <row r="55" spans="4:9">
      <c r="D55" s="2" t="s">
        <v>24</v>
      </c>
      <c r="E55" s="158" t="s">
        <v>364</v>
      </c>
      <c r="F55" s="2" t="s">
        <v>17</v>
      </c>
      <c r="G55" s="2" t="s">
        <v>12</v>
      </c>
      <c r="H55" s="2">
        <v>191.1</v>
      </c>
      <c r="I55" s="2"/>
    </row>
    <row r="56" spans="4:9" hidden="1">
      <c r="D56" s="2" t="s">
        <v>24</v>
      </c>
      <c r="E56" s="158" t="s">
        <v>365</v>
      </c>
      <c r="F56" s="2" t="s">
        <v>18</v>
      </c>
      <c r="G56" s="2" t="s">
        <v>10</v>
      </c>
      <c r="H56" s="2">
        <v>56.1</v>
      </c>
      <c r="I56" s="2">
        <v>28.05</v>
      </c>
    </row>
    <row r="57" spans="4:9" hidden="1">
      <c r="D57" s="2" t="s">
        <v>24</v>
      </c>
      <c r="E57" s="158" t="s">
        <v>365</v>
      </c>
      <c r="F57" s="2" t="s">
        <v>18</v>
      </c>
      <c r="G57" s="2" t="s">
        <v>11</v>
      </c>
      <c r="H57" s="2">
        <v>109</v>
      </c>
      <c r="I57" s="2"/>
    </row>
    <row r="58" spans="4:9" hidden="1">
      <c r="D58" s="2" t="s">
        <v>24</v>
      </c>
      <c r="E58" s="158" t="s">
        <v>365</v>
      </c>
      <c r="F58" s="2" t="s">
        <v>18</v>
      </c>
      <c r="G58" s="2" t="s">
        <v>12</v>
      </c>
      <c r="H58" s="2">
        <v>191.1</v>
      </c>
      <c r="I58" s="2"/>
    </row>
    <row r="59" spans="4:9" hidden="1">
      <c r="D59" s="2" t="s">
        <v>24</v>
      </c>
      <c r="E59" s="158" t="s">
        <v>365</v>
      </c>
      <c r="F59" s="2" t="s">
        <v>19</v>
      </c>
      <c r="G59" s="2" t="s">
        <v>10</v>
      </c>
      <c r="H59" s="2">
        <v>56.1</v>
      </c>
      <c r="I59" s="2">
        <v>28.05</v>
      </c>
    </row>
    <row r="60" spans="4:9" hidden="1">
      <c r="D60" s="2" t="s">
        <v>24</v>
      </c>
      <c r="E60" s="158" t="s">
        <v>365</v>
      </c>
      <c r="F60" s="2" t="s">
        <v>19</v>
      </c>
      <c r="G60" s="2" t="s">
        <v>11</v>
      </c>
      <c r="H60" s="2">
        <v>109</v>
      </c>
      <c r="I60" s="2"/>
    </row>
    <row r="61" spans="4:9" hidden="1">
      <c r="D61" s="2" t="s">
        <v>24</v>
      </c>
      <c r="E61" s="158" t="s">
        <v>365</v>
      </c>
      <c r="F61" s="2" t="s">
        <v>19</v>
      </c>
      <c r="G61" s="2" t="s">
        <v>12</v>
      </c>
      <c r="H61" s="2">
        <v>191.1</v>
      </c>
      <c r="I61" s="2"/>
    </row>
    <row r="62" spans="4:9" hidden="1">
      <c r="D62" s="2" t="s">
        <v>24</v>
      </c>
      <c r="E62" s="158" t="s">
        <v>365</v>
      </c>
      <c r="F62" s="2" t="s">
        <v>20</v>
      </c>
      <c r="G62" s="2" t="s">
        <v>10</v>
      </c>
      <c r="H62" s="2">
        <v>56.1</v>
      </c>
      <c r="I62" s="2">
        <v>28.05</v>
      </c>
    </row>
    <row r="63" spans="4:9" hidden="1">
      <c r="D63" s="2" t="s">
        <v>24</v>
      </c>
      <c r="E63" s="158" t="s">
        <v>365</v>
      </c>
      <c r="F63" s="2" t="s">
        <v>20</v>
      </c>
      <c r="G63" s="2" t="s">
        <v>11</v>
      </c>
      <c r="H63" s="2">
        <v>78.599999999999994</v>
      </c>
      <c r="I63" s="2"/>
    </row>
    <row r="64" spans="4:9" hidden="1">
      <c r="D64" s="2" t="s">
        <v>24</v>
      </c>
      <c r="E64" s="158" t="s">
        <v>365</v>
      </c>
      <c r="F64" s="2" t="s">
        <v>20</v>
      </c>
      <c r="G64" s="2" t="s">
        <v>12</v>
      </c>
      <c r="H64" s="2">
        <v>109.3</v>
      </c>
      <c r="I64" s="2"/>
    </row>
    <row r="65" spans="4:9" hidden="1">
      <c r="D65" s="2" t="s">
        <v>24</v>
      </c>
      <c r="E65" s="158" t="s">
        <v>366</v>
      </c>
      <c r="F65" s="2" t="s">
        <v>21</v>
      </c>
      <c r="G65" s="2" t="s">
        <v>10</v>
      </c>
      <c r="H65" s="2">
        <v>56.1</v>
      </c>
      <c r="I65" s="2">
        <v>28.05</v>
      </c>
    </row>
    <row r="66" spans="4:9" hidden="1">
      <c r="D66" s="2" t="s">
        <v>24</v>
      </c>
      <c r="E66" s="158" t="s">
        <v>366</v>
      </c>
      <c r="F66" s="2" t="s">
        <v>21</v>
      </c>
      <c r="G66" s="2" t="s">
        <v>11</v>
      </c>
      <c r="H66" s="2">
        <v>78.599999999999994</v>
      </c>
      <c r="I66" s="2"/>
    </row>
    <row r="67" spans="4:9" hidden="1">
      <c r="D67" s="2" t="s">
        <v>24</v>
      </c>
      <c r="E67" s="158" t="s">
        <v>366</v>
      </c>
      <c r="F67" s="2" t="s">
        <v>21</v>
      </c>
      <c r="G67" s="2" t="s">
        <v>12</v>
      </c>
      <c r="H67" s="2">
        <v>109.3</v>
      </c>
      <c r="I67" s="2"/>
    </row>
    <row r="68" spans="4:9" hidden="1">
      <c r="D68" s="2" t="s">
        <v>24</v>
      </c>
      <c r="E68" s="158" t="s">
        <v>366</v>
      </c>
      <c r="F68" s="2" t="s">
        <v>22</v>
      </c>
      <c r="G68" s="2" t="s">
        <v>10</v>
      </c>
      <c r="H68" s="2">
        <v>63.1</v>
      </c>
      <c r="I68" s="2">
        <v>31.55</v>
      </c>
    </row>
    <row r="69" spans="4:9" hidden="1">
      <c r="D69" s="2" t="s">
        <v>24</v>
      </c>
      <c r="E69" s="158" t="s">
        <v>366</v>
      </c>
      <c r="F69" s="2" t="s">
        <v>22</v>
      </c>
      <c r="G69" s="2" t="s">
        <v>11</v>
      </c>
      <c r="H69" s="2">
        <v>109.2</v>
      </c>
      <c r="I69" s="2"/>
    </row>
    <row r="70" spans="4:9" hidden="1">
      <c r="D70" s="2" t="s">
        <v>24</v>
      </c>
      <c r="E70" s="158" t="s">
        <v>366</v>
      </c>
      <c r="F70" s="2" t="s">
        <v>22</v>
      </c>
      <c r="G70" s="2" t="s">
        <v>12</v>
      </c>
      <c r="H70" s="2">
        <v>166.7</v>
      </c>
      <c r="I70" s="2"/>
    </row>
    <row r="71" spans="4:9" hidden="1">
      <c r="D71" s="2" t="s">
        <v>24</v>
      </c>
      <c r="E71" s="158" t="s">
        <v>366</v>
      </c>
      <c r="F71" s="2" t="s">
        <v>23</v>
      </c>
      <c r="G71" s="2" t="s">
        <v>10</v>
      </c>
      <c r="H71" s="2">
        <v>63.1</v>
      </c>
      <c r="I71" s="2">
        <v>31.55</v>
      </c>
    </row>
    <row r="72" spans="4:9" hidden="1">
      <c r="D72" s="2" t="s">
        <v>24</v>
      </c>
      <c r="E72" s="158" t="s">
        <v>366</v>
      </c>
      <c r="F72" s="2" t="s">
        <v>23</v>
      </c>
      <c r="G72" s="2" t="s">
        <v>11</v>
      </c>
      <c r="H72" s="2">
        <v>109.2</v>
      </c>
      <c r="I72" s="2"/>
    </row>
    <row r="73" spans="4:9" hidden="1">
      <c r="D73" s="2" t="s">
        <v>24</v>
      </c>
      <c r="E73" s="158" t="s">
        <v>366</v>
      </c>
      <c r="F73" s="2" t="s">
        <v>23</v>
      </c>
      <c r="G73" s="2" t="s">
        <v>12</v>
      </c>
      <c r="H73" s="2">
        <v>166.7</v>
      </c>
      <c r="I73" s="2"/>
    </row>
    <row r="74" spans="4:9" hidden="1">
      <c r="D74" s="2" t="s">
        <v>25</v>
      </c>
      <c r="E74" s="158" t="s">
        <v>363</v>
      </c>
      <c r="F74" s="2" t="s">
        <v>9</v>
      </c>
      <c r="G74" s="2" t="s">
        <v>10</v>
      </c>
      <c r="H74" s="2">
        <v>63.1</v>
      </c>
      <c r="I74" s="2">
        <v>31.55</v>
      </c>
    </row>
    <row r="75" spans="4:9" hidden="1">
      <c r="D75" s="2" t="s">
        <v>25</v>
      </c>
      <c r="E75" s="158" t="s">
        <v>363</v>
      </c>
      <c r="F75" s="2" t="s">
        <v>9</v>
      </c>
      <c r="G75" s="2" t="s">
        <v>11</v>
      </c>
      <c r="H75" s="2">
        <v>109.2</v>
      </c>
      <c r="I75" s="2"/>
    </row>
    <row r="76" spans="4:9" hidden="1">
      <c r="D76" s="2" t="s">
        <v>25</v>
      </c>
      <c r="E76" s="158" t="s">
        <v>363</v>
      </c>
      <c r="F76" s="2" t="s">
        <v>9</v>
      </c>
      <c r="G76" s="2" t="s">
        <v>12</v>
      </c>
      <c r="H76" s="2">
        <v>166.7</v>
      </c>
      <c r="I76" s="2"/>
    </row>
    <row r="77" spans="4:9" hidden="1">
      <c r="D77" s="2" t="s">
        <v>25</v>
      </c>
      <c r="E77" s="158" t="s">
        <v>363</v>
      </c>
      <c r="F77" s="2" t="s">
        <v>13</v>
      </c>
      <c r="G77" s="2" t="s">
        <v>10</v>
      </c>
      <c r="H77" s="2">
        <v>63.1</v>
      </c>
      <c r="I77" s="2">
        <v>31.55</v>
      </c>
    </row>
    <row r="78" spans="4:9" hidden="1">
      <c r="D78" s="2" t="s">
        <v>25</v>
      </c>
      <c r="E78" s="158" t="s">
        <v>363</v>
      </c>
      <c r="F78" s="2" t="s">
        <v>13</v>
      </c>
      <c r="G78" s="2" t="s">
        <v>11</v>
      </c>
      <c r="H78" s="2">
        <v>109.2</v>
      </c>
      <c r="I78" s="2"/>
    </row>
    <row r="79" spans="4:9" hidden="1">
      <c r="D79" s="2" t="s">
        <v>25</v>
      </c>
      <c r="E79" s="158" t="s">
        <v>363</v>
      </c>
      <c r="F79" s="2" t="s">
        <v>13</v>
      </c>
      <c r="G79" s="2" t="s">
        <v>12</v>
      </c>
      <c r="H79" s="2">
        <v>166.7</v>
      </c>
      <c r="I79" s="2"/>
    </row>
    <row r="80" spans="4:9" hidden="1">
      <c r="D80" s="2" t="s">
        <v>25</v>
      </c>
      <c r="E80" s="158" t="s">
        <v>363</v>
      </c>
      <c r="F80" s="2" t="s">
        <v>14</v>
      </c>
      <c r="G80" s="2" t="s">
        <v>10</v>
      </c>
      <c r="H80" s="183">
        <v>56.1</v>
      </c>
      <c r="I80" s="2">
        <v>28.05</v>
      </c>
    </row>
    <row r="81" spans="4:9" hidden="1">
      <c r="D81" s="2" t="s">
        <v>25</v>
      </c>
      <c r="E81" s="158" t="s">
        <v>363</v>
      </c>
      <c r="F81" s="2" t="s">
        <v>14</v>
      </c>
      <c r="G81" s="2" t="s">
        <v>11</v>
      </c>
      <c r="H81" s="183">
        <v>78.599999999999994</v>
      </c>
      <c r="I81" s="2"/>
    </row>
    <row r="82" spans="4:9" hidden="1">
      <c r="D82" s="2" t="s">
        <v>25</v>
      </c>
      <c r="E82" s="158" t="s">
        <v>363</v>
      </c>
      <c r="F82" s="2" t="s">
        <v>14</v>
      </c>
      <c r="G82" s="2" t="s">
        <v>12</v>
      </c>
      <c r="H82" s="183">
        <v>109.3</v>
      </c>
      <c r="I82" s="2"/>
    </row>
    <row r="83" spans="4:9" hidden="1">
      <c r="D83" s="2" t="s">
        <v>25</v>
      </c>
      <c r="E83" s="158" t="s">
        <v>364</v>
      </c>
      <c r="F83" s="2" t="s">
        <v>15</v>
      </c>
      <c r="G83" s="2" t="s">
        <v>10</v>
      </c>
      <c r="H83" s="2">
        <v>56.1</v>
      </c>
      <c r="I83" s="2">
        <v>28.05</v>
      </c>
    </row>
    <row r="84" spans="4:9" hidden="1">
      <c r="D84" s="2" t="s">
        <v>25</v>
      </c>
      <c r="E84" s="158" t="s">
        <v>364</v>
      </c>
      <c r="F84" s="2" t="s">
        <v>15</v>
      </c>
      <c r="G84" s="2" t="s">
        <v>11</v>
      </c>
      <c r="H84" s="2">
        <v>78.599999999999994</v>
      </c>
      <c r="I84" s="2"/>
    </row>
    <row r="85" spans="4:9" hidden="1">
      <c r="D85" s="2" t="s">
        <v>25</v>
      </c>
      <c r="E85" s="158" t="s">
        <v>364</v>
      </c>
      <c r="F85" s="2" t="s">
        <v>15</v>
      </c>
      <c r="G85" s="2" t="s">
        <v>12</v>
      </c>
      <c r="H85" s="2">
        <v>109.3</v>
      </c>
      <c r="I85" s="2"/>
    </row>
    <row r="86" spans="4:9" hidden="1">
      <c r="D86" s="2" t="s">
        <v>25</v>
      </c>
      <c r="E86" s="158" t="s">
        <v>364</v>
      </c>
      <c r="F86" s="2" t="s">
        <v>16</v>
      </c>
      <c r="G86" s="2" t="s">
        <v>10</v>
      </c>
      <c r="H86" s="2">
        <v>56.1</v>
      </c>
      <c r="I86" s="2">
        <v>28.05</v>
      </c>
    </row>
    <row r="87" spans="4:9" hidden="1">
      <c r="D87" s="2" t="s">
        <v>25</v>
      </c>
      <c r="E87" s="158" t="s">
        <v>364</v>
      </c>
      <c r="F87" s="2" t="s">
        <v>16</v>
      </c>
      <c r="G87" s="2" t="s">
        <v>11</v>
      </c>
      <c r="H87" s="2">
        <v>78.599999999999994</v>
      </c>
      <c r="I87" s="2"/>
    </row>
    <row r="88" spans="4:9" hidden="1">
      <c r="D88" s="2" t="s">
        <v>25</v>
      </c>
      <c r="E88" s="158" t="s">
        <v>364</v>
      </c>
      <c r="F88" s="2" t="s">
        <v>16</v>
      </c>
      <c r="G88" s="2" t="s">
        <v>12</v>
      </c>
      <c r="H88" s="2">
        <v>109.3</v>
      </c>
      <c r="I88" s="2"/>
    </row>
    <row r="89" spans="4:9">
      <c r="D89" s="2" t="s">
        <v>25</v>
      </c>
      <c r="E89" s="158" t="s">
        <v>364</v>
      </c>
      <c r="F89" s="2" t="s">
        <v>17</v>
      </c>
      <c r="G89" s="2" t="s">
        <v>10</v>
      </c>
      <c r="H89" s="2">
        <v>56.1</v>
      </c>
      <c r="I89" s="2">
        <v>28.05</v>
      </c>
    </row>
    <row r="90" spans="4:9">
      <c r="D90" s="2" t="s">
        <v>25</v>
      </c>
      <c r="E90" s="158" t="s">
        <v>364</v>
      </c>
      <c r="F90" s="2" t="s">
        <v>17</v>
      </c>
      <c r="G90" s="2" t="s">
        <v>11</v>
      </c>
      <c r="H90" s="2">
        <v>109</v>
      </c>
      <c r="I90" s="2"/>
    </row>
    <row r="91" spans="4:9">
      <c r="D91" s="2" t="s">
        <v>25</v>
      </c>
      <c r="E91" s="158" t="s">
        <v>364</v>
      </c>
      <c r="F91" s="2" t="s">
        <v>17</v>
      </c>
      <c r="G91" s="2" t="s">
        <v>12</v>
      </c>
      <c r="H91" s="2">
        <v>191.1</v>
      </c>
      <c r="I91" s="2"/>
    </row>
    <row r="92" spans="4:9" hidden="1">
      <c r="D92" s="2" t="s">
        <v>25</v>
      </c>
      <c r="E92" s="158" t="s">
        <v>365</v>
      </c>
      <c r="F92" s="2" t="s">
        <v>18</v>
      </c>
      <c r="G92" s="2" t="s">
        <v>10</v>
      </c>
      <c r="H92" s="2">
        <v>56.1</v>
      </c>
      <c r="I92" s="2">
        <v>28.05</v>
      </c>
    </row>
    <row r="93" spans="4:9" hidden="1">
      <c r="D93" s="2" t="s">
        <v>25</v>
      </c>
      <c r="E93" s="158" t="s">
        <v>365</v>
      </c>
      <c r="F93" s="2" t="s">
        <v>18</v>
      </c>
      <c r="G93" s="2" t="s">
        <v>11</v>
      </c>
      <c r="H93" s="2">
        <v>109</v>
      </c>
      <c r="I93" s="2"/>
    </row>
    <row r="94" spans="4:9" hidden="1">
      <c r="D94" s="2" t="s">
        <v>25</v>
      </c>
      <c r="E94" s="158" t="s">
        <v>365</v>
      </c>
      <c r="F94" s="2" t="s">
        <v>18</v>
      </c>
      <c r="G94" s="2" t="s">
        <v>12</v>
      </c>
      <c r="H94" s="2">
        <v>191.1</v>
      </c>
      <c r="I94" s="2"/>
    </row>
    <row r="95" spans="4:9" hidden="1">
      <c r="D95" s="2" t="s">
        <v>25</v>
      </c>
      <c r="E95" s="158" t="s">
        <v>365</v>
      </c>
      <c r="F95" s="2" t="s">
        <v>19</v>
      </c>
      <c r="G95" s="2" t="s">
        <v>10</v>
      </c>
      <c r="H95" s="2">
        <v>56.1</v>
      </c>
      <c r="I95" s="2">
        <v>28.05</v>
      </c>
    </row>
    <row r="96" spans="4:9" hidden="1">
      <c r="D96" s="2" t="s">
        <v>25</v>
      </c>
      <c r="E96" s="158" t="s">
        <v>365</v>
      </c>
      <c r="F96" s="2" t="s">
        <v>19</v>
      </c>
      <c r="G96" s="2" t="s">
        <v>11</v>
      </c>
      <c r="H96" s="2">
        <v>109</v>
      </c>
      <c r="I96" s="2"/>
    </row>
    <row r="97" spans="4:9" hidden="1">
      <c r="D97" s="2" t="s">
        <v>25</v>
      </c>
      <c r="E97" s="158" t="s">
        <v>365</v>
      </c>
      <c r="F97" s="2" t="s">
        <v>19</v>
      </c>
      <c r="G97" s="2" t="s">
        <v>12</v>
      </c>
      <c r="H97" s="2">
        <v>191.1</v>
      </c>
      <c r="I97" s="2"/>
    </row>
    <row r="98" spans="4:9" hidden="1">
      <c r="D98" s="2" t="s">
        <v>25</v>
      </c>
      <c r="E98" s="158" t="s">
        <v>365</v>
      </c>
      <c r="F98" s="2" t="s">
        <v>20</v>
      </c>
      <c r="G98" s="2" t="s">
        <v>10</v>
      </c>
      <c r="H98" s="2">
        <v>56.1</v>
      </c>
      <c r="I98" s="2">
        <v>28.05</v>
      </c>
    </row>
    <row r="99" spans="4:9" hidden="1">
      <c r="D99" s="2" t="s">
        <v>25</v>
      </c>
      <c r="E99" s="158" t="s">
        <v>365</v>
      </c>
      <c r="F99" s="2" t="s">
        <v>20</v>
      </c>
      <c r="G99" s="2" t="s">
        <v>11</v>
      </c>
      <c r="H99" s="2">
        <v>78.599999999999994</v>
      </c>
      <c r="I99" s="2"/>
    </row>
    <row r="100" spans="4:9" hidden="1">
      <c r="D100" s="2" t="s">
        <v>25</v>
      </c>
      <c r="E100" s="158" t="s">
        <v>365</v>
      </c>
      <c r="F100" s="2" t="s">
        <v>20</v>
      </c>
      <c r="G100" s="2" t="s">
        <v>12</v>
      </c>
      <c r="H100" s="2">
        <v>109.3</v>
      </c>
      <c r="I100" s="2"/>
    </row>
    <row r="101" spans="4:9" hidden="1">
      <c r="D101" s="2" t="s">
        <v>25</v>
      </c>
      <c r="E101" s="158" t="s">
        <v>366</v>
      </c>
      <c r="F101" s="2" t="s">
        <v>21</v>
      </c>
      <c r="G101" s="2" t="s">
        <v>10</v>
      </c>
      <c r="H101" s="2">
        <v>56.1</v>
      </c>
      <c r="I101" s="2">
        <v>28.05</v>
      </c>
    </row>
    <row r="102" spans="4:9" hidden="1">
      <c r="D102" s="2" t="s">
        <v>25</v>
      </c>
      <c r="E102" s="158" t="s">
        <v>366</v>
      </c>
      <c r="F102" s="2" t="s">
        <v>21</v>
      </c>
      <c r="G102" s="2" t="s">
        <v>11</v>
      </c>
      <c r="H102" s="2">
        <v>78.599999999999994</v>
      </c>
      <c r="I102" s="2"/>
    </row>
    <row r="103" spans="4:9" hidden="1">
      <c r="D103" s="2" t="s">
        <v>25</v>
      </c>
      <c r="E103" s="158" t="s">
        <v>366</v>
      </c>
      <c r="F103" s="2" t="s">
        <v>21</v>
      </c>
      <c r="G103" s="2" t="s">
        <v>12</v>
      </c>
      <c r="H103" s="2">
        <v>109.3</v>
      </c>
      <c r="I103" s="2"/>
    </row>
    <row r="104" spans="4:9" hidden="1">
      <c r="D104" s="2" t="s">
        <v>25</v>
      </c>
      <c r="E104" s="158" t="s">
        <v>366</v>
      </c>
      <c r="F104" s="2" t="s">
        <v>22</v>
      </c>
      <c r="G104" s="2" t="s">
        <v>10</v>
      </c>
      <c r="H104" s="2">
        <v>63.1</v>
      </c>
      <c r="I104" s="2">
        <v>31.55</v>
      </c>
    </row>
    <row r="105" spans="4:9" hidden="1">
      <c r="D105" s="2" t="s">
        <v>25</v>
      </c>
      <c r="E105" s="158" t="s">
        <v>366</v>
      </c>
      <c r="F105" s="2" t="s">
        <v>22</v>
      </c>
      <c r="G105" s="2" t="s">
        <v>11</v>
      </c>
      <c r="H105" s="2">
        <v>109.2</v>
      </c>
      <c r="I105" s="2"/>
    </row>
    <row r="106" spans="4:9" hidden="1">
      <c r="D106" s="2" t="s">
        <v>25</v>
      </c>
      <c r="E106" s="158" t="s">
        <v>366</v>
      </c>
      <c r="F106" s="2" t="s">
        <v>22</v>
      </c>
      <c r="G106" s="2" t="s">
        <v>12</v>
      </c>
      <c r="H106" s="2">
        <v>166.7</v>
      </c>
      <c r="I106" s="2"/>
    </row>
    <row r="107" spans="4:9" hidden="1">
      <c r="D107" s="2" t="s">
        <v>25</v>
      </c>
      <c r="E107" s="158" t="s">
        <v>366</v>
      </c>
      <c r="F107" s="2" t="s">
        <v>23</v>
      </c>
      <c r="G107" s="2" t="s">
        <v>10</v>
      </c>
      <c r="H107" s="2">
        <v>63.1</v>
      </c>
      <c r="I107" s="2">
        <v>31.55</v>
      </c>
    </row>
    <row r="108" spans="4:9" hidden="1">
      <c r="D108" s="2" t="s">
        <v>25</v>
      </c>
      <c r="E108" s="158" t="s">
        <v>366</v>
      </c>
      <c r="F108" s="2" t="s">
        <v>23</v>
      </c>
      <c r="G108" s="2" t="s">
        <v>11</v>
      </c>
      <c r="H108" s="2">
        <v>109.2</v>
      </c>
      <c r="I108" s="2"/>
    </row>
    <row r="109" spans="4:9" hidden="1">
      <c r="D109" s="2" t="s">
        <v>25</v>
      </c>
      <c r="E109" s="158" t="s">
        <v>366</v>
      </c>
      <c r="F109" s="2" t="s">
        <v>23</v>
      </c>
      <c r="G109" s="2" t="s">
        <v>12</v>
      </c>
      <c r="H109" s="2">
        <v>166.7</v>
      </c>
      <c r="I109" s="2"/>
    </row>
    <row r="110" spans="4:9" hidden="1">
      <c r="D110" s="2" t="s">
        <v>26</v>
      </c>
      <c r="E110" s="158" t="s">
        <v>363</v>
      </c>
      <c r="F110" s="2" t="s">
        <v>9</v>
      </c>
      <c r="G110" s="2" t="s">
        <v>10</v>
      </c>
      <c r="H110" s="2">
        <v>63.1</v>
      </c>
      <c r="I110" s="2">
        <v>58.1</v>
      </c>
    </row>
    <row r="111" spans="4:9" hidden="1">
      <c r="D111" s="2" t="s">
        <v>26</v>
      </c>
      <c r="E111" s="158" t="s">
        <v>363</v>
      </c>
      <c r="F111" s="2" t="s">
        <v>9</v>
      </c>
      <c r="G111" s="2" t="s">
        <v>11</v>
      </c>
      <c r="H111" s="2">
        <v>109.2</v>
      </c>
      <c r="I111" s="2"/>
    </row>
    <row r="112" spans="4:9" hidden="1">
      <c r="D112" s="2" t="s">
        <v>26</v>
      </c>
      <c r="E112" s="158" t="s">
        <v>363</v>
      </c>
      <c r="F112" s="2" t="s">
        <v>9</v>
      </c>
      <c r="G112" s="2" t="s">
        <v>12</v>
      </c>
      <c r="H112" s="2">
        <v>166.7</v>
      </c>
      <c r="I112" s="2"/>
    </row>
    <row r="113" spans="4:9" hidden="1">
      <c r="D113" s="2" t="s">
        <v>26</v>
      </c>
      <c r="E113" s="158" t="s">
        <v>363</v>
      </c>
      <c r="F113" s="2" t="s">
        <v>13</v>
      </c>
      <c r="G113" s="2" t="s">
        <v>10</v>
      </c>
      <c r="H113" s="183">
        <v>63.1</v>
      </c>
      <c r="I113" s="2">
        <v>58.1</v>
      </c>
    </row>
    <row r="114" spans="4:9" hidden="1">
      <c r="D114" s="2" t="s">
        <v>26</v>
      </c>
      <c r="E114" s="158" t="s">
        <v>363</v>
      </c>
      <c r="F114" s="2" t="s">
        <v>13</v>
      </c>
      <c r="G114" s="2" t="s">
        <v>11</v>
      </c>
      <c r="H114" s="183">
        <v>109.2</v>
      </c>
      <c r="I114" s="2"/>
    </row>
    <row r="115" spans="4:9" hidden="1">
      <c r="D115" s="2" t="s">
        <v>26</v>
      </c>
      <c r="E115" s="158" t="s">
        <v>363</v>
      </c>
      <c r="F115" s="2" t="s">
        <v>13</v>
      </c>
      <c r="G115" s="2" t="s">
        <v>12</v>
      </c>
      <c r="H115" s="183">
        <v>166.7</v>
      </c>
      <c r="I115" s="2"/>
    </row>
    <row r="116" spans="4:9" hidden="1">
      <c r="D116" s="2" t="s">
        <v>26</v>
      </c>
      <c r="E116" s="158" t="s">
        <v>363</v>
      </c>
      <c r="F116" s="2" t="s">
        <v>14</v>
      </c>
      <c r="G116" s="2" t="s">
        <v>10</v>
      </c>
      <c r="H116" s="183">
        <v>56.1</v>
      </c>
      <c r="I116" s="2">
        <v>51.1</v>
      </c>
    </row>
    <row r="117" spans="4:9" hidden="1">
      <c r="D117" s="2" t="s">
        <v>26</v>
      </c>
      <c r="E117" s="158" t="s">
        <v>363</v>
      </c>
      <c r="F117" s="2" t="s">
        <v>14</v>
      </c>
      <c r="G117" s="2" t="s">
        <v>11</v>
      </c>
      <c r="H117" s="183">
        <v>78.599999999999994</v>
      </c>
      <c r="I117" s="2"/>
    </row>
    <row r="118" spans="4:9" hidden="1">
      <c r="D118" s="2" t="s">
        <v>26</v>
      </c>
      <c r="E118" s="158" t="s">
        <v>363</v>
      </c>
      <c r="F118" s="2" t="s">
        <v>14</v>
      </c>
      <c r="G118" s="2" t="s">
        <v>12</v>
      </c>
      <c r="H118" s="183">
        <v>109.3</v>
      </c>
      <c r="I118" s="2"/>
    </row>
    <row r="119" spans="4:9" hidden="1">
      <c r="D119" s="2" t="s">
        <v>26</v>
      </c>
      <c r="E119" s="158" t="s">
        <v>364</v>
      </c>
      <c r="F119" s="2" t="s">
        <v>15</v>
      </c>
      <c r="G119" s="2" t="s">
        <v>10</v>
      </c>
      <c r="H119" s="183">
        <v>56.1</v>
      </c>
      <c r="I119" s="2">
        <v>51.1</v>
      </c>
    </row>
    <row r="120" spans="4:9" hidden="1">
      <c r="D120" s="2" t="s">
        <v>26</v>
      </c>
      <c r="E120" s="158" t="s">
        <v>364</v>
      </c>
      <c r="F120" s="2" t="s">
        <v>15</v>
      </c>
      <c r="G120" s="2" t="s">
        <v>11</v>
      </c>
      <c r="H120" s="183">
        <v>78.599999999999994</v>
      </c>
      <c r="I120" s="2"/>
    </row>
    <row r="121" spans="4:9" hidden="1">
      <c r="D121" s="2" t="s">
        <v>26</v>
      </c>
      <c r="E121" s="158" t="s">
        <v>364</v>
      </c>
      <c r="F121" s="2" t="s">
        <v>15</v>
      </c>
      <c r="G121" s="2" t="s">
        <v>12</v>
      </c>
      <c r="H121" s="183">
        <v>109.3</v>
      </c>
      <c r="I121" s="2"/>
    </row>
    <row r="122" spans="4:9" hidden="1">
      <c r="D122" s="2" t="s">
        <v>26</v>
      </c>
      <c r="E122" s="158" t="s">
        <v>364</v>
      </c>
      <c r="F122" s="2" t="s">
        <v>16</v>
      </c>
      <c r="G122" s="2" t="s">
        <v>10</v>
      </c>
      <c r="H122" s="183">
        <v>56.1</v>
      </c>
      <c r="I122" s="2">
        <v>51.1</v>
      </c>
    </row>
    <row r="123" spans="4:9" hidden="1">
      <c r="D123" s="2" t="s">
        <v>26</v>
      </c>
      <c r="E123" s="158" t="s">
        <v>364</v>
      </c>
      <c r="F123" s="2" t="s">
        <v>16</v>
      </c>
      <c r="G123" s="2" t="s">
        <v>11</v>
      </c>
      <c r="H123" s="183">
        <v>78.599999999999994</v>
      </c>
      <c r="I123" s="2"/>
    </row>
    <row r="124" spans="4:9" hidden="1">
      <c r="D124" s="2" t="s">
        <v>26</v>
      </c>
      <c r="E124" s="158" t="s">
        <v>364</v>
      </c>
      <c r="F124" s="2" t="s">
        <v>16</v>
      </c>
      <c r="G124" s="2" t="s">
        <v>12</v>
      </c>
      <c r="H124" s="183">
        <v>109.3</v>
      </c>
      <c r="I124" s="2"/>
    </row>
    <row r="125" spans="4:9">
      <c r="D125" s="2" t="s">
        <v>26</v>
      </c>
      <c r="E125" s="158" t="s">
        <v>364</v>
      </c>
      <c r="F125" s="2" t="s">
        <v>17</v>
      </c>
      <c r="G125" s="2" t="s">
        <v>10</v>
      </c>
      <c r="H125" s="183">
        <v>56.1</v>
      </c>
      <c r="I125" s="2">
        <v>51.1</v>
      </c>
    </row>
    <row r="126" spans="4:9">
      <c r="D126" s="2" t="s">
        <v>26</v>
      </c>
      <c r="E126" s="158" t="s">
        <v>364</v>
      </c>
      <c r="F126" s="2" t="s">
        <v>17</v>
      </c>
      <c r="G126" s="2" t="s">
        <v>11</v>
      </c>
      <c r="H126" s="183">
        <v>109</v>
      </c>
      <c r="I126" s="2"/>
    </row>
    <row r="127" spans="4:9">
      <c r="D127" s="2" t="s">
        <v>26</v>
      </c>
      <c r="E127" s="158" t="s">
        <v>364</v>
      </c>
      <c r="F127" s="2" t="s">
        <v>17</v>
      </c>
      <c r="G127" s="2" t="s">
        <v>12</v>
      </c>
      <c r="H127" s="183">
        <v>191.1</v>
      </c>
      <c r="I127" s="2"/>
    </row>
    <row r="128" spans="4:9" hidden="1">
      <c r="D128" s="2" t="s">
        <v>26</v>
      </c>
      <c r="E128" s="158" t="s">
        <v>365</v>
      </c>
      <c r="F128" s="2" t="s">
        <v>18</v>
      </c>
      <c r="G128" s="2" t="s">
        <v>10</v>
      </c>
      <c r="H128" s="183">
        <v>56.1</v>
      </c>
      <c r="I128" s="2">
        <v>51.1</v>
      </c>
    </row>
    <row r="129" spans="4:9" hidden="1">
      <c r="D129" s="2" t="s">
        <v>26</v>
      </c>
      <c r="E129" s="158" t="s">
        <v>365</v>
      </c>
      <c r="F129" s="2" t="s">
        <v>18</v>
      </c>
      <c r="G129" s="2" t="s">
        <v>11</v>
      </c>
      <c r="H129" s="183">
        <v>109</v>
      </c>
      <c r="I129" s="2"/>
    </row>
    <row r="130" spans="4:9" hidden="1">
      <c r="D130" s="2" t="s">
        <v>26</v>
      </c>
      <c r="E130" s="158" t="s">
        <v>365</v>
      </c>
      <c r="F130" s="2" t="s">
        <v>18</v>
      </c>
      <c r="G130" s="2" t="s">
        <v>12</v>
      </c>
      <c r="H130" s="183">
        <v>191.1</v>
      </c>
      <c r="I130" s="2"/>
    </row>
    <row r="131" spans="4:9" hidden="1">
      <c r="D131" s="2" t="s">
        <v>26</v>
      </c>
      <c r="E131" s="158" t="s">
        <v>365</v>
      </c>
      <c r="F131" s="2" t="s">
        <v>19</v>
      </c>
      <c r="G131" s="2" t="s">
        <v>10</v>
      </c>
      <c r="H131" s="183">
        <v>56.1</v>
      </c>
      <c r="I131" s="2">
        <v>51.1</v>
      </c>
    </row>
    <row r="132" spans="4:9" hidden="1">
      <c r="D132" s="2" t="s">
        <v>26</v>
      </c>
      <c r="E132" s="158" t="s">
        <v>365</v>
      </c>
      <c r="F132" s="2" t="s">
        <v>19</v>
      </c>
      <c r="G132" s="2" t="s">
        <v>11</v>
      </c>
      <c r="H132" s="183">
        <v>109</v>
      </c>
      <c r="I132" s="2"/>
    </row>
    <row r="133" spans="4:9" hidden="1">
      <c r="D133" s="2" t="s">
        <v>26</v>
      </c>
      <c r="E133" s="158" t="s">
        <v>365</v>
      </c>
      <c r="F133" s="2" t="s">
        <v>19</v>
      </c>
      <c r="G133" s="2" t="s">
        <v>12</v>
      </c>
      <c r="H133" s="183">
        <v>191.1</v>
      </c>
      <c r="I133" s="2"/>
    </row>
    <row r="134" spans="4:9" hidden="1">
      <c r="D134" s="2" t="s">
        <v>26</v>
      </c>
      <c r="E134" s="158" t="s">
        <v>365</v>
      </c>
      <c r="F134" s="2" t="s">
        <v>20</v>
      </c>
      <c r="G134" s="2" t="s">
        <v>10</v>
      </c>
      <c r="H134" s="183">
        <v>56.1</v>
      </c>
      <c r="I134" s="2">
        <v>51.1</v>
      </c>
    </row>
    <row r="135" spans="4:9" hidden="1">
      <c r="D135" s="2" t="s">
        <v>26</v>
      </c>
      <c r="E135" s="158" t="s">
        <v>365</v>
      </c>
      <c r="F135" s="2" t="s">
        <v>20</v>
      </c>
      <c r="G135" s="2" t="s">
        <v>11</v>
      </c>
      <c r="H135" s="183">
        <v>78.599999999999994</v>
      </c>
      <c r="I135" s="2"/>
    </row>
    <row r="136" spans="4:9" hidden="1">
      <c r="D136" s="2" t="s">
        <v>26</v>
      </c>
      <c r="E136" s="158" t="s">
        <v>365</v>
      </c>
      <c r="F136" s="2" t="s">
        <v>20</v>
      </c>
      <c r="G136" s="2" t="s">
        <v>12</v>
      </c>
      <c r="H136" s="183">
        <v>109.3</v>
      </c>
      <c r="I136" s="2"/>
    </row>
    <row r="137" spans="4:9" hidden="1">
      <c r="D137" s="2" t="s">
        <v>26</v>
      </c>
      <c r="E137" s="158" t="s">
        <v>366</v>
      </c>
      <c r="F137" s="2" t="s">
        <v>21</v>
      </c>
      <c r="G137" s="2" t="s">
        <v>10</v>
      </c>
      <c r="H137" s="183">
        <v>56.1</v>
      </c>
      <c r="I137" s="2">
        <v>51.1</v>
      </c>
    </row>
    <row r="138" spans="4:9" hidden="1">
      <c r="D138" s="2" t="s">
        <v>26</v>
      </c>
      <c r="E138" s="158" t="s">
        <v>366</v>
      </c>
      <c r="F138" s="2" t="s">
        <v>21</v>
      </c>
      <c r="G138" s="2" t="s">
        <v>11</v>
      </c>
      <c r="H138" s="183">
        <v>78.599999999999994</v>
      </c>
      <c r="I138" s="2"/>
    </row>
    <row r="139" spans="4:9" hidden="1">
      <c r="D139" s="2" t="s">
        <v>26</v>
      </c>
      <c r="E139" s="158" t="s">
        <v>366</v>
      </c>
      <c r="F139" s="2" t="s">
        <v>21</v>
      </c>
      <c r="G139" s="2" t="s">
        <v>12</v>
      </c>
      <c r="H139" s="183">
        <v>109.3</v>
      </c>
      <c r="I139" s="2"/>
    </row>
    <row r="140" spans="4:9" hidden="1">
      <c r="D140" s="2" t="s">
        <v>26</v>
      </c>
      <c r="E140" s="158" t="s">
        <v>366</v>
      </c>
      <c r="F140" s="2" t="s">
        <v>22</v>
      </c>
      <c r="G140" s="2" t="s">
        <v>10</v>
      </c>
      <c r="H140" s="183">
        <v>63.1</v>
      </c>
      <c r="I140" s="2">
        <v>58.1</v>
      </c>
    </row>
    <row r="141" spans="4:9" hidden="1">
      <c r="D141" s="2" t="s">
        <v>26</v>
      </c>
      <c r="E141" s="158" t="s">
        <v>366</v>
      </c>
      <c r="F141" s="2" t="s">
        <v>22</v>
      </c>
      <c r="G141" s="2" t="s">
        <v>11</v>
      </c>
      <c r="H141" s="183">
        <v>109.2</v>
      </c>
      <c r="I141" s="2"/>
    </row>
    <row r="142" spans="4:9" hidden="1">
      <c r="D142" s="2" t="s">
        <v>26</v>
      </c>
      <c r="E142" s="158" t="s">
        <v>366</v>
      </c>
      <c r="F142" s="2" t="s">
        <v>22</v>
      </c>
      <c r="G142" s="2" t="s">
        <v>12</v>
      </c>
      <c r="H142" s="183">
        <v>166.7</v>
      </c>
      <c r="I142" s="2"/>
    </row>
    <row r="143" spans="4:9" hidden="1">
      <c r="D143" s="2" t="s">
        <v>26</v>
      </c>
      <c r="E143" s="158" t="s">
        <v>366</v>
      </c>
      <c r="F143" s="2" t="s">
        <v>23</v>
      </c>
      <c r="G143" s="2" t="s">
        <v>10</v>
      </c>
      <c r="H143" s="183">
        <v>63.1</v>
      </c>
      <c r="I143" s="2">
        <v>58.1</v>
      </c>
    </row>
    <row r="144" spans="4:9" hidden="1">
      <c r="D144" s="2" t="s">
        <v>26</v>
      </c>
      <c r="E144" s="158" t="s">
        <v>366</v>
      </c>
      <c r="F144" s="2" t="s">
        <v>23</v>
      </c>
      <c r="G144" s="2" t="s">
        <v>11</v>
      </c>
      <c r="H144" s="183">
        <v>109.2</v>
      </c>
      <c r="I144" s="2"/>
    </row>
    <row r="145" spans="4:9" hidden="1">
      <c r="D145" s="2" t="s">
        <v>26</v>
      </c>
      <c r="E145" s="158" t="s">
        <v>366</v>
      </c>
      <c r="F145" s="2" t="s">
        <v>23</v>
      </c>
      <c r="G145" s="2" t="s">
        <v>12</v>
      </c>
      <c r="H145" s="183">
        <v>166.7</v>
      </c>
      <c r="I145" s="2"/>
    </row>
  </sheetData>
  <autoFilter ref="D1:I145">
    <filterColumn colId="2">
      <filters>
        <filter val="6월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topLeftCell="A28" workbookViewId="0">
      <selection activeCell="G42" sqref="G42:G43"/>
    </sheetView>
  </sheetViews>
  <sheetFormatPr defaultRowHeight="16.5"/>
  <cols>
    <col min="1" max="5" width="9" style="183"/>
    <col min="6" max="6" width="9.25" style="183" bestFit="1" customWidth="1"/>
    <col min="7" max="7" width="9" style="183"/>
    <col min="8" max="8" width="9" style="172"/>
    <col min="9" max="16384" width="9" style="183"/>
  </cols>
  <sheetData>
    <row r="1" spans="2:12" ht="33">
      <c r="B1" s="184" t="s">
        <v>1</v>
      </c>
      <c r="C1" s="184" t="s">
        <v>3</v>
      </c>
      <c r="D1" s="184" t="s">
        <v>155</v>
      </c>
      <c r="E1" s="184" t="s">
        <v>11</v>
      </c>
      <c r="F1" s="184" t="s">
        <v>12</v>
      </c>
      <c r="G1" s="184" t="s">
        <v>156</v>
      </c>
      <c r="H1" s="71" t="s">
        <v>80</v>
      </c>
      <c r="J1" s="184" t="s">
        <v>160</v>
      </c>
      <c r="K1" s="184" t="s">
        <v>161</v>
      </c>
      <c r="L1" s="115" t="s">
        <v>162</v>
      </c>
    </row>
    <row r="2" spans="2:12">
      <c r="B2" s="184" t="s">
        <v>8</v>
      </c>
      <c r="C2" s="184" t="s">
        <v>9</v>
      </c>
      <c r="D2" s="183">
        <f>(SUMIFS(신설전력량계!E:E,ESS전력량계!B:B,B:B,신설전력량계!C:C,C:C)-SUMIFS(신설전력량계!D:D,ESS전력량계!B:B,B:B,신설전력량계!C:C,C:C))*$H2</f>
        <v>0</v>
      </c>
      <c r="E2" s="183">
        <f>(SUMIFS(신설전력량계!G:G,ESS전력량계!B:B,B:B,신설전력량계!C:C,C:C)-SUMIFS(신설전력량계!F:F,ESS전력량계!B:B,B:B,신설전력량계!C:C,C:C))*$H2</f>
        <v>0</v>
      </c>
      <c r="F2" s="183">
        <f>(SUMIFS(신설전력량계!I:I,ESS전력량계!B:B,B:B,신설전력량계!C:C,C:C)-SUMIFS(신설전력량계!H:H,ESS전력량계!B:B,B:B,신설전력량계!C:C,C:C))*$H2</f>
        <v>0</v>
      </c>
      <c r="G2" s="183">
        <f>SUM(D2:F2)</f>
        <v>0</v>
      </c>
      <c r="H2" s="172">
        <v>14400</v>
      </c>
      <c r="J2" s="183">
        <v>11462</v>
      </c>
      <c r="K2" s="183">
        <v>97</v>
      </c>
      <c r="L2" s="183">
        <f>전력요금표!$B$2</f>
        <v>8320</v>
      </c>
    </row>
    <row r="3" spans="2:12">
      <c r="B3" s="184" t="s">
        <v>8</v>
      </c>
      <c r="C3" s="184" t="s">
        <v>13</v>
      </c>
      <c r="D3" s="183">
        <f>(SUMIFS(신설전력량계!E:E,ESS전력량계!B:B,B:B,신설전력량계!C:C,C:C)-SUMIFS(신설전력량계!D:D,ESS전력량계!B:B,B:B,신설전력량계!C:C,C:C))*$H3</f>
        <v>0</v>
      </c>
      <c r="E3" s="183">
        <f>(SUMIFS(신설전력량계!G:G,ESS전력량계!B:B,B:B,신설전력량계!C:C,C:C)-SUMIFS(신설전력량계!F:F,ESS전력량계!B:B,B:B,신설전력량계!C:C,C:C))*$H3</f>
        <v>0</v>
      </c>
      <c r="F3" s="183">
        <f>(SUMIFS(신설전력량계!I:I,ESS전력량계!B:B,B:B,신설전력량계!C:C,C:C)-SUMIFS(신설전력량계!H:H,ESS전력량계!B:B,B:B,신설전력량계!C:C,C:C))*$H3</f>
        <v>0</v>
      </c>
      <c r="G3" s="183">
        <f t="shared" ref="G3:G49" si="0">SUM(D3:F3)</f>
        <v>0</v>
      </c>
      <c r="H3" s="172">
        <v>14400</v>
      </c>
      <c r="J3" s="183">
        <v>11462</v>
      </c>
      <c r="K3" s="183">
        <v>97</v>
      </c>
      <c r="L3" s="183">
        <f>전력요금표!$B$2</f>
        <v>8320</v>
      </c>
    </row>
    <row r="4" spans="2:12">
      <c r="B4" s="184" t="s">
        <v>8</v>
      </c>
      <c r="C4" s="184" t="s">
        <v>14</v>
      </c>
      <c r="D4" s="183">
        <f>(SUMIFS(신설전력량계!E:E,ESS전력량계!B:B,B:B,신설전력량계!C:C,C:C)-SUMIFS(신설전력량계!D:D,ESS전력량계!B:B,B:B,신설전력량계!C:C,C:C))*$H4</f>
        <v>0</v>
      </c>
      <c r="E4" s="183">
        <f>(SUMIFS(신설전력량계!G:G,ESS전력량계!B:B,B:B,신설전력량계!C:C,C:C)-SUMIFS(신설전력량계!F:F,ESS전력량계!B:B,B:B,신설전력량계!C:C,C:C))*$H4</f>
        <v>0</v>
      </c>
      <c r="F4" s="183">
        <f>(SUMIFS(신설전력량계!I:I,ESS전력량계!B:B,B:B,신설전력량계!C:C,C:C)-SUMIFS(신설전력량계!H:H,ESS전력량계!B:B,B:B,신설전력량계!C:C,C:C))*$H4</f>
        <v>0</v>
      </c>
      <c r="G4" s="183">
        <f t="shared" si="0"/>
        <v>0</v>
      </c>
      <c r="H4" s="172">
        <v>14400</v>
      </c>
      <c r="J4" s="183">
        <v>11462</v>
      </c>
      <c r="K4" s="183">
        <v>97</v>
      </c>
      <c r="L4" s="183">
        <f>전력요금표!$B$2</f>
        <v>8320</v>
      </c>
    </row>
    <row r="5" spans="2:12">
      <c r="B5" s="184" t="s">
        <v>8</v>
      </c>
      <c r="C5" s="184" t="s">
        <v>15</v>
      </c>
      <c r="D5" s="183">
        <f>(SUMIFS(신설전력량계!E:E,ESS전력량계!B:B,B:B,신설전력량계!C:C,C:C)-SUMIFS(신설전력량계!D:D,ESS전력량계!B:B,B:B,신설전력량계!C:C,C:C))*$H5</f>
        <v>0</v>
      </c>
      <c r="E5" s="183">
        <f>(SUMIFS(신설전력량계!G:G,ESS전력량계!B:B,B:B,신설전력량계!C:C,C:C)-SUMIFS(신설전력량계!F:F,ESS전력량계!B:B,B:B,신설전력량계!C:C,C:C))*$H5</f>
        <v>0</v>
      </c>
      <c r="F5" s="183">
        <f>(SUMIFS(신설전력량계!I:I,ESS전력량계!B:B,B:B,신설전력량계!C:C,C:C)-SUMIFS(신설전력량계!H:H,ESS전력량계!B:B,B:B,신설전력량계!C:C,C:C))*$H5</f>
        <v>0</v>
      </c>
      <c r="G5" s="183">
        <f t="shared" si="0"/>
        <v>0</v>
      </c>
      <c r="H5" s="172">
        <v>14400</v>
      </c>
      <c r="J5" s="183">
        <v>11578</v>
      </c>
      <c r="K5" s="183">
        <v>97</v>
      </c>
      <c r="L5" s="183">
        <f>전력요금표!$B$2</f>
        <v>8320</v>
      </c>
    </row>
    <row r="6" spans="2:12">
      <c r="B6" s="184" t="s">
        <v>8</v>
      </c>
      <c r="C6" s="184" t="s">
        <v>16</v>
      </c>
      <c r="D6" s="183">
        <f>(SUMIFS(신설전력량계!E:E,ESS전력량계!B:B,B:B,신설전력량계!C:C,C:C)-SUMIFS(신설전력량계!D:D,ESS전력량계!B:B,B:B,신설전력량계!C:C,C:C))*$H6</f>
        <v>0</v>
      </c>
      <c r="E6" s="183">
        <f>(SUMIFS(신설전력량계!G:G,ESS전력량계!B:B,B:B,신설전력량계!C:C,C:C)-SUMIFS(신설전력량계!F:F,ESS전력량계!B:B,B:B,신설전력량계!C:C,C:C))*$H6</f>
        <v>0</v>
      </c>
      <c r="F6" s="183">
        <f>(SUMIFS(신설전력량계!I:I,ESS전력량계!B:B,B:B,신설전력량계!C:C,C:C)-SUMIFS(신설전력량계!H:H,ESS전력량계!B:B,B:B,신설전력량계!C:C,C:C))*$H6</f>
        <v>0</v>
      </c>
      <c r="G6" s="183">
        <f t="shared" si="0"/>
        <v>0</v>
      </c>
      <c r="H6" s="172">
        <v>14400</v>
      </c>
      <c r="J6" s="183">
        <v>11462</v>
      </c>
      <c r="K6" s="183">
        <v>97</v>
      </c>
      <c r="L6" s="183">
        <f>전력요금표!$B$2</f>
        <v>8320</v>
      </c>
    </row>
    <row r="7" spans="2:12">
      <c r="B7" s="184" t="s">
        <v>8</v>
      </c>
      <c r="C7" s="184" t="s">
        <v>17</v>
      </c>
      <c r="D7" s="183">
        <f>(SUMIFS(신설전력량계!E:E,ESS전력량계!B:B,B:B,신설전력량계!C:C,C:C)-SUMIFS(신설전력량계!D:D,ESS전력량계!B:B,B:B,신설전력량계!C:C,C:C))*$H7</f>
        <v>0</v>
      </c>
      <c r="E7" s="183">
        <f>(SUMIFS(신설전력량계!G:G,ESS전력량계!B:B,B:B,신설전력량계!C:C,C:C)-SUMIFS(신설전력량계!F:F,ESS전력량계!B:B,B:B,신설전력량계!C:C,C:C))*$H7</f>
        <v>0</v>
      </c>
      <c r="F7" s="183">
        <f>(SUMIFS(신설전력량계!I:I,ESS전력량계!B:B,B:B,신설전력량계!C:C,C:C)-SUMIFS(신설전력량계!H:H,ESS전력량계!B:B,B:B,신설전력량계!C:C,C:C))*$H7</f>
        <v>0</v>
      </c>
      <c r="G7" s="183">
        <f t="shared" si="0"/>
        <v>0</v>
      </c>
      <c r="H7" s="172">
        <v>14400</v>
      </c>
      <c r="J7" s="183">
        <v>11462</v>
      </c>
      <c r="K7" s="183">
        <v>97</v>
      </c>
      <c r="L7" s="183">
        <f>전력요금표!$B$2</f>
        <v>8320</v>
      </c>
    </row>
    <row r="8" spans="2:12">
      <c r="B8" s="184" t="s">
        <v>8</v>
      </c>
      <c r="C8" s="184" t="s">
        <v>18</v>
      </c>
      <c r="D8" s="183">
        <f>(SUMIFS(신설전력량계!E:E,ESS전력량계!B:B,B:B,신설전력량계!C:C,C:C)-SUMIFS(신설전력량계!D:D,ESS전력량계!B:B,B:B,신설전력량계!C:C,C:C))*$H8</f>
        <v>0</v>
      </c>
      <c r="E8" s="183">
        <f>(SUMIFS(신설전력량계!G:G,ESS전력량계!B:B,B:B,신설전력량계!C:C,C:C)-SUMIFS(신설전력량계!F:F,ESS전력량계!B:B,B:B,신설전력량계!C:C,C:C))*$H8</f>
        <v>0</v>
      </c>
      <c r="F8" s="183">
        <f>(SUMIFS(신설전력량계!I:I,ESS전력량계!B:B,B:B,신설전력량계!C:C,C:C)-SUMIFS(신설전력량계!H:H,ESS전력량계!B:B,B:B,신설전력량계!C:C,C:C))*$H8</f>
        <v>0</v>
      </c>
      <c r="G8" s="183">
        <f t="shared" si="0"/>
        <v>0</v>
      </c>
      <c r="H8" s="172">
        <v>14400</v>
      </c>
      <c r="J8" s="183">
        <v>11462</v>
      </c>
      <c r="K8" s="183">
        <v>97</v>
      </c>
      <c r="L8" s="183">
        <f>전력요금표!$B$2</f>
        <v>8320</v>
      </c>
    </row>
    <row r="9" spans="2:12">
      <c r="B9" s="184" t="s">
        <v>8</v>
      </c>
      <c r="C9" s="184" t="s">
        <v>19</v>
      </c>
      <c r="D9" s="183">
        <f>(SUMIFS(신설전력량계!E:E,ESS전력량계!B:B,B:B,신설전력량계!C:C,C:C)-SUMIFS(신설전력량계!D:D,ESS전력량계!B:B,B:B,신설전력량계!C:C,C:C))*$H9</f>
        <v>0</v>
      </c>
      <c r="E9" s="183">
        <f>(SUMIFS(신설전력량계!G:G,ESS전력량계!B:B,B:B,신설전력량계!C:C,C:C)-SUMIFS(신설전력량계!F:F,ESS전력량계!B:B,B:B,신설전력량계!C:C,C:C))*$H9</f>
        <v>0</v>
      </c>
      <c r="F9" s="183">
        <f>(SUMIFS(신설전력량계!I:I,ESS전력량계!B:B,B:B,신설전력량계!C:C,C:C)-SUMIFS(신설전력량계!H:H,ESS전력량계!B:B,B:B,신설전력량계!C:C,C:C))*$H9</f>
        <v>0</v>
      </c>
      <c r="G9" s="183">
        <f t="shared" si="0"/>
        <v>0</v>
      </c>
      <c r="H9" s="172">
        <v>14400</v>
      </c>
      <c r="J9" s="183">
        <v>11462</v>
      </c>
      <c r="K9" s="183">
        <v>97</v>
      </c>
      <c r="L9" s="183">
        <f>전력요금표!$B$2</f>
        <v>8320</v>
      </c>
    </row>
    <row r="10" spans="2:12">
      <c r="B10" s="184" t="s">
        <v>8</v>
      </c>
      <c r="C10" s="184" t="s">
        <v>20</v>
      </c>
      <c r="D10" s="183">
        <f>(SUMIFS(신설전력량계!E:E,ESS전력량계!B:B,B:B,신설전력량계!C:C,C:C)-SUMIFS(신설전력량계!D:D,ESS전력량계!B:B,B:B,신설전력량계!C:C,C:C))*$H10</f>
        <v>0</v>
      </c>
      <c r="E10" s="183">
        <f>(SUMIFS(신설전력량계!G:G,ESS전력량계!B:B,B:B,신설전력량계!C:C,C:C)-SUMIFS(신설전력량계!F:F,ESS전력량계!B:B,B:B,신설전력량계!C:C,C:C))*$H10</f>
        <v>0</v>
      </c>
      <c r="F10" s="183">
        <f>(SUMIFS(신설전력량계!I:I,ESS전력량계!B:B,B:B,신설전력량계!C:C,C:C)-SUMIFS(신설전력량계!H:H,ESS전력량계!B:B,B:B,신설전력량계!C:C,C:C))*$H10</f>
        <v>0</v>
      </c>
      <c r="G10" s="183">
        <f t="shared" si="0"/>
        <v>0</v>
      </c>
      <c r="H10" s="172">
        <v>14400</v>
      </c>
      <c r="J10" s="183">
        <v>11462</v>
      </c>
      <c r="K10" s="183">
        <v>97</v>
      </c>
      <c r="L10" s="183">
        <f>전력요금표!$B$2</f>
        <v>8320</v>
      </c>
    </row>
    <row r="11" spans="2:12">
      <c r="B11" s="184" t="s">
        <v>8</v>
      </c>
      <c r="C11" s="184" t="s">
        <v>21</v>
      </c>
      <c r="D11" s="183">
        <f>(SUMIFS(신설전력량계!E:E,ESS전력량계!B:B,B:B,신설전력량계!C:C,C:C)-SUMIFS(신설전력량계!D:D,ESS전력량계!B:B,B:B,신설전력량계!C:C,C:C))*$H11</f>
        <v>0</v>
      </c>
      <c r="E11" s="183">
        <f>(SUMIFS(신설전력량계!G:G,ESS전력량계!B:B,B:B,신설전력량계!C:C,C:C)-SUMIFS(신설전력량계!F:F,ESS전력량계!B:B,B:B,신설전력량계!C:C,C:C))*$H11</f>
        <v>0</v>
      </c>
      <c r="F11" s="183">
        <f>(SUMIFS(신설전력량계!I:I,ESS전력량계!B:B,B:B,신설전력량계!C:C,C:C)-SUMIFS(신설전력량계!H:H,ESS전력량계!B:B,B:B,신설전력량계!C:C,C:C))*$H11</f>
        <v>0</v>
      </c>
      <c r="G11" s="183">
        <f t="shared" si="0"/>
        <v>0</v>
      </c>
      <c r="H11" s="172">
        <v>14400</v>
      </c>
      <c r="J11" s="183">
        <v>11462</v>
      </c>
      <c r="K11" s="183">
        <v>97</v>
      </c>
      <c r="L11" s="183">
        <f>전력요금표!$B$2</f>
        <v>8320</v>
      </c>
    </row>
    <row r="12" spans="2:12">
      <c r="B12" s="184" t="s">
        <v>8</v>
      </c>
      <c r="C12" s="184" t="s">
        <v>22</v>
      </c>
      <c r="D12" s="183">
        <f>(SUMIFS(신설전력량계!E:E,ESS전력량계!B:B,B:B,신설전력량계!C:C,C:C)-SUMIFS(신설전력량계!D:D,ESS전력량계!B:B,B:B,신설전력량계!C:C,C:C))*$H12</f>
        <v>0</v>
      </c>
      <c r="E12" s="183">
        <f>(SUMIFS(신설전력량계!G:G,ESS전력량계!B:B,B:B,신설전력량계!C:C,C:C)-SUMIFS(신설전력량계!F:F,ESS전력량계!B:B,B:B,신설전력량계!C:C,C:C))*$H12</f>
        <v>0</v>
      </c>
      <c r="F12" s="183">
        <f>(SUMIFS(신설전력량계!I:I,ESS전력량계!B:B,B:B,신설전력량계!C:C,C:C)-SUMIFS(신설전력량계!H:H,ESS전력량계!B:B,B:B,신설전력량계!C:C,C:C))*$H12</f>
        <v>0</v>
      </c>
      <c r="G12" s="183">
        <f t="shared" si="0"/>
        <v>0</v>
      </c>
      <c r="H12" s="172">
        <v>14400</v>
      </c>
      <c r="J12" s="183">
        <v>11462</v>
      </c>
      <c r="K12" s="183">
        <v>97</v>
      </c>
      <c r="L12" s="183">
        <f>전력요금표!$B$2</f>
        <v>8320</v>
      </c>
    </row>
    <row r="13" spans="2:12">
      <c r="B13" s="184" t="s">
        <v>8</v>
      </c>
      <c r="C13" s="184" t="s">
        <v>23</v>
      </c>
      <c r="D13" s="183">
        <f>(SUMIFS(신설전력량계!E:E,ESS전력량계!B:B,B:B,신설전력량계!C:C,C:C)-SUMIFS(신설전력량계!D:D,ESS전력량계!B:B,B:B,신설전력량계!C:C,C:C))*$H13</f>
        <v>0</v>
      </c>
      <c r="E13" s="183">
        <f>(SUMIFS(신설전력량계!G:G,ESS전력량계!B:B,B:B,신설전력량계!C:C,C:C)-SUMIFS(신설전력량계!F:F,ESS전력량계!B:B,B:B,신설전력량계!C:C,C:C))*$H13</f>
        <v>0</v>
      </c>
      <c r="F13" s="183">
        <f>(SUMIFS(신설전력량계!I:I,ESS전력량계!B:B,B:B,신설전력량계!C:C,C:C)-SUMIFS(신설전력량계!H:H,ESS전력량계!B:B,B:B,신설전력량계!C:C,C:C))*$H13</f>
        <v>0</v>
      </c>
      <c r="G13" s="183">
        <f t="shared" si="0"/>
        <v>0</v>
      </c>
      <c r="H13" s="172">
        <v>14400</v>
      </c>
      <c r="J13" s="183">
        <v>11434</v>
      </c>
      <c r="K13" s="183">
        <v>97</v>
      </c>
      <c r="L13" s="183">
        <f>전력요금표!$B$2</f>
        <v>8320</v>
      </c>
    </row>
    <row r="14" spans="2:12">
      <c r="B14" s="184" t="s">
        <v>24</v>
      </c>
      <c r="C14" s="184" t="s">
        <v>9</v>
      </c>
      <c r="D14" s="183">
        <f>(SUMIFS(신설전력량계!E:E,ESS전력량계!B:B,B:B,신설전력량계!C:C,C:C)-SUMIFS(신설전력량계!D:D,ESS전력량계!B:B,B:B,신설전력량계!C:C,C:C))*$H14</f>
        <v>0</v>
      </c>
      <c r="E14" s="183">
        <f>(SUMIFS(신설전력량계!G:G,ESS전력량계!B:B,B:B,신설전력량계!C:C,C:C)-SUMIFS(신설전력량계!F:F,ESS전력량계!B:B,B:B,신설전력량계!C:C,C:C))*$H14</f>
        <v>0</v>
      </c>
      <c r="F14" s="183">
        <f>(SUMIFS(신설전력량계!I:I,ESS전력량계!B:B,B:B,신설전력량계!C:C,C:C)-SUMIFS(신설전력량계!H:H,ESS전력량계!B:B,B:B,신설전력량계!C:C,C:C))*$H14</f>
        <v>0</v>
      </c>
      <c r="G14" s="183">
        <f t="shared" si="0"/>
        <v>0</v>
      </c>
      <c r="H14" s="172">
        <v>14400</v>
      </c>
      <c r="J14" s="183">
        <v>11434</v>
      </c>
      <c r="K14" s="183">
        <v>97</v>
      </c>
      <c r="L14" s="183">
        <f>전력요금표!$B$2</f>
        <v>8320</v>
      </c>
    </row>
    <row r="15" spans="2:12">
      <c r="B15" s="184" t="s">
        <v>24</v>
      </c>
      <c r="C15" s="184" t="s">
        <v>13</v>
      </c>
      <c r="D15" s="183">
        <f>(SUMIFS(신설전력량계!E:E,ESS전력량계!B:B,B:B,신설전력량계!C:C,C:C)-SUMIFS(신설전력량계!D:D,ESS전력량계!B:B,B:B,신설전력량계!C:C,C:C))*$H15</f>
        <v>0</v>
      </c>
      <c r="E15" s="183">
        <f>(SUMIFS(신설전력량계!G:G,ESS전력량계!B:B,B:B,신설전력량계!C:C,C:C)-SUMIFS(신설전력량계!F:F,ESS전력량계!B:B,B:B,신설전력량계!C:C,C:C))*$H15</f>
        <v>0</v>
      </c>
      <c r="F15" s="183">
        <f>(SUMIFS(신설전력량계!I:I,ESS전력량계!B:B,B:B,신설전력량계!C:C,C:C)-SUMIFS(신설전력량계!H:H,ESS전력량계!B:B,B:B,신설전력량계!C:C,C:C))*$H15</f>
        <v>0</v>
      </c>
      <c r="G15" s="183">
        <f t="shared" si="0"/>
        <v>0</v>
      </c>
      <c r="H15" s="172">
        <v>14400</v>
      </c>
      <c r="J15" s="183">
        <v>11362</v>
      </c>
      <c r="K15" s="183">
        <v>97</v>
      </c>
      <c r="L15" s="183">
        <f>전력요금표!$B$2</f>
        <v>8320</v>
      </c>
    </row>
    <row r="16" spans="2:12">
      <c r="B16" s="184" t="s">
        <v>24</v>
      </c>
      <c r="C16" s="184" t="s">
        <v>14</v>
      </c>
      <c r="D16" s="183">
        <f>(SUMIFS(신설전력량계!E:E,ESS전력량계!B:B,B:B,신설전력량계!C:C,C:C)-SUMIFS(신설전력량계!D:D,ESS전력량계!B:B,B:B,신설전력량계!C:C,C:C))*$H16</f>
        <v>0</v>
      </c>
      <c r="E16" s="183">
        <f>(SUMIFS(신설전력량계!G:G,ESS전력량계!B:B,B:B,신설전력량계!C:C,C:C)-SUMIFS(신설전력량계!F:F,ESS전력량계!B:B,B:B,신설전력량계!C:C,C:C))*$H16</f>
        <v>0</v>
      </c>
      <c r="F16" s="183">
        <f>(SUMIFS(신설전력량계!I:I,ESS전력량계!B:B,B:B,신설전력량계!C:C,C:C)-SUMIFS(신설전력량계!H:H,ESS전력량계!B:B,B:B,신설전력량계!C:C,C:C))*$H16</f>
        <v>0</v>
      </c>
      <c r="G16" s="183">
        <f t="shared" si="0"/>
        <v>0</v>
      </c>
      <c r="H16" s="172">
        <v>14400</v>
      </c>
      <c r="J16" s="183">
        <v>11362</v>
      </c>
      <c r="K16" s="183">
        <v>97</v>
      </c>
      <c r="L16" s="183">
        <f>전력요금표!$B$2</f>
        <v>8320</v>
      </c>
    </row>
    <row r="17" spans="2:12">
      <c r="B17" s="184" t="s">
        <v>24</v>
      </c>
      <c r="C17" s="184" t="s">
        <v>15</v>
      </c>
      <c r="D17" s="183">
        <f>(SUMIFS(신설전력량계!E:E,ESS전력량계!B:B,B:B,신설전력량계!C:C,C:C)-SUMIFS(신설전력량계!D:D,ESS전력량계!B:B,B:B,신설전력량계!C:C,C:C))*$H17</f>
        <v>0</v>
      </c>
      <c r="E17" s="183">
        <f>(SUMIFS(신설전력량계!G:G,ESS전력량계!B:B,B:B,신설전력량계!C:C,C:C)-SUMIFS(신설전력량계!F:F,ESS전력량계!B:B,B:B,신설전력량계!C:C,C:C))*$H17</f>
        <v>0</v>
      </c>
      <c r="F17" s="183">
        <f>(SUMIFS(신설전력량계!I:I,ESS전력량계!B:B,B:B,신설전력량계!C:C,C:C)-SUMIFS(신설전력량계!H:H,ESS전력량계!B:B,B:B,신설전력량계!C:C,C:C))*$H17</f>
        <v>0</v>
      </c>
      <c r="G17" s="183">
        <f t="shared" si="0"/>
        <v>0</v>
      </c>
      <c r="H17" s="172">
        <v>14400</v>
      </c>
      <c r="J17" s="183">
        <v>11362</v>
      </c>
      <c r="K17" s="183">
        <v>97</v>
      </c>
      <c r="L17" s="183">
        <f>전력요금표!$B$2</f>
        <v>8320</v>
      </c>
    </row>
    <row r="18" spans="2:12">
      <c r="B18" s="184" t="s">
        <v>24</v>
      </c>
      <c r="C18" s="184" t="s">
        <v>16</v>
      </c>
      <c r="D18" s="183">
        <f>(SUMIFS(신설전력량계!E:E,ESS전력량계!B:B,B:B,신설전력량계!C:C,C:C)-SUMIFS(신설전력량계!D:D,ESS전력량계!B:B,B:B,신설전력량계!C:C,C:C))*$H18</f>
        <v>0</v>
      </c>
      <c r="E18" s="183">
        <f>(SUMIFS(신설전력량계!G:G,ESS전력량계!B:B,B:B,신설전력량계!C:C,C:C)-SUMIFS(신설전력량계!F:F,ESS전력량계!B:B,B:B,신설전력량계!C:C,C:C))*$H18</f>
        <v>0</v>
      </c>
      <c r="F18" s="183">
        <f>(SUMIFS(신설전력량계!I:I,ESS전력량계!B:B,B:B,신설전력량계!C:C,C:C)-SUMIFS(신설전력량계!H:H,ESS전력량계!B:B,B:B,신설전력량계!C:C,C:C))*$H18</f>
        <v>0</v>
      </c>
      <c r="G18" s="183">
        <f t="shared" si="0"/>
        <v>0</v>
      </c>
      <c r="H18" s="172">
        <v>14400</v>
      </c>
      <c r="J18" s="183">
        <v>11362</v>
      </c>
      <c r="K18" s="183">
        <v>97</v>
      </c>
      <c r="L18" s="183">
        <f>전력요금표!$B$2</f>
        <v>8320</v>
      </c>
    </row>
    <row r="19" spans="2:12">
      <c r="B19" s="184" t="s">
        <v>24</v>
      </c>
      <c r="C19" s="184" t="s">
        <v>17</v>
      </c>
      <c r="D19" s="183">
        <f>(SUMIFS(신설전력량계!E:E,ESS전력량계!B:B,B:B,신설전력량계!C:C,C:C)-SUMIFS(신설전력량계!D:D,ESS전력량계!B:B,B:B,신설전력량계!C:C,C:C))*$H19</f>
        <v>0</v>
      </c>
      <c r="E19" s="183">
        <f>(SUMIFS(신설전력량계!G:G,ESS전력량계!B:B,B:B,신설전력량계!C:C,C:C)-SUMIFS(신설전력량계!F:F,ESS전력량계!B:B,B:B,신설전력량계!C:C,C:C))*$H19</f>
        <v>0</v>
      </c>
      <c r="F19" s="183">
        <f>(SUMIFS(신설전력량계!I:I,ESS전력량계!B:B,B:B,신설전력량계!C:C,C:C)-SUMIFS(신설전력량계!H:H,ESS전력량계!B:B,B:B,신설전력량계!C:C,C:C))*$H19</f>
        <v>0</v>
      </c>
      <c r="G19" s="183">
        <f t="shared" si="0"/>
        <v>0</v>
      </c>
      <c r="H19" s="172">
        <v>14400</v>
      </c>
      <c r="J19" s="183">
        <v>11362</v>
      </c>
      <c r="K19" s="183">
        <v>97</v>
      </c>
      <c r="L19" s="183">
        <f>전력요금표!$B$2</f>
        <v>8320</v>
      </c>
    </row>
    <row r="20" spans="2:12">
      <c r="B20" s="184" t="s">
        <v>24</v>
      </c>
      <c r="C20" s="184" t="s">
        <v>18</v>
      </c>
      <c r="D20" s="183">
        <f>(SUMIFS(신설전력량계!E:E,ESS전력량계!B:B,B:B,신설전력량계!C:C,C:C)-SUMIFS(신설전력량계!D:D,ESS전력량계!B:B,B:B,신설전력량계!C:C,C:C))*$H20</f>
        <v>0</v>
      </c>
      <c r="E20" s="183">
        <f>(SUMIFS(신설전력량계!G:G,ESS전력량계!B:B,B:B,신설전력량계!C:C,C:C)-SUMIFS(신설전력량계!F:F,ESS전력량계!B:B,B:B,신설전력량계!C:C,C:C))*$H20</f>
        <v>0</v>
      </c>
      <c r="F20" s="183">
        <f>(SUMIFS(신설전력량계!I:I,ESS전력량계!B:B,B:B,신설전력량계!C:C,C:C)-SUMIFS(신설전력량계!H:H,ESS전력량계!B:B,B:B,신설전력량계!C:C,C:C))*$H20</f>
        <v>0</v>
      </c>
      <c r="G20" s="183">
        <f t="shared" si="0"/>
        <v>0</v>
      </c>
      <c r="H20" s="172">
        <v>14400</v>
      </c>
      <c r="J20" s="183">
        <v>11419</v>
      </c>
      <c r="K20" s="183">
        <v>97</v>
      </c>
      <c r="L20" s="183">
        <f>전력요금표!$B$2</f>
        <v>8320</v>
      </c>
    </row>
    <row r="21" spans="2:12">
      <c r="B21" s="184" t="s">
        <v>24</v>
      </c>
      <c r="C21" s="184" t="s">
        <v>19</v>
      </c>
      <c r="D21" s="183">
        <f>(SUMIFS(신설전력량계!E:E,ESS전력량계!B:B,B:B,신설전력량계!C:C,C:C)-SUMIFS(신설전력량계!D:D,ESS전력량계!B:B,B:B,신설전력량계!C:C,C:C))*$H21</f>
        <v>0</v>
      </c>
      <c r="E21" s="183">
        <f>(SUMIFS(신설전력량계!G:G,ESS전력량계!B:B,B:B,신설전력량계!C:C,C:C)-SUMIFS(신설전력량계!F:F,ESS전력량계!B:B,B:B,신설전력량계!C:C,C:C))*$H21</f>
        <v>0</v>
      </c>
      <c r="F21" s="183">
        <f>(SUMIFS(신설전력량계!I:I,ESS전력량계!B:B,B:B,신설전력량계!C:C,C:C)-SUMIFS(신설전력량계!H:H,ESS전력량계!B:B,B:B,신설전력량계!C:C,C:C))*$H21</f>
        <v>0</v>
      </c>
      <c r="G21" s="183">
        <f t="shared" si="0"/>
        <v>0</v>
      </c>
      <c r="H21" s="172">
        <v>14400</v>
      </c>
      <c r="J21" s="183">
        <v>11362</v>
      </c>
      <c r="K21" s="183">
        <v>97</v>
      </c>
      <c r="L21" s="183">
        <f>전력요금표!$B$2</f>
        <v>8320</v>
      </c>
    </row>
    <row r="22" spans="2:12">
      <c r="B22" s="184" t="s">
        <v>24</v>
      </c>
      <c r="C22" s="184" t="s">
        <v>20</v>
      </c>
      <c r="D22" s="183">
        <f>(SUMIFS(신설전력량계!E:E,ESS전력량계!B:B,B:B,신설전력량계!C:C,C:C)-SUMIFS(신설전력량계!D:D,ESS전력량계!B:B,B:B,신설전력량계!C:C,C:C))*$H22</f>
        <v>0</v>
      </c>
      <c r="E22" s="183">
        <f>(SUMIFS(신설전력량계!G:G,ESS전력량계!B:B,B:B,신설전력량계!C:C,C:C)-SUMIFS(신설전력량계!F:F,ESS전력량계!B:B,B:B,신설전력량계!C:C,C:C))*$H22</f>
        <v>0</v>
      </c>
      <c r="F22" s="183">
        <f>(SUMIFS(신설전력량계!I:I,ESS전력량계!B:B,B:B,신설전력량계!C:C,C:C)-SUMIFS(신설전력량계!H:H,ESS전력량계!B:B,B:B,신설전력량계!C:C,C:C))*$H22</f>
        <v>0</v>
      </c>
      <c r="G22" s="183">
        <f t="shared" si="0"/>
        <v>0</v>
      </c>
      <c r="H22" s="172">
        <v>14400</v>
      </c>
      <c r="J22" s="183">
        <v>11362</v>
      </c>
      <c r="K22" s="183">
        <v>97</v>
      </c>
      <c r="L22" s="183">
        <f>전력요금표!$B$2</f>
        <v>8320</v>
      </c>
    </row>
    <row r="23" spans="2:12">
      <c r="B23" s="184" t="s">
        <v>24</v>
      </c>
      <c r="C23" s="184" t="s">
        <v>21</v>
      </c>
      <c r="D23" s="183">
        <f>(SUMIFS(신설전력량계!E:E,ESS전력량계!B:B,B:B,신설전력량계!C:C,C:C)-SUMIFS(신설전력량계!D:D,ESS전력량계!B:B,B:B,신설전력량계!C:C,C:C))*$H23</f>
        <v>0</v>
      </c>
      <c r="E23" s="183">
        <f>(SUMIFS(신설전력량계!G:G,ESS전력량계!B:B,B:B,신설전력량계!C:C,C:C)-SUMIFS(신설전력량계!F:F,ESS전력량계!B:B,B:B,신설전력량계!C:C,C:C))*$H23</f>
        <v>0</v>
      </c>
      <c r="F23" s="183">
        <f>(SUMIFS(신설전력량계!I:I,ESS전력량계!B:B,B:B,신설전력량계!C:C,C:C)-SUMIFS(신설전력량계!H:H,ESS전력량계!B:B,B:B,신설전력량계!C:C,C:C))*$H23</f>
        <v>0</v>
      </c>
      <c r="G23" s="183">
        <f t="shared" si="0"/>
        <v>0</v>
      </c>
      <c r="H23" s="172">
        <v>14400</v>
      </c>
      <c r="J23" s="183">
        <v>11362</v>
      </c>
      <c r="K23" s="183">
        <v>97</v>
      </c>
      <c r="L23" s="183">
        <f>전력요금표!$B$2</f>
        <v>8320</v>
      </c>
    </row>
    <row r="24" spans="2:12">
      <c r="B24" s="184" t="s">
        <v>24</v>
      </c>
      <c r="C24" s="184" t="s">
        <v>22</v>
      </c>
      <c r="D24" s="183">
        <f>(SUMIFS(신설전력량계!E:E,ESS전력량계!B:B,B:B,신설전력량계!C:C,C:C)-SUMIFS(신설전력량계!D:D,ESS전력량계!B:B,B:B,신설전력량계!C:C,C:C))*$H24</f>
        <v>0</v>
      </c>
      <c r="E24" s="183">
        <f>(SUMIFS(신설전력량계!G:G,ESS전력량계!B:B,B:B,신설전력량계!C:C,C:C)-SUMIFS(신설전력량계!F:F,ESS전력량계!B:B,B:B,신설전력량계!C:C,C:C))*$H24</f>
        <v>0</v>
      </c>
      <c r="F24" s="183">
        <f>(SUMIFS(신설전력량계!I:I,ESS전력량계!B:B,B:B,신설전력량계!C:C,C:C)-SUMIFS(신설전력량계!H:H,ESS전력량계!B:B,B:B,신설전력량계!C:C,C:C))*$H24</f>
        <v>0</v>
      </c>
      <c r="G24" s="183">
        <f t="shared" si="0"/>
        <v>0</v>
      </c>
      <c r="H24" s="172">
        <v>14400</v>
      </c>
      <c r="J24" s="183">
        <v>11362</v>
      </c>
      <c r="K24" s="183">
        <v>97</v>
      </c>
      <c r="L24" s="183">
        <f>전력요금표!$B$2</f>
        <v>8320</v>
      </c>
    </row>
    <row r="25" spans="2:12">
      <c r="B25" s="184" t="s">
        <v>24</v>
      </c>
      <c r="C25" s="184" t="s">
        <v>23</v>
      </c>
      <c r="D25" s="183">
        <f>(SUMIFS(신설전력량계!E:E,ESS전력량계!B:B,B:B,신설전력량계!C:C,C:C)-SUMIFS(신설전력량계!D:D,ESS전력량계!B:B,B:B,신설전력량계!C:C,C:C))*$H25</f>
        <v>0</v>
      </c>
      <c r="E25" s="183">
        <f>(SUMIFS(신설전력량계!G:G,ESS전력량계!B:B,B:B,신설전력량계!C:C,C:C)-SUMIFS(신설전력량계!F:F,ESS전력량계!B:B,B:B,신설전력량계!C:C,C:C))*$H25</f>
        <v>0</v>
      </c>
      <c r="F25" s="183">
        <f>(SUMIFS(신설전력량계!I:I,ESS전력량계!B:B,B:B,신설전력량계!C:C,C:C)-SUMIFS(신설전력량계!H:H,ESS전력량계!B:B,B:B,신설전력량계!C:C,C:C))*$H25</f>
        <v>0</v>
      </c>
      <c r="G25" s="183">
        <f t="shared" si="0"/>
        <v>0</v>
      </c>
      <c r="H25" s="172">
        <v>14400</v>
      </c>
      <c r="J25" s="183">
        <v>11246</v>
      </c>
      <c r="K25" s="183">
        <v>97</v>
      </c>
      <c r="L25" s="183">
        <f>전력요금표!$B$2</f>
        <v>8320</v>
      </c>
    </row>
    <row r="26" spans="2:12">
      <c r="B26" s="184" t="s">
        <v>25</v>
      </c>
      <c r="C26" s="184" t="s">
        <v>9</v>
      </c>
      <c r="D26" s="183">
        <f>(SUMIFS(신설전력량계!E:E,ESS전력량계!B:B,B:B,신설전력량계!C:C,C:C)-SUMIFS(신설전력량계!D:D,ESS전력량계!B:B,B:B,신설전력량계!C:C,C:C))*$H26</f>
        <v>0</v>
      </c>
      <c r="E26" s="183">
        <f>(SUMIFS(신설전력량계!G:G,ESS전력량계!B:B,B:B,신설전력량계!C:C,C:C)-SUMIFS(신설전력량계!F:F,ESS전력량계!B:B,B:B,신설전력량계!C:C,C:C))*$H26</f>
        <v>0</v>
      </c>
      <c r="F26" s="183">
        <f>(SUMIFS(신설전력량계!I:I,ESS전력량계!B:B,B:B,신설전력량계!C:C,C:C)-SUMIFS(신설전력량계!H:H,ESS전력량계!B:B,B:B,신설전력량계!C:C,C:C))*$H26</f>
        <v>0</v>
      </c>
      <c r="G26" s="183">
        <f t="shared" si="0"/>
        <v>0</v>
      </c>
      <c r="H26" s="172">
        <v>14400</v>
      </c>
      <c r="J26" s="183">
        <v>11419</v>
      </c>
      <c r="K26" s="183">
        <v>97</v>
      </c>
      <c r="L26" s="183">
        <f>전력요금표!$B$2</f>
        <v>8320</v>
      </c>
    </row>
    <row r="27" spans="2:12">
      <c r="B27" s="184" t="s">
        <v>25</v>
      </c>
      <c r="C27" s="184" t="s">
        <v>13</v>
      </c>
      <c r="D27" s="183">
        <f>(SUMIFS(신설전력량계!E:E,ESS전력량계!B:B,B:B,신설전력량계!C:C,C:C)-SUMIFS(신설전력량계!D:D,ESS전력량계!B:B,B:B,신설전력량계!C:C,C:C))*$H27</f>
        <v>0</v>
      </c>
      <c r="E27" s="183">
        <f>(SUMIFS(신설전력량계!G:G,ESS전력량계!B:B,B:B,신설전력량계!C:C,C:C)-SUMIFS(신설전력량계!F:F,ESS전력량계!B:B,B:B,신설전력량계!C:C,C:C))*$H27</f>
        <v>0</v>
      </c>
      <c r="F27" s="183">
        <f>(SUMIFS(신설전력량계!I:I,ESS전력량계!B:B,B:B,신설전력량계!C:C,C:C)-SUMIFS(신설전력량계!H:H,ESS전력량계!B:B,B:B,신설전력량계!C:C,C:C))*$H27</f>
        <v>0</v>
      </c>
      <c r="G27" s="183">
        <f t="shared" si="0"/>
        <v>0</v>
      </c>
      <c r="H27" s="172">
        <v>14400</v>
      </c>
      <c r="J27" s="183">
        <v>11419</v>
      </c>
      <c r="K27" s="183">
        <v>97</v>
      </c>
      <c r="L27" s="183">
        <f>전력요금표!$B$2</f>
        <v>8320</v>
      </c>
    </row>
    <row r="28" spans="2:12">
      <c r="B28" s="184" t="s">
        <v>25</v>
      </c>
      <c r="C28" s="184" t="s">
        <v>14</v>
      </c>
      <c r="D28" s="183">
        <f>(SUMIFS(신설전력량계!E:E,ESS전력량계!B:B,B:B,신설전력량계!C:C,C:C)-SUMIFS(신설전력량계!D:D,ESS전력량계!B:B,B:B,신설전력량계!C:C,C:C))*$H28</f>
        <v>0</v>
      </c>
      <c r="E28" s="183">
        <f>(SUMIFS(신설전력량계!G:G,ESS전력량계!B:B,B:B,신설전력량계!C:C,C:C)-SUMIFS(신설전력량계!F:F,ESS전력량계!B:B,B:B,신설전력량계!C:C,C:C))*$H28</f>
        <v>0</v>
      </c>
      <c r="F28" s="183">
        <f>(SUMIFS(신설전력량계!I:I,ESS전력량계!B:B,B:B,신설전력량계!C:C,C:C)-SUMIFS(신설전력량계!H:H,ESS전력량계!B:B,B:B,신설전력량계!C:C,C:C))*$H28</f>
        <v>0</v>
      </c>
      <c r="G28" s="183">
        <f t="shared" si="0"/>
        <v>0</v>
      </c>
      <c r="H28" s="172">
        <v>14400</v>
      </c>
      <c r="J28" s="183">
        <v>11419</v>
      </c>
      <c r="K28" s="183">
        <v>97</v>
      </c>
      <c r="L28" s="183">
        <f>전력요금표!$B$2</f>
        <v>8320</v>
      </c>
    </row>
    <row r="29" spans="2:12">
      <c r="B29" s="184" t="s">
        <v>25</v>
      </c>
      <c r="C29" s="184" t="s">
        <v>15</v>
      </c>
      <c r="D29" s="183">
        <f>(SUMIFS(신설전력량계!E:E,ESS전력량계!B:B,B:B,신설전력량계!C:C,C:C)-SUMIFS(신설전력량계!D:D,ESS전력량계!B:B,B:B,신설전력량계!C:C,C:C))*$H29</f>
        <v>0</v>
      </c>
      <c r="E29" s="183">
        <f>(SUMIFS(신설전력량계!G:G,ESS전력량계!B:B,B:B,신설전력량계!C:C,C:C)-SUMIFS(신설전력량계!F:F,ESS전력량계!B:B,B:B,신설전력량계!C:C,C:C))*$H29</f>
        <v>0</v>
      </c>
      <c r="F29" s="183">
        <f>(SUMIFS(신설전력량계!I:I,ESS전력량계!B:B,B:B,신설전력량계!C:C,C:C)-SUMIFS(신설전력량계!H:H,ESS전력량계!B:B,B:B,신설전력량계!C:C,C:C))*$H29</f>
        <v>0</v>
      </c>
      <c r="G29" s="183">
        <f t="shared" si="0"/>
        <v>0</v>
      </c>
      <c r="H29" s="172">
        <v>14400</v>
      </c>
      <c r="J29" s="183">
        <v>11419</v>
      </c>
      <c r="K29" s="183">
        <v>97</v>
      </c>
      <c r="L29" s="183">
        <f>전력요금표!$B$2</f>
        <v>8320</v>
      </c>
    </row>
    <row r="30" spans="2:12">
      <c r="B30" s="184" t="s">
        <v>25</v>
      </c>
      <c r="C30" s="184" t="s">
        <v>16</v>
      </c>
      <c r="D30" s="183">
        <f>(SUMIFS(신설전력량계!E:E,ESS전력량계!B:B,B:B,신설전력량계!C:C,C:C)-SUMIFS(신설전력량계!D:D,ESS전력량계!B:B,B:B,신설전력량계!C:C,C:C))*$H30</f>
        <v>0</v>
      </c>
      <c r="E30" s="183">
        <f>(SUMIFS(신설전력량계!G:G,ESS전력량계!B:B,B:B,신설전력량계!C:C,C:C)-SUMIFS(신설전력량계!F:F,ESS전력량계!B:B,B:B,신설전력량계!C:C,C:C))*$H30</f>
        <v>0</v>
      </c>
      <c r="F30" s="183">
        <f>(SUMIFS(신설전력량계!I:I,ESS전력량계!B:B,B:B,신설전력량계!C:C,C:C)-SUMIFS(신설전력량계!H:H,ESS전력량계!B:B,B:B,신설전력량계!C:C,C:C))*$H30</f>
        <v>0</v>
      </c>
      <c r="G30" s="183">
        <f t="shared" si="0"/>
        <v>0</v>
      </c>
      <c r="H30" s="172">
        <v>14400</v>
      </c>
      <c r="J30" s="183">
        <v>11419</v>
      </c>
      <c r="K30" s="183">
        <v>97</v>
      </c>
      <c r="L30" s="183">
        <f>전력요금표!$B$2</f>
        <v>8320</v>
      </c>
    </row>
    <row r="31" spans="2:12">
      <c r="B31" s="184" t="s">
        <v>25</v>
      </c>
      <c r="C31" s="184" t="s">
        <v>17</v>
      </c>
      <c r="D31" s="183">
        <f>(SUMIFS(신설전력량계!E:E,ESS전력량계!B:B,B:B,신설전력량계!C:C,C:C)-SUMIFS(신설전력량계!D:D,ESS전력량계!B:B,B:B,신설전력량계!C:C,C:C))*$H31</f>
        <v>0</v>
      </c>
      <c r="E31" s="183">
        <f>(SUMIFS(신설전력량계!G:G,ESS전력량계!B:B,B:B,신설전력량계!C:C,C:C)-SUMIFS(신설전력량계!F:F,ESS전력량계!B:B,B:B,신설전력량계!C:C,C:C))*$H31</f>
        <v>0</v>
      </c>
      <c r="F31" s="183">
        <f>(SUMIFS(신설전력량계!I:I,ESS전력량계!B:B,B:B,신설전력량계!C:C,C:C)-SUMIFS(신설전력량계!H:H,ESS전력량계!B:B,B:B,신설전력량계!C:C,C:C))*$H31</f>
        <v>0</v>
      </c>
      <c r="G31" s="183">
        <f t="shared" si="0"/>
        <v>0</v>
      </c>
      <c r="H31" s="172">
        <v>14400</v>
      </c>
      <c r="J31" s="183">
        <v>11419</v>
      </c>
      <c r="K31" s="183">
        <v>97</v>
      </c>
      <c r="L31" s="183">
        <f>전력요금표!$B$2</f>
        <v>8320</v>
      </c>
    </row>
    <row r="32" spans="2:12">
      <c r="B32" s="184" t="s">
        <v>25</v>
      </c>
      <c r="C32" s="184" t="s">
        <v>18</v>
      </c>
      <c r="D32" s="183">
        <f>(SUMIFS(신설전력량계!E:E,ESS전력량계!B:B,B:B,신설전력량계!C:C,C:C)-SUMIFS(신설전력량계!D:D,ESS전력량계!B:B,B:B,신설전력량계!C:C,C:C))*$H32</f>
        <v>0</v>
      </c>
      <c r="E32" s="183">
        <f>(SUMIFS(신설전력량계!G:G,ESS전력량계!B:B,B:B,신설전력량계!C:C,C:C)-SUMIFS(신설전력량계!F:F,ESS전력량계!B:B,B:B,신설전력량계!C:C,C:C))*$H32</f>
        <v>0</v>
      </c>
      <c r="F32" s="183">
        <f>(SUMIFS(신설전력량계!I:I,ESS전력량계!B:B,B:B,신설전력량계!C:C,C:C)-SUMIFS(신설전력량계!H:H,ESS전력량계!B:B,B:B,신설전력량계!C:C,C:C))*$H32</f>
        <v>0</v>
      </c>
      <c r="G32" s="183">
        <f t="shared" si="0"/>
        <v>0</v>
      </c>
      <c r="H32" s="172">
        <v>14400</v>
      </c>
      <c r="J32" s="183">
        <v>11448</v>
      </c>
      <c r="K32" s="183">
        <v>97</v>
      </c>
      <c r="L32" s="183">
        <f>전력요금표!$B$2</f>
        <v>8320</v>
      </c>
    </row>
    <row r="33" spans="2:14">
      <c r="B33" s="184" t="s">
        <v>25</v>
      </c>
      <c r="C33" s="184" t="s">
        <v>19</v>
      </c>
      <c r="D33" s="183">
        <f>(SUMIFS(신설전력량계!E:E,ESS전력량계!B:B,B:B,신설전력량계!C:C,C:C)-SUMIFS(신설전력량계!D:D,ESS전력량계!B:B,B:B,신설전력량계!C:C,C:C))*$H33</f>
        <v>0</v>
      </c>
      <c r="E33" s="183">
        <f>(SUMIFS(신설전력량계!G:G,ESS전력량계!B:B,B:B,신설전력량계!C:C,C:C)-SUMIFS(신설전력량계!F:F,ESS전력량계!B:B,B:B,신설전력량계!C:C,C:C))*$H33</f>
        <v>0</v>
      </c>
      <c r="F33" s="183">
        <f>(SUMIFS(신설전력량계!I:I,ESS전력량계!B:B,B:B,신설전력량계!C:C,C:C)-SUMIFS(신설전력량계!H:H,ESS전력량계!B:B,B:B,신설전력량계!C:C,C:C))*$H33</f>
        <v>0</v>
      </c>
      <c r="G33" s="183">
        <f t="shared" si="0"/>
        <v>0</v>
      </c>
      <c r="H33" s="172">
        <v>14400</v>
      </c>
      <c r="J33" s="183">
        <v>11448</v>
      </c>
      <c r="K33" s="183">
        <v>97</v>
      </c>
      <c r="L33" s="183">
        <f>전력요금표!$B$2</f>
        <v>8320</v>
      </c>
    </row>
    <row r="34" spans="2:14">
      <c r="B34" s="184" t="s">
        <v>25</v>
      </c>
      <c r="C34" s="184" t="s">
        <v>20</v>
      </c>
      <c r="D34" s="183">
        <f>(SUMIFS(신설전력량계!E:E,ESS전력량계!B:B,B:B,신설전력량계!C:C,C:C)-SUMIFS(신설전력량계!D:D,ESS전력량계!B:B,B:B,신설전력량계!C:C,C:C))*$H34</f>
        <v>0</v>
      </c>
      <c r="E34" s="183">
        <f>(SUMIFS(신설전력량계!G:G,ESS전력량계!B:B,B:B,신설전력량계!C:C,C:C)-SUMIFS(신설전력량계!F:F,ESS전력량계!B:B,B:B,신설전력량계!C:C,C:C))*$H34</f>
        <v>0</v>
      </c>
      <c r="F34" s="183">
        <f>(SUMIFS(신설전력량계!I:I,ESS전력량계!B:B,B:B,신설전력량계!C:C,C:C)-SUMIFS(신설전력량계!H:H,ESS전력량계!B:B,B:B,신설전력량계!C:C,C:C))*$H34</f>
        <v>0</v>
      </c>
      <c r="G34" s="183">
        <f t="shared" si="0"/>
        <v>0</v>
      </c>
      <c r="H34" s="172">
        <v>14400</v>
      </c>
      <c r="J34" s="183">
        <v>11448</v>
      </c>
      <c r="K34" s="183">
        <v>97</v>
      </c>
      <c r="L34" s="183">
        <f>전력요금표!$B$2</f>
        <v>8320</v>
      </c>
    </row>
    <row r="35" spans="2:14">
      <c r="B35" s="184" t="s">
        <v>25</v>
      </c>
      <c r="C35" s="184" t="s">
        <v>21</v>
      </c>
      <c r="D35" s="183">
        <f>(SUMIFS(신설전력량계!E:E,ESS전력량계!B:B,B:B,신설전력량계!C:C,C:C)-SUMIFS(신설전력량계!D:D,ESS전력량계!B:B,B:B,신설전력량계!C:C,C:C))*$H35</f>
        <v>0</v>
      </c>
      <c r="E35" s="183">
        <f>(SUMIFS(신설전력량계!G:G,ESS전력량계!B:B,B:B,신설전력량계!C:C,C:C)-SUMIFS(신설전력량계!F:F,ESS전력량계!B:B,B:B,신설전력량계!C:C,C:C))*$H35</f>
        <v>0</v>
      </c>
      <c r="F35" s="183">
        <f>(SUMIFS(신설전력량계!I:I,ESS전력량계!B:B,B:B,신설전력량계!C:C,C:C)-SUMIFS(신설전력량계!H:H,ESS전력량계!B:B,B:B,신설전력량계!C:C,C:C))*$H35</f>
        <v>0</v>
      </c>
      <c r="G35" s="183">
        <f t="shared" si="0"/>
        <v>0</v>
      </c>
      <c r="H35" s="172">
        <v>14400</v>
      </c>
      <c r="J35" s="183">
        <v>11448</v>
      </c>
      <c r="K35" s="183">
        <v>97</v>
      </c>
      <c r="L35" s="183">
        <f>전력요금표!$B$2</f>
        <v>8320</v>
      </c>
    </row>
    <row r="36" spans="2:14">
      <c r="B36" s="184" t="s">
        <v>25</v>
      </c>
      <c r="C36" s="184" t="s">
        <v>22</v>
      </c>
      <c r="D36" s="183">
        <f>(SUMIFS(신설전력량계!E:E,ESS전력량계!B:B,B:B,신설전력량계!C:C,C:C)-SUMIFS(신설전력량계!D:D,ESS전력량계!B:B,B:B,신설전력량계!C:C,C:C))*$H36</f>
        <v>0</v>
      </c>
      <c r="E36" s="183">
        <f>(SUMIFS(신설전력량계!G:G,ESS전력량계!B:B,B:B,신설전력량계!C:C,C:C)-SUMIFS(신설전력량계!F:F,ESS전력량계!B:B,B:B,신설전력량계!C:C,C:C))*$H36</f>
        <v>0</v>
      </c>
      <c r="F36" s="183">
        <f>(SUMIFS(신설전력량계!I:I,ESS전력량계!B:B,B:B,신설전력량계!C:C,C:C)-SUMIFS(신설전력량계!H:H,ESS전력량계!B:B,B:B,신설전력량계!C:C,C:C))*$H36</f>
        <v>0</v>
      </c>
      <c r="G36" s="183">
        <f t="shared" si="0"/>
        <v>0</v>
      </c>
      <c r="H36" s="172">
        <v>14400</v>
      </c>
      <c r="J36" s="183">
        <v>11448</v>
      </c>
      <c r="K36" s="183">
        <v>97</v>
      </c>
      <c r="L36" s="183">
        <f>전력요금표!$B$2</f>
        <v>8320</v>
      </c>
    </row>
    <row r="37" spans="2:14">
      <c r="B37" s="184" t="s">
        <v>25</v>
      </c>
      <c r="C37" s="184" t="s">
        <v>23</v>
      </c>
      <c r="D37" s="183">
        <f>(SUMIFS(신설전력량계!E:E,ESS전력량계!B:B,B:B,신설전력량계!C:C,C:C)-SUMIFS(신설전력량계!D:D,ESS전력량계!B:B,B:B,신설전력량계!C:C,C:C))*$H37</f>
        <v>0</v>
      </c>
      <c r="E37" s="183">
        <f>(SUMIFS(신설전력량계!G:G,ESS전력량계!B:B,B:B,신설전력량계!C:C,C:C)-SUMIFS(신설전력량계!F:F,ESS전력량계!B:B,B:B,신설전력량계!C:C,C:C))*$H37</f>
        <v>0</v>
      </c>
      <c r="F37" s="183">
        <f>(SUMIFS(신설전력량계!I:I,ESS전력량계!B:B,B:B,신설전력량계!C:C,C:C)-SUMIFS(신설전력량계!H:H,ESS전력량계!B:B,B:B,신설전력량계!C:C,C:C))*$H37</f>
        <v>0</v>
      </c>
      <c r="G37" s="183">
        <f t="shared" si="0"/>
        <v>0</v>
      </c>
      <c r="H37" s="172">
        <v>14400</v>
      </c>
      <c r="J37" s="183">
        <v>11448</v>
      </c>
      <c r="K37" s="183">
        <v>97</v>
      </c>
      <c r="L37" s="183">
        <f>전력요금표!$B$2</f>
        <v>8320</v>
      </c>
    </row>
    <row r="38" spans="2:14">
      <c r="B38" s="184" t="s">
        <v>26</v>
      </c>
      <c r="C38" s="184" t="s">
        <v>9</v>
      </c>
      <c r="D38" s="183">
        <f>(SUMIFS(신설전력량계!E:E,신설전력량계!B:B,B:B,신설전력량계!C:C,C:C)-SUMIFS(신설전력량계!D:D,신설전력량계!B:B,B:B,신설전력량계!C:C,C:C))*$H$38</f>
        <v>2208</v>
      </c>
      <c r="E38" s="183">
        <f>(SUMIFS(신설전력량계!G:G,신설전력량계!B:B,B:B,신설전력량계!C:C,C:C)-SUMIFS(신설전력량계!F:F,신설전력량계!B:B,B:B,신설전력량계!C:C,C:C))*$H$38</f>
        <v>1344.0000000000002</v>
      </c>
      <c r="F38" s="183">
        <f>(SUMIFS(신설전력량계!I:I,신설전력량계!B:B,B:B,신설전력량계!C:C,C:C)-SUMIFS(신설전력량계!H:H,신설전력량계!B:B,B:B,신설전력량계!C:C,C:C))*H38</f>
        <v>672.00000000000011</v>
      </c>
      <c r="G38" s="183">
        <f t="shared" si="0"/>
        <v>4224</v>
      </c>
      <c r="H38" s="172">
        <v>4800</v>
      </c>
      <c r="J38" s="183">
        <f>ROUND(PEAK적용값!$J$3,0)</f>
        <v>11448</v>
      </c>
      <c r="K38" s="183">
        <v>97</v>
      </c>
      <c r="L38" s="183">
        <f>전력요금표!$B$2</f>
        <v>8320</v>
      </c>
      <c r="N38" s="183">
        <f>G38+본전력량!G38</f>
        <v>2211455.9999999832</v>
      </c>
    </row>
    <row r="39" spans="2:14">
      <c r="B39" s="184" t="s">
        <v>26</v>
      </c>
      <c r="C39" s="184" t="s">
        <v>13</v>
      </c>
      <c r="D39" s="183">
        <f>(SUMIFS(신설전력량계!E:E,신설전력량계!B:B,B:B,신설전력량계!C:C,C:C)-SUMIFS(신설전력량계!D:D,신설전력량계!B:B,B:B,신설전력량계!C:C,C:C))*$H$39</f>
        <v>243936</v>
      </c>
      <c r="E39" s="183">
        <f>(SUMIFS(신설전력량계!G:G,신설전력량계!B:B,B:B,신설전력량계!C:C,C:C)-SUMIFS(신설전력량계!F:F,신설전력량계!B:B,B:B,신설전력량계!C:C,C:C))*$H$39</f>
        <v>122639.99999999999</v>
      </c>
      <c r="F39" s="183">
        <f>(SUMIFS(신설전력량계!I:I,신설전력량계!B:B,B:B,신설전력량계!C:C,C:C)-SUMIFS(신설전력량계!H:H,신설전력량계!B:B,B:B,신설전력량계!C:C,C:C))*H39</f>
        <v>63936</v>
      </c>
      <c r="G39" s="171">
        <f t="shared" si="0"/>
        <v>430512</v>
      </c>
      <c r="H39" s="172">
        <v>4800</v>
      </c>
      <c r="J39" s="183">
        <f>ROUND(PEAK적용값!$J$3,0)</f>
        <v>11448</v>
      </c>
      <c r="K39" s="183">
        <v>97</v>
      </c>
      <c r="L39" s="183">
        <f>전력요금표!$B$2</f>
        <v>8320</v>
      </c>
      <c r="N39" s="183">
        <f>G39+본전력량!G39</f>
        <v>2959152.0000000051</v>
      </c>
    </row>
    <row r="40" spans="2:14">
      <c r="B40" s="184" t="s">
        <v>26</v>
      </c>
      <c r="C40" s="184" t="s">
        <v>14</v>
      </c>
      <c r="D40" s="183">
        <f>(SUMIFS(신설전력량계!E:E,신설전력량계!B:B,B:B,신설전력량계!C:C,C:C)-SUMIFS(신설전력량계!D:D,신설전력량계!B:B,B:B,신설전력량계!C:C,C:C))*$H$40</f>
        <v>312672</v>
      </c>
      <c r="E40" s="183">
        <f>(SUMIFS(신설전력량계!G:G,신설전력량계!B:B,B:B,신설전력량계!C:C,C:C)-SUMIFS(신설전력량계!F:F,신설전력량계!B:B,B:B,신설전력량계!C:C,C:C))*$H$40</f>
        <v>197616</v>
      </c>
      <c r="F40" s="183">
        <f>(SUMIFS(신설전력량계!I:I,신설전력량계!B:B,B:B,신설전력량계!C:C,C:C)-SUMIFS(신설전력량계!H:H,신설전력량계!B:B,B:B,신설전력량계!C:C,C:C))*H40</f>
        <v>110447.99999999999</v>
      </c>
      <c r="G40" s="183">
        <f t="shared" si="0"/>
        <v>620736</v>
      </c>
      <c r="H40" s="172">
        <v>4800</v>
      </c>
      <c r="J40" s="183">
        <f>ROUND(PEAK적용값!$J$3,0)</f>
        <v>11448</v>
      </c>
      <c r="K40" s="183">
        <v>97</v>
      </c>
      <c r="L40" s="183">
        <f>전력요금표!$B$2</f>
        <v>8320</v>
      </c>
    </row>
    <row r="41" spans="2:14">
      <c r="B41" s="184" t="s">
        <v>26</v>
      </c>
      <c r="C41" s="184" t="s">
        <v>15</v>
      </c>
      <c r="D41" s="183">
        <f>(SUMIFS(신설전력량계!E:E,신설전력량계!B:B,B:B,신설전력량계!C:C,C:C)-SUMIFS(신설전력량계!D:D,신설전력량계!B:B,B:B,신설전력량계!C:C,C:C))*$H$41</f>
        <v>241440</v>
      </c>
      <c r="E41" s="183">
        <f>(SUMIFS(신설전력량계!G:G,신설전력량계!B:B,B:B,신설전력량계!C:C,C:C)-SUMIFS(신설전력량계!F:F,신설전력량계!B:B,B:B,신설전력량계!C:C,C:C))*$H$41</f>
        <v>159167.99999999997</v>
      </c>
      <c r="F41" s="183">
        <f>(SUMIFS(신설전력량계!I:I,신설전력량계!B:B,B:B,신설전력량계!C:C,C:C)-SUMIFS(신설전력량계!H:H,신설전력량계!B:B,B:B,신설전력량계!C:C,C:C))*H41</f>
        <v>89232.000000000015</v>
      </c>
      <c r="G41" s="183">
        <f t="shared" si="0"/>
        <v>489840</v>
      </c>
      <c r="H41" s="172">
        <v>4800</v>
      </c>
      <c r="J41" s="183">
        <f>ROUND(PEAK적용값!$J$3,0)</f>
        <v>11448</v>
      </c>
      <c r="K41" s="183">
        <v>97</v>
      </c>
      <c r="L41" s="183">
        <f>전력요금표!$B$2</f>
        <v>8320</v>
      </c>
    </row>
    <row r="42" spans="2:14">
      <c r="B42" s="184" t="s">
        <v>26</v>
      </c>
      <c r="C42" s="184" t="s">
        <v>16</v>
      </c>
      <c r="D42" s="183">
        <f>(SUMIFS(신설전력량계!E:E,신설전력량계!B:B,B:B,신설전력량계!C:C,C:C)-SUMIFS(신설전력량계!D:D,신설전력량계!B:B,B:B,신설전력량계!C:C,C:C))*$H$42</f>
        <v>360144</v>
      </c>
      <c r="E42" s="183">
        <f>(SUMIFS(신설전력량계!G:G,신설전력량계!B:B,B:B,신설전력량계!C:C,C:C)-SUMIFS(신설전력량계!F:F,신설전력량계!B:B,B:B,신설전력량계!C:C,C:C))*$H$42</f>
        <v>200447.99999999994</v>
      </c>
      <c r="F42" s="183">
        <f>(SUMIFS(신설전력량계!I:I,신설전력량계!B:B,B:B,신설전력량계!C:C,C:C)-SUMIFS(신설전력량계!H:H,신설전력량계!B:B,B:B,신설전력량계!C:C,C:C))*H42</f>
        <v>103056</v>
      </c>
      <c r="G42" s="183">
        <f t="shared" si="0"/>
        <v>663648</v>
      </c>
      <c r="H42" s="172">
        <v>4800</v>
      </c>
      <c r="J42" s="183">
        <f>ROUND(PEAK적용값!$J$3,0)</f>
        <v>11448</v>
      </c>
      <c r="K42" s="183">
        <v>97</v>
      </c>
      <c r="L42" s="183">
        <f>전력요금표!$B$2</f>
        <v>8320</v>
      </c>
    </row>
    <row r="43" spans="2:14">
      <c r="B43" s="184" t="s">
        <v>26</v>
      </c>
      <c r="C43" s="184" t="s">
        <v>17</v>
      </c>
      <c r="D43" s="183">
        <f>(SUMIFS(신설전력량계!E:E,신설전력량계!B:B,B:B,신설전력량계!C:C,C:C)-SUMIFS(신설전력량계!D:D,신설전력량계!B:B,B:B,신설전력량계!C:C,C:C))*$H$43</f>
        <v>311040.00000000006</v>
      </c>
      <c r="E43" s="183">
        <f>(SUMIFS(신설전력량계!G:G,신설전력량계!B:B,B:B,신설전력량계!C:C,C:C)-SUMIFS(신설전력량계!F:F,신설전력량계!B:B,B:B,신설전력량계!C:C,C:C))*$H$43</f>
        <v>213936.00000000012</v>
      </c>
      <c r="F43" s="183">
        <f>(SUMIFS(신설전력량계!I:I,신설전력량계!B:B,B:B,신설전력량계!C:C,C:C)-SUMIFS(신설전력량계!H:H,신설전력량계!B:B,B:B,신설전력량계!C:C,C:C))*H43</f>
        <v>124560.00000000001</v>
      </c>
      <c r="G43" s="183">
        <f t="shared" si="0"/>
        <v>649536.00000000023</v>
      </c>
      <c r="H43" s="172">
        <v>4800</v>
      </c>
      <c r="J43" s="183">
        <f>ROUND(PEAK적용값!$J$3,0)</f>
        <v>11448</v>
      </c>
      <c r="K43" s="183">
        <v>97</v>
      </c>
      <c r="L43" s="183">
        <f>전력요금표!$B$2</f>
        <v>8320</v>
      </c>
    </row>
    <row r="44" spans="2:14">
      <c r="B44" s="184" t="s">
        <v>26</v>
      </c>
      <c r="C44" s="184" t="s">
        <v>18</v>
      </c>
      <c r="D44" s="183">
        <f>(SUMIFS(신설전력량계!E:E,신설전력량계!B:B,B:B,신설전력량계!C:C,C:C)-SUMIFS(신설전력량계!D:D,신설전력량계!B:B,B:B,신설전력량계!C:C,C:C))*$H$44</f>
        <v>0</v>
      </c>
      <c r="E44" s="183">
        <f>(SUMIFS(신설전력량계!G:G,신설전력량계!B:B,B:B,신설전력량계!C:C,C:C)-SUMIFS(신설전력량계!F:F,신설전력량계!B:B,B:B,신설전력량계!C:C,C:C))*$H$44</f>
        <v>0</v>
      </c>
      <c r="F44" s="183">
        <f>(SUMIFS(신설전력량계!I:I,신설전력량계!B:B,B:B,신설전력량계!C:C,C:C)-SUMIFS(신설전력량계!H:H,신설전력량계!B:B,B:B,신설전력량계!C:C,C:C))*H44</f>
        <v>0</v>
      </c>
      <c r="G44" s="183">
        <f t="shared" si="0"/>
        <v>0</v>
      </c>
      <c r="H44" s="172">
        <v>4800</v>
      </c>
      <c r="J44" s="183">
        <f>ROUND(PEAK적용값!$J$3,0)</f>
        <v>11448</v>
      </c>
      <c r="K44" s="183">
        <v>97</v>
      </c>
      <c r="L44" s="183">
        <f>전력요금표!$B$2</f>
        <v>8320</v>
      </c>
    </row>
    <row r="45" spans="2:14">
      <c r="B45" s="184" t="s">
        <v>26</v>
      </c>
      <c r="C45" s="184" t="s">
        <v>19</v>
      </c>
      <c r="D45" s="183">
        <f>(SUMIFS(신설전력량계!E:E,신설전력량계!B:B,B:B,신설전력량계!C:C,C:C)-SUMIFS(신설전력량계!D:D,신설전력량계!B:B,B:B,신설전력량계!C:C,C:C))*$H$45</f>
        <v>0</v>
      </c>
      <c r="E45" s="183">
        <f>(SUMIFS(신설전력량계!G:G,신설전력량계!B:B,B:B,신설전력량계!C:C,C:C)-SUMIFS(신설전력량계!F:F,신설전력량계!B:B,B:B,신설전력량계!C:C,C:C))*$H$45</f>
        <v>0</v>
      </c>
      <c r="F45" s="183">
        <f>(SUMIFS(신설전력량계!I:I,신설전력량계!B:B,B:B,신설전력량계!C:C,C:C)-SUMIFS(신설전력량계!H:H,신설전력량계!B:B,B:B,신설전력량계!C:C,C:C))*H45</f>
        <v>0</v>
      </c>
      <c r="G45" s="183">
        <f t="shared" si="0"/>
        <v>0</v>
      </c>
      <c r="H45" s="172">
        <v>4800</v>
      </c>
      <c r="J45" s="183">
        <f>ROUND(PEAK적용값!$J$3,0)</f>
        <v>11448</v>
      </c>
      <c r="K45" s="183">
        <v>97</v>
      </c>
      <c r="L45" s="183">
        <f>전력요금표!$B$2</f>
        <v>8320</v>
      </c>
    </row>
    <row r="46" spans="2:14">
      <c r="B46" s="184" t="s">
        <v>26</v>
      </c>
      <c r="C46" s="184" t="s">
        <v>20</v>
      </c>
      <c r="D46" s="183">
        <f>(SUMIFS(신설전력량계!E:E,신설전력량계!B:B,B:B,신설전력량계!C:C,C:C)-SUMIFS(신설전력량계!D:D,신설전력량계!B:B,B:B,신설전력량계!C:C,C:C))*$H$46</f>
        <v>0</v>
      </c>
      <c r="E46" s="183">
        <f>(SUMIFS(신설전력량계!G:G,신설전력량계!B:B,B:B,신설전력량계!C:C,C:C)-SUMIFS(신설전력량계!F:F,신설전력량계!B:B,B:B,신설전력량계!C:C,C:C))*$H$46</f>
        <v>0</v>
      </c>
      <c r="F46" s="183">
        <f>(SUMIFS(신설전력량계!I:I,신설전력량계!B:B,B:B,신설전력량계!C:C,C:C)-SUMIFS(신설전력량계!H:H,신설전력량계!B:B,B:B,신설전력량계!C:C,C:C))*H46</f>
        <v>0</v>
      </c>
      <c r="G46" s="183">
        <f t="shared" si="0"/>
        <v>0</v>
      </c>
      <c r="H46" s="172">
        <v>4800</v>
      </c>
      <c r="J46" s="183">
        <f>ROUND(PEAK적용값!$J$3,0)</f>
        <v>11448</v>
      </c>
      <c r="K46" s="183">
        <v>97</v>
      </c>
      <c r="L46" s="183">
        <f>전력요금표!$B$2</f>
        <v>8320</v>
      </c>
    </row>
    <row r="47" spans="2:14">
      <c r="B47" s="184" t="s">
        <v>26</v>
      </c>
      <c r="C47" s="184" t="s">
        <v>21</v>
      </c>
      <c r="D47" s="183">
        <f>(SUMIFS(신설전력량계!E:E,신설전력량계!B:B,B:B,신설전력량계!C:C,C:C)-SUMIFS(신설전력량계!D:D,신설전력량계!B:B,B:B,신설전력량계!C:C,C:C))*$H$47</f>
        <v>0</v>
      </c>
      <c r="E47" s="183">
        <f>(SUMIFS(신설전력량계!G:G,신설전력량계!B:B,B:B,신설전력량계!C:C,C:C)-SUMIFS(신설전력량계!F:F,신설전력량계!B:B,B:B,신설전력량계!C:C,C:C))*$H$47</f>
        <v>0</v>
      </c>
      <c r="F47" s="183">
        <f>(SUMIFS(신설전력량계!I:I,신설전력량계!B:B,B:B,신설전력량계!C:C,C:C)-SUMIFS(신설전력량계!H:H,신설전력량계!B:B,B:B,신설전력량계!C:C,C:C))*H47</f>
        <v>0</v>
      </c>
      <c r="G47" s="183">
        <f t="shared" si="0"/>
        <v>0</v>
      </c>
      <c r="H47" s="172">
        <v>4800</v>
      </c>
      <c r="J47" s="183">
        <f>ROUND(PEAK적용값!$J$3,0)</f>
        <v>11448</v>
      </c>
      <c r="K47" s="183">
        <v>97</v>
      </c>
      <c r="L47" s="183">
        <f>전력요금표!$B$2</f>
        <v>8320</v>
      </c>
    </row>
    <row r="48" spans="2:14">
      <c r="B48" s="184" t="s">
        <v>26</v>
      </c>
      <c r="C48" s="184" t="s">
        <v>22</v>
      </c>
      <c r="D48" s="183">
        <f>(SUMIFS(신설전력량계!E:E,신설전력량계!B:B,B:B,신설전력량계!C:C,C:C)-SUMIFS(신설전력량계!D:D,신설전력량계!B:B,B:B,신설전력량계!C:C,C:C))*$H$48</f>
        <v>0</v>
      </c>
      <c r="E48" s="183">
        <f>(SUMIFS(신설전력량계!G:G,신설전력량계!B:B,B:B,신설전력량계!C:C,C:C)-SUMIFS(신설전력량계!F:F,신설전력량계!B:B,B:B,신설전력량계!C:C,C:C))*$H$48</f>
        <v>0</v>
      </c>
      <c r="F48" s="183">
        <f>(SUMIFS(신설전력량계!I:I,신설전력량계!B:B,B:B,신설전력량계!C:C,C:C)-SUMIFS(신설전력량계!H:H,신설전력량계!B:B,B:B,신설전력량계!C:C,C:C))*H48</f>
        <v>0</v>
      </c>
      <c r="G48" s="183">
        <f t="shared" si="0"/>
        <v>0</v>
      </c>
      <c r="H48" s="172">
        <v>4800</v>
      </c>
      <c r="J48" s="183">
        <f>ROUND(PEAK적용값!$J$3,0)</f>
        <v>11448</v>
      </c>
      <c r="K48" s="183">
        <v>97</v>
      </c>
      <c r="L48" s="183">
        <f>전력요금표!$B$2</f>
        <v>8320</v>
      </c>
    </row>
    <row r="49" spans="2:12">
      <c r="B49" s="184" t="s">
        <v>26</v>
      </c>
      <c r="C49" s="184" t="s">
        <v>23</v>
      </c>
      <c r="D49" s="183">
        <f>(SUMIFS(신설전력량계!E:E,신설전력량계!B:B,B:B,신설전력량계!C:C,C:C)-SUMIFS(신설전력량계!D:D,신설전력량계!B:B,B:B,신설전력량계!C:C,C:C))*H49</f>
        <v>0</v>
      </c>
      <c r="E49" s="183">
        <f>(SUMIFS(신설전력량계!G:G,신설전력량계!B:B,B:B,신설전력량계!C:C,C:C)-SUMIFS(신설전력량계!F:F,신설전력량계!B:B,B:B,신설전력량계!C:C,C:C))*H49</f>
        <v>0</v>
      </c>
      <c r="F49" s="183">
        <f>(SUMIFS(신설전력량계!I:I,신설전력량계!B:B,B:B,신설전력량계!C:C,C:C)-SUMIFS(신설전력량계!H:H,신설전력량계!B:B,B:B,신설전력량계!C:C,C:C))*H49</f>
        <v>0</v>
      </c>
      <c r="G49" s="183">
        <f t="shared" si="0"/>
        <v>0</v>
      </c>
      <c r="H49" s="172">
        <v>4800</v>
      </c>
      <c r="J49" s="183">
        <f>ROUND(PEAK적용값!$J$3,0)</f>
        <v>11448</v>
      </c>
      <c r="K49" s="183">
        <v>97</v>
      </c>
      <c r="L49" s="183">
        <f>전력요금표!$B$2</f>
        <v>8320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1"/>
  <sheetViews>
    <sheetView topLeftCell="A22" workbookViewId="0">
      <selection activeCell="D43" sqref="D43:G44"/>
    </sheetView>
  </sheetViews>
  <sheetFormatPr defaultRowHeight="16.5"/>
  <cols>
    <col min="1" max="5" width="9" style="75"/>
    <col min="6" max="6" width="9.25" style="75" bestFit="1" customWidth="1"/>
    <col min="7" max="7" width="9" style="75" customWidth="1"/>
    <col min="8" max="8" width="9" style="81"/>
    <col min="9" max="9" width="10" style="81" customWidth="1"/>
    <col min="10" max="11" width="10.125" style="75" customWidth="1"/>
    <col min="12" max="12" width="10.5" style="75" bestFit="1" customWidth="1"/>
    <col min="13" max="13" width="9" style="75"/>
    <col min="14" max="15" width="9" style="75" customWidth="1"/>
    <col min="16" max="16" width="10.25" style="75" customWidth="1"/>
    <col min="17" max="17" width="10.5" style="75" customWidth="1"/>
    <col min="18" max="18" width="10.875" style="75" customWidth="1"/>
    <col min="19" max="16384" width="9" style="75"/>
  </cols>
  <sheetData>
    <row r="1" spans="2:18" ht="33">
      <c r="B1" s="76" t="s">
        <v>1</v>
      </c>
      <c r="C1" s="76" t="s">
        <v>3</v>
      </c>
      <c r="D1" s="76" t="s">
        <v>187</v>
      </c>
      <c r="E1" s="76" t="s">
        <v>11</v>
      </c>
      <c r="F1" s="76" t="s">
        <v>12</v>
      </c>
      <c r="G1" s="76" t="s">
        <v>156</v>
      </c>
      <c r="H1" s="71" t="s">
        <v>92</v>
      </c>
      <c r="I1" s="91" t="s">
        <v>186</v>
      </c>
      <c r="J1" s="91" t="s">
        <v>188</v>
      </c>
      <c r="K1" s="91" t="s">
        <v>189</v>
      </c>
      <c r="L1" s="82" t="s">
        <v>181</v>
      </c>
      <c r="M1" s="82" t="s">
        <v>182</v>
      </c>
      <c r="N1" s="82" t="s">
        <v>183</v>
      </c>
      <c r="O1" s="82" t="s">
        <v>184</v>
      </c>
      <c r="P1" s="82" t="s">
        <v>210</v>
      </c>
      <c r="Q1" s="4" t="s">
        <v>185</v>
      </c>
      <c r="R1" s="4" t="s">
        <v>209</v>
      </c>
    </row>
    <row r="2" spans="2:18">
      <c r="B2" s="76" t="s">
        <v>8</v>
      </c>
      <c r="C2" s="76" t="s">
        <v>9</v>
      </c>
      <c r="D2" s="80">
        <f>(SUMIFS(ESS전력량계!E:E,ESS전력량계!B:B,B:B,ESS전력량계!C:C,C:C)-SUMIFS(ESS전력량계!D:D,ESS전력량계!B:B,B:B,ESS전력량계!C:C,C:C))*H2</f>
        <v>0</v>
      </c>
      <c r="E2" s="80">
        <f>(SUMIFS(ESS전력량계!G:G,ESS전력량계!B:B,B:B,ESS전력량계!C:C,C:C)-SUMIFS(ESS전력량계!F:F,ESS전력량계!B:B,B:B,ESS전력량계!C:C,C:C))*H2</f>
        <v>0</v>
      </c>
      <c r="F2" s="80">
        <f>(SUMIFS(ESS전력량계!I:I,ESS전력량계!B:B,B:B,ESS전력량계!C:C,C:C)-SUMIFS(ESS전력량계!H:H,ESS전력량계!B:B,B:B,ESS전력량계!C:C,C:C))*H2</f>
        <v>0</v>
      </c>
      <c r="G2" s="80">
        <f t="shared" ref="G2:G8" si="0">SUM(D2:F2)</f>
        <v>0</v>
      </c>
      <c r="H2" s="81">
        <v>1736</v>
      </c>
      <c r="I2" s="81">
        <v>3.6999999999999998E-2</v>
      </c>
      <c r="J2" s="81"/>
      <c r="K2" s="81"/>
    </row>
    <row r="3" spans="2:18">
      <c r="B3" s="76" t="s">
        <v>8</v>
      </c>
      <c r="C3" s="76" t="s">
        <v>13</v>
      </c>
      <c r="D3" s="80">
        <f>(SUMIFS(ESS전력량계!E:E,ESS전력량계!B:B,B:B,ESS전력량계!C:C,C:C)-SUMIFS(ESS전력량계!D:D,ESS전력량계!B:B,B:B,ESS전력량계!C:C,C:C))*H3</f>
        <v>0</v>
      </c>
      <c r="E3" s="80">
        <f>(SUMIFS(ESS전력량계!G:G,ESS전력량계!B:B,B:B,ESS전력량계!C:C,C:C)-SUMIFS(ESS전력량계!F:F,ESS전력량계!B:B,B:B,ESS전력량계!C:C,C:C))*H3</f>
        <v>0</v>
      </c>
      <c r="F3" s="80">
        <f>(SUMIFS(ESS전력량계!I:I,ESS전력량계!B:B,B:B,ESS전력량계!C:C,C:C)-SUMIFS(ESS전력량계!H:H,ESS전력량계!B:B,B:B,ESS전력량계!C:C,C:C))*H3</f>
        <v>0</v>
      </c>
      <c r="G3" s="80">
        <f t="shared" si="0"/>
        <v>0</v>
      </c>
      <c r="H3" s="81">
        <v>1736</v>
      </c>
      <c r="I3" s="81">
        <v>3.6999999999999998E-2</v>
      </c>
      <c r="J3" s="81"/>
      <c r="K3" s="81"/>
    </row>
    <row r="4" spans="2:18">
      <c r="B4" s="76" t="s">
        <v>8</v>
      </c>
      <c r="C4" s="76" t="s">
        <v>14</v>
      </c>
      <c r="D4" s="80">
        <f>(SUMIFS(ESS전력량계!E:E,ESS전력량계!B:B,B:B,ESS전력량계!C:C,C:C)-SUMIFS(ESS전력량계!D:D,ESS전력량계!B:B,B:B,ESS전력량계!C:C,C:C))*H4</f>
        <v>0</v>
      </c>
      <c r="E4" s="80">
        <f>(SUMIFS(ESS전력량계!G:G,ESS전력량계!B:B,B:B,ESS전력량계!C:C,C:C)-SUMIFS(ESS전력량계!F:F,ESS전력량계!B:B,B:B,ESS전력량계!C:C,C:C))*H4</f>
        <v>0</v>
      </c>
      <c r="F4" s="80">
        <f>(SUMIFS(ESS전력량계!I:I,ESS전력량계!B:B,B:B,ESS전력량계!C:C,C:C)-SUMIFS(ESS전력량계!H:H,ESS전력량계!B:B,B:B,ESS전력량계!C:C,C:C))*H4</f>
        <v>0</v>
      </c>
      <c r="G4" s="80">
        <f t="shared" si="0"/>
        <v>0</v>
      </c>
      <c r="H4" s="81">
        <v>1736</v>
      </c>
      <c r="I4" s="81">
        <v>3.6999999999999998E-2</v>
      </c>
      <c r="J4" s="81"/>
      <c r="K4" s="81"/>
    </row>
    <row r="5" spans="2:18">
      <c r="B5" s="76" t="s">
        <v>8</v>
      </c>
      <c r="C5" s="76" t="s">
        <v>15</v>
      </c>
      <c r="D5" s="80">
        <f>(SUMIFS(ESS전력량계!E:E,ESS전력량계!B:B,B:B,ESS전력량계!C:C,C:C)-SUMIFS(ESS전력량계!D:D,ESS전력량계!B:B,B:B,ESS전력량계!C:C,C:C))*H5</f>
        <v>0</v>
      </c>
      <c r="E5" s="80">
        <f>(SUMIFS(ESS전력량계!G:G,ESS전력량계!B:B,B:B,ESS전력량계!C:C,C:C)-SUMIFS(ESS전력량계!F:F,ESS전력량계!B:B,B:B,ESS전력량계!C:C,C:C))*H5</f>
        <v>0</v>
      </c>
      <c r="F5" s="80">
        <f>(SUMIFS(ESS전력량계!I:I,ESS전력량계!B:B,B:B,ESS전력량계!C:C,C:C)-SUMIFS(ESS전력량계!H:H,ESS전력량계!B:B,B:B,ESS전력량계!C:C,C:C))*H5</f>
        <v>0</v>
      </c>
      <c r="G5" s="80">
        <f t="shared" si="0"/>
        <v>0</v>
      </c>
      <c r="H5" s="81">
        <v>1736</v>
      </c>
      <c r="I5" s="81">
        <v>3.6999999999999998E-2</v>
      </c>
      <c r="J5" s="81"/>
      <c r="K5" s="81"/>
    </row>
    <row r="6" spans="2:18">
      <c r="B6" s="76" t="s">
        <v>8</v>
      </c>
      <c r="C6" s="76" t="s">
        <v>16</v>
      </c>
      <c r="D6" s="80">
        <f>(SUMIFS(ESS전력량계!E:E,ESS전력량계!B:B,B:B,ESS전력량계!C:C,C:C)-SUMIFS(ESS전력량계!D:D,ESS전력량계!B:B,B:B,ESS전력량계!C:C,C:C))*H6</f>
        <v>0</v>
      </c>
      <c r="E6" s="80">
        <f>(SUMIFS(ESS전력량계!G:G,ESS전력량계!B:B,B:B,ESS전력량계!C:C,C:C)-SUMIFS(ESS전력량계!F:F,ESS전력량계!B:B,B:B,ESS전력량계!C:C,C:C))*H6</f>
        <v>0</v>
      </c>
      <c r="F6" s="80">
        <f>(SUMIFS(ESS전력량계!I:I,ESS전력량계!B:B,B:B,ESS전력량계!C:C,C:C)-SUMIFS(ESS전력량계!H:H,ESS전력량계!B:B,B:B,ESS전력량계!C:C,C:C))*H6</f>
        <v>0</v>
      </c>
      <c r="G6" s="80">
        <f t="shared" si="0"/>
        <v>0</v>
      </c>
      <c r="H6" s="81">
        <v>1736</v>
      </c>
      <c r="I6" s="81">
        <v>3.6999999999999998E-2</v>
      </c>
      <c r="J6" s="81"/>
      <c r="K6" s="81"/>
    </row>
    <row r="7" spans="2:18">
      <c r="B7" s="76" t="s">
        <v>8</v>
      </c>
      <c r="C7" s="76" t="s">
        <v>17</v>
      </c>
      <c r="D7" s="80">
        <f>(SUMIFS(ESS전력량계!E:E,ESS전력량계!B:B,B:B,ESS전력량계!C:C,C:C)-SUMIFS(ESS전력량계!D:D,ESS전력량계!B:B,B:B,ESS전력량계!C:C,C:C))*H7</f>
        <v>0</v>
      </c>
      <c r="E7" s="80">
        <f>(SUMIFS(ESS전력량계!G:G,ESS전력량계!B:B,B:B,ESS전력량계!C:C,C:C)-SUMIFS(ESS전력량계!F:F,ESS전력량계!B:B,B:B,ESS전력량계!C:C,C:C))*H7</f>
        <v>0</v>
      </c>
      <c r="F7" s="80">
        <f>(SUMIFS(ESS전력량계!I:I,ESS전력량계!B:B,B:B,ESS전력량계!C:C,C:C)-SUMIFS(ESS전력량계!H:H,ESS전력량계!B:B,B:B,ESS전력량계!C:C,C:C))*H7</f>
        <v>0</v>
      </c>
      <c r="G7" s="80">
        <f t="shared" si="0"/>
        <v>0</v>
      </c>
      <c r="H7" s="81">
        <v>1736</v>
      </c>
      <c r="I7" s="81">
        <v>3.6999999999999998E-2</v>
      </c>
      <c r="J7" s="81"/>
      <c r="K7" s="81"/>
    </row>
    <row r="8" spans="2:18">
      <c r="B8" s="76" t="s">
        <v>8</v>
      </c>
      <c r="C8" s="76" t="s">
        <v>18</v>
      </c>
      <c r="D8" s="80">
        <f>(SUMIFS(ESS전력량계!E:E,ESS전력량계!B:B,B:B,ESS전력량계!C:C,C:C)-SUMIFS(ESS전력량계!D:D,ESS전력량계!B:B,B:B,ESS전력량계!C:C,C:C))*H8</f>
        <v>176481.75999999998</v>
      </c>
      <c r="E8" s="80">
        <f>(SUMIFS(ESS전력량계!G:G,ESS전력량계!B:B,B:B,ESS전력량계!C:C,C:C)-SUMIFS(ESS전력량계!F:F,ESS전력량계!B:B,B:B,ESS전력량계!C:C,C:C))*H8</f>
        <v>2065.8399999999997</v>
      </c>
      <c r="F8" s="80">
        <f>(SUMIFS(ESS전력량계!I:I,ESS전력량계!B:B,B:B,ESS전력량계!C:C,C:C)-SUMIFS(ESS전력량계!H:H,ESS전력량계!B:B,B:B,ESS전력량계!C:C,C:C))*H8</f>
        <v>156.23999999999998</v>
      </c>
      <c r="G8" s="80">
        <f t="shared" si="0"/>
        <v>178703.83999999997</v>
      </c>
      <c r="H8" s="81">
        <v>1736</v>
      </c>
      <c r="I8" s="81">
        <v>3.6999999999999998E-2</v>
      </c>
      <c r="J8" s="81">
        <v>1.2</v>
      </c>
      <c r="K8" s="81">
        <v>0.1</v>
      </c>
      <c r="L8" s="75">
        <f>ROUND(SUMIFS(전력요금표!H:H,전력요금표!D:D,B:B,전력요금표!F:F,C:C,전력요금표!G:G,"경")*ROUND(D8,0)+SUMIFS(전력요금표!H:H,전력요금표!D:D,B:B,전력요금표!F:F,C:C,전력요금표!G:G,"중간")*ROUND(E8,0)+SUMIFS(전력요금표!H:H,전력요금표!D:D,B:B,전력요금표!F:F,C:C,전력요금표!G:G,"최대")*ROUND(F8,0),0)</f>
        <v>10155646</v>
      </c>
      <c r="M8" s="75">
        <f>ROUND(SUMIFS(전력요금표!I:I,전력요금표!D:D,B:B,전력요금표!F:F,C:C,전력요금표!G:G,"경")*ROUND(D8,0)*J8,0)</f>
        <v>5940384</v>
      </c>
      <c r="N8" s="75">
        <f>ROUND((L8-M8)*K8,0)</f>
        <v>421526</v>
      </c>
      <c r="O8" s="75">
        <f>ROUNDDOWN((L8-M8)*I8,-1)</f>
        <v>155960</v>
      </c>
      <c r="P8" s="100">
        <f>ROUNDDOWN(L8-M8+N8+O8,-1)</f>
        <v>4792740</v>
      </c>
      <c r="Q8" s="75">
        <f>P8-N8</f>
        <v>4371214</v>
      </c>
      <c r="R8" s="100">
        <f>ESS기본할인!M6</f>
        <v>60131055.483870968</v>
      </c>
    </row>
    <row r="9" spans="2:18">
      <c r="B9" s="76" t="s">
        <v>8</v>
      </c>
      <c r="C9" s="76" t="s">
        <v>19</v>
      </c>
      <c r="D9" s="80">
        <f>(SUMIFS(ESS전력량계!E:E,ESS전력량계!B:B,B:B,ESS전력량계!C:C,C:C)-SUMIFS(ESS전력량계!D:D,ESS전력량계!B:B,B:B,ESS전력량계!C:C,C:C))*H9</f>
        <v>237137.59999999998</v>
      </c>
      <c r="E9" s="80">
        <f>(SUMIFS(ESS전력량계!G:G,ESS전력량계!B:B,B:B,ESS전력량계!C:C,C:C)-SUMIFS(ESS전력량계!F:F,ESS전력량계!B:B,B:B,ESS전력량계!C:C,C:C))*H9</f>
        <v>798.56</v>
      </c>
      <c r="F9" s="80">
        <f>(SUMIFS(ESS전력량계!I:I,ESS전력량계!B:B,B:B,ESS전력량계!C:C,C:C)-SUMIFS(ESS전력량계!H:H,ESS전력량계!B:B,B:B,ESS전력량계!C:C,C:C))*H9</f>
        <v>0</v>
      </c>
      <c r="G9" s="80">
        <f>SUM(D9:F9)</f>
        <v>237936.15999999997</v>
      </c>
      <c r="H9" s="81">
        <v>1736</v>
      </c>
      <c r="I9" s="81">
        <v>3.6999999999999998E-2</v>
      </c>
      <c r="J9" s="81">
        <v>1.2</v>
      </c>
      <c r="K9" s="81">
        <v>0.1</v>
      </c>
      <c r="L9" s="75">
        <f>ROUND(SUMIFS(전력요금표!H:H,전력요금표!D:D,B:B,전력요금표!F:F,C:C,전력요금표!G:G,"경")*ROUND(D9,0)+SUMIFS(전력요금표!H:H,전력요금표!D:D,B:B,전력요금표!F:F,C:C,전력요금표!G:G,"중간")*ROUND(E9,0)+SUMIFS(전력요금표!H:H,전력요금표!D:D,B:B,전력요금표!F:F,C:C,전력요금표!G:G,"최대")*ROUND(F9,0),0)</f>
        <v>13390533</v>
      </c>
      <c r="M9" s="75">
        <f>ROUND(SUMIFS(전력요금표!I:I,전력요금표!D:D,B:B,전력요금표!F:F,C:C,전력요금표!G:G,"경")*ROUND(D9,0)*J9,0)</f>
        <v>7982065</v>
      </c>
      <c r="N9" s="75">
        <f t="shared" ref="N9:N37" si="1">ROUND((L9-M9)*K9,0)</f>
        <v>540847</v>
      </c>
      <c r="O9" s="75">
        <f t="shared" ref="O9:O37" si="2">ROUNDDOWN((L9-M9)*I9,-1)</f>
        <v>200110</v>
      </c>
      <c r="P9" s="100">
        <f t="shared" ref="P9:P37" si="3">ROUNDDOWN(L9-M9+N9+O9,-1)</f>
        <v>6149420</v>
      </c>
      <c r="Q9" s="75">
        <f t="shared" ref="Q9:Q49" si="4">P9-N9</f>
        <v>5608573</v>
      </c>
      <c r="R9" s="100">
        <f>ESS기본할인!M7</f>
        <v>80600831.999999985</v>
      </c>
    </row>
    <row r="10" spans="2:18">
      <c r="B10" s="76" t="s">
        <v>8</v>
      </c>
      <c r="C10" s="76" t="s">
        <v>20</v>
      </c>
      <c r="D10" s="80">
        <f>(SUMIFS(ESS전력량계!E:E,ESS전력량계!B:B,B:B,ESS전력량계!C:C,C:C)-SUMIFS(ESS전력량계!D:D,ESS전력량계!B:B,B:B,ESS전력량계!C:C,C:C))*H10</f>
        <v>214552.24000000005</v>
      </c>
      <c r="E10" s="80">
        <f>(SUMIFS(ESS전력량계!G:G,ESS전력량계!B:B,B:B,ESS전력량계!C:C,C:C)-SUMIFS(ESS전력량계!F:F,ESS전력량계!B:B,B:B,ESS전력량계!C:C,C:C))*H10</f>
        <v>694.39999999999986</v>
      </c>
      <c r="F10" s="80">
        <f>(SUMIFS(ESS전력량계!I:I,ESS전력량계!B:B,B:B,ESS전력량계!C:C,C:C)-SUMIFS(ESS전력량계!H:H,ESS전력량계!B:B,B:B,ESS전력량계!C:C,C:C))*H10</f>
        <v>17.360000000000014</v>
      </c>
      <c r="G10" s="80">
        <f t="shared" ref="G10:G49" si="5">SUM(D10:F10)</f>
        <v>215264.00000000003</v>
      </c>
      <c r="H10" s="81">
        <v>1736</v>
      </c>
      <c r="I10" s="81">
        <v>3.6999999999999998E-2</v>
      </c>
      <c r="J10" s="81">
        <v>1.2</v>
      </c>
      <c r="K10" s="81">
        <v>0.1</v>
      </c>
      <c r="L10" s="75">
        <f>ROUND(SUMIFS(전력요금표!H:H,전력요금표!D:D,B:B,전력요금표!F:F,C:C,전력요금표!G:G,"경")*ROUND(D10,0)+SUMIFS(전력요금표!H:H,전력요금표!D:D,B:B,전력요금표!F:F,C:C,전력요금표!G:G,"중간")*ROUND(E10,0)+SUMIFS(전력요금표!H:H,전력요금표!D:D,B:B,전력요금표!F:F,C:C,전력요금표!G:G,"최대")*ROUND(F10,0),0)</f>
        <v>12092774</v>
      </c>
      <c r="M10" s="75">
        <f>ROUND(SUMIFS(전력요금표!I:I,전력요금표!D:D,B:B,전력요금표!F:F,C:C,전력요금표!G:G,"경")*ROUND(D10,0)*J10,0)</f>
        <v>7221820</v>
      </c>
      <c r="N10" s="75">
        <f t="shared" si="1"/>
        <v>487095</v>
      </c>
      <c r="O10" s="75">
        <f t="shared" si="2"/>
        <v>180220</v>
      </c>
      <c r="P10" s="100">
        <f t="shared" si="3"/>
        <v>5538260</v>
      </c>
      <c r="Q10" s="75">
        <f t="shared" si="4"/>
        <v>5051165</v>
      </c>
      <c r="R10" s="100">
        <f>ESS기본할인!M8</f>
        <v>88508160</v>
      </c>
    </row>
    <row r="11" spans="2:18">
      <c r="B11" s="76" t="s">
        <v>8</v>
      </c>
      <c r="C11" s="76" t="s">
        <v>21</v>
      </c>
      <c r="D11" s="80">
        <f>(SUMIFS(ESS전력량계!E:E,ESS전력량계!B:B,B:B,ESS전력량계!C:C,C:C)-SUMIFS(ESS전력량계!D:D,ESS전력량계!B:B,B:B,ESS전력량계!C:C,C:C))*H11</f>
        <v>243526.07999999996</v>
      </c>
      <c r="E11" s="80">
        <f>(SUMIFS(ESS전력량계!G:G,ESS전력량계!B:B,B:B,ESS전력량계!C:C,C:C)-SUMIFS(ESS전력량계!F:F,ESS전력량계!B:B,B:B,ESS전력량계!C:C,C:C))*H11</f>
        <v>833.28</v>
      </c>
      <c r="F11" s="80">
        <f>(SUMIFS(ESS전력량계!I:I,ESS전력량계!B:B,B:B,ESS전력량계!C:C,C:C)-SUMIFS(ESS전력량계!H:H,ESS전력량계!B:B,B:B,ESS전력량계!C:C,C:C))*H11</f>
        <v>52.08</v>
      </c>
      <c r="G11" s="80">
        <f t="shared" si="5"/>
        <v>244411.43999999994</v>
      </c>
      <c r="H11" s="81">
        <v>1736</v>
      </c>
      <c r="I11" s="81">
        <v>3.6999999999999998E-2</v>
      </c>
      <c r="J11" s="81">
        <v>1.2</v>
      </c>
      <c r="K11" s="81">
        <v>0.1</v>
      </c>
      <c r="L11" s="75">
        <f>ROUND(SUMIFS(전력요금표!H:H,전력요금표!D:D,B:B,전력요금표!F:F,C:C,전력요금표!G:G,"경")*ROUND(D11,0)+SUMIFS(전력요금표!H:H,전력요금표!D:D,B:B,전력요금표!F:F,C:C,전력요금표!G:G,"중간")*ROUND(E11,0)+SUMIFS(전력요금표!H:H,전력요금표!D:D,B:B,전력요금표!F:F,C:C,전력요금표!G:G,"최대")*ROUND(F11,0),0)</f>
        <v>13732966</v>
      </c>
      <c r="M11" s="75">
        <f>ROUND(SUMIFS(전력요금표!I:I,전력요금표!D:D,B:B,전력요금표!F:F,C:C,전력요금표!G:G,"경")*ROUND(D11,0)*J11,0)</f>
        <v>8197085</v>
      </c>
      <c r="N11" s="75">
        <f t="shared" si="1"/>
        <v>553588</v>
      </c>
      <c r="O11" s="75">
        <f t="shared" si="2"/>
        <v>204820</v>
      </c>
      <c r="P11" s="100">
        <f t="shared" si="3"/>
        <v>6294280</v>
      </c>
      <c r="Q11" s="75">
        <f t="shared" si="4"/>
        <v>5740692</v>
      </c>
      <c r="R11" s="100">
        <f>ESS기본할인!M9</f>
        <v>88687871.999999985</v>
      </c>
    </row>
    <row r="12" spans="2:18">
      <c r="B12" s="76" t="s">
        <v>8</v>
      </c>
      <c r="C12" s="76" t="s">
        <v>22</v>
      </c>
      <c r="D12" s="80">
        <f>(SUMIFS(ESS전력량계!E:E,ESS전력량계!B:B,B:B,ESS전력량계!C:C,C:C)-SUMIFS(ESS전력량계!D:D,ESS전력량계!B:B,B:B,ESS전력량계!C:C,C:C))*H12</f>
        <v>252171.36</v>
      </c>
      <c r="E12" s="80">
        <f>(SUMIFS(ESS전력량계!G:G,ESS전력량계!B:B,B:B,ESS전력량계!C:C,C:C)-SUMIFS(ESS전력량계!F:F,ESS전력량계!B:B,B:B,ESS전력량계!C:C,C:C))*H12</f>
        <v>798.56000000000074</v>
      </c>
      <c r="F12" s="80">
        <f>(SUMIFS(ESS전력량계!I:I,ESS전력량계!B:B,B:B,ESS전력량계!C:C,C:C)-SUMIFS(ESS전력량계!H:H,ESS전력량계!B:B,B:B,ESS전력량계!C:C,C:C))*H12</f>
        <v>52.08</v>
      </c>
      <c r="G12" s="80">
        <f t="shared" si="5"/>
        <v>253021.99999999997</v>
      </c>
      <c r="H12" s="81">
        <v>1736</v>
      </c>
      <c r="I12" s="81">
        <v>3.6999999999999998E-2</v>
      </c>
      <c r="J12" s="81">
        <v>1.2</v>
      </c>
      <c r="K12" s="81">
        <v>0.1</v>
      </c>
      <c r="L12" s="75">
        <f>ROUND(SUMIFS(전력요금표!H:H,전력요금표!D:D,B:B,전력요금표!F:F,C:C,전력요금표!G:G,"경")*ROUND(D12,0)+SUMIFS(전력요금표!H:H,전력요금표!D:D,B:B,전력요금표!F:F,C:C,전력요금표!G:G,"중간")*ROUND(E12,0)+SUMIFS(전력요금표!H:H,전력요금표!D:D,B:B,전력요금표!F:F,C:C,전력요금표!G:G,"최대")*ROUND(F12,0),0)</f>
        <v>16007909</v>
      </c>
      <c r="M12" s="75">
        <f>ROUND(SUMIFS(전력요금표!I:I,전력요금표!D:D,B:B,전력요금표!F:F,C:C,전력요금표!G:G,"경")*ROUND(D12,0)*J12,0)</f>
        <v>9547194</v>
      </c>
      <c r="N12" s="75">
        <f t="shared" si="1"/>
        <v>646072</v>
      </c>
      <c r="O12" s="75">
        <f t="shared" si="2"/>
        <v>239040</v>
      </c>
      <c r="P12" s="100">
        <f t="shared" si="3"/>
        <v>7345820</v>
      </c>
      <c r="Q12" s="75">
        <f t="shared" si="4"/>
        <v>6699748</v>
      </c>
      <c r="R12" s="100">
        <f>ESS기본할인!M10</f>
        <v>88598016</v>
      </c>
    </row>
    <row r="13" spans="2:18">
      <c r="B13" s="76" t="s">
        <v>8</v>
      </c>
      <c r="C13" s="76" t="s">
        <v>23</v>
      </c>
      <c r="D13" s="80">
        <f>(SUMIFS(ESS전력량계!E:E,ESS전력량계!B:B,B:B,ESS전력량계!C:C,C:C)-SUMIFS(ESS전력량계!D:D,ESS전력량계!B:B,B:B,ESS전력량계!C:C,C:C))*H13</f>
        <v>229742.24000000005</v>
      </c>
      <c r="E13" s="80">
        <f>(SUMIFS(ESS전력량계!G:G,ESS전력량계!B:B,B:B,ESS전력량계!C:C,C:C)-SUMIFS(ESS전력량계!F:F,ESS전력량계!B:B,B:B,ESS전력량계!C:C,C:C))*H13</f>
        <v>781.19999999999959</v>
      </c>
      <c r="F13" s="80">
        <f>(SUMIFS(ESS전력량계!I:I,ESS전력량계!B:B,B:B,ESS전력량계!C:C,C:C)-SUMIFS(ESS전력량계!H:H,ESS전력량계!B:B,B:B,ESS전력량계!C:C,C:C))*H13</f>
        <v>52.08</v>
      </c>
      <c r="G13" s="80">
        <f t="shared" si="5"/>
        <v>230575.52000000005</v>
      </c>
      <c r="H13" s="81">
        <v>1736</v>
      </c>
      <c r="I13" s="81">
        <v>3.6999999999999998E-2</v>
      </c>
      <c r="J13" s="81">
        <v>1.2</v>
      </c>
      <c r="K13" s="81">
        <v>0.1</v>
      </c>
      <c r="L13" s="75">
        <f>ROUND(SUMIFS(전력요금표!H:H,전력요금표!D:D,B:B,전력요금표!F:F,C:C,전력요금표!G:G,"경")*ROUND(D13,0)+SUMIFS(전력요금표!H:H,전력요금표!D:D,B:B,전력요금표!F:F,C:C,전력요금표!G:G,"중간")*ROUND(E13,0)+SUMIFS(전력요금표!H:H,전력요금표!D:D,B:B,전력요금표!F:F,C:C,전력요금표!G:G,"최대")*ROUND(F13,0),0)</f>
        <v>14590674</v>
      </c>
      <c r="M13" s="75">
        <f>ROUND(SUMIFS(전력요금표!I:I,전력요금표!D:D,B:B,전력요금표!F:F,C:C,전력요금표!G:G,"경")*ROUND(D13,0)*J13,0)</f>
        <v>8698032</v>
      </c>
      <c r="N13" s="75">
        <f t="shared" si="1"/>
        <v>589264</v>
      </c>
      <c r="O13" s="75">
        <f t="shared" si="2"/>
        <v>218020</v>
      </c>
      <c r="P13" s="100">
        <f t="shared" si="3"/>
        <v>6699920</v>
      </c>
      <c r="Q13" s="75">
        <f t="shared" si="4"/>
        <v>6110656</v>
      </c>
      <c r="R13" s="100">
        <f>ESS기본할인!M11</f>
        <v>83805696</v>
      </c>
    </row>
    <row r="14" spans="2:18">
      <c r="B14" s="76" t="s">
        <v>24</v>
      </c>
      <c r="C14" s="76" t="s">
        <v>9</v>
      </c>
      <c r="D14" s="80">
        <f>(SUMIFS(ESS전력량계!E:E,ESS전력량계!B:B,B:B,ESS전력량계!C:C,C:C)-SUMIFS(ESS전력량계!D:D,ESS전력량계!B:B,B:B,ESS전력량계!C:C,C:C))*H14</f>
        <v>246407.83999999991</v>
      </c>
      <c r="E14" s="80">
        <f>(SUMIFS(ESS전력량계!G:G,ESS전력량계!B:B,B:B,ESS전력량계!C:C,C:C)-SUMIFS(ESS전력량계!F:F,ESS전력량계!B:B,B:B,ESS전력량계!C:C,C:C))*H14</f>
        <v>815.9200000000003</v>
      </c>
      <c r="F14" s="80">
        <f>(SUMIFS(ESS전력량계!I:I,ESS전력량계!B:B,B:B,ESS전력량계!C:C,C:C)-SUMIFS(ESS전력량계!H:H,ESS전력량계!B:B,B:B,ESS전력량계!C:C,C:C))*H14</f>
        <v>52.08</v>
      </c>
      <c r="G14" s="80">
        <f t="shared" si="5"/>
        <v>247275.83999999991</v>
      </c>
      <c r="H14" s="81">
        <v>1736</v>
      </c>
      <c r="I14" s="81">
        <v>3.6999999999999998E-2</v>
      </c>
      <c r="J14" s="81">
        <v>1.2</v>
      </c>
      <c r="K14" s="81">
        <v>0.1</v>
      </c>
      <c r="L14" s="75">
        <f>ROUND(SUMIFS(전력요금표!H:H,전력요금표!D:D,B:B,전력요금표!F:F,C:C,전력요금표!G:G,"경")*ROUND(D14,0)+SUMIFS(전력요금표!H:H,전력요금표!D:D,B:B,전력요금표!F:F,C:C,전력요금표!G:G,"중간")*ROUND(E14,0)+SUMIFS(전력요금표!H:H,전력요금표!D:D,B:B,전력요금표!F:F,C:C,전력요금표!G:G,"최대")*ROUND(F14,0),0)</f>
        <v>15646120</v>
      </c>
      <c r="M14" s="75">
        <f>ROUND(SUMIFS(전력요금표!I:I,전력요금표!D:D,B:B,전력요금표!F:F,C:C,전력요금표!G:G,"경")*ROUND(D14,0)*J14,0)</f>
        <v>9329007</v>
      </c>
      <c r="N14" s="75">
        <f t="shared" si="1"/>
        <v>631711</v>
      </c>
      <c r="O14" s="75">
        <f t="shared" si="2"/>
        <v>233730</v>
      </c>
      <c r="P14" s="100">
        <f t="shared" si="3"/>
        <v>7182550</v>
      </c>
      <c r="Q14" s="75">
        <f t="shared" si="4"/>
        <v>6550839</v>
      </c>
      <c r="R14" s="100">
        <f>ESS기본할인!M12</f>
        <v>86231808</v>
      </c>
    </row>
    <row r="15" spans="2:18">
      <c r="B15" s="76" t="s">
        <v>24</v>
      </c>
      <c r="C15" s="76" t="s">
        <v>13</v>
      </c>
      <c r="D15" s="80">
        <f>(SUMIFS(ESS전력량계!E:E,ESS전력량계!B:B,B:B,ESS전력량계!C:C,C:C)-SUMIFS(ESS전력량계!D:D,ESS전력량계!B:B,B:B,ESS전력량계!C:C,C:C))*H15</f>
        <v>201237.11999999994</v>
      </c>
      <c r="E15" s="80">
        <f>(SUMIFS(ESS전력량계!G:G,ESS전력량계!B:B,B:B,ESS전력량계!C:C,C:C)-SUMIFS(ESS전력량계!F:F,ESS전력량계!B:B,B:B,ESS전력량계!C:C,C:C))*H15</f>
        <v>659.67999999999984</v>
      </c>
      <c r="F15" s="80">
        <f>(SUMIFS(ESS전력량계!I:I,ESS전력량계!B:B,B:B,ESS전력량계!C:C,C:C)-SUMIFS(ESS전력량계!H:H,ESS전력량계!B:B,B:B,ESS전력량계!C:C,C:C))*H15</f>
        <v>52.08</v>
      </c>
      <c r="G15" s="80">
        <f t="shared" si="5"/>
        <v>201948.87999999992</v>
      </c>
      <c r="H15" s="81">
        <v>1736</v>
      </c>
      <c r="I15" s="81">
        <v>3.6999999999999998E-2</v>
      </c>
      <c r="J15" s="81">
        <v>1.2</v>
      </c>
      <c r="K15" s="81">
        <v>0.1</v>
      </c>
      <c r="L15" s="75">
        <f>ROUND(SUMIFS(전력요금표!H:H,전력요금표!D:D,B:B,전력요금표!F:F,C:C,전력요금표!G:G,"경")*ROUND(D15,0)+SUMIFS(전력요금표!H:H,전력요금표!D:D,B:B,전력요금표!F:F,C:C,전력요금표!G:G,"중간")*ROUND(E15,0)+SUMIFS(전력요금표!H:H,전력요금표!D:D,B:B,전력요금표!F:F,C:C,전력요금표!G:G,"최대")*ROUND(F15,0),0)</f>
        <v>12778795</v>
      </c>
      <c r="M15" s="75">
        <f>ROUND(SUMIFS(전력요금표!I:I,전력요금표!D:D,B:B,전력요금표!F:F,C:C,전력요금표!G:G,"경")*ROUND(D15,0)*J15,0)</f>
        <v>7618833</v>
      </c>
      <c r="N15" s="75">
        <f t="shared" si="1"/>
        <v>515996</v>
      </c>
      <c r="O15" s="75">
        <f t="shared" si="2"/>
        <v>190910</v>
      </c>
      <c r="P15" s="100">
        <f t="shared" si="3"/>
        <v>5866860</v>
      </c>
      <c r="Q15" s="75">
        <f t="shared" si="4"/>
        <v>5350864</v>
      </c>
      <c r="R15" s="100">
        <f>ESS기본할인!M13</f>
        <v>87130368</v>
      </c>
    </row>
    <row r="16" spans="2:18">
      <c r="B16" s="76" t="s">
        <v>24</v>
      </c>
      <c r="C16" s="76" t="s">
        <v>14</v>
      </c>
      <c r="D16" s="80">
        <f>(SUMIFS(ESS전력량계!E:E,ESS전력량계!B:B,B:B,ESS전력량계!C:C,C:C)-SUMIFS(ESS전력량계!D:D,ESS전력량계!B:B,B:B,ESS전력량계!C:C,C:C))*H16</f>
        <v>241356.07999999996</v>
      </c>
      <c r="E16" s="80">
        <f>(SUMIFS(ESS전력량계!G:G,ESS전력량계!B:B,B:B,ESS전력량계!C:C,C:C)-SUMIFS(ESS전력량계!F:F,ESS전력량계!B:B,B:B,ESS전력량계!C:C,C:C))*H16</f>
        <v>798.56</v>
      </c>
      <c r="F16" s="80">
        <f>(SUMIFS(ESS전력량계!I:I,ESS전력량계!B:B,B:B,ESS전력량계!C:C,C:C)-SUMIFS(ESS전력량계!H:H,ESS전력량계!B:B,B:B,ESS전력량계!C:C,C:C))*H16</f>
        <v>34.720000000000027</v>
      </c>
      <c r="G16" s="80">
        <f t="shared" si="5"/>
        <v>242189.35999999996</v>
      </c>
      <c r="H16" s="81">
        <v>1736</v>
      </c>
      <c r="I16" s="81">
        <v>3.6999999999999998E-2</v>
      </c>
      <c r="J16" s="81">
        <v>1.2</v>
      </c>
      <c r="K16" s="81">
        <v>0.1</v>
      </c>
      <c r="L16" s="75">
        <f>ROUND(SUMIFS(전력요금표!H:H,전력요금표!D:D,B:B,전력요금표!F:F,C:C,전력요금표!G:G,"경")*ROUND(D16,0)+SUMIFS(전력요금표!H:H,전력요금표!D:D,B:B,전력요금표!F:F,C:C,전력요금표!G:G,"중간")*ROUND(E16,0)+SUMIFS(전력요금표!H:H,전력요금표!D:D,B:B,전력요금표!F:F,C:C,전력요금표!G:G,"최대")*ROUND(F16,0),0)</f>
        <v>13606699</v>
      </c>
      <c r="M16" s="75">
        <f>ROUND(SUMIFS(전력요금표!I:I,전력요금표!D:D,B:B,전력요금표!F:F,C:C,전력요금표!G:G,"경")*ROUND(D16,0)*J16,0)</f>
        <v>8124043</v>
      </c>
      <c r="N16" s="75">
        <f t="shared" si="1"/>
        <v>548266</v>
      </c>
      <c r="O16" s="75">
        <f t="shared" si="2"/>
        <v>202850</v>
      </c>
      <c r="P16" s="100">
        <f t="shared" si="3"/>
        <v>6233770</v>
      </c>
      <c r="Q16" s="75">
        <f t="shared" si="4"/>
        <v>5685504</v>
      </c>
      <c r="R16" s="100">
        <f>ESS기본할인!M14</f>
        <v>88238591.999999985</v>
      </c>
    </row>
    <row r="17" spans="2:18">
      <c r="B17" s="76" t="s">
        <v>24</v>
      </c>
      <c r="C17" s="76" t="s">
        <v>15</v>
      </c>
      <c r="D17" s="80">
        <f>(SUMIFS(ESS전력량계!E:E,ESS전력량계!B:B,B:B,ESS전력량계!C:C,C:C)-SUMIFS(ESS전력량계!D:D,ESS전력량계!B:B,B:B,ESS전력량계!C:C,C:C))*H17</f>
        <v>251025.60000000024</v>
      </c>
      <c r="E17" s="80">
        <f>(SUMIFS(ESS전력량계!G:G,ESS전력량계!B:B,B:B,ESS전력량계!C:C,C:C)-SUMIFS(ESS전력량계!F:F,ESS전력량계!B:B,B:B,ESS전력량계!C:C,C:C))*H17</f>
        <v>833.28000000000077</v>
      </c>
      <c r="F17" s="80">
        <f>(SUMIFS(ESS전력량계!I:I,ESS전력량계!B:B,B:B,ESS전력량계!C:C,C:C)-SUMIFS(ESS전력량계!H:H,ESS전력량계!B:B,B:B,ESS전력량계!C:C,C:C))*H17</f>
        <v>52.079999999999949</v>
      </c>
      <c r="G17" s="80">
        <f t="shared" si="5"/>
        <v>251910.96000000022</v>
      </c>
      <c r="H17" s="81">
        <v>1736</v>
      </c>
      <c r="I17" s="81">
        <v>3.6999999999999998E-2</v>
      </c>
      <c r="J17" s="81">
        <v>1.2</v>
      </c>
      <c r="K17" s="81">
        <v>0.1</v>
      </c>
      <c r="L17" s="75">
        <f>ROUND(SUMIFS(전력요금표!H:H,전력요금표!D:D,B:B,전력요금표!F:F,C:C,전력요금표!G:G,"경")*ROUND(D17,0)+SUMIFS(전력요금표!H:H,전력요금표!D:D,B:B,전력요금표!F:F,C:C,전력요금표!G:G,"중간")*ROUND(E17,0)+SUMIFS(전력요금표!H:H,전력요금표!D:D,B:B,전력요금표!F:F,C:C,전력요금표!G:G,"최대")*ROUND(F17,0),0)</f>
        <v>14153716</v>
      </c>
      <c r="M17" s="75">
        <f>ROUND(SUMIFS(전력요금표!I:I,전력요금표!D:D,B:B,전력요금표!F:F,C:C,전력요금표!G:G,"경")*ROUND(D17,0)*J17,0)</f>
        <v>8449535</v>
      </c>
      <c r="N17" s="75">
        <f t="shared" si="1"/>
        <v>570418</v>
      </c>
      <c r="O17" s="75">
        <f t="shared" si="2"/>
        <v>211050</v>
      </c>
      <c r="P17" s="100">
        <f t="shared" si="3"/>
        <v>6485640</v>
      </c>
      <c r="Q17" s="75">
        <f t="shared" si="4"/>
        <v>5915222</v>
      </c>
      <c r="R17" s="100">
        <f>ESS기본할인!M15</f>
        <v>88238591.999999985</v>
      </c>
    </row>
    <row r="18" spans="2:18">
      <c r="B18" s="76" t="s">
        <v>24</v>
      </c>
      <c r="C18" s="76" t="s">
        <v>16</v>
      </c>
      <c r="D18" s="80">
        <f>(SUMIFS(ESS전력량계!E:E,ESS전력량계!B:B,B:B,ESS전력량계!C:C,C:C)-SUMIFS(ESS전력량계!D:D,ESS전력량계!B:B,B:B,ESS전력량계!C:C,C:C))*H18</f>
        <v>250209.67999999979</v>
      </c>
      <c r="E18" s="80">
        <f>(SUMIFS(ESS전력량계!G:G,ESS전력량계!B:B,B:B,ESS전력량계!C:C,C:C)-SUMIFS(ESS전력량계!F:F,ESS전력량계!B:B,B:B,ESS전력량계!C:C,C:C))*H18</f>
        <v>677.0399999999994</v>
      </c>
      <c r="F18" s="80">
        <f>(SUMIFS(ESS전력량계!I:I,ESS전력량계!B:B,B:B,ESS전력량계!C:C,C:C)-SUMIFS(ESS전력량계!H:H,ESS전력량계!B:B,B:B,ESS전력량계!C:C,C:C))*H18</f>
        <v>52.080000000000048</v>
      </c>
      <c r="G18" s="80">
        <f t="shared" si="5"/>
        <v>250938.79999999978</v>
      </c>
      <c r="H18" s="81">
        <v>1736</v>
      </c>
      <c r="I18" s="81">
        <v>3.6999999999999998E-2</v>
      </c>
      <c r="J18" s="81">
        <v>1.2</v>
      </c>
      <c r="K18" s="81">
        <v>0.1</v>
      </c>
      <c r="L18" s="75">
        <f>ROUND(SUMIFS(전력요금표!H:H,전력요금표!D:D,B:B,전력요금표!F:F,C:C,전력요금표!G:G,"경")*ROUND(D18,0)+SUMIFS(전력요금표!H:H,전력요금표!D:D,B:B,전력요금표!F:F,C:C,전력요금표!G:G,"중간")*ROUND(E18,0)+SUMIFS(전력요금표!H:H,전력요금표!D:D,B:B,전력요금표!F:F,C:C,전력요금표!G:G,"최대")*ROUND(F18,0),0)</f>
        <v>14095677</v>
      </c>
      <c r="M18" s="75">
        <f>ROUND(SUMIFS(전력요금표!I:I,전력요금표!D:D,B:B,전력요금표!F:F,C:C,전력요금표!G:G,"경")*ROUND(D18,0)*J18,0)</f>
        <v>8422069</v>
      </c>
      <c r="N18" s="75">
        <f t="shared" si="1"/>
        <v>567361</v>
      </c>
      <c r="O18" s="75">
        <f t="shared" si="2"/>
        <v>209920</v>
      </c>
      <c r="P18" s="100">
        <f t="shared" si="3"/>
        <v>6450880</v>
      </c>
      <c r="Q18" s="75">
        <f t="shared" si="4"/>
        <v>5883519</v>
      </c>
      <c r="R18" s="100">
        <f>ESS기본할인!M16</f>
        <v>87969024</v>
      </c>
    </row>
    <row r="19" spans="2:18">
      <c r="B19" s="76" t="s">
        <v>24</v>
      </c>
      <c r="C19" s="76" t="s">
        <v>17</v>
      </c>
      <c r="D19" s="80">
        <f>(SUMIFS(ESS전력량계!E:E,ESS전력량계!B:B,B:B,ESS전력량계!C:C,C:C)-SUMIFS(ESS전력량계!D:D,ESS전력량계!B:B,B:B,ESS전력량계!C:C,C:C))*H19</f>
        <v>230436.64</v>
      </c>
      <c r="E19" s="80">
        <f>(SUMIFS(ESS전력량계!G:G,ESS전력량계!B:B,B:B,ESS전력량계!C:C,C:C)-SUMIFS(ESS전력량계!F:F,ESS전력량계!B:B,B:B,ESS전력량계!C:C,C:C))*H19</f>
        <v>711.76000000000022</v>
      </c>
      <c r="F19" s="80">
        <f>(SUMIFS(ESS전력량계!I:I,ESS전력량계!B:B,B:B,ESS전력량계!C:C,C:C)-SUMIFS(ESS전력량계!H:H,ESS전력량계!B:B,B:B,ESS전력량계!C:C,C:C))*H19</f>
        <v>34.719999999999935</v>
      </c>
      <c r="G19" s="80">
        <f t="shared" si="5"/>
        <v>231183.12000000002</v>
      </c>
      <c r="H19" s="81">
        <v>1736</v>
      </c>
      <c r="I19" s="81">
        <v>3.6999999999999998E-2</v>
      </c>
      <c r="J19" s="81">
        <v>1.2</v>
      </c>
      <c r="K19" s="81">
        <v>0.1</v>
      </c>
      <c r="L19" s="75">
        <f>ROUND(SUMIFS(전력요금표!H:H,전력요금표!D:D,B:B,전력요금표!F:F,C:C,전력요금표!G:G,"경")*ROUND(D19,0)+SUMIFS(전력요금표!H:H,전력요금표!D:D,B:B,전력요금표!F:F,C:C,전력요금표!G:G,"중간")*ROUND(E19,0)+SUMIFS(전력요금표!H:H,전력요금표!D:D,B:B,전력요금표!F:F,C:C,전력요금표!G:G,"최대")*ROUND(F19,0),0)</f>
        <v>13011812</v>
      </c>
      <c r="M19" s="75">
        <f>ROUND(SUMIFS(전력요금표!I:I,전력요금표!D:D,B:B,전력요금표!F:F,C:C,전력요금표!G:G,"경")*ROUND(D19,0)*J19,0)</f>
        <v>7756509</v>
      </c>
      <c r="N19" s="75">
        <f t="shared" si="1"/>
        <v>525530</v>
      </c>
      <c r="O19" s="75">
        <f t="shared" si="2"/>
        <v>194440</v>
      </c>
      <c r="P19" s="100">
        <f t="shared" si="3"/>
        <v>5975270</v>
      </c>
      <c r="Q19" s="75">
        <f t="shared" si="4"/>
        <v>5449740</v>
      </c>
      <c r="R19" s="100">
        <f>ESS기본할인!M17</f>
        <v>87399936</v>
      </c>
    </row>
    <row r="20" spans="2:18">
      <c r="B20" s="76" t="s">
        <v>24</v>
      </c>
      <c r="C20" s="76" t="s">
        <v>18</v>
      </c>
      <c r="D20" s="80">
        <f>(SUMIFS(ESS전력량계!E:E,ESS전력량계!B:B,B:B,ESS전력량계!C:C,C:C)-SUMIFS(ESS전력량계!D:D,ESS전력량계!B:B,B:B,ESS전력량계!C:C,C:C))*H20</f>
        <v>257813.36</v>
      </c>
      <c r="E20" s="80">
        <f>(SUMIFS(ESS전력량계!G:G,ESS전력량계!B:B,B:B,ESS전력량계!C:C,C:C)-SUMIFS(ESS전력량계!F:F,ESS전력량계!B:B,B:B,ESS전력량계!C:C,C:C))*H20</f>
        <v>659.67999999999984</v>
      </c>
      <c r="F20" s="80">
        <f>(SUMIFS(ESS전력량계!I:I,ESS전력량계!B:B,B:B,ESS전력량계!C:C,C:C)-SUMIFS(ESS전력량계!H:H,ESS전력량계!B:B,B:B,ESS전력량계!C:C,C:C))*H20</f>
        <v>52.080000000000048</v>
      </c>
      <c r="G20" s="80">
        <f t="shared" si="5"/>
        <v>258525.11999999997</v>
      </c>
      <c r="H20" s="81">
        <v>1736</v>
      </c>
      <c r="I20" s="81">
        <v>3.6999999999999998E-2</v>
      </c>
      <c r="J20" s="81">
        <v>1.2</v>
      </c>
      <c r="K20" s="81">
        <v>0.1</v>
      </c>
      <c r="L20" s="75">
        <f>ROUND(SUMIFS(전력요금표!H:H,전력요금표!D:D,B:B,전력요금표!F:F,C:C,전력요금표!G:G,"경")*ROUND(D20,0)+SUMIFS(전력요금표!H:H,전력요금표!D:D,B:B,전력요금표!F:F,C:C,전력요금표!G:G,"중간")*ROUND(E20,0)+SUMIFS(전력요금표!H:H,전력요금표!D:D,B:B,전력요금표!F:F,C:C,전력요금표!G:G,"최대")*ROUND(F20,0),0)</f>
        <v>14545187</v>
      </c>
      <c r="M20" s="75">
        <f>ROUND(SUMIFS(전력요금표!I:I,전력요금표!D:D,B:B,전력요금표!F:F,C:C,전력요금표!G:G,"경")*ROUND(D20,0)*J20,0)</f>
        <v>8677986</v>
      </c>
      <c r="N20" s="75">
        <f t="shared" si="1"/>
        <v>586720</v>
      </c>
      <c r="O20" s="75">
        <f t="shared" si="2"/>
        <v>217080</v>
      </c>
      <c r="P20" s="100">
        <f t="shared" si="3"/>
        <v>6671000</v>
      </c>
      <c r="Q20" s="75">
        <f t="shared" si="4"/>
        <v>6084280</v>
      </c>
      <c r="R20" s="100">
        <f>ESS기본할인!M18</f>
        <v>87310080</v>
      </c>
    </row>
    <row r="21" spans="2:18">
      <c r="B21" s="76" t="s">
        <v>24</v>
      </c>
      <c r="C21" s="76" t="s">
        <v>19</v>
      </c>
      <c r="D21" s="80">
        <f>(SUMIFS(ESS전력량계!E:E,ESS전력량계!B:B,B:B,ESS전력량계!C:C,C:C)-SUMIFS(ESS전력량계!D:D,ESS전력량계!B:B,B:B,ESS전력량계!C:C,C:C))*H21</f>
        <v>238561.12000000011</v>
      </c>
      <c r="E21" s="80">
        <f>(SUMIFS(ESS전력량계!G:G,ESS전력량계!B:B,B:B,ESS전력량계!C:C,C:C)-SUMIFS(ESS전력량계!F:F,ESS전력량계!B:B,B:B,ESS전력량계!C:C,C:C))*H21</f>
        <v>642.32000000000016</v>
      </c>
      <c r="F21" s="80">
        <f>(SUMIFS(ESS전력량계!I:I,ESS전력량계!B:B,B:B,ESS전력량계!C:C,C:C)-SUMIFS(ESS전력량계!H:H,ESS전력량계!B:B,B:B,ESS전력량계!C:C,C:C))*H21</f>
        <v>52.079999999999949</v>
      </c>
      <c r="G21" s="80">
        <f t="shared" si="5"/>
        <v>239255.52000000011</v>
      </c>
      <c r="H21" s="81">
        <v>1736</v>
      </c>
      <c r="I21" s="81">
        <v>3.6999999999999998E-2</v>
      </c>
      <c r="J21" s="81">
        <v>1.2</v>
      </c>
      <c r="K21" s="81">
        <v>0.1</v>
      </c>
      <c r="L21" s="75">
        <f>ROUND(SUMIFS(전력요금표!H:H,전력요금표!D:D,B:B,전력요금표!F:F,C:C,전력요금표!G:G,"경")*ROUND(D21,0)+SUMIFS(전력요금표!H:H,전력요금표!D:D,B:B,전력요금표!F:F,C:C,전력요금표!G:G,"중간")*ROUND(E21,0)+SUMIFS(전력요금표!H:H,전력요금표!D:D,B:B,전력요금표!F:F,C:C,전력요금표!G:G,"최대")*ROUND(F21,0),0)</f>
        <v>13463187</v>
      </c>
      <c r="M21" s="75">
        <f>ROUND(SUMIFS(전력요금표!I:I,전력요금표!D:D,B:B,전력요금표!F:F,C:C,전력요금표!G:G,"경")*ROUND(D21,0)*J21,0)</f>
        <v>8029963</v>
      </c>
      <c r="N21" s="75">
        <f t="shared" si="1"/>
        <v>543322</v>
      </c>
      <c r="O21" s="75">
        <f t="shared" si="2"/>
        <v>201020</v>
      </c>
      <c r="P21" s="100">
        <f t="shared" si="3"/>
        <v>6177560</v>
      </c>
      <c r="Q21" s="75">
        <f t="shared" si="4"/>
        <v>5634238</v>
      </c>
      <c r="R21" s="100">
        <f>ESS기본할인!M19</f>
        <v>82637568</v>
      </c>
    </row>
    <row r="22" spans="2:18">
      <c r="B22" s="76" t="s">
        <v>24</v>
      </c>
      <c r="C22" s="76" t="s">
        <v>20</v>
      </c>
      <c r="D22" s="80">
        <f>(SUMIFS(ESS전력량계!E:E,ESS전력량계!B:B,B:B,ESS전력량계!C:C,C:C)-SUMIFS(ESS전력량계!D:D,ESS전력량계!B:B,B:B,ESS전력량계!C:C,C:C))*H22</f>
        <v>207886</v>
      </c>
      <c r="E22" s="80">
        <f>(SUMIFS(ESS전력량계!G:G,ESS전력량계!B:B,B:B,ESS전력량계!C:C,C:C)-SUMIFS(ESS전력량계!F:F,ESS전력량계!B:B,B:B,ESS전력량계!C:C,C:C))*H22</f>
        <v>538.15999999999929</v>
      </c>
      <c r="F22" s="80">
        <f>(SUMIFS(ESS전력량계!I:I,ESS전력량계!B:B,B:B,ESS전력량계!C:C,C:C)-SUMIFS(ESS전력량계!H:H,ESS전력량계!B:B,B:B,ESS전력량계!C:C,C:C))*H22</f>
        <v>34.720000000000027</v>
      </c>
      <c r="G22" s="80">
        <f t="shared" si="5"/>
        <v>208458.88</v>
      </c>
      <c r="H22" s="81">
        <v>1736</v>
      </c>
      <c r="I22" s="81">
        <v>3.6999999999999998E-2</v>
      </c>
      <c r="J22" s="81">
        <v>1.2</v>
      </c>
      <c r="K22" s="81">
        <v>0.1</v>
      </c>
      <c r="L22" s="75">
        <f>ROUND(SUMIFS(전력요금표!H:H,전력요금표!D:D,B:B,전력요금표!F:F,C:C,전력요금표!G:G,"경")*ROUND(D22,0)+SUMIFS(전력요금표!H:H,전력요금표!D:D,B:B,전력요금표!F:F,C:C,전력요금표!G:G,"중간")*ROUND(E22,0)+SUMIFS(전력요금표!H:H,전력요금표!D:D,B:B,전력요금표!F:F,C:C,전력요금표!G:G,"최대")*ROUND(F22,0),0)</f>
        <v>11708517</v>
      </c>
      <c r="M22" s="75">
        <f>ROUND(SUMIFS(전력요금표!I:I,전력요금표!D:D,B:B,전력요금표!F:F,C:C,전력요금표!G:G,"경")*ROUND(D22,0)*J22,0)</f>
        <v>6997443</v>
      </c>
      <c r="N22" s="75">
        <f t="shared" si="1"/>
        <v>471107</v>
      </c>
      <c r="O22" s="75">
        <f t="shared" si="2"/>
        <v>174300</v>
      </c>
      <c r="P22" s="100">
        <f t="shared" si="3"/>
        <v>5356480</v>
      </c>
      <c r="Q22" s="75">
        <f t="shared" si="4"/>
        <v>4885373</v>
      </c>
      <c r="R22" s="100">
        <f>ESS기본할인!M20</f>
        <v>86201856</v>
      </c>
    </row>
    <row r="23" spans="2:18">
      <c r="B23" s="76" t="s">
        <v>24</v>
      </c>
      <c r="C23" s="76" t="s">
        <v>21</v>
      </c>
      <c r="D23" s="80">
        <f>(SUMIFS(ESS전력량계!E:E,ESS전력량계!B:B,B:B,ESS전력량계!C:C,C:C)-SUMIFS(ESS전력량계!D:D,ESS전력량계!B:B,B:B,ESS전력량계!C:C,C:C))*H23</f>
        <v>230870.64000000042</v>
      </c>
      <c r="E23" s="80">
        <f>(SUMIFS(ESS전력량계!G:G,ESS전력량계!B:B,B:B,ESS전력량계!C:C,C:C)-SUMIFS(ESS전력량계!F:F,ESS전력량계!B:B,B:B,ESS전력량계!C:C,C:C))*H23</f>
        <v>607.60000000000093</v>
      </c>
      <c r="F23" s="80">
        <f>(SUMIFS(ESS전력량계!I:I,ESS전력량계!B:B,B:B,ESS전력량계!C:C,C:C)-SUMIFS(ESS전력량계!H:H,ESS전력량계!B:B,B:B,ESS전력량계!C:C,C:C))*H23</f>
        <v>52.080000000000048</v>
      </c>
      <c r="G23" s="80">
        <f t="shared" si="5"/>
        <v>231530.32000000041</v>
      </c>
      <c r="H23" s="81">
        <v>1736</v>
      </c>
      <c r="I23" s="81">
        <v>3.6999999999999998E-2</v>
      </c>
      <c r="J23" s="81">
        <v>1.2</v>
      </c>
      <c r="K23" s="81">
        <v>0.1</v>
      </c>
      <c r="L23" s="75">
        <f>ROUND(SUMIFS(전력요금표!H:H,전력요금표!D:D,B:B,전력요금표!F:F,C:C,전력요금표!G:G,"경")*ROUND(D23,0)+SUMIFS(전력요금표!H:H,전력요금표!D:D,B:B,전력요금표!F:F,C:C,전력요금표!G:G,"중간")*ROUND(E23,0)+SUMIFS(전력요금표!H:H,전력요금표!D:D,B:B,전력요금표!F:F,C:C,전력요금표!G:G,"최대")*ROUND(F23,0),0)</f>
        <v>13005336</v>
      </c>
      <c r="M23" s="75">
        <f>ROUND(SUMIFS(전력요금표!I:I,전력요금표!D:D,B:B,전력요금표!F:F,C:C,전력요금표!G:G,"경")*ROUND(D23,0)*J23,0)</f>
        <v>7771118</v>
      </c>
      <c r="N23" s="75">
        <f t="shared" si="1"/>
        <v>523422</v>
      </c>
      <c r="O23" s="75">
        <f t="shared" si="2"/>
        <v>193660</v>
      </c>
      <c r="P23" s="100">
        <f t="shared" si="3"/>
        <v>5951300</v>
      </c>
      <c r="Q23" s="75">
        <f t="shared" si="4"/>
        <v>5427878</v>
      </c>
      <c r="R23" s="100">
        <f>ESS기본할인!M21</f>
        <v>84344831.999999985</v>
      </c>
    </row>
    <row r="24" spans="2:18">
      <c r="B24" s="76" t="s">
        <v>24</v>
      </c>
      <c r="C24" s="76" t="s">
        <v>22</v>
      </c>
      <c r="D24" s="80">
        <f>(SUMIFS(ESS전력량계!E:E,ESS전력량계!B:B,B:B,ESS전력량계!C:C,C:C)-SUMIFS(ESS전력량계!D:D,ESS전력량계!B:B,B:B,ESS전력량계!C:C,C:C))*H24</f>
        <v>237345.91999999966</v>
      </c>
      <c r="E24" s="80">
        <f>(SUMIFS(ESS전력량계!G:G,ESS전력량계!B:B,B:B,ESS전력량계!C:C,C:C)-SUMIFS(ESS전력량계!F:F,ESS전력량계!B:B,B:B,ESS전력량계!C:C,C:C))*H24</f>
        <v>642.31999999999869</v>
      </c>
      <c r="F24" s="80">
        <f>(SUMIFS(ESS전력량계!I:I,ESS전력량계!B:B,B:B,ESS전력량계!C:C,C:C)-SUMIFS(ESS전력량계!H:H,ESS전력량계!B:B,B:B,ESS전력량계!C:C,C:C))*H24</f>
        <v>69.439999999999969</v>
      </c>
      <c r="G24" s="80">
        <f t="shared" si="5"/>
        <v>238057.67999999967</v>
      </c>
      <c r="H24" s="81">
        <v>1736</v>
      </c>
      <c r="I24" s="81">
        <v>3.6999999999999998E-2</v>
      </c>
      <c r="J24" s="81">
        <v>1.2</v>
      </c>
      <c r="K24" s="81">
        <v>0.1</v>
      </c>
      <c r="L24" s="75">
        <f>ROUND(SUMIFS(전력요금표!H:H,전력요금표!D:D,B:B,전력요금표!F:F,C:C,전력요금표!G:G,"경")*ROUND(D24,0)+SUMIFS(전력요금표!H:H,전력요금표!D:D,B:B,전력요금표!F:F,C:C,전력요금표!G:G,"중간")*ROUND(E24,0)+SUMIFS(전력요금표!H:H,전력요금표!D:D,B:B,전력요금표!F:F,C:C,전력요금표!G:G,"최대")*ROUND(F24,0),0)</f>
        <v>15058141</v>
      </c>
      <c r="M24" s="75">
        <f>ROUND(SUMIFS(전력요금표!I:I,전력요금표!D:D,B:B,전력요금표!F:F,C:C,전력요금표!G:G,"경")*ROUND(D24,0)*J24,0)</f>
        <v>8985920</v>
      </c>
      <c r="N24" s="75">
        <f t="shared" si="1"/>
        <v>607222</v>
      </c>
      <c r="O24" s="75">
        <f t="shared" si="2"/>
        <v>224670</v>
      </c>
      <c r="P24" s="100">
        <f t="shared" si="3"/>
        <v>6904110</v>
      </c>
      <c r="Q24" s="75">
        <f t="shared" si="4"/>
        <v>6296888</v>
      </c>
      <c r="R24" s="100">
        <f>ESS기본할인!M22</f>
        <v>83476224</v>
      </c>
    </row>
    <row r="25" spans="2:18">
      <c r="B25" s="76" t="s">
        <v>24</v>
      </c>
      <c r="C25" s="76" t="s">
        <v>23</v>
      </c>
      <c r="D25" s="80">
        <f>(SUMIFS(ESS전력량계!E:E,ESS전력량계!B:B,B:B,ESS전력량계!C:C,C:C)-SUMIFS(ESS전력량계!D:D,ESS전력량계!B:B,B:B,ESS전력량계!C:C,C:C))*H25</f>
        <v>183061.19999999969</v>
      </c>
      <c r="E25" s="80">
        <f>(SUMIFS(ESS전력량계!G:G,ESS전력량계!B:B,B:B,ESS전력량계!C:C,C:C)-SUMIFS(ESS전력량계!F:F,ESS전력량계!B:B,B:B,ESS전력량계!C:C,C:C))*H25</f>
        <v>624.9600000000006</v>
      </c>
      <c r="F25" s="80">
        <f>(SUMIFS(ESS전력량계!I:I,ESS전력량계!B:B,B:B,ESS전력량계!C:C,C:C)-SUMIFS(ESS전력량계!H:H,ESS전력량계!B:B,B:B,ESS전력량계!C:C,C:C))*H25</f>
        <v>69.440000000000055</v>
      </c>
      <c r="G25" s="80">
        <f t="shared" si="5"/>
        <v>183755.59999999969</v>
      </c>
      <c r="H25" s="81">
        <v>1736</v>
      </c>
      <c r="I25" s="81">
        <v>3.6999999999999998E-2</v>
      </c>
      <c r="J25" s="81">
        <v>1.2</v>
      </c>
      <c r="K25" s="81">
        <v>0.1</v>
      </c>
      <c r="L25" s="75">
        <f>ROUND(SUMIFS(전력요금표!H:H,전력요금표!D:D,B:B,전력요금표!F:F,C:C,전력요금표!G:G,"경")*ROUND(D25,0)+SUMIFS(전력요금표!H:H,전력요금표!D:D,B:B,전력요금표!F:F,C:C,전력요금표!G:G,"중간")*ROUND(E25,0)+SUMIFS(전력요금표!H:H,전력요금표!D:D,B:B,전력요금표!F:F,C:C,전력요금표!G:G,"최대")*ROUND(F25,0),0)</f>
        <v>11630901</v>
      </c>
      <c r="M25" s="75">
        <f>ROUND(SUMIFS(전력요금표!I:I,전력요금표!D:D,B:B,전력요금표!F:F,C:C,전력요금표!G:G,"경")*ROUND(D25,0)*J25,0)</f>
        <v>6930689</v>
      </c>
      <c r="N25" s="75">
        <f t="shared" si="1"/>
        <v>470021</v>
      </c>
      <c r="O25" s="75">
        <f t="shared" si="2"/>
        <v>173900</v>
      </c>
      <c r="P25" s="100">
        <f t="shared" si="3"/>
        <v>5344130</v>
      </c>
      <c r="Q25" s="75">
        <f t="shared" si="4"/>
        <v>4874109</v>
      </c>
      <c r="R25" s="100">
        <f>ESS기본할인!M23</f>
        <v>67242240</v>
      </c>
    </row>
    <row r="26" spans="2:18">
      <c r="B26" s="76" t="s">
        <v>25</v>
      </c>
      <c r="C26" s="76" t="s">
        <v>9</v>
      </c>
      <c r="D26" s="80">
        <f>(SUMIFS(ESS전력량계!E:E,ESS전력량계!B:B,B:B,ESS전력량계!C:C,C:C)-SUMIFS(ESS전력량계!D:D,ESS전력량계!B:B,B:B,ESS전력량계!C:C,C:C))*H26</f>
        <v>95636.240000000253</v>
      </c>
      <c r="E26" s="80">
        <f>(SUMIFS(ESS전력량계!G:G,ESS전력량계!B:B,B:B,ESS전력량계!C:C,C:C)-SUMIFS(ESS전력량계!F:F,ESS전력량계!B:B,B:B,ESS전력량계!C:C,C:C))*H26</f>
        <v>607.59999999999934</v>
      </c>
      <c r="F26" s="80">
        <f>(SUMIFS(ESS전력량계!I:I,ESS전력량계!B:B,B:B,ESS전력량계!C:C,C:C)-SUMIFS(ESS전력량계!H:H,ESS전력량계!B:B,B:B,ESS전력량계!C:C,C:C))*H26</f>
        <v>208.32</v>
      </c>
      <c r="G26" s="80">
        <f t="shared" si="5"/>
        <v>96452.160000000265</v>
      </c>
      <c r="H26" s="81">
        <v>1736</v>
      </c>
      <c r="I26" s="81">
        <v>3.6999999999999998E-2</v>
      </c>
      <c r="J26" s="81">
        <v>1.2</v>
      </c>
      <c r="K26" s="81">
        <v>0.1</v>
      </c>
      <c r="L26" s="75">
        <f>ROUND(SUMIFS(전력요금표!H:H,전력요금표!D:D,B:B,전력요금표!F:F,C:C,전력요금표!G:G,"경")*ROUND(D26,0)+SUMIFS(전력요금표!H:H,전력요금표!D:D,B:B,전력요금표!F:F,C:C,전력요금표!G:G,"중간")*ROUND(E26,0)+SUMIFS(전력요금표!H:H,전력요금표!D:D,B:B,전력요금표!F:F,C:C,전력요금표!G:G,"최대")*ROUND(F26,0),0)</f>
        <v>6135699</v>
      </c>
      <c r="M26" s="75">
        <f>ROUND(SUMIFS(전력요금표!I:I,전력요금표!D:D,B:B,전력요금표!F:F,C:C,전력요금표!G:G,"경")*ROUND(D26,0)*J26,0)</f>
        <v>3620779</v>
      </c>
      <c r="N26" s="75">
        <f t="shared" si="1"/>
        <v>251492</v>
      </c>
      <c r="O26" s="75">
        <f t="shared" si="2"/>
        <v>93050</v>
      </c>
      <c r="P26" s="100">
        <f t="shared" si="3"/>
        <v>2859460</v>
      </c>
      <c r="Q26" s="75">
        <f t="shared" si="4"/>
        <v>2607968</v>
      </c>
      <c r="R26" s="100">
        <f>ESS기본할인!M24</f>
        <v>34474752</v>
      </c>
    </row>
    <row r="27" spans="2:18">
      <c r="B27" s="76" t="s">
        <v>25</v>
      </c>
      <c r="C27" s="76" t="s">
        <v>13</v>
      </c>
      <c r="D27" s="80">
        <f>(SUMIFS(ESS전력량계!E:E,ESS전력량계!B:B,B:B,ESS전력량계!C:C,C:C)-SUMIFS(ESS전력량계!D:D,ESS전력량계!B:B,B:B,ESS전력량계!C:C,C:C))*H27</f>
        <v>222850.3199999998</v>
      </c>
      <c r="E27" s="80">
        <f>(SUMIFS(ESS전력량계!G:G,ESS전력량계!B:B,B:B,ESS전력량계!C:C,C:C)-SUMIFS(ESS전력량계!F:F,ESS전력량계!B:B,B:B,ESS전력량계!C:C,C:C))*H27</f>
        <v>624.96000000000208</v>
      </c>
      <c r="F27" s="80">
        <f>(SUMIFS(ESS전력량계!I:I,ESS전력량계!B:B,B:B,ESS전력량계!C:C,C:C)-SUMIFS(ESS전력량계!H:H,ESS전력량계!B:B,B:B,ESS전력량계!C:C,C:C))*H27</f>
        <v>52.079999999999856</v>
      </c>
      <c r="G27" s="80">
        <f t="shared" si="5"/>
        <v>223527.35999999978</v>
      </c>
      <c r="H27" s="81">
        <v>1736</v>
      </c>
      <c r="I27" s="81">
        <v>3.6999999999999998E-2</v>
      </c>
      <c r="J27" s="81">
        <v>1.2</v>
      </c>
      <c r="K27" s="81">
        <v>0.1</v>
      </c>
      <c r="L27" s="75">
        <f>ROUND(SUMIFS(전력요금표!H:H,전력요금표!D:D,B:B,전력요금표!F:F,C:C,전력요금표!G:G,"경")*ROUND(D27,0)+SUMIFS(전력요금표!H:H,전력요금표!D:D,B:B,전력요금표!F:F,C:C,전력요금표!G:G,"중간")*ROUND(E27,0)+SUMIFS(전력요금표!H:H,전력요금표!D:D,B:B,전력요금표!F:F,C:C,전력요금표!G:G,"최대")*ROUND(F27,0),0)</f>
        <v>14138753</v>
      </c>
      <c r="M27" s="75">
        <f>ROUND(SUMIFS(전력요금표!I:I,전력요금표!D:D,B:B,전력요금표!F:F,C:C,전력요금표!G:G,"경")*ROUND(D27,0)*J27,0)</f>
        <v>8437101</v>
      </c>
      <c r="N27" s="75">
        <f t="shared" si="1"/>
        <v>570165</v>
      </c>
      <c r="O27" s="75">
        <f t="shared" si="2"/>
        <v>210960</v>
      </c>
      <c r="P27" s="100">
        <f t="shared" si="3"/>
        <v>6482770</v>
      </c>
      <c r="Q27" s="75">
        <f t="shared" si="4"/>
        <v>5912605</v>
      </c>
      <c r="R27" s="100">
        <f>ESS기본할인!M25</f>
        <v>81679104</v>
      </c>
    </row>
    <row r="28" spans="2:18">
      <c r="B28" s="76" t="s">
        <v>25</v>
      </c>
      <c r="C28" s="76" t="s">
        <v>14</v>
      </c>
      <c r="D28" s="80">
        <f>(SUMIFS(ESS전력량계!E:E,ESS전력량계!B:B,B:B,ESS전력량계!C:C,C:C)-SUMIFS(ESS전력량계!D:D,ESS전력량계!B:B,B:B,ESS전력량계!C:C,C:C))*H28</f>
        <v>242449.76000000053</v>
      </c>
      <c r="E28" s="80">
        <f>(SUMIFS(ESS전력량계!G:G,ESS전력량계!B:B,B:B,ESS전력량계!C:C,C:C)-SUMIFS(ESS전력량계!F:F,ESS전력량계!B:B,B:B,ESS전력량계!C:C,C:C))*H28</f>
        <v>642.31999999999869</v>
      </c>
      <c r="F28" s="80">
        <f>(SUMIFS(ESS전력량계!I:I,ESS전력량계!B:B,B:B,ESS전력량계!C:C,C:C)-SUMIFS(ESS전력량계!H:H,ESS전력량계!B:B,B:B,ESS전력량계!C:C,C:C))*H28</f>
        <v>34.720000000000027</v>
      </c>
      <c r="G28" s="80">
        <f t="shared" si="5"/>
        <v>243126.80000000054</v>
      </c>
      <c r="H28" s="81">
        <v>1736</v>
      </c>
      <c r="I28" s="81">
        <v>3.6999999999999998E-2</v>
      </c>
      <c r="J28" s="81">
        <v>1.2</v>
      </c>
      <c r="K28" s="81">
        <v>0.1</v>
      </c>
      <c r="L28" s="75">
        <f>ROUND(SUMIFS(전력요금표!H:H,전력요금표!D:D,B:B,전력요금표!F:F,C:C,전력요금표!G:G,"경")*ROUND(D28,0)+SUMIFS(전력요금표!H:H,전력요금표!D:D,B:B,전력요금표!F:F,C:C,전력요금표!G:G,"중간")*ROUND(E28,0)+SUMIFS(전력요금표!H:H,전력요금표!D:D,B:B,전력요금표!F:F,C:C,전력요금표!G:G,"최대")*ROUND(F28,0),0)</f>
        <v>13655732</v>
      </c>
      <c r="M28" s="75">
        <f>ROUND(SUMIFS(전력요금표!I:I,전력요금표!D:D,B:B,전력요금표!F:F,C:C,전력요금표!G:G,"경")*ROUND(D28,0)*J28,0)</f>
        <v>8160867</v>
      </c>
      <c r="N28" s="75">
        <f t="shared" si="1"/>
        <v>549487</v>
      </c>
      <c r="O28" s="75">
        <f t="shared" si="2"/>
        <v>203310</v>
      </c>
      <c r="P28" s="100">
        <f t="shared" si="3"/>
        <v>6247660</v>
      </c>
      <c r="Q28" s="75">
        <f t="shared" si="4"/>
        <v>5698173</v>
      </c>
      <c r="R28" s="100">
        <f>ESS기본할인!M26</f>
        <v>85303296</v>
      </c>
    </row>
    <row r="29" spans="2:18">
      <c r="B29" s="76" t="s">
        <v>25</v>
      </c>
      <c r="C29" s="76" t="s">
        <v>15</v>
      </c>
      <c r="D29" s="80">
        <f>(SUMIFS(ESS전력량계!E:E,ESS전력량계!B:B,B:B,ESS전력량계!C:C,C:C)-SUMIFS(ESS전력량계!D:D,ESS전력량계!B:B,B:B,ESS전력량계!C:C,C:C))*H29</f>
        <v>215229.28000000003</v>
      </c>
      <c r="E29" s="80">
        <f>(SUMIFS(ESS전력량계!G:G,ESS전력량계!B:B,B:B,ESS전력량계!C:C,C:C)-SUMIFS(ESS전력량계!F:F,ESS전력량계!B:B,B:B,ESS전력량계!C:C,C:C))*H29</f>
        <v>590.23999999999978</v>
      </c>
      <c r="F29" s="80">
        <f>(SUMIFS(ESS전력량계!I:I,ESS전력량계!B:B,B:B,ESS전력량계!C:C,C:C)-SUMIFS(ESS전력량계!H:H,ESS전력량계!B:B,B:B,ESS전력량계!C:C,C:C))*H29</f>
        <v>52.080000000000048</v>
      </c>
      <c r="G29" s="80">
        <f t="shared" si="5"/>
        <v>215871.6</v>
      </c>
      <c r="H29" s="81">
        <v>1736</v>
      </c>
      <c r="I29" s="81">
        <v>3.6999999999999998E-2</v>
      </c>
      <c r="J29" s="81">
        <v>1.2</v>
      </c>
      <c r="K29" s="81">
        <v>0.1</v>
      </c>
      <c r="L29" s="75">
        <f>ROUND(SUMIFS(전력요금표!H:H,전력요금표!D:D,B:B,전력요금표!F:F,C:C,전력요금표!G:G,"경")*ROUND(D29,0)+SUMIFS(전력요금표!H:H,전력요금표!D:D,B:B,전력요금표!F:F,C:C,전력요금표!G:G,"중간")*ROUND(E29,0)+SUMIFS(전력요금표!H:H,전력요금표!D:D,B:B,전력요금표!F:F,C:C,전력요금표!G:G,"최대")*ROUND(F29,0),0)</f>
        <v>12126405</v>
      </c>
      <c r="M29" s="75">
        <f>ROUND(SUMIFS(전력요금표!I:I,전력요금표!D:D,B:B,전력요금표!F:F,C:C,전력요금표!G:G,"경")*ROUND(D29,0)*J29,0)</f>
        <v>7244608</v>
      </c>
      <c r="N29" s="75">
        <f t="shared" si="1"/>
        <v>488180</v>
      </c>
      <c r="O29" s="75">
        <f t="shared" si="2"/>
        <v>180620</v>
      </c>
      <c r="P29" s="100">
        <f t="shared" si="3"/>
        <v>5550590</v>
      </c>
      <c r="Q29" s="75">
        <f t="shared" si="4"/>
        <v>5062410</v>
      </c>
      <c r="R29" s="100">
        <f>ESS기본할인!M27</f>
        <v>82038528</v>
      </c>
    </row>
    <row r="30" spans="2:18">
      <c r="B30" s="76" t="s">
        <v>25</v>
      </c>
      <c r="C30" s="76" t="s">
        <v>16</v>
      </c>
      <c r="D30" s="80">
        <f>(SUMIFS(ESS전력량계!E:E,ESS전력량계!B:B,B:B,ESS전력량계!C:C,C:C)-SUMIFS(ESS전력량계!D:D,ESS전력량계!B:B,B:B,ESS전력량계!C:C,C:C))*H30</f>
        <v>218874.87999999989</v>
      </c>
      <c r="E30" s="80">
        <f>(SUMIFS(ESS전력량계!G:G,ESS전력량계!B:B,B:B,ESS전력량계!C:C,C:C)-SUMIFS(ESS전력량계!F:F,ESS전력량계!B:B,B:B,ESS전력량계!C:C,C:C))*H30</f>
        <v>711.76000000000022</v>
      </c>
      <c r="F30" s="80">
        <f>(SUMIFS(ESS전력량계!I:I,ESS전력량계!B:B,B:B,ESS전력량계!C:C,C:C)-SUMIFS(ESS전력량계!H:H,ESS전력량계!B:B,B:B,ESS전력량계!C:C,C:C))*H30</f>
        <v>34.720000000000027</v>
      </c>
      <c r="G30" s="80">
        <f t="shared" si="5"/>
        <v>219621.3599999999</v>
      </c>
      <c r="H30" s="81">
        <v>1736</v>
      </c>
      <c r="I30" s="81">
        <v>3.6999999999999998E-2</v>
      </c>
      <c r="J30" s="81">
        <v>1.2</v>
      </c>
      <c r="K30" s="81">
        <v>0.1</v>
      </c>
      <c r="L30" s="75">
        <f>ROUND(SUMIFS(전력요금표!H:H,전력요금표!D:D,B:B,전력요금표!F:F,C:C,전력요금표!G:G,"경")*ROUND(D30,0)+SUMIFS(전력요금표!H:H,전력요금표!D:D,B:B,전력요금표!F:F,C:C,전력요금표!G:G,"중간")*ROUND(E30,0)+SUMIFS(전력요금표!H:H,전력요금표!D:D,B:B,전력요금표!F:F,C:C,전력요금표!G:G,"최대")*ROUND(F30,0),0)</f>
        <v>12338676</v>
      </c>
      <c r="M30" s="75">
        <f>ROUND(SUMIFS(전력요금표!I:I,전력요금표!D:D,B:B,전력요금표!F:F,C:C,전력요금표!G:G,"경")*ROUND(D30,0)*J30,0)</f>
        <v>7367333</v>
      </c>
      <c r="N30" s="75">
        <f t="shared" si="1"/>
        <v>497134</v>
      </c>
      <c r="O30" s="75">
        <f t="shared" si="2"/>
        <v>183930</v>
      </c>
      <c r="P30" s="100">
        <f t="shared" si="3"/>
        <v>5652400</v>
      </c>
      <c r="Q30" s="75">
        <f t="shared" si="4"/>
        <v>5155266</v>
      </c>
      <c r="R30" s="100">
        <f>ESS기본할인!M28</f>
        <v>80061696</v>
      </c>
    </row>
    <row r="31" spans="2:18">
      <c r="B31" s="76" t="s">
        <v>25</v>
      </c>
      <c r="C31" s="76" t="s">
        <v>17</v>
      </c>
      <c r="D31" s="80">
        <f>(SUMIFS(ESS전력량계!E:E,ESS전력량계!B:B,B:B,ESS전력량계!C:C,C:C)-SUMIFS(ESS전력량계!D:D,ESS전력량계!B:B,B:B,ESS전력량계!C:C,C:C))*H31</f>
        <v>168357.28000000003</v>
      </c>
      <c r="E31" s="80">
        <f>(SUMIFS(ESS전력량계!G:G,ESS전력량계!B:B,B:B,ESS전력량계!C:C,C:C)-SUMIFS(ESS전력량계!F:F,ESS전력량계!B:B,B:B,ESS전력량계!C:C,C:C))*H31</f>
        <v>850.64000000000033</v>
      </c>
      <c r="F31" s="80">
        <f>(SUMIFS(ESS전력량계!I:I,ESS전력량계!B:B,B:B,ESS전력량계!C:C,C:C)-SUMIFS(ESS전력량계!H:H,ESS전력량계!B:B,B:B,ESS전력량계!C:C,C:C))*H31</f>
        <v>86.800000000000082</v>
      </c>
      <c r="G31" s="80">
        <f t="shared" si="5"/>
        <v>169294.72000000003</v>
      </c>
      <c r="H31" s="81">
        <v>1736</v>
      </c>
      <c r="I31" s="81">
        <v>3.6999999999999998E-2</v>
      </c>
      <c r="J31" s="81">
        <v>1.2</v>
      </c>
      <c r="K31" s="81">
        <v>0.1</v>
      </c>
      <c r="L31" s="75">
        <f>ROUND(SUMIFS(전력요금표!H:H,전력요금표!D:D,B:B,전력요금표!F:F,C:C,전력요금표!G:G,"경")*ROUND(D31,0)+SUMIFS(전력요금표!H:H,전력요금표!D:D,B:B,전력요금표!F:F,C:C,전력요금표!G:G,"중간")*ROUND(E31,0)+SUMIFS(전력요금표!H:H,전력요금표!D:D,B:B,전력요금표!F:F,C:C,전력요금표!G:G,"최대")*ROUND(F31,0),0)</f>
        <v>9554212</v>
      </c>
      <c r="M31" s="75">
        <f>ROUND(SUMIFS(전력요금표!I:I,전력요금표!D:D,B:B,전력요금표!F:F,C:C,전력요금표!G:G,"경")*ROUND(D31,0)*J31,0)</f>
        <v>5666897</v>
      </c>
      <c r="N31" s="75">
        <f t="shared" si="1"/>
        <v>388732</v>
      </c>
      <c r="O31" s="75">
        <f t="shared" si="2"/>
        <v>143830</v>
      </c>
      <c r="P31" s="100">
        <f t="shared" si="3"/>
        <v>4419870</v>
      </c>
      <c r="Q31" s="75">
        <f t="shared" si="4"/>
        <v>4031138</v>
      </c>
      <c r="R31" s="100">
        <f>ESS기본할인!M29</f>
        <v>65834495.999999993</v>
      </c>
    </row>
    <row r="32" spans="2:18">
      <c r="B32" s="76" t="s">
        <v>25</v>
      </c>
      <c r="C32" s="76" t="s">
        <v>18</v>
      </c>
      <c r="D32" s="80">
        <f>(SUMIFS(ESS전력량계!E:E,ESS전력량계!B:B,B:B,ESS전력량계!C:C,C:C)-SUMIFS(ESS전력량계!D:D,ESS전력량계!B:B,B:B,ESS전력량계!C:C,C:C))*H32</f>
        <v>195716.63999999961</v>
      </c>
      <c r="E32" s="80">
        <f>(SUMIFS(ESS전력량계!G:G,ESS전력량계!B:B,B:B,ESS전력량계!C:C,C:C)-SUMIFS(ESS전력량계!F:F,ESS전력량계!B:B,B:B,ESS전력량계!C:C,C:C))*H32</f>
        <v>659.67999999999824</v>
      </c>
      <c r="F32" s="80">
        <f>(SUMIFS(ESS전력량계!I:I,ESS전력량계!B:B,B:B,ESS전력량계!C:C,C:C)-SUMIFS(ESS전력량계!H:H,ESS전력량계!B:B,B:B,ESS전력량계!C:C,C:C))*H32</f>
        <v>69.43999999999987</v>
      </c>
      <c r="G32" s="80">
        <f t="shared" si="5"/>
        <v>196445.7599999996</v>
      </c>
      <c r="H32" s="81">
        <v>1736</v>
      </c>
      <c r="I32" s="81">
        <v>3.6999999999999998E-2</v>
      </c>
      <c r="J32" s="81">
        <v>1.2</v>
      </c>
      <c r="K32" s="81">
        <v>0.1</v>
      </c>
      <c r="L32" s="75">
        <f>ROUND(SUMIFS(전력요금표!H:H,전력요금표!D:D,B:B,전력요금표!F:F,C:C,전력요금표!G:G,"경")*ROUND(D32,0)+SUMIFS(전력요금표!H:H,전력요금표!D:D,B:B,전력요금표!F:F,C:C,전력요금표!G:G,"중간")*ROUND(E32,0)+SUMIFS(전력요금표!H:H,전력요금표!D:D,B:B,전력요금표!F:F,C:C,전력요금표!G:G,"최대")*ROUND(F32,0),0)</f>
        <v>11064850</v>
      </c>
      <c r="M32" s="75">
        <f>ROUND(SUMIFS(전력요금표!I:I,전력요금표!D:D,B:B,전력요금표!F:F,C:C,전력요금표!G:G,"경")*ROUND(D32,0)*J32,0)</f>
        <v>6587834</v>
      </c>
      <c r="N32" s="75">
        <f t="shared" si="1"/>
        <v>447702</v>
      </c>
      <c r="O32" s="75">
        <f t="shared" si="2"/>
        <v>165640</v>
      </c>
      <c r="P32" s="100">
        <f t="shared" si="3"/>
        <v>5090350</v>
      </c>
      <c r="Q32" s="75">
        <f t="shared" si="4"/>
        <v>4642648</v>
      </c>
      <c r="R32" s="100">
        <f>ESS기본할인!M30</f>
        <v>66313728</v>
      </c>
    </row>
    <row r="33" spans="2:20">
      <c r="B33" s="76" t="s">
        <v>25</v>
      </c>
      <c r="C33" s="76" t="s">
        <v>19</v>
      </c>
      <c r="D33" s="80">
        <f>(SUMIFS(ESS전력량계!E:E,ESS전력량계!B:B,B:B,ESS전력량계!C:C,C:C)-SUMIFS(ESS전력량계!D:D,ESS전력량계!B:B,B:B,ESS전력량계!C:C,C:C))*H33</f>
        <v>181012.71999999997</v>
      </c>
      <c r="E33" s="80">
        <f>(SUMIFS(ESS전력량계!G:G,ESS전력량계!B:B,B:B,ESS전력량계!C:C,C:C)-SUMIFS(ESS전력량계!F:F,ESS전력량계!B:B,B:B,ESS전력량계!C:C,C:C))*H33</f>
        <v>694.40000000000066</v>
      </c>
      <c r="F33" s="80">
        <f>(SUMIFS(ESS전력량계!I:I,ESS전력량계!B:B,B:B,ESS전력량계!C:C,C:C)-SUMIFS(ESS전력량계!H:H,ESS전력량계!B:B,B:B,ESS전력량계!C:C,C:C))*H33</f>
        <v>69.440000000000055</v>
      </c>
      <c r="G33" s="80">
        <f t="shared" si="5"/>
        <v>181776.55999999997</v>
      </c>
      <c r="H33" s="81">
        <v>1736</v>
      </c>
      <c r="I33" s="81">
        <v>3.6999999999999998E-2</v>
      </c>
      <c r="J33" s="81">
        <v>1.2</v>
      </c>
      <c r="K33" s="81">
        <v>0.1</v>
      </c>
      <c r="L33" s="75">
        <f>ROUND(SUMIFS(전력요금표!H:H,전력요금표!D:D,B:B,전력요금표!F:F,C:C,전력요금표!G:G,"경")*ROUND(D33,0)+SUMIFS(전력요금표!H:H,전력요금표!D:D,B:B,전력요금표!F:F,C:C,전력요금표!G:G,"중간")*ROUND(E33,0)+SUMIFS(전력요금표!H:H,전력요금표!D:D,B:B,전력요금표!F:F,C:C,전력요금표!G:G,"최대")*ROUND(F33,0),0)</f>
        <v>10243661</v>
      </c>
      <c r="M33" s="75">
        <f>ROUND(SUMIFS(전력요금표!I:I,전력요금표!D:D,B:B,전력요금표!F:F,C:C,전력요금표!G:G,"경")*ROUND(D33,0)*J33,0)</f>
        <v>6092898</v>
      </c>
      <c r="N33" s="75">
        <f t="shared" si="1"/>
        <v>415076</v>
      </c>
      <c r="O33" s="75">
        <f t="shared" si="2"/>
        <v>153570</v>
      </c>
      <c r="P33" s="100">
        <f t="shared" si="3"/>
        <v>4719400</v>
      </c>
      <c r="Q33" s="75">
        <f t="shared" si="4"/>
        <v>4304324</v>
      </c>
      <c r="R33" s="100">
        <f>ESS기본할인!M31</f>
        <v>66193920</v>
      </c>
    </row>
    <row r="34" spans="2:20">
      <c r="B34" s="76" t="s">
        <v>25</v>
      </c>
      <c r="C34" s="76" t="s">
        <v>20</v>
      </c>
      <c r="D34" s="80">
        <f>(SUMIFS(ESS전력량계!E:E,ESS전력량계!B:B,B:B,ESS전력량계!C:C,C:C)-SUMIFS(ESS전력량계!D:D,ESS전력량계!B:B,B:B,ESS전력량계!C:C,C:C))*H34</f>
        <v>178269.84000000008</v>
      </c>
      <c r="E34" s="80">
        <f>(SUMIFS(ESS전력량계!G:G,ESS전력량계!B:B,B:B,ESS전력량계!C:C,C:C)-SUMIFS(ESS전력량계!F:F,ESS전력량계!B:B,B:B,ESS전력량계!C:C,C:C))*H34</f>
        <v>607.59999999999934</v>
      </c>
      <c r="F34" s="80">
        <f>(SUMIFS(ESS전력량계!I:I,ESS전력량계!B:B,B:B,ESS전력량계!C:C,C:C)-SUMIFS(ESS전력량계!H:H,ESS전력량계!B:B,B:B,ESS전력량계!C:C,C:C))*H34</f>
        <v>86.799999999999883</v>
      </c>
      <c r="G34" s="80">
        <f t="shared" si="5"/>
        <v>178964.24000000008</v>
      </c>
      <c r="H34" s="81">
        <v>1736</v>
      </c>
      <c r="I34" s="81">
        <v>3.6999999999999998E-2</v>
      </c>
      <c r="J34" s="81">
        <v>1.2</v>
      </c>
      <c r="K34" s="81">
        <v>0.1</v>
      </c>
      <c r="L34" s="75">
        <f>ROUND(SUMIFS(전력요금표!H:H,전력요금표!D:D,B:B,전력요금표!F:F,C:C,전력요금표!G:G,"경")*ROUND(D34,0)+SUMIFS(전력요금표!H:H,전력요금표!D:D,B:B,전력요금표!F:F,C:C,전력요금표!G:G,"중간")*ROUND(E34,0)+SUMIFS(전력요금표!H:H,전력요금표!D:D,B:B,전력요금표!F:F,C:C,전력요금표!G:G,"최대")*ROUND(F34,0),0)</f>
        <v>10058245</v>
      </c>
      <c r="M34" s="75">
        <f>ROUND(SUMIFS(전력요금표!I:I,전력요금표!D:D,B:B,전력요금표!F:F,C:C,전력요금표!G:G,"경")*ROUND(D34,0)*J34,0)</f>
        <v>6000568</v>
      </c>
      <c r="N34" s="75">
        <f t="shared" si="1"/>
        <v>405768</v>
      </c>
      <c r="O34" s="75">
        <f t="shared" si="2"/>
        <v>150130</v>
      </c>
      <c r="P34" s="100">
        <f t="shared" si="3"/>
        <v>4613570</v>
      </c>
      <c r="Q34" s="75">
        <f t="shared" si="4"/>
        <v>4207802</v>
      </c>
      <c r="R34" s="100">
        <f>ESS기본할인!M32</f>
        <v>62300160</v>
      </c>
    </row>
    <row r="35" spans="2:20">
      <c r="B35" s="76" t="s">
        <v>25</v>
      </c>
      <c r="C35" s="76" t="s">
        <v>21</v>
      </c>
      <c r="D35" s="80">
        <f>(SUMIFS(ESS전력량계!E:E,ESS전력량계!B:B,B:B,ESS전력량계!C:C,C:C)-SUMIFS(ESS전력량계!D:D,ESS전력량계!B:B,B:B,ESS전력량계!C:C,C:C))*H35</f>
        <v>166395.59999999983</v>
      </c>
      <c r="E35" s="80">
        <f>(SUMIFS(ESS전력량계!G:G,ESS전력량계!B:B,B:B,ESS전력량계!C:C,C:C)-SUMIFS(ESS전력량계!F:F,ESS전력량계!B:B,B:B,ESS전력량계!C:C,C:C))*H35</f>
        <v>572.88000000000011</v>
      </c>
      <c r="F35" s="80">
        <f>(SUMIFS(ESS전력량계!I:I,ESS전력량계!B:B,B:B,ESS전력량계!C:C,C:C)-SUMIFS(ESS전력량계!H:H,ESS전력량계!B:B,B:B,ESS전력량계!C:C,C:C))*H35</f>
        <v>69.440000000000055</v>
      </c>
      <c r="G35" s="80">
        <f t="shared" si="5"/>
        <v>167037.91999999984</v>
      </c>
      <c r="H35" s="81">
        <v>1736</v>
      </c>
      <c r="I35" s="81">
        <v>3.6999999999999998E-2</v>
      </c>
      <c r="J35" s="81">
        <v>1.2</v>
      </c>
      <c r="K35" s="81">
        <v>0.1</v>
      </c>
      <c r="L35" s="75">
        <f>ROUND(SUMIFS(전력요금표!H:H,전력요금표!D:D,B:B,전력요금표!F:F,C:C,전력요금표!G:G,"경")*ROUND(D35,0)+SUMIFS(전력요금표!H:H,전력요금표!D:D,B:B,전력요금표!F:F,C:C,전력요금표!G:G,"중간")*ROUND(E35,0)+SUMIFS(전력요금표!H:H,전력요금표!D:D,B:B,전력요금표!F:F,C:C,전력요금표!G:G,"최대")*ROUND(F35,0),0)</f>
        <v>9387395</v>
      </c>
      <c r="M35" s="75">
        <f>ROUND(SUMIFS(전력요금표!I:I,전력요금표!D:D,B:B,전력요금표!F:F,C:C,전력요금표!G:G,"경")*ROUND(D35,0)*J35,0)</f>
        <v>5600889</v>
      </c>
      <c r="N35" s="75">
        <f t="shared" si="1"/>
        <v>378651</v>
      </c>
      <c r="O35" s="75">
        <f t="shared" si="2"/>
        <v>140100</v>
      </c>
      <c r="P35" s="100">
        <f t="shared" si="3"/>
        <v>4305250</v>
      </c>
      <c r="Q35" s="75">
        <f t="shared" si="4"/>
        <v>3926599</v>
      </c>
      <c r="R35" s="100">
        <f>ESS기본할인!M33</f>
        <v>66014208</v>
      </c>
    </row>
    <row r="36" spans="2:20">
      <c r="B36" s="76" t="s">
        <v>25</v>
      </c>
      <c r="C36" s="76" t="s">
        <v>22</v>
      </c>
      <c r="D36" s="80">
        <f>(SUMIFS(ESS전력량계!E:E,ESS전력량계!B:B,B:B,ESS전력량계!C:C,C:C)-SUMIFS(ESS전력량계!D:D,ESS전력량계!B:B,B:B,ESS전력량계!C:C,C:C))*H36</f>
        <v>177332.40000000017</v>
      </c>
      <c r="E36" s="80">
        <f>(SUMIFS(ESS전력량계!G:G,ESS전력량계!B:B,B:B,ESS전력량계!C:C,C:C)-SUMIFS(ESS전력량계!F:F,ESS전력량계!B:B,B:B,ESS전력량계!C:C,C:C))*H36</f>
        <v>624.96000000000208</v>
      </c>
      <c r="F36" s="80">
        <f>(SUMIFS(ESS전력량계!I:I,ESS전력량계!B:B,B:B,ESS전력량계!C:C,C:C)-SUMIFS(ESS전력량계!H:H,ESS전력량계!B:B,B:B,ESS전력량계!C:C,C:C))*H36</f>
        <v>86.800000000000082</v>
      </c>
      <c r="G36" s="80">
        <f t="shared" si="5"/>
        <v>178044.16000000015</v>
      </c>
      <c r="H36" s="81">
        <v>1736</v>
      </c>
      <c r="I36" s="81">
        <v>3.6999999999999998E-2</v>
      </c>
      <c r="J36" s="81">
        <v>1.2</v>
      </c>
      <c r="K36" s="81">
        <v>0.1</v>
      </c>
      <c r="L36" s="75">
        <f>ROUND(SUMIFS(전력요금표!H:H,전력요금표!D:D,B:B,전력요금표!F:F,C:C,전력요금표!G:G,"경")*ROUND(D36,0)+SUMIFS(전력요금표!H:H,전력요금표!D:D,B:B,전력요금표!F:F,C:C,전력요금표!G:G,"중간")*ROUND(E36,0)+SUMIFS(전력요금표!H:H,전력요금표!D:D,B:B,전력요금표!F:F,C:C,전력요금표!G:G,"최대")*ROUND(F36,0),0)</f>
        <v>11272402</v>
      </c>
      <c r="M36" s="75">
        <f>ROUND(SUMIFS(전력요금표!I:I,전력요금표!D:D,B:B,전력요금표!F:F,C:C,전력요금표!G:G,"경")*ROUND(D36,0)*J36,0)</f>
        <v>6713790</v>
      </c>
      <c r="N36" s="75">
        <f t="shared" si="1"/>
        <v>455861</v>
      </c>
      <c r="O36" s="75">
        <f t="shared" si="2"/>
        <v>168660</v>
      </c>
      <c r="P36" s="100">
        <f t="shared" si="3"/>
        <v>5183130</v>
      </c>
      <c r="Q36" s="75">
        <f t="shared" si="4"/>
        <v>4727269</v>
      </c>
      <c r="R36" s="100">
        <f>ESS기본할인!M34</f>
        <v>64426751.999999993</v>
      </c>
    </row>
    <row r="37" spans="2:20">
      <c r="B37" s="76" t="s">
        <v>25</v>
      </c>
      <c r="C37" s="76" t="s">
        <v>23</v>
      </c>
      <c r="D37" s="80">
        <f>(SUMIFS(ESS전력량계!E:E,ESS전력량계!B:B,B:B,ESS전력량계!C:C,C:C)-SUMIFS(ESS전력량계!D:D,ESS전력량계!B:B,B:B,ESS전력량계!C:C,C:C))*H37</f>
        <v>182488.3199999998</v>
      </c>
      <c r="E37" s="80">
        <f>(SUMIFS(ESS전력량계!G:G,ESS전력량계!B:B,B:B,ESS전력량계!C:C,C:C)-SUMIFS(ESS전력량계!F:F,ESS전력량계!B:B,B:B,ESS전력량계!C:C,C:C))*H37</f>
        <v>642.31999999999869</v>
      </c>
      <c r="F37" s="80">
        <f>(SUMIFS(ESS전력량계!I:I,ESS전력량계!B:B,B:B,ESS전력량계!C:C,C:C)-SUMIFS(ESS전력량계!H:H,ESS전력량계!B:B,B:B,ESS전력량계!C:C,C:C))*H37</f>
        <v>86.800000000000082</v>
      </c>
      <c r="G37" s="80">
        <f t="shared" si="5"/>
        <v>183217.4399999998</v>
      </c>
      <c r="H37" s="81">
        <v>1736</v>
      </c>
      <c r="I37" s="81">
        <v>3.6999999999999998E-2</v>
      </c>
      <c r="J37" s="81">
        <v>1.2</v>
      </c>
      <c r="K37" s="81">
        <v>0.1</v>
      </c>
      <c r="L37" s="75">
        <f>ROUND(SUMIFS(전력요금표!H:H,전력요금표!D:D,B:B,전력요금표!F:F,C:C,전력요금표!G:G,"경")*ROUND(D37,0)+SUMIFS(전력요금표!H:H,전력요금표!D:D,B:B,전력요금표!F:F,C:C,전력요금표!G:G,"중간")*ROUND(E37,0)+SUMIFS(전력요금표!H:H,전력요금표!D:D,B:B,전력요금표!F:F,C:C,전력요금표!G:G,"최대")*ROUND(F37,0),0)</f>
        <v>11599602</v>
      </c>
      <c r="M37" s="75">
        <f>ROUND(SUMIFS(전력요금표!I:I,전력요금표!D:D,B:B,전력요금표!F:F,C:C,전력요금표!G:G,"경")*ROUND(D37,0)*J37,0)</f>
        <v>6908996</v>
      </c>
      <c r="N37" s="75">
        <f t="shared" si="1"/>
        <v>469061</v>
      </c>
      <c r="O37" s="75">
        <f t="shared" si="2"/>
        <v>173550</v>
      </c>
      <c r="P37" s="100">
        <f t="shared" si="3"/>
        <v>5333210</v>
      </c>
      <c r="Q37" s="75">
        <f t="shared" si="4"/>
        <v>4864149</v>
      </c>
      <c r="R37" s="100">
        <f>ESS기본할인!M35</f>
        <v>61521408</v>
      </c>
    </row>
    <row r="38" spans="2:20">
      <c r="B38" s="76" t="s">
        <v>26</v>
      </c>
      <c r="C38" s="76" t="s">
        <v>9</v>
      </c>
      <c r="D38" s="80">
        <f>(SUMIFS(ESS전력량계!E:E,ESS전력량계!B:B,B:B,ESS전력량계!C:C,C:C)-SUMIFS(ESS전력량계!D:D,ESS전력량계!B:B,B:B,ESS전력량계!C:C,C:C))*H38</f>
        <v>163027.76000000053</v>
      </c>
      <c r="E38" s="171">
        <f>(SUMIFS(ESS전력량계!G:G,ESS전력량계!B:B,B:B,ESS전력량계!C:C,C:C)-SUMIFS(ESS전력량계!F:F,ESS전력량계!B:B,B:B,ESS전력량계!C:C,C:C))*H38</f>
        <v>659.68000000000131</v>
      </c>
      <c r="F38" s="80">
        <f>(SUMIFS(ESS전력량계!I:I,ESS전력량계!B:B,B:B,ESS전력량계!C:C,C:C)-SUMIFS(ESS전력량계!H:H,ESS전력량계!B:B,B:B,ESS전력량계!C:C,C:C))*H38</f>
        <v>86.799999999999699</v>
      </c>
      <c r="G38" s="80">
        <f t="shared" si="5"/>
        <v>163774.24000000051</v>
      </c>
      <c r="H38" s="81">
        <v>1736</v>
      </c>
      <c r="I38" s="81">
        <v>3.6999999999999998E-2</v>
      </c>
      <c r="J38" s="81">
        <v>1</v>
      </c>
      <c r="K38" s="81">
        <v>0.1</v>
      </c>
      <c r="L38" s="75">
        <f>ROUND(SUMIFS(전력요금표!H:H,전력요금표!D:D,B:B,전력요금표!F:F,C:C,전력요금표!G:G,"경")*ROUND(D38,0)+SUMIFS(전력요금표!H:H,전력요금표!D:D,B:B,전력요금표!F:F,C:C,전력요금표!G:G,"중간")*ROUND(E38,0)+SUMIFS(전력요금표!H:H,전력요금표!D:D,B:B,전력요금표!F:F,C:C,전력요금표!G:G,"최대")*ROUND(F38,0),0)</f>
        <v>10373642</v>
      </c>
      <c r="M38" s="75">
        <f>ROUND((SUMIFS(전력요금표!H:H,전력요금표!D:D,B:B,전력요금표!F:F,C:C,전력요금표!G:G,"경")*ROUND(D38,0)+SUMIFS(전력요금표!H:H,전력요금표!D:D,B:B,전력요금표!F:F,C:C,전력요금표!G:G,"중간")*ROUND(E38,0)+SUMIFS(전력요금표!H:H,전력요금표!D:D,B:B,전력요금표!F:F,C:C,전력요금표!G:G,"최대")*ROUND(F38,0))*J38,0)</f>
        <v>10373642</v>
      </c>
      <c r="N38" s="75">
        <f>ROUND(M38*K38,0)</f>
        <v>1037364</v>
      </c>
      <c r="O38" s="75">
        <f>ROUNDDOWN(M38*I38,-1)</f>
        <v>383820</v>
      </c>
      <c r="P38" s="100">
        <f>ROUNDDOWN(SUM(M38:O38),-1)</f>
        <v>11794820</v>
      </c>
      <c r="Q38" s="75">
        <f t="shared" si="4"/>
        <v>10757456</v>
      </c>
      <c r="R38" s="100">
        <f>ESS기본할인!M36</f>
        <v>17563520</v>
      </c>
      <c r="T38" s="108"/>
    </row>
    <row r="39" spans="2:20">
      <c r="B39" s="76" t="s">
        <v>26</v>
      </c>
      <c r="C39" s="76" t="s">
        <v>13</v>
      </c>
      <c r="D39" s="171">
        <f>(SUMIFS(ESS전력량계!E:E,ESS전력량계!B:B,B:B,ESS전력량계!C:C,C:C)-SUMIFS(ESS전력량계!D:D,ESS전력량계!B:B,B:B,ESS전력량계!C:C,C:C))*H39</f>
        <v>152090.95999999944</v>
      </c>
      <c r="E39" s="171">
        <f>(SUMIFS(ESS전력량계!G:G,ESS전력량계!B:B,B:B,ESS전력량계!C:C,C:C)-SUMIFS(ESS전력량계!F:F,ESS전력량계!B:B,B:B,ESS전력량계!C:C,C:C))*H39</f>
        <v>520.79999999999814</v>
      </c>
      <c r="F39" s="171">
        <f>(SUMIFS(ESS전력량계!I:I,ESS전력량계!B:B,B:B,ESS전력량계!C:C,C:C)-SUMIFS(ESS전력량계!H:H,ESS전력량계!B:B,B:B,ESS전력량계!C:C,C:C))*H39</f>
        <v>69.440000000000055</v>
      </c>
      <c r="G39" s="80">
        <f t="shared" si="5"/>
        <v>152681.19999999943</v>
      </c>
      <c r="H39" s="81">
        <v>1736</v>
      </c>
      <c r="I39" s="81">
        <v>3.6999999999999998E-2</v>
      </c>
      <c r="J39" s="81">
        <v>1</v>
      </c>
      <c r="K39" s="81">
        <v>0.1</v>
      </c>
      <c r="L39" s="75">
        <f>ROUND(SUMIFS(전력요금표!H:H,전력요금표!D:D,B:B,전력요금표!F:F,C:C,전력요금표!G:G,"경")*ROUND(D39,0)+SUMIFS(전력요금표!H:H,전력요금표!D:D,B:B,전력요금표!F:F,C:C,전력요금표!G:G,"중간")*ROUND(E39,0)+SUMIFS(전력요금표!H:H,전력요금표!D:D,B:B,전력요금표!F:F,C:C,전력요금표!G:G,"최대")*ROUND(F39,0),0)</f>
        <v>9665338</v>
      </c>
      <c r="M39" s="75">
        <f>ROUND((SUMIFS(전력요금표!H:H,전력요금표!D:D,B:B,전력요금표!F:F,C:C,전력요금표!G:G,"경")*ROUND(D39,0)+SUMIFS(전력요금표!H:H,전력요금표!D:D,B:B,전력요금표!F:F,C:C,전력요금표!G:G,"중간")*ROUND(E39,0)+SUMIFS(전력요금표!H:H,전력요금표!D:D,B:B,전력요금표!F:F,C:C,전력요금표!G:G,"최대")*ROUND(F39,0))*J39,0)</f>
        <v>9665338</v>
      </c>
      <c r="N39" s="75">
        <f t="shared" ref="N39:N49" si="6">ROUND(M39*K39,0)</f>
        <v>966534</v>
      </c>
      <c r="O39" s="183">
        <f>ROUNDDOWN(M39*I39,-1)</f>
        <v>357610</v>
      </c>
      <c r="P39" s="100">
        <f t="shared" ref="P39:P49" si="7">ROUNDDOWN(SUM(M39:O39),-1)</f>
        <v>10989480</v>
      </c>
      <c r="Q39" s="75">
        <f t="shared" si="4"/>
        <v>10022946</v>
      </c>
      <c r="R39" s="100">
        <f>ESS기본할인!M37</f>
        <v>18345600</v>
      </c>
    </row>
    <row r="40" spans="2:20">
      <c r="B40" s="76" t="s">
        <v>26</v>
      </c>
      <c r="C40" s="76" t="s">
        <v>14</v>
      </c>
      <c r="D40" s="171">
        <f>(SUMIFS(ESS전력량계!E:E,ESS전력량계!B:B,B:B,ESS전력량계!C:C,C:C)-SUMIFS(ESS전력량계!D:D,ESS전력량계!B:B,B:B,ESS전력량계!C:C,C:C))*H40</f>
        <v>195334.71999999997</v>
      </c>
      <c r="E40" s="171">
        <f>(SUMIFS(ESS전력량계!G:G,ESS전력량계!B:B,B:B,ESS전력량계!C:C,C:C)-SUMIFS(ESS전력량계!F:F,ESS전력량계!B:B,B:B,ESS전력량계!C:C,C:C))*H40</f>
        <v>624.96000000000208</v>
      </c>
      <c r="F40" s="171">
        <f>(SUMIFS(ESS전력량계!I:I,ESS전력량계!B:B,B:B,ESS전력량계!C:C,C:C)-SUMIFS(ESS전력량계!H:H,ESS전력량계!B:B,B:B,ESS전력량계!C:C,C:C))*H40</f>
        <v>86.800000000000082</v>
      </c>
      <c r="G40" s="80">
        <f t="shared" si="5"/>
        <v>196046.47999999995</v>
      </c>
      <c r="H40" s="81">
        <v>1736</v>
      </c>
      <c r="I40" s="81">
        <v>3.6999999999999998E-2</v>
      </c>
      <c r="J40" s="81">
        <v>1</v>
      </c>
      <c r="K40" s="81">
        <v>0.1</v>
      </c>
      <c r="L40" s="75">
        <f>ROUND(SUMIFS(전력요금표!H:H,전력요금표!D:D,B:B,전력요금표!F:F,C:C,전력요금표!G:G,"경")*ROUND(D40,0)+SUMIFS(전력요금표!H:H,전력요금표!D:D,B:B,전력요금표!F:F,C:C,전력요금표!G:G,"중간")*ROUND(E40,0)+SUMIFS(전력요금표!H:H,전력요금표!D:D,B:B,전력요금표!F:F,C:C,전력요금표!G:G,"최대")*ROUND(F40,0),0)</f>
        <v>11016928</v>
      </c>
      <c r="M40" s="75">
        <f>ROUND((SUMIFS(전력요금표!H:H,전력요금표!D:D,B:B,전력요금표!F:F,C:C,전력요금표!G:G,"경")*ROUND(D40,0)+SUMIFS(전력요금표!H:H,전력요금표!D:D,B:B,전력요금표!F:F,C:C,전력요금표!G:G,"중간")*ROUND(E40,0)+SUMIFS(전력요금표!H:H,전력요금표!D:D,B:B,전력요금표!F:F,C:C,전력요금표!G:G,"최대")*ROUND(F40,0))*J40,0)</f>
        <v>11016928</v>
      </c>
      <c r="N40" s="75">
        <f t="shared" si="6"/>
        <v>1101693</v>
      </c>
      <c r="O40" s="183">
        <f t="shared" ref="O40:O49" si="8">ROUNDDOWN(M40*I40,-1)</f>
        <v>407620</v>
      </c>
      <c r="P40" s="100">
        <f t="shared" si="7"/>
        <v>12526240</v>
      </c>
      <c r="Q40" s="75">
        <f t="shared" si="4"/>
        <v>11424547</v>
      </c>
      <c r="R40" s="100">
        <f>ESS기본할인!M38</f>
        <v>19069440</v>
      </c>
    </row>
    <row r="41" spans="2:20">
      <c r="B41" s="76" t="s">
        <v>26</v>
      </c>
      <c r="C41" s="76" t="s">
        <v>15</v>
      </c>
      <c r="D41" s="171">
        <f>(SUMIFS(ESS전력량계!E:E,ESS전력량계!B:B,B:B,ESS전력량계!C:C,C:C)-SUMIFS(ESS전력량계!D:D,ESS전력량계!B:B,B:B,ESS전력량계!C:C,C:C))*H41</f>
        <v>194657.6800000002</v>
      </c>
      <c r="E41" s="171">
        <f>(SUMIFS(ESS전력량계!G:G,ESS전력량계!B:B,B:B,ESS전력량계!C:C,C:C)-SUMIFS(ESS전력량계!F:F,ESS전력량계!B:B,B:B,ESS전력량계!C:C,C:C))*H41</f>
        <v>624.95999999999901</v>
      </c>
      <c r="F41" s="171">
        <f>(SUMIFS(ESS전력량계!I:I,ESS전력량계!B:B,B:B,ESS전력량계!C:C,C:C)-SUMIFS(ESS전력량계!H:H,ESS전력량계!B:B,B:B,ESS전력량계!C:C,C:C))*H41</f>
        <v>86.800000000000082</v>
      </c>
      <c r="G41" s="80">
        <f t="shared" si="5"/>
        <v>195369.44000000018</v>
      </c>
      <c r="H41" s="81">
        <v>1736</v>
      </c>
      <c r="I41" s="81">
        <v>3.6999999999999998E-2</v>
      </c>
      <c r="J41" s="81">
        <v>1</v>
      </c>
      <c r="K41" s="81">
        <v>0.1</v>
      </c>
      <c r="L41" s="75">
        <f>ROUND(SUMIFS(전력요금표!H:H,전력요금표!D:D,B:B,전력요금표!F:F,C:C,전력요금표!G:G,"경")*ROUND(D41,0)+SUMIFS(전력요금표!H:H,전력요금표!D:D,B:B,전력요금표!F:F,C:C,전력요금표!G:G,"중간")*ROUND(E41,0)+SUMIFS(전력요금표!H:H,전력요금표!D:D,B:B,전력요금표!F:F,C:C,전력요금표!G:G,"최대")*ROUND(F41,0),0)</f>
        <v>10978948</v>
      </c>
      <c r="M41" s="75">
        <f>ROUND((SUMIFS(전력요금표!H:H,전력요금표!D:D,B:B,전력요금표!F:F,C:C,전력요금표!G:G,"경")*ROUND(D41,0)+SUMIFS(전력요금표!H:H,전력요금표!D:D,B:B,전력요금표!F:F,C:C,전력요금표!G:G,"중간")*ROUND(E41,0)+SUMIFS(전력요금표!H:H,전력요금표!D:D,B:B,전력요금표!F:F,C:C,전력요금표!G:G,"최대")*ROUND(F41,0))*J41,0)</f>
        <v>10978948</v>
      </c>
      <c r="N41" s="75">
        <f t="shared" si="6"/>
        <v>1097895</v>
      </c>
      <c r="O41" s="183">
        <f t="shared" si="8"/>
        <v>406220</v>
      </c>
      <c r="P41" s="100">
        <f t="shared" si="7"/>
        <v>12483060</v>
      </c>
      <c r="Q41" s="75">
        <f t="shared" si="4"/>
        <v>11385165</v>
      </c>
      <c r="R41" s="100">
        <f>ESS기본할인!M39</f>
        <v>19011200</v>
      </c>
    </row>
    <row r="42" spans="2:20">
      <c r="B42" s="76" t="s">
        <v>26</v>
      </c>
      <c r="C42" s="76" t="s">
        <v>16</v>
      </c>
      <c r="D42" s="171">
        <f>(SUMIFS(ESS전력량계!E:E,ESS전력량계!B:B,B:B,ESS전력량계!C:C,C:C)-SUMIFS(ESS전력량계!D:D,ESS전력량계!B:B,B:B,ESS전력량계!C:C,C:C))*H42</f>
        <v>178721.19999999969</v>
      </c>
      <c r="E42" s="171">
        <f>(SUMIFS(ESS전력량계!G:G,ESS전력량계!B:B,B:B,ESS전력량계!C:C,C:C)-SUMIFS(ESS전력량계!F:F,ESS전력량계!B:B,B:B,ESS전력량계!C:C,C:C))*H42</f>
        <v>590.23999999999978</v>
      </c>
      <c r="F42" s="171">
        <f>(SUMIFS(ESS전력량계!I:I,ESS전력량계!B:B,B:B,ESS전력량계!C:C,C:C)-SUMIFS(ESS전력량계!H:H,ESS전력량계!B:B,B:B,ESS전력량계!C:C,C:C))*H42</f>
        <v>69.440000000000055</v>
      </c>
      <c r="G42" s="80">
        <f t="shared" si="5"/>
        <v>179380.87999999968</v>
      </c>
      <c r="H42" s="81">
        <v>1736</v>
      </c>
      <c r="I42" s="81">
        <v>3.6999999999999998E-2</v>
      </c>
      <c r="J42" s="81">
        <v>1</v>
      </c>
      <c r="K42" s="81">
        <v>0.1</v>
      </c>
      <c r="L42" s="75">
        <f>ROUND(SUMIFS(전력요금표!H:H,전력요금표!D:D,B:B,전력요금표!F:F,C:C,전력요금표!G:G,"경")*ROUND(D42,0)+SUMIFS(전력요금표!H:H,전력요금표!D:D,B:B,전력요금표!F:F,C:C,전력요금표!G:G,"중간")*ROUND(E42,0)+SUMIFS(전력요금표!H:H,전력요금표!D:D,B:B,전력요금표!F:F,C:C,전력요금표!G:G,"최대")*ROUND(F42,0),0)</f>
        <v>10080164</v>
      </c>
      <c r="M42" s="75">
        <f>ROUND((SUMIFS(전력요금표!H:H,전력요금표!D:D,B:B,전력요금표!F:F,C:C,전력요금표!G:G,"경")*ROUND(D42,0)+SUMIFS(전력요금표!H:H,전력요금표!D:D,B:B,전력요금표!F:F,C:C,전력요금표!G:G,"중간")*ROUND(E42,0)+SUMIFS(전력요금표!H:H,전력요금표!D:D,B:B,전력요금표!F:F,C:C,전력요금표!G:G,"최대")*ROUND(F42,0))*J42,0)</f>
        <v>10080164</v>
      </c>
      <c r="N42" s="75">
        <f t="shared" si="6"/>
        <v>1008016</v>
      </c>
      <c r="O42" s="183">
        <f t="shared" si="8"/>
        <v>372960</v>
      </c>
      <c r="P42" s="100">
        <f t="shared" si="7"/>
        <v>11461140</v>
      </c>
      <c r="Q42" s="75">
        <f t="shared" si="4"/>
        <v>10453124</v>
      </c>
      <c r="R42" s="100">
        <f>ESS기본할인!M40</f>
        <v>18869760</v>
      </c>
    </row>
    <row r="43" spans="2:20">
      <c r="B43" s="76" t="s">
        <v>26</v>
      </c>
      <c r="C43" s="76" t="s">
        <v>17</v>
      </c>
      <c r="D43" s="171">
        <f>(SUMIFS(ESS전력량계!E:E,ESS전력량계!B:B,B:B,ESS전력량계!C:C,C:C)-SUMIFS(ESS전력량계!D:D,ESS전력량계!B:B,B:B,ESS전력량계!C:C,C:C))*H43</f>
        <v>191116.24000000025</v>
      </c>
      <c r="E43" s="171">
        <f>(SUMIFS(ESS전력량계!G:G,ESS전력량계!B:B,B:B,ESS전력량계!C:C,C:C)-SUMIFS(ESS전력량계!F:F,ESS전력량계!B:B,B:B,ESS전력량계!C:C,C:C))*H43</f>
        <v>729.11999999999989</v>
      </c>
      <c r="F43" s="171">
        <f>(SUMIFS(ESS전력량계!I:I,ESS전력량계!B:B,B:B,ESS전력량계!C:C,C:C)-SUMIFS(ESS전력량계!H:H,ESS전력량계!B:B,B:B,ESS전력량계!C:C,C:C))*H43</f>
        <v>86.800000000000082</v>
      </c>
      <c r="G43" s="80">
        <f t="shared" si="5"/>
        <v>191932.16000000024</v>
      </c>
      <c r="H43" s="81">
        <v>1736</v>
      </c>
      <c r="I43" s="81">
        <v>3.6999999999999998E-2</v>
      </c>
      <c r="J43" s="81">
        <v>1</v>
      </c>
      <c r="K43" s="81">
        <v>0.1</v>
      </c>
      <c r="L43" s="75">
        <f>ROUND(SUMIFS(전력요금표!H:H,전력요금표!D:D,B:B,전력요금표!F:F,C:C,전력요금표!G:G,"경")*ROUND(D43,0)+SUMIFS(전력요금표!H:H,전력요금표!D:D,B:B,전력요금표!F:F,C:C,전력요금표!G:G,"중간")*ROUND(E43,0)+SUMIFS(전력요금표!H:H,전력요금표!D:D,B:B,전력요금표!F:F,C:C,전력요금표!G:G,"최대")*ROUND(F43,0),0)</f>
        <v>10817694</v>
      </c>
      <c r="M43" s="75">
        <f>ROUND((SUMIFS(전력요금표!H:H,전력요금표!D:D,B:B,전력요금표!F:F,C:C,전력요금표!G:G,"경")*ROUND(D43,0)+SUMIFS(전력요금표!H:H,전력요금표!D:D,B:B,전력요금표!F:F,C:C,전력요금표!G:G,"중간")*ROUND(E43,0)+SUMIFS(전력요금표!H:H,전력요금표!D:D,B:B,전력요금표!F:F,C:C,전력요금표!G:G,"최대")*ROUND(F43,0))*J43,0)</f>
        <v>10817694</v>
      </c>
      <c r="N43" s="75">
        <f t="shared" si="6"/>
        <v>1081769</v>
      </c>
      <c r="O43" s="183">
        <f t="shared" si="8"/>
        <v>400250</v>
      </c>
      <c r="P43" s="100">
        <f t="shared" si="7"/>
        <v>12299710</v>
      </c>
      <c r="Q43" s="75">
        <f t="shared" si="4"/>
        <v>11217941</v>
      </c>
      <c r="R43" s="100">
        <f>ESS기본할인!M41</f>
        <v>18661760</v>
      </c>
    </row>
    <row r="44" spans="2:20">
      <c r="B44" s="76" t="s">
        <v>26</v>
      </c>
      <c r="C44" s="76" t="s">
        <v>18</v>
      </c>
      <c r="D44" s="171">
        <f>(SUMIFS(ESS전력량계!E:E,ESS전력량계!B:B,B:B,ESS전력량계!C:C,C:C)-SUMIFS(ESS전력량계!D:D,ESS전력량계!B:B,B:B,ESS전력량계!C:C,C:C))*H44</f>
        <v>0</v>
      </c>
      <c r="E44" s="171">
        <f>(SUMIFS(ESS전력량계!G:G,ESS전력량계!B:B,B:B,ESS전력량계!C:C,C:C)-SUMIFS(ESS전력량계!F:F,ESS전력량계!B:B,B:B,ESS전력량계!C:C,C:C))*H44</f>
        <v>0</v>
      </c>
      <c r="F44" s="171">
        <f>(SUMIFS(ESS전력량계!I:I,ESS전력량계!B:B,B:B,ESS전력량계!C:C,C:C)-SUMIFS(ESS전력량계!H:H,ESS전력량계!B:B,B:B,ESS전력량계!C:C,C:C))*H44</f>
        <v>0</v>
      </c>
      <c r="G44" s="80">
        <f t="shared" si="5"/>
        <v>0</v>
      </c>
      <c r="H44" s="81">
        <v>1736</v>
      </c>
      <c r="I44" s="81">
        <v>3.6999999999999998E-2</v>
      </c>
      <c r="J44" s="81">
        <v>1</v>
      </c>
      <c r="K44" s="81">
        <v>0.1</v>
      </c>
      <c r="L44" s="75">
        <f>ROUND(SUMIFS(전력요금표!H:H,전력요금표!D:D,B:B,전력요금표!F:F,C:C,전력요금표!G:G,"경")*ROUND(D44,0)+SUMIFS(전력요금표!H:H,전력요금표!D:D,B:B,전력요금표!F:F,C:C,전력요금표!G:G,"중간")*ROUND(E44,0)+SUMIFS(전력요금표!H:H,전력요금표!D:D,B:B,전력요금표!F:F,C:C,전력요금표!G:G,"최대")*ROUND(F44,0),0)</f>
        <v>0</v>
      </c>
      <c r="M44" s="75">
        <f>ROUND((SUMIFS(전력요금표!H:H,전력요금표!D:D,B:B,전력요금표!F:F,C:C,전력요금표!G:G,"경")*ROUND(D44,0)+SUMIFS(전력요금표!H:H,전력요금표!D:D,B:B,전력요금표!F:F,C:C,전력요금표!G:G,"중간")*ROUND(E44,0)+SUMIFS(전력요금표!H:H,전력요금표!D:D,B:B,전력요금표!F:F,C:C,전력요금표!G:G,"최대")*ROUND(F44,0))*J44,0)</f>
        <v>0</v>
      </c>
      <c r="N44" s="75">
        <f t="shared" si="6"/>
        <v>0</v>
      </c>
      <c r="O44" s="183">
        <f t="shared" si="8"/>
        <v>0</v>
      </c>
      <c r="P44" s="100">
        <f t="shared" si="7"/>
        <v>0</v>
      </c>
      <c r="Q44" s="75">
        <f t="shared" si="4"/>
        <v>0</v>
      </c>
      <c r="R44" s="100" t="e">
        <f>ESS기본할인!M42</f>
        <v>#DIV/0!</v>
      </c>
    </row>
    <row r="45" spans="2:20">
      <c r="B45" s="76" t="s">
        <v>26</v>
      </c>
      <c r="C45" s="76" t="s">
        <v>19</v>
      </c>
      <c r="D45" s="171">
        <f>(SUMIFS(ESS전력량계!E:E,ESS전력량계!B:B,B:B,ESS전력량계!C:C,C:C)-SUMIFS(ESS전력량계!D:D,ESS전력량계!B:B,B:B,ESS전력량계!C:C,C:C))*H45</f>
        <v>0</v>
      </c>
      <c r="E45" s="171">
        <f>(SUMIFS(ESS전력량계!G:G,ESS전력량계!B:B,B:B,ESS전력량계!C:C,C:C)-SUMIFS(ESS전력량계!F:F,ESS전력량계!B:B,B:B,ESS전력량계!C:C,C:C))*H45</f>
        <v>0</v>
      </c>
      <c r="F45" s="171">
        <f>(SUMIFS(ESS전력량계!I:I,ESS전력량계!B:B,B:B,ESS전력량계!C:C,C:C)-SUMIFS(ESS전력량계!H:H,ESS전력량계!B:B,B:B,ESS전력량계!C:C,C:C))*H45</f>
        <v>0</v>
      </c>
      <c r="G45" s="80">
        <f t="shared" si="5"/>
        <v>0</v>
      </c>
      <c r="H45" s="81">
        <v>1736</v>
      </c>
      <c r="I45" s="81">
        <v>3.6999999999999998E-2</v>
      </c>
      <c r="J45" s="81">
        <v>1</v>
      </c>
      <c r="K45" s="81">
        <v>0.1</v>
      </c>
      <c r="L45" s="75">
        <f>ROUND(SUMIFS(전력요금표!H:H,전력요금표!D:D,B:B,전력요금표!F:F,C:C,전력요금표!G:G,"경")*ROUND(D45,0)+SUMIFS(전력요금표!H:H,전력요금표!D:D,B:B,전력요금표!F:F,C:C,전력요금표!G:G,"중간")*ROUND(E45,0)+SUMIFS(전력요금표!H:H,전력요금표!D:D,B:B,전력요금표!F:F,C:C,전력요금표!G:G,"최대")*ROUND(F45,0),0)</f>
        <v>0</v>
      </c>
      <c r="M45" s="75">
        <f>ROUND((SUMIFS(전력요금표!H:H,전력요금표!D:D,B:B,전력요금표!F:F,C:C,전력요금표!G:G,"경")*ROUND(D45,0)+SUMIFS(전력요금표!H:H,전력요금표!D:D,B:B,전력요금표!F:F,C:C,전력요금표!G:G,"중간")*ROUND(E45,0)+SUMIFS(전력요금표!H:H,전력요금표!D:D,B:B,전력요금표!F:F,C:C,전력요금표!G:G,"최대")*ROUND(F45,0))*J45,0)</f>
        <v>0</v>
      </c>
      <c r="N45" s="75">
        <f t="shared" si="6"/>
        <v>0</v>
      </c>
      <c r="O45" s="183">
        <f t="shared" si="8"/>
        <v>0</v>
      </c>
      <c r="P45" s="100">
        <f t="shared" si="7"/>
        <v>0</v>
      </c>
      <c r="Q45" s="75">
        <f t="shared" si="4"/>
        <v>0</v>
      </c>
      <c r="R45" s="100" t="e">
        <f>ESS기본할인!M43</f>
        <v>#DIV/0!</v>
      </c>
    </row>
    <row r="46" spans="2:20">
      <c r="B46" s="76" t="s">
        <v>26</v>
      </c>
      <c r="C46" s="76" t="s">
        <v>20</v>
      </c>
      <c r="D46" s="171">
        <f>(SUMIFS(ESS전력량계!E:E,ESS전력량계!B:B,B:B,ESS전력량계!C:C,C:C)-SUMIFS(ESS전력량계!D:D,ESS전력량계!B:B,B:B,ESS전력량계!C:C,C:C))*H46</f>
        <v>0</v>
      </c>
      <c r="E46" s="171">
        <f>(SUMIFS(ESS전력량계!G:G,ESS전력량계!B:B,B:B,ESS전력량계!C:C,C:C)-SUMIFS(ESS전력량계!F:F,ESS전력량계!B:B,B:B,ESS전력량계!C:C,C:C))*H46</f>
        <v>0</v>
      </c>
      <c r="F46" s="171">
        <f>(SUMIFS(ESS전력량계!I:I,ESS전력량계!B:B,B:B,ESS전력량계!C:C,C:C)-SUMIFS(ESS전력량계!H:H,ESS전력량계!B:B,B:B,ESS전력량계!C:C,C:C))*H46</f>
        <v>0</v>
      </c>
      <c r="G46" s="80">
        <f t="shared" si="5"/>
        <v>0</v>
      </c>
      <c r="H46" s="81">
        <v>1736</v>
      </c>
      <c r="I46" s="81">
        <v>3.6999999999999998E-2</v>
      </c>
      <c r="J46" s="81">
        <v>1</v>
      </c>
      <c r="K46" s="81">
        <v>0.1</v>
      </c>
      <c r="L46" s="75">
        <f>ROUND(SUMIFS(전력요금표!H:H,전력요금표!D:D,B:B,전력요금표!F:F,C:C,전력요금표!G:G,"경")*ROUND(D46,0)+SUMIFS(전력요금표!H:H,전력요금표!D:D,B:B,전력요금표!F:F,C:C,전력요금표!G:G,"중간")*ROUND(E46,0)+SUMIFS(전력요금표!H:H,전력요금표!D:D,B:B,전력요금표!F:F,C:C,전력요금표!G:G,"최대")*ROUND(F46,0),0)</f>
        <v>0</v>
      </c>
      <c r="M46" s="75">
        <f>ROUND((SUMIFS(전력요금표!H:H,전력요금표!D:D,B:B,전력요금표!F:F,C:C,전력요금표!G:G,"경")*ROUND(D46,0)+SUMIFS(전력요금표!H:H,전력요금표!D:D,B:B,전력요금표!F:F,C:C,전력요금표!G:G,"중간")*ROUND(E46,0)+SUMIFS(전력요금표!H:H,전력요금표!D:D,B:B,전력요금표!F:F,C:C,전력요금표!G:G,"최대")*ROUND(F46,0))*J46,0)</f>
        <v>0</v>
      </c>
      <c r="N46" s="75">
        <f t="shared" si="6"/>
        <v>0</v>
      </c>
      <c r="O46" s="183">
        <f t="shared" si="8"/>
        <v>0</v>
      </c>
      <c r="P46" s="100">
        <f t="shared" si="7"/>
        <v>0</v>
      </c>
      <c r="Q46" s="75">
        <f t="shared" si="4"/>
        <v>0</v>
      </c>
      <c r="R46" s="100" t="e">
        <f>ESS기본할인!M44</f>
        <v>#DIV/0!</v>
      </c>
    </row>
    <row r="47" spans="2:20">
      <c r="B47" s="76" t="s">
        <v>26</v>
      </c>
      <c r="C47" s="76" t="s">
        <v>21</v>
      </c>
      <c r="D47" s="171">
        <f>(SUMIFS(ESS전력량계!E:E,ESS전력량계!B:B,B:B,ESS전력량계!C:C,C:C)-SUMIFS(ESS전력량계!D:D,ESS전력량계!B:B,B:B,ESS전력량계!C:C,C:C))*H47</f>
        <v>0</v>
      </c>
      <c r="E47" s="171">
        <f>(SUMIFS(ESS전력량계!G:G,ESS전력량계!B:B,B:B,ESS전력량계!C:C,C:C)-SUMIFS(ESS전력량계!F:F,ESS전력량계!B:B,B:B,ESS전력량계!C:C,C:C))*H47</f>
        <v>0</v>
      </c>
      <c r="F47" s="171">
        <f>(SUMIFS(ESS전력량계!I:I,ESS전력량계!B:B,B:B,ESS전력량계!C:C,C:C)-SUMIFS(ESS전력량계!H:H,ESS전력량계!B:B,B:B,ESS전력량계!C:C,C:C))*H47</f>
        <v>0</v>
      </c>
      <c r="G47" s="80">
        <f t="shared" si="5"/>
        <v>0</v>
      </c>
      <c r="H47" s="81">
        <v>1736</v>
      </c>
      <c r="I47" s="81">
        <v>3.6999999999999998E-2</v>
      </c>
      <c r="J47" s="81">
        <v>1</v>
      </c>
      <c r="K47" s="81">
        <v>0.1</v>
      </c>
      <c r="L47" s="75">
        <f>ROUND(SUMIFS(전력요금표!H:H,전력요금표!D:D,B:B,전력요금표!F:F,C:C,전력요금표!G:G,"경")*ROUND(D47,0)+SUMIFS(전력요금표!H:H,전력요금표!D:D,B:B,전력요금표!F:F,C:C,전력요금표!G:G,"중간")*ROUND(E47,0)+SUMIFS(전력요금표!H:H,전력요금표!D:D,B:B,전력요금표!F:F,C:C,전력요금표!G:G,"최대")*ROUND(F47,0),0)</f>
        <v>0</v>
      </c>
      <c r="M47" s="75">
        <f>ROUND((SUMIFS(전력요금표!H:H,전력요금표!D:D,B:B,전력요금표!F:F,C:C,전력요금표!G:G,"경")*ROUND(D47,0)+SUMIFS(전력요금표!H:H,전력요금표!D:D,B:B,전력요금표!F:F,C:C,전력요금표!G:G,"중간")*ROUND(E47,0)+SUMIFS(전력요금표!H:H,전력요금표!D:D,B:B,전력요금표!F:F,C:C,전력요금표!G:G,"최대")*ROUND(F47,0))*J47,0)</f>
        <v>0</v>
      </c>
      <c r="N47" s="75">
        <f t="shared" si="6"/>
        <v>0</v>
      </c>
      <c r="O47" s="183">
        <f t="shared" si="8"/>
        <v>0</v>
      </c>
      <c r="P47" s="100">
        <f t="shared" si="7"/>
        <v>0</v>
      </c>
      <c r="Q47" s="75">
        <f t="shared" si="4"/>
        <v>0</v>
      </c>
      <c r="R47" s="100" t="e">
        <f>ESS기본할인!M45</f>
        <v>#DIV/0!</v>
      </c>
    </row>
    <row r="48" spans="2:20">
      <c r="B48" s="76" t="s">
        <v>26</v>
      </c>
      <c r="C48" s="76" t="s">
        <v>22</v>
      </c>
      <c r="D48" s="171">
        <f>(SUMIFS(ESS전력량계!E:E,ESS전력량계!B:B,B:B,ESS전력량계!C:C,C:C)-SUMIFS(ESS전력량계!D:D,ESS전력량계!B:B,B:B,ESS전력량계!C:C,C:C))*H48</f>
        <v>0</v>
      </c>
      <c r="E48" s="171">
        <f>(SUMIFS(ESS전력량계!G:G,ESS전력량계!B:B,B:B,ESS전력량계!C:C,C:C)-SUMIFS(ESS전력량계!F:F,ESS전력량계!B:B,B:B,ESS전력량계!C:C,C:C))*H48</f>
        <v>0</v>
      </c>
      <c r="F48" s="171">
        <f>(SUMIFS(ESS전력량계!I:I,ESS전력량계!B:B,B:B,ESS전력량계!C:C,C:C)-SUMIFS(ESS전력량계!H:H,ESS전력량계!B:B,B:B,ESS전력량계!C:C,C:C))*H48</f>
        <v>0</v>
      </c>
      <c r="G48" s="80">
        <f t="shared" si="5"/>
        <v>0</v>
      </c>
      <c r="H48" s="81">
        <v>1736</v>
      </c>
      <c r="I48" s="81">
        <v>3.6999999999999998E-2</v>
      </c>
      <c r="J48" s="81">
        <v>1</v>
      </c>
      <c r="K48" s="81">
        <v>0.1</v>
      </c>
      <c r="L48" s="75">
        <f>ROUND(SUMIFS(전력요금표!H:H,전력요금표!D:D,B:B,전력요금표!F:F,C:C,전력요금표!G:G,"경")*ROUND(D48,0)+SUMIFS(전력요금표!H:H,전력요금표!D:D,B:B,전력요금표!F:F,C:C,전력요금표!G:G,"중간")*ROUND(E48,0)+SUMIFS(전력요금표!H:H,전력요금표!D:D,B:B,전력요금표!F:F,C:C,전력요금표!G:G,"최대")*ROUND(F48,0),0)</f>
        <v>0</v>
      </c>
      <c r="M48" s="75">
        <f>ROUND((SUMIFS(전력요금표!H:H,전력요금표!D:D,B:B,전력요금표!F:F,C:C,전력요금표!G:G,"경")*ROUND(D48,0)+SUMIFS(전력요금표!H:H,전력요금표!D:D,B:B,전력요금표!F:F,C:C,전력요금표!G:G,"중간")*ROUND(E48,0)+SUMIFS(전력요금표!H:H,전력요금표!D:D,B:B,전력요금표!F:F,C:C,전력요금표!G:G,"최대")*ROUND(F48,0))*J48,0)</f>
        <v>0</v>
      </c>
      <c r="N48" s="75">
        <f t="shared" si="6"/>
        <v>0</v>
      </c>
      <c r="O48" s="183">
        <f t="shared" si="8"/>
        <v>0</v>
      </c>
      <c r="P48" s="100">
        <f t="shared" si="7"/>
        <v>0</v>
      </c>
      <c r="Q48" s="75">
        <f t="shared" si="4"/>
        <v>0</v>
      </c>
      <c r="R48" s="100" t="e">
        <f>ESS기본할인!M46</f>
        <v>#DIV/0!</v>
      </c>
    </row>
    <row r="49" spans="2:18">
      <c r="B49" s="76" t="s">
        <v>26</v>
      </c>
      <c r="C49" s="76" t="s">
        <v>23</v>
      </c>
      <c r="D49" s="171">
        <f>(SUMIFS(ESS전력량계!E:E,ESS전력량계!B:B,B:B,ESS전력량계!C:C,C:C)-SUMIFS(ESS전력량계!D:D,ESS전력량계!B:B,B:B,ESS전력량계!C:C,C:C))*H49</f>
        <v>0</v>
      </c>
      <c r="E49" s="171">
        <f>(SUMIFS(ESS전력량계!G:G,ESS전력량계!B:B,B:B,ESS전력량계!C:C,C:C)-SUMIFS(ESS전력량계!F:F,ESS전력량계!B:B,B:B,ESS전력량계!C:C,C:C))*H49</f>
        <v>0</v>
      </c>
      <c r="F49" s="171">
        <f>(SUMIFS(ESS전력량계!I:I,ESS전력량계!B:B,B:B,ESS전력량계!C:C,C:C)-SUMIFS(ESS전력량계!H:H,ESS전력량계!B:B,B:B,ESS전력량계!C:C,C:C))*H49</f>
        <v>0</v>
      </c>
      <c r="G49" s="80">
        <f t="shared" si="5"/>
        <v>0</v>
      </c>
      <c r="H49" s="81">
        <v>1736</v>
      </c>
      <c r="I49" s="81">
        <v>3.6999999999999998E-2</v>
      </c>
      <c r="J49" s="81">
        <v>1</v>
      </c>
      <c r="K49" s="81">
        <v>0.1</v>
      </c>
      <c r="L49" s="75">
        <f>ROUND(SUMIFS(전력요금표!H:H,전력요금표!D:D,B:B,전력요금표!F:F,C:C,전력요금표!G:G,"경")*ROUND(D49,0)+SUMIFS(전력요금표!H:H,전력요금표!D:D,B:B,전력요금표!F:F,C:C,전력요금표!G:G,"중간")*ROUND(E49,0)+SUMIFS(전력요금표!H:H,전력요금표!D:D,B:B,전력요금표!F:F,C:C,전력요금표!G:G,"최대")*ROUND(F49,0),0)</f>
        <v>0</v>
      </c>
      <c r="M49" s="75">
        <f>ROUND((SUMIFS(전력요금표!H:H,전력요금표!D:D,B:B,전력요금표!F:F,C:C,전력요금표!G:G,"경")*ROUND(D49,0)+SUMIFS(전력요금표!H:H,전력요금표!D:D,B:B,전력요금표!F:F,C:C,전력요금표!G:G,"중간")*ROUND(E49,0)+SUMIFS(전력요금표!H:H,전력요금표!D:D,B:B,전력요금표!F:F,C:C,전력요금표!G:G,"최대")*ROUND(F49,0))*J49,0)</f>
        <v>0</v>
      </c>
      <c r="N49" s="75">
        <f t="shared" si="6"/>
        <v>0</v>
      </c>
      <c r="O49" s="183">
        <f t="shared" si="8"/>
        <v>0</v>
      </c>
      <c r="P49" s="100">
        <f t="shared" si="7"/>
        <v>0</v>
      </c>
      <c r="Q49" s="75">
        <f t="shared" si="4"/>
        <v>0</v>
      </c>
      <c r="R49" s="100" t="e">
        <f>ESS기본할인!M47</f>
        <v>#DIV/0!</v>
      </c>
    </row>
    <row r="51" spans="2:18">
      <c r="D51" s="171">
        <f>163028-D38</f>
        <v>0.23999999946681783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S26"/>
  <sheetViews>
    <sheetView workbookViewId="0">
      <selection activeCell="A20" sqref="A20"/>
    </sheetView>
  </sheetViews>
  <sheetFormatPr defaultRowHeight="16.5"/>
  <cols>
    <col min="1" max="3" width="9" style="75"/>
    <col min="4" max="4" width="12.625" style="75" customWidth="1"/>
    <col min="5" max="5" width="10.125" style="75" customWidth="1"/>
    <col min="6" max="6" width="8.125" style="75" customWidth="1"/>
    <col min="7" max="7" width="12.625" style="183" customWidth="1"/>
    <col min="8" max="8" width="12.625" style="75" customWidth="1"/>
    <col min="9" max="9" width="12.625" style="81" customWidth="1"/>
    <col min="10" max="16" width="9" style="75"/>
    <col min="17" max="17" width="9.625" style="183" bestFit="1" customWidth="1"/>
    <col min="18" max="16384" width="9" style="75"/>
  </cols>
  <sheetData>
    <row r="2" spans="1:19" ht="49.5">
      <c r="A2" s="75" t="s">
        <v>192</v>
      </c>
      <c r="B2" s="75" t="s">
        <v>163</v>
      </c>
      <c r="C2" s="75" t="s">
        <v>164</v>
      </c>
      <c r="D2" s="75" t="s">
        <v>176</v>
      </c>
      <c r="E2" s="4" t="s">
        <v>177</v>
      </c>
      <c r="F2" s="4" t="s">
        <v>178</v>
      </c>
      <c r="G2" s="4" t="s">
        <v>419</v>
      </c>
      <c r="H2" s="4" t="s">
        <v>179</v>
      </c>
      <c r="I2" s="90" t="s">
        <v>180</v>
      </c>
      <c r="K2" s="4" t="s">
        <v>190</v>
      </c>
      <c r="L2" s="75" t="s">
        <v>163</v>
      </c>
      <c r="M2" s="75" t="s">
        <v>164</v>
      </c>
      <c r="N2" s="75" t="s">
        <v>176</v>
      </c>
      <c r="O2" s="4" t="s">
        <v>177</v>
      </c>
      <c r="P2" s="4" t="s">
        <v>178</v>
      </c>
      <c r="Q2" s="4" t="s">
        <v>420</v>
      </c>
      <c r="R2" s="4" t="s">
        <v>421</v>
      </c>
      <c r="S2" s="90" t="s">
        <v>180</v>
      </c>
    </row>
    <row r="3" spans="1:19">
      <c r="A3" s="75" t="s">
        <v>213</v>
      </c>
      <c r="B3" s="76" t="s">
        <v>25</v>
      </c>
      <c r="C3" s="76" t="s">
        <v>9</v>
      </c>
      <c r="D3" s="80">
        <f>SUMIFS(본전력량!G:G,본전력량!B:B,B:B,본전력량!C:C,C:C)-N3</f>
        <v>5609835.8399999999</v>
      </c>
      <c r="E3" s="78"/>
      <c r="F3" s="78"/>
      <c r="G3" s="185"/>
      <c r="H3" s="78"/>
      <c r="I3" s="78"/>
      <c r="J3" s="78"/>
      <c r="K3" s="78" t="s">
        <v>191</v>
      </c>
      <c r="L3" s="76" t="s">
        <v>25</v>
      </c>
      <c r="M3" s="76" t="s">
        <v>9</v>
      </c>
      <c r="N3" s="80">
        <f>SUMIFS(ESS전력량!G:G,ESS전력량!B:B,L:L,ESS전력량!C:C,M:M)</f>
        <v>96452.160000000265</v>
      </c>
      <c r="O3" s="78"/>
      <c r="P3" s="78"/>
      <c r="Q3" s="185"/>
      <c r="R3" s="78"/>
      <c r="S3" s="78"/>
    </row>
    <row r="4" spans="1:19">
      <c r="A4" s="106" t="s">
        <v>213</v>
      </c>
      <c r="B4" s="76" t="s">
        <v>25</v>
      </c>
      <c r="C4" s="76" t="s">
        <v>13</v>
      </c>
      <c r="D4" s="80">
        <f>SUMIFS(본전력량!G:G,본전력량!B:B,B:B,본전력량!C:C,C:C)-N4</f>
        <v>5671400.6400000006</v>
      </c>
      <c r="E4" s="78"/>
      <c r="F4" s="78"/>
      <c r="G4" s="185"/>
      <c r="H4" s="78"/>
      <c r="I4" s="78"/>
      <c r="J4" s="78"/>
      <c r="K4" s="78" t="s">
        <v>191</v>
      </c>
      <c r="L4" s="76" t="s">
        <v>25</v>
      </c>
      <c r="M4" s="76" t="s">
        <v>13</v>
      </c>
      <c r="N4" s="80">
        <f>SUMIFS(ESS전력량!G:G,ESS전력량!B:B,L:L,ESS전력량!C:C,M:M)</f>
        <v>223527.35999999978</v>
      </c>
      <c r="O4" s="78"/>
      <c r="P4" s="78"/>
      <c r="Q4" s="185"/>
      <c r="R4" s="78"/>
      <c r="S4" s="78"/>
    </row>
    <row r="5" spans="1:19">
      <c r="A5" s="106" t="s">
        <v>213</v>
      </c>
      <c r="B5" s="76" t="s">
        <v>25</v>
      </c>
      <c r="C5" s="76" t="s">
        <v>14</v>
      </c>
      <c r="D5" s="80">
        <f>SUMIFS(본전력량!G:G,본전력량!B:B,B:B,본전력량!C:C,C:C)-N5</f>
        <v>5473241.1999999993</v>
      </c>
      <c r="E5" s="78"/>
      <c r="F5" s="78"/>
      <c r="G5" s="185"/>
      <c r="H5" s="78"/>
      <c r="I5" s="78"/>
      <c r="J5" s="78"/>
      <c r="K5" s="78" t="s">
        <v>191</v>
      </c>
      <c r="L5" s="76" t="s">
        <v>25</v>
      </c>
      <c r="M5" s="76" t="s">
        <v>14</v>
      </c>
      <c r="N5" s="80">
        <f>SUMIFS(ESS전력량!G:G,ESS전력량!B:B,L:L,ESS전력량!C:C,M:M)</f>
        <v>243126.80000000054</v>
      </c>
      <c r="O5" s="78"/>
      <c r="P5" s="78"/>
      <c r="Q5" s="185"/>
      <c r="R5" s="78"/>
      <c r="S5" s="78"/>
    </row>
    <row r="6" spans="1:19">
      <c r="A6" s="106" t="s">
        <v>213</v>
      </c>
      <c r="B6" s="76" t="s">
        <v>25</v>
      </c>
      <c r="C6" s="76" t="s">
        <v>15</v>
      </c>
      <c r="D6" s="80">
        <f>SUMIFS(본전력량!G:G,본전력량!B:B,B:B,본전력량!C:C,C:C)-N6</f>
        <v>5320784.4000000004</v>
      </c>
      <c r="E6" s="78"/>
      <c r="F6" s="78"/>
      <c r="G6" s="185"/>
      <c r="H6" s="78"/>
      <c r="I6" s="78"/>
      <c r="J6" s="78"/>
      <c r="K6" s="78" t="s">
        <v>191</v>
      </c>
      <c r="L6" s="76" t="s">
        <v>25</v>
      </c>
      <c r="M6" s="76" t="s">
        <v>15</v>
      </c>
      <c r="N6" s="80">
        <f>SUMIFS(ESS전력량!G:G,ESS전력량!B:B,L:L,ESS전력량!C:C,M:M)</f>
        <v>215871.6</v>
      </c>
      <c r="O6" s="78"/>
      <c r="P6" s="78"/>
      <c r="Q6" s="185"/>
      <c r="R6" s="78"/>
      <c r="S6" s="78"/>
    </row>
    <row r="7" spans="1:19">
      <c r="A7" s="106" t="s">
        <v>213</v>
      </c>
      <c r="B7" s="76" t="s">
        <v>25</v>
      </c>
      <c r="C7" s="76" t="s">
        <v>16</v>
      </c>
      <c r="D7" s="80">
        <f>SUMIFS(본전력량!G:G,본전력량!B:B,B:B,본전력량!C:C,C:C)-N7</f>
        <v>5347850.6399999997</v>
      </c>
      <c r="E7" s="78"/>
      <c r="F7" s="78"/>
      <c r="G7" s="185"/>
      <c r="H7" s="78"/>
      <c r="I7" s="78"/>
      <c r="J7" s="78"/>
      <c r="K7" s="78" t="s">
        <v>191</v>
      </c>
      <c r="L7" s="76" t="s">
        <v>25</v>
      </c>
      <c r="M7" s="76" t="s">
        <v>16</v>
      </c>
      <c r="N7" s="80">
        <f>SUMIFS(ESS전력량!G:G,ESS전력량!B:B,L:L,ESS전력량!C:C,M:M)</f>
        <v>219621.3599999999</v>
      </c>
      <c r="O7" s="78"/>
      <c r="P7" s="78"/>
      <c r="Q7" s="185"/>
      <c r="R7" s="78"/>
      <c r="S7" s="78"/>
    </row>
    <row r="8" spans="1:19">
      <c r="A8" s="106" t="s">
        <v>213</v>
      </c>
      <c r="B8" s="76" t="s">
        <v>25</v>
      </c>
      <c r="C8" s="76" t="s">
        <v>17</v>
      </c>
      <c r="D8" s="80">
        <f>SUMIFS(본전력량!G:G,본전력량!B:B,B:B,본전력량!C:C,C:C)-N8</f>
        <v>5507329.2800000003</v>
      </c>
      <c r="E8" s="78"/>
      <c r="F8" s="78"/>
      <c r="G8" s="185"/>
      <c r="H8" s="78"/>
      <c r="I8" s="78"/>
      <c r="J8" s="78"/>
      <c r="K8" s="78" t="s">
        <v>191</v>
      </c>
      <c r="L8" s="76" t="s">
        <v>25</v>
      </c>
      <c r="M8" s="76" t="s">
        <v>17</v>
      </c>
      <c r="N8" s="80">
        <f>SUMIFS(ESS전력량!G:G,ESS전력량!B:B,L:L,ESS전력량!C:C,M:M)</f>
        <v>169294.72000000003</v>
      </c>
      <c r="O8" s="78"/>
      <c r="P8" s="78"/>
      <c r="Q8" s="185"/>
      <c r="R8" s="78"/>
      <c r="S8" s="78"/>
    </row>
    <row r="9" spans="1:19">
      <c r="A9" s="106" t="s">
        <v>213</v>
      </c>
      <c r="B9" s="76" t="s">
        <v>25</v>
      </c>
      <c r="C9" s="76" t="s">
        <v>18</v>
      </c>
      <c r="D9" s="80">
        <f>SUMIFS(본전력량!G:G,본전력량!B:B,B:B,본전력량!C:C,C:C)-N9</f>
        <v>5991954.2400000002</v>
      </c>
      <c r="E9" s="78"/>
      <c r="F9" s="78"/>
      <c r="G9" s="185"/>
      <c r="H9" s="78"/>
      <c r="I9" s="78"/>
      <c r="J9" s="78"/>
      <c r="K9" s="78" t="s">
        <v>191</v>
      </c>
      <c r="L9" s="76" t="s">
        <v>25</v>
      </c>
      <c r="M9" s="76" t="s">
        <v>18</v>
      </c>
      <c r="N9" s="80">
        <f>SUMIFS(ESS전력량!G:G,ESS전력량!B:B,L:L,ESS전력량!C:C,M:M)</f>
        <v>196445.7599999996</v>
      </c>
      <c r="O9" s="78"/>
      <c r="P9" s="78"/>
      <c r="Q9" s="185"/>
      <c r="R9" s="78"/>
      <c r="S9" s="78"/>
    </row>
    <row r="10" spans="1:19">
      <c r="A10" s="106" t="s">
        <v>213</v>
      </c>
      <c r="B10" s="76" t="s">
        <v>25</v>
      </c>
      <c r="C10" s="76" t="s">
        <v>19</v>
      </c>
      <c r="D10" s="80">
        <f>SUMIFS(본전력량!G:G,본전력량!B:B,B:B,본전력량!C:C,C:C)-N10</f>
        <v>5647631.4400000004</v>
      </c>
      <c r="E10" s="78"/>
      <c r="F10" s="78"/>
      <c r="G10" s="185"/>
      <c r="H10" s="78"/>
      <c r="I10" s="78"/>
      <c r="J10" s="78"/>
      <c r="K10" s="78" t="s">
        <v>191</v>
      </c>
      <c r="L10" s="76" t="s">
        <v>25</v>
      </c>
      <c r="M10" s="76" t="s">
        <v>19</v>
      </c>
      <c r="N10" s="80">
        <f>SUMIFS(ESS전력량!G:G,ESS전력량!B:B,L:L,ESS전력량!C:C,M:M)</f>
        <v>181776.55999999997</v>
      </c>
      <c r="O10" s="78"/>
      <c r="P10" s="78"/>
      <c r="Q10" s="185"/>
      <c r="R10" s="78"/>
      <c r="S10" s="78"/>
    </row>
    <row r="11" spans="1:19">
      <c r="A11" s="106" t="s">
        <v>213</v>
      </c>
      <c r="B11" s="76" t="s">
        <v>25</v>
      </c>
      <c r="C11" s="76" t="s">
        <v>20</v>
      </c>
      <c r="D11" s="80">
        <f>SUMIFS(본전력량!G:G,본전력량!B:B,B:B,본전력량!C:C,C:C)-N11</f>
        <v>5416155.7599999998</v>
      </c>
      <c r="E11" s="78"/>
      <c r="F11" s="78"/>
      <c r="G11" s="185"/>
      <c r="H11" s="78"/>
      <c r="I11" s="78"/>
      <c r="J11" s="78"/>
      <c r="K11" s="78" t="s">
        <v>191</v>
      </c>
      <c r="L11" s="76" t="s">
        <v>25</v>
      </c>
      <c r="M11" s="76" t="s">
        <v>20</v>
      </c>
      <c r="N11" s="80">
        <f>SUMIFS(ESS전력량!G:G,ESS전력량!B:B,L:L,ESS전력량!C:C,M:M)</f>
        <v>178964.24000000008</v>
      </c>
      <c r="O11" s="78"/>
      <c r="P11" s="78"/>
      <c r="Q11" s="185"/>
      <c r="R11" s="78"/>
      <c r="S11" s="78"/>
    </row>
    <row r="12" spans="1:19">
      <c r="A12" s="106" t="s">
        <v>213</v>
      </c>
      <c r="B12" s="76" t="s">
        <v>25</v>
      </c>
      <c r="C12" s="76" t="s">
        <v>21</v>
      </c>
      <c r="D12" s="80">
        <f>SUMIFS(본전력량!G:G,본전력량!B:B,B:B,본전력량!C:C,C:C)-N12</f>
        <v>5837186.0800000001</v>
      </c>
      <c r="E12" s="78"/>
      <c r="F12" s="78"/>
      <c r="G12" s="185"/>
      <c r="H12" s="78"/>
      <c r="I12" s="78"/>
      <c r="J12" s="78"/>
      <c r="K12" s="78" t="s">
        <v>191</v>
      </c>
      <c r="L12" s="76" t="s">
        <v>25</v>
      </c>
      <c r="M12" s="76" t="s">
        <v>21</v>
      </c>
      <c r="N12" s="80">
        <f>SUMIFS(ESS전력량!G:G,ESS전력량!B:B,L:L,ESS전력량!C:C,M:M)</f>
        <v>167037.91999999984</v>
      </c>
      <c r="O12" s="78"/>
      <c r="P12" s="78"/>
      <c r="Q12" s="185"/>
      <c r="R12" s="78"/>
      <c r="S12" s="78"/>
    </row>
    <row r="13" spans="1:19">
      <c r="A13" s="106" t="s">
        <v>213</v>
      </c>
      <c r="B13" s="76" t="s">
        <v>25</v>
      </c>
      <c r="C13" s="76" t="s">
        <v>22</v>
      </c>
      <c r="D13" s="80">
        <f>SUMIFS(본전력량!G:G,본전력량!B:B,B:B,본전력량!C:C,C:C)-N13</f>
        <v>1904483.8399999999</v>
      </c>
      <c r="E13" s="78"/>
      <c r="F13" s="78"/>
      <c r="G13" s="185"/>
      <c r="H13" s="78"/>
      <c r="I13" s="78"/>
      <c r="J13" s="78"/>
      <c r="K13" s="78" t="s">
        <v>191</v>
      </c>
      <c r="L13" s="76" t="s">
        <v>25</v>
      </c>
      <c r="M13" s="76" t="s">
        <v>22</v>
      </c>
      <c r="N13" s="80">
        <f>SUMIFS(ESS전력량!G:G,ESS전력량!B:B,L:L,ESS전력량!C:C,M:M)</f>
        <v>178044.16000000015</v>
      </c>
      <c r="O13" s="78"/>
      <c r="P13" s="78"/>
      <c r="Q13" s="185"/>
      <c r="R13" s="78"/>
      <c r="S13" s="78"/>
    </row>
    <row r="14" spans="1:19">
      <c r="A14" s="106" t="s">
        <v>213</v>
      </c>
      <c r="B14" s="76" t="s">
        <v>25</v>
      </c>
      <c r="C14" s="76" t="s">
        <v>23</v>
      </c>
      <c r="D14" s="80">
        <f>SUMIFS(본전력량!G:G,본전력량!B:B,B:B,본전력량!C:C,C:C)-N14</f>
        <v>1766542.5600000003</v>
      </c>
      <c r="E14" s="78"/>
      <c r="F14" s="78"/>
      <c r="G14" s="185"/>
      <c r="H14" s="78"/>
      <c r="I14" s="78"/>
      <c r="J14" s="78"/>
      <c r="K14" s="78" t="s">
        <v>191</v>
      </c>
      <c r="L14" s="76" t="s">
        <v>25</v>
      </c>
      <c r="M14" s="76" t="s">
        <v>23</v>
      </c>
      <c r="N14" s="80">
        <f>SUMIFS(ESS전력량!G:G,ESS전력량!B:B,L:L,ESS전력량!C:C,M:M)</f>
        <v>183217.4399999998</v>
      </c>
      <c r="O14" s="78"/>
      <c r="P14" s="78"/>
      <c r="Q14" s="185"/>
      <c r="R14" s="78"/>
      <c r="S14" s="78"/>
    </row>
    <row r="15" spans="1:19">
      <c r="A15" s="106" t="s">
        <v>213</v>
      </c>
      <c r="B15" s="76" t="s">
        <v>26</v>
      </c>
      <c r="C15" s="76" t="s">
        <v>9</v>
      </c>
      <c r="D15" s="171">
        <f>SUMIFS(본전력량!G:G,본전력량!B:B,B:B,본전력량!C:C,C:C)+SUMIFS(신설본전력량!D:D,신설본전력량!B:B,B:B,신설본전력량!C:C,C:C)-SUMIFS(ESS전력량!D:D,ESS전력량!B:B,B:B,ESS전력량!C:C,C:C)</f>
        <v>2046412.2399999828</v>
      </c>
      <c r="E15" s="255">
        <v>5.3</v>
      </c>
      <c r="F15" s="255">
        <v>-3</v>
      </c>
      <c r="G15" s="171">
        <f>ROUNDDOWN(본전력량!G38+신설본전력량!G38-ESS전력량!G38,0)*-5</f>
        <v>-10238405</v>
      </c>
      <c r="H15" s="80">
        <f>ROUNDDOWN(본전력량!G38+신설본전력량!G38-ESS전력량!G38,0)*E15</f>
        <v>10852709.299999999</v>
      </c>
      <c r="I15" s="80">
        <f>ROUNDDOWN(본전력량!G38+신설본전력량!G38-ESS전력량!G38,0)*F15</f>
        <v>-6143043</v>
      </c>
      <c r="J15" s="78"/>
      <c r="K15" s="78" t="s">
        <v>191</v>
      </c>
      <c r="L15" s="76" t="s">
        <v>26</v>
      </c>
      <c r="M15" s="76" t="s">
        <v>9</v>
      </c>
      <c r="N15" s="171">
        <f>SUMIFS(ESS전력량!G:G,ESS전력량!B:B,L:L,ESS전력량!C:C,M:M)</f>
        <v>163774.24000000051</v>
      </c>
      <c r="O15" s="255">
        <v>5.3</v>
      </c>
      <c r="P15" s="255">
        <v>-3</v>
      </c>
      <c r="Q15" s="185">
        <f t="shared" ref="Q15:Q20" si="0">ROUNDDOWN(N15*-5,0)</f>
        <v>-818871</v>
      </c>
      <c r="R15" s="80">
        <f>ROUNDDOWN(N15*O15,0)</f>
        <v>868003</v>
      </c>
      <c r="S15" s="80">
        <f>ROUNDDOWN(N15*P15,0)</f>
        <v>-491322</v>
      </c>
    </row>
    <row r="16" spans="1:19">
      <c r="A16" s="106" t="s">
        <v>213</v>
      </c>
      <c r="B16" s="76" t="s">
        <v>26</v>
      </c>
      <c r="C16" s="76" t="s">
        <v>13</v>
      </c>
      <c r="D16" s="171">
        <f>SUMIFS(본전력량!G:G,본전력량!B:B,B:B,본전력량!C:C,C:C)+SUMIFS(신설본전력량!D:D,신설본전력량!B:B,B:B,신설본전력량!C:C,C:C)-SUMIFS(ESS전력량!D:D,ESS전력량!B:B,B:B,ESS전력량!C:C,C:C)</f>
        <v>2620485.0400000056</v>
      </c>
      <c r="E16" s="255">
        <v>5.3</v>
      </c>
      <c r="F16" s="255">
        <v>-3</v>
      </c>
      <c r="G16" s="171">
        <f>ROUNDDOWN(본전력량!G39+신설본전력량!G39-ESS전력량!G39,0)*-5</f>
        <v>-14032350</v>
      </c>
      <c r="H16" s="171">
        <f>ROUNDDOWN(본전력량!G39+신설본전력량!G39-ESS전력량!G39,0)*E16</f>
        <v>14874291</v>
      </c>
      <c r="I16" s="171">
        <f>ROUNDDOWN(본전력량!G39+신설본전력량!G39-ESS전력량!G39,0)*F16</f>
        <v>-8419410</v>
      </c>
      <c r="J16" s="78"/>
      <c r="K16" s="78" t="s">
        <v>191</v>
      </c>
      <c r="L16" s="76" t="s">
        <v>26</v>
      </c>
      <c r="M16" s="76" t="s">
        <v>13</v>
      </c>
      <c r="N16" s="80">
        <f>SUMIFS(ESS전력량!G:G,ESS전력량!B:B,L:L,ESS전력량!C:C,M:M)</f>
        <v>152681.19999999943</v>
      </c>
      <c r="O16" s="255">
        <v>5.3</v>
      </c>
      <c r="P16" s="255">
        <v>-3</v>
      </c>
      <c r="Q16" s="185">
        <f t="shared" si="0"/>
        <v>-763405</v>
      </c>
      <c r="R16" s="80">
        <f t="shared" ref="R16:R26" si="1">$N16*O16</f>
        <v>809210.35999999696</v>
      </c>
      <c r="S16" s="80">
        <f t="shared" ref="S16:S26" si="2">$N16*P16</f>
        <v>-458043.59999999829</v>
      </c>
    </row>
    <row r="17" spans="1:19">
      <c r="A17" s="106" t="s">
        <v>213</v>
      </c>
      <c r="B17" s="76" t="s">
        <v>26</v>
      </c>
      <c r="C17" s="76" t="s">
        <v>14</v>
      </c>
      <c r="D17" s="171">
        <f>SUMIFS(본전력량!G:G,본전력량!B:B,B:B,본전력량!C:C,C:C)+SUMIFS(신설본전력량!D:D,신설본전력량!B:B,B:B,신설본전력량!C:C,C:C)-SUMIFS(ESS전력량!D:D,ESS전력량!B:B,B:B,ESS전력량!C:C,C:C)</f>
        <v>5605321.2800000152</v>
      </c>
      <c r="E17" s="255">
        <v>5.3</v>
      </c>
      <c r="F17" s="255">
        <v>-3</v>
      </c>
      <c r="G17" s="171">
        <f>ROUNDDOWN(본전력량!G40+신설본전력량!G40-ESS전력량!G40,0)*-5</f>
        <v>-29563365</v>
      </c>
      <c r="H17" s="171">
        <f>ROUNDDOWN(본전력량!G40+신설본전력량!G40-ESS전력량!G40,0)*E17</f>
        <v>31337166.899999999</v>
      </c>
      <c r="I17" s="171">
        <f>ROUNDDOWN(본전력량!G40+신설본전력량!G40-ESS전력량!G40,0)*F17</f>
        <v>-17738019</v>
      </c>
      <c r="J17" s="78"/>
      <c r="K17" s="78" t="s">
        <v>191</v>
      </c>
      <c r="L17" s="76" t="s">
        <v>26</v>
      </c>
      <c r="M17" s="76" t="s">
        <v>14</v>
      </c>
      <c r="N17" s="80">
        <f>SUMIFS(ESS전력량!G:G,ESS전력량!B:B,L:L,ESS전력량!C:C,M:M)</f>
        <v>196046.47999999995</v>
      </c>
      <c r="O17" s="255">
        <v>5.3</v>
      </c>
      <c r="P17" s="255">
        <v>-3</v>
      </c>
      <c r="Q17" s="185">
        <f t="shared" si="0"/>
        <v>-980232</v>
      </c>
      <c r="R17" s="80">
        <f t="shared" si="1"/>
        <v>1039046.3439999997</v>
      </c>
      <c r="S17" s="80">
        <f t="shared" si="2"/>
        <v>-588139.43999999983</v>
      </c>
    </row>
    <row r="18" spans="1:19">
      <c r="A18" s="106" t="s">
        <v>213</v>
      </c>
      <c r="B18" s="76" t="s">
        <v>26</v>
      </c>
      <c r="C18" s="76" t="s">
        <v>15</v>
      </c>
      <c r="D18" s="171">
        <f>SUMIFS(본전력량!G:G,본전력량!B:B,B:B,본전력량!C:C,C:C)+SUMIFS(신설본전력량!D:D,신설본전력량!B:B,B:B,신설본전력량!C:C,C:C)-SUMIFS(ESS전력량!D:D,ESS전력량!B:B,B:B,ESS전력량!C:C,C:C)</f>
        <v>5512014.3199999956</v>
      </c>
      <c r="E18" s="255">
        <v>5.3</v>
      </c>
      <c r="F18" s="255">
        <v>-3</v>
      </c>
      <c r="G18" s="171">
        <f>ROUNDDOWN(본전력량!G41+신설본전력량!G41-ESS전력량!G41,0)*-5</f>
        <v>-28798510</v>
      </c>
      <c r="H18" s="171">
        <f>ROUNDDOWN(본전력량!G41+신설본전력량!G41-ESS전력량!G41,0)*E18</f>
        <v>30526420.599999998</v>
      </c>
      <c r="I18" s="171">
        <f>ROUNDDOWN(본전력량!G41+신설본전력량!G41-ESS전력량!G41,0)*F18</f>
        <v>-17279106</v>
      </c>
      <c r="J18" s="78"/>
      <c r="K18" s="78" t="s">
        <v>191</v>
      </c>
      <c r="L18" s="76" t="s">
        <v>26</v>
      </c>
      <c r="M18" s="76" t="s">
        <v>15</v>
      </c>
      <c r="N18" s="80">
        <f>SUMIFS(ESS전력량!G:G,ESS전력량!B:B,L:L,ESS전력량!C:C,M:M)</f>
        <v>195369.44000000018</v>
      </c>
      <c r="O18" s="255">
        <v>5.3</v>
      </c>
      <c r="P18" s="255">
        <v>-3</v>
      </c>
      <c r="Q18" s="185">
        <f t="shared" si="0"/>
        <v>-976847</v>
      </c>
      <c r="R18" s="80">
        <f t="shared" si="1"/>
        <v>1035458.0320000009</v>
      </c>
      <c r="S18" s="80">
        <f t="shared" si="2"/>
        <v>-586108.32000000053</v>
      </c>
    </row>
    <row r="19" spans="1:19">
      <c r="A19" s="106" t="s">
        <v>213</v>
      </c>
      <c r="B19" s="76" t="s">
        <v>26</v>
      </c>
      <c r="C19" s="76" t="s">
        <v>16</v>
      </c>
      <c r="D19" s="171">
        <f>SUMIFS(본전력량!G:G,본전력량!B:B,B:B,본전력량!C:C,C:C)+SUMIFS(신설본전력량!D:D,신설본전력량!B:B,B:B,신설본전력량!C:C,C:C)-SUMIFS(ESS전력량!D:D,ESS전력량!B:B,B:B,ESS전력량!C:C,C:C)</f>
        <v>5755374.7999999933</v>
      </c>
      <c r="E19" s="255">
        <v>5.3</v>
      </c>
      <c r="F19" s="255">
        <v>-3</v>
      </c>
      <c r="G19" s="171">
        <f>ROUNDDOWN(본전력량!G42+신설본전력량!G42-ESS전력량!G42,0)*-5</f>
        <v>-30291095</v>
      </c>
      <c r="H19" s="171">
        <f>ROUNDDOWN(본전력량!G42+신설본전력량!G42-ESS전력량!G42,0)*E19</f>
        <v>32108560.699999999</v>
      </c>
      <c r="I19" s="171">
        <f>ROUNDDOWN(본전력량!G42+신설본전력량!G42-ESS전력량!G42,0)*F19</f>
        <v>-18174657</v>
      </c>
      <c r="J19" s="78"/>
      <c r="K19" s="78" t="s">
        <v>191</v>
      </c>
      <c r="L19" s="76" t="s">
        <v>26</v>
      </c>
      <c r="M19" s="76" t="s">
        <v>16</v>
      </c>
      <c r="N19" s="80">
        <f>SUMIFS(ESS전력량!G:G,ESS전력량!B:B,L:L,ESS전력량!C:C,M:M)</f>
        <v>179380.87999999968</v>
      </c>
      <c r="O19" s="255">
        <v>5.3</v>
      </c>
      <c r="P19" s="255">
        <v>-3</v>
      </c>
      <c r="Q19" s="185">
        <f t="shared" si="0"/>
        <v>-896904</v>
      </c>
      <c r="R19" s="80">
        <f t="shared" si="1"/>
        <v>950718.66399999824</v>
      </c>
      <c r="S19" s="80">
        <f t="shared" si="2"/>
        <v>-538142.63999999908</v>
      </c>
    </row>
    <row r="20" spans="1:19">
      <c r="A20" s="106" t="s">
        <v>213</v>
      </c>
      <c r="B20" s="76" t="s">
        <v>26</v>
      </c>
      <c r="C20" s="76" t="s">
        <v>17</v>
      </c>
      <c r="D20" s="171">
        <f>SUMIFS(본전력량!G:G,본전력량!B:B,B:B,본전력량!C:C,C:C)+SUMIFS(신설본전력량!D:D,신설본전력량!B:B,B:B,신설본전력량!C:C,C:C)-SUMIFS(ESS전력량!D:D,ESS전력량!B:B,B:B,ESS전력량!C:C,C:C)</f>
        <v>5750179.7600000035</v>
      </c>
      <c r="E20" s="255">
        <v>5.3</v>
      </c>
      <c r="F20" s="255">
        <v>-3</v>
      </c>
      <c r="G20" s="171">
        <f>ROUNDDOWN(본전력량!G43+신설본전력량!G43-ESS전력량!G43,0)*-5</f>
        <v>-30439295</v>
      </c>
      <c r="H20" s="171">
        <f>ROUNDDOWN(본전력량!G43+신설본전력량!G43-ESS전력량!G43,0)*E20</f>
        <v>32265652.699999999</v>
      </c>
      <c r="I20" s="171">
        <f>ROUNDDOWN(본전력량!G43+신설본전력량!G43-ESS전력량!G43,0)*F20</f>
        <v>-18263577</v>
      </c>
      <c r="J20" s="78"/>
      <c r="K20" s="78" t="s">
        <v>191</v>
      </c>
      <c r="L20" s="76" t="s">
        <v>26</v>
      </c>
      <c r="M20" s="76" t="s">
        <v>17</v>
      </c>
      <c r="N20" s="80">
        <f>SUMIFS(ESS전력량!G:G,ESS전력량!B:B,L:L,ESS전력량!C:C,M:M)</f>
        <v>191932.16000000024</v>
      </c>
      <c r="O20" s="255">
        <v>5.3</v>
      </c>
      <c r="P20" s="255">
        <v>-3</v>
      </c>
      <c r="Q20" s="185">
        <f t="shared" si="0"/>
        <v>-959660</v>
      </c>
      <c r="R20" s="80">
        <f t="shared" si="1"/>
        <v>1017240.4480000013</v>
      </c>
      <c r="S20" s="80">
        <f t="shared" si="2"/>
        <v>-575796.48000000068</v>
      </c>
    </row>
    <row r="21" spans="1:19">
      <c r="A21" s="106" t="s">
        <v>213</v>
      </c>
      <c r="B21" s="76" t="s">
        <v>26</v>
      </c>
      <c r="C21" s="76" t="s">
        <v>18</v>
      </c>
      <c r="D21" s="171">
        <f>SUMIFS(본전력량!G:G,본전력량!B:B,B:B,본전력량!C:C,C:C)+SUMIFS(신설본전력량!D:D,신설본전력량!B:B,B:B,신설본전력량!C:C,C:C)-SUMIFS(ESS전력량!D:D,ESS전력량!B:B,B:B,ESS전력량!C:C,C:C)</f>
        <v>0</v>
      </c>
      <c r="E21" s="255">
        <v>5.3</v>
      </c>
      <c r="F21" s="255"/>
      <c r="G21" s="171">
        <f>ROUNDDOWN(본전력량!G44+신설본전력량!G44-ESS전력량!G44,0)*-5</f>
        <v>0</v>
      </c>
      <c r="H21" s="171">
        <f>ROUNDDOWN(본전력량!G44+신설본전력량!G44-ESS전력량!G44,0)*E21</f>
        <v>0</v>
      </c>
      <c r="I21" s="171">
        <f>ROUNDDOWN(본전력량!G44+신설본전력량!G44-ESS전력량!G44,0)*F21</f>
        <v>0</v>
      </c>
      <c r="J21" s="78"/>
      <c r="K21" s="78" t="s">
        <v>191</v>
      </c>
      <c r="L21" s="76" t="s">
        <v>26</v>
      </c>
      <c r="M21" s="76" t="s">
        <v>18</v>
      </c>
      <c r="N21" s="80">
        <f>SUMIFS(ESS전력량!G:G,ESS전력량!B:B,L:L,ESS전력량!C:C,M:M)</f>
        <v>0</v>
      </c>
      <c r="O21" s="255">
        <v>5.3</v>
      </c>
      <c r="P21" s="255"/>
      <c r="Q21" s="185"/>
      <c r="R21" s="80">
        <f t="shared" si="1"/>
        <v>0</v>
      </c>
      <c r="S21" s="80">
        <f t="shared" si="2"/>
        <v>0</v>
      </c>
    </row>
    <row r="22" spans="1:19">
      <c r="A22" s="106" t="s">
        <v>213</v>
      </c>
      <c r="B22" s="76" t="s">
        <v>26</v>
      </c>
      <c r="C22" s="76" t="s">
        <v>19</v>
      </c>
      <c r="D22" s="171">
        <f>SUMIFS(본전력량!G:G,본전력량!B:B,B:B,본전력량!C:C,C:C)+SUMIFS(신설본전력량!D:D,신설본전력량!B:B,B:B,신설본전력량!C:C,C:C)-SUMIFS(ESS전력량!D:D,ESS전력량!B:B,B:B,ESS전력량!C:C,C:C)</f>
        <v>0</v>
      </c>
      <c r="E22" s="255">
        <v>5.3</v>
      </c>
      <c r="F22" s="255"/>
      <c r="G22" s="171">
        <f>ROUNDDOWN(본전력량!G45+신설본전력량!G45-ESS전력량!G45,0)*-5</f>
        <v>0</v>
      </c>
      <c r="H22" s="171">
        <f>ROUNDDOWN(본전력량!G45+신설본전력량!G45-ESS전력량!G45,0)*E22</f>
        <v>0</v>
      </c>
      <c r="I22" s="171">
        <f>ROUNDDOWN(본전력량!G45+신설본전력량!G45-ESS전력량!G45,0)*F22</f>
        <v>0</v>
      </c>
      <c r="J22" s="78"/>
      <c r="K22" s="78" t="s">
        <v>191</v>
      </c>
      <c r="L22" s="76" t="s">
        <v>26</v>
      </c>
      <c r="M22" s="76" t="s">
        <v>19</v>
      </c>
      <c r="N22" s="80">
        <f>SUMIFS(ESS전력량!G:G,ESS전력량!B:B,L:L,ESS전력량!C:C,M:M)</f>
        <v>0</v>
      </c>
      <c r="O22" s="255">
        <v>5.3</v>
      </c>
      <c r="P22" s="255"/>
      <c r="Q22" s="185"/>
      <c r="R22" s="80">
        <f t="shared" si="1"/>
        <v>0</v>
      </c>
      <c r="S22" s="80">
        <f t="shared" si="2"/>
        <v>0</v>
      </c>
    </row>
    <row r="23" spans="1:19">
      <c r="A23" s="106" t="s">
        <v>213</v>
      </c>
      <c r="B23" s="76" t="s">
        <v>26</v>
      </c>
      <c r="C23" s="76" t="s">
        <v>20</v>
      </c>
      <c r="D23" s="171">
        <f>SUMIFS(본전력량!G:G,본전력량!B:B,B:B,본전력량!C:C,C:C)+SUMIFS(신설본전력량!D:D,신설본전력량!B:B,B:B,신설본전력량!C:C,C:C)-SUMIFS(ESS전력량!D:D,ESS전력량!B:B,B:B,ESS전력량!C:C,C:C)</f>
        <v>0</v>
      </c>
      <c r="E23" s="255">
        <v>5.3</v>
      </c>
      <c r="F23" s="255"/>
      <c r="G23" s="171">
        <f>ROUNDDOWN(본전력량!G46+신설본전력량!G46-ESS전력량!G46,0)*-5</f>
        <v>0</v>
      </c>
      <c r="H23" s="171">
        <f>ROUNDDOWN(본전력량!G46+신설본전력량!G46-ESS전력량!G46,0)*E23</f>
        <v>0</v>
      </c>
      <c r="I23" s="171">
        <f>ROUNDDOWN(본전력량!G46+신설본전력량!G46-ESS전력량!G46,0)*F23</f>
        <v>0</v>
      </c>
      <c r="J23" s="78"/>
      <c r="K23" s="78" t="s">
        <v>191</v>
      </c>
      <c r="L23" s="76" t="s">
        <v>26</v>
      </c>
      <c r="M23" s="76" t="s">
        <v>20</v>
      </c>
      <c r="N23" s="80">
        <f>SUMIFS(ESS전력량!G:G,ESS전력량!B:B,L:L,ESS전력량!C:C,M:M)</f>
        <v>0</v>
      </c>
      <c r="O23" s="255">
        <v>5.3</v>
      </c>
      <c r="P23" s="255"/>
      <c r="Q23" s="185"/>
      <c r="R23" s="80">
        <f t="shared" si="1"/>
        <v>0</v>
      </c>
      <c r="S23" s="80">
        <f t="shared" si="2"/>
        <v>0</v>
      </c>
    </row>
    <row r="24" spans="1:19">
      <c r="A24" s="106" t="s">
        <v>213</v>
      </c>
      <c r="B24" s="76" t="s">
        <v>26</v>
      </c>
      <c r="C24" s="76" t="s">
        <v>21</v>
      </c>
      <c r="D24" s="171">
        <f>SUMIFS(본전력량!G:G,본전력량!B:B,B:B,본전력량!C:C,C:C)+SUMIFS(신설본전력량!D:D,신설본전력량!B:B,B:B,신설본전력량!C:C,C:C)-SUMIFS(ESS전력량!D:D,ESS전력량!B:B,B:B,ESS전력량!C:C,C:C)</f>
        <v>0</v>
      </c>
      <c r="E24" s="255">
        <v>5.3</v>
      </c>
      <c r="F24" s="255"/>
      <c r="G24" s="171">
        <f>ROUNDDOWN(본전력량!G47+신설본전력량!G47-ESS전력량!G47,0)*-5</f>
        <v>0</v>
      </c>
      <c r="H24" s="171">
        <f>ROUNDDOWN(본전력량!G47+신설본전력량!G47-ESS전력량!G47,0)*E24</f>
        <v>0</v>
      </c>
      <c r="I24" s="171">
        <f>ROUNDDOWN(본전력량!G47+신설본전력량!G47-ESS전력량!G47,0)*F24</f>
        <v>0</v>
      </c>
      <c r="J24" s="78"/>
      <c r="K24" s="78" t="s">
        <v>191</v>
      </c>
      <c r="L24" s="76" t="s">
        <v>26</v>
      </c>
      <c r="M24" s="76" t="s">
        <v>21</v>
      </c>
      <c r="N24" s="80">
        <f>SUMIFS(ESS전력량!G:G,ESS전력량!B:B,L:L,ESS전력량!C:C,M:M)</f>
        <v>0</v>
      </c>
      <c r="O24" s="255">
        <v>5.3</v>
      </c>
      <c r="P24" s="255"/>
      <c r="Q24" s="185"/>
      <c r="R24" s="80">
        <f t="shared" si="1"/>
        <v>0</v>
      </c>
      <c r="S24" s="80">
        <f t="shared" si="2"/>
        <v>0</v>
      </c>
    </row>
    <row r="25" spans="1:19">
      <c r="A25" s="106" t="s">
        <v>213</v>
      </c>
      <c r="B25" s="76" t="s">
        <v>26</v>
      </c>
      <c r="C25" s="76" t="s">
        <v>22</v>
      </c>
      <c r="D25" s="171">
        <f>SUMIFS(본전력량!G:G,본전력량!B:B,B:B,본전력량!C:C,C:C)+SUMIFS(신설본전력량!D:D,신설본전력량!B:B,B:B,신설본전력량!C:C,C:C)-SUMIFS(ESS전력량!D:D,ESS전력량!B:B,B:B,ESS전력량!C:C,C:C)</f>
        <v>0</v>
      </c>
      <c r="E25" s="255">
        <v>5.3</v>
      </c>
      <c r="F25" s="255"/>
      <c r="G25" s="171">
        <f>ROUNDDOWN(본전력량!G48+신설본전력량!G48-ESS전력량!G48,0)*-5</f>
        <v>0</v>
      </c>
      <c r="H25" s="171">
        <f>ROUNDDOWN(본전력량!G48+신설본전력량!G48-ESS전력량!G48,0)*E25</f>
        <v>0</v>
      </c>
      <c r="I25" s="171">
        <f>ROUNDDOWN(본전력량!G48+신설본전력량!G48-ESS전력량!G48,0)*F25</f>
        <v>0</v>
      </c>
      <c r="J25" s="78"/>
      <c r="K25" s="78" t="s">
        <v>191</v>
      </c>
      <c r="L25" s="76" t="s">
        <v>26</v>
      </c>
      <c r="M25" s="76" t="s">
        <v>22</v>
      </c>
      <c r="N25" s="80">
        <f>SUMIFS(ESS전력량!G:G,ESS전력량!B:B,L:L,ESS전력량!C:C,M:M)</f>
        <v>0</v>
      </c>
      <c r="O25" s="255">
        <v>5.3</v>
      </c>
      <c r="P25" s="255"/>
      <c r="Q25" s="185"/>
      <c r="R25" s="80">
        <f t="shared" si="1"/>
        <v>0</v>
      </c>
      <c r="S25" s="80">
        <f t="shared" si="2"/>
        <v>0</v>
      </c>
    </row>
    <row r="26" spans="1:19">
      <c r="A26" s="106" t="s">
        <v>213</v>
      </c>
      <c r="B26" s="76" t="s">
        <v>26</v>
      </c>
      <c r="C26" s="76" t="s">
        <v>23</v>
      </c>
      <c r="D26" s="171">
        <f>SUMIFS(본전력량!G:G,본전력량!B:B,B:B,본전력량!C:C,C:C)+SUMIFS(신설본전력량!D:D,신설본전력량!B:B,B:B,신설본전력량!C:C,C:C)-SUMIFS(ESS전력량!D:D,ESS전력량!B:B,B:B,ESS전력량!C:C,C:C)</f>
        <v>0</v>
      </c>
      <c r="E26" s="255">
        <v>5.3</v>
      </c>
      <c r="F26" s="255"/>
      <c r="G26" s="171">
        <f>ROUNDDOWN(본전력량!G49+신설본전력량!G49-ESS전력량!G49,0)*-5</f>
        <v>0</v>
      </c>
      <c r="H26" s="171">
        <f>ROUNDDOWN(본전력량!G49+신설본전력량!G49-ESS전력량!G49,0)*E26</f>
        <v>0</v>
      </c>
      <c r="I26" s="171">
        <f>ROUNDDOWN(본전력량!G49+신설본전력량!G49-ESS전력량!G49,0)*F26</f>
        <v>0</v>
      </c>
      <c r="J26" s="78"/>
      <c r="K26" s="78" t="s">
        <v>191</v>
      </c>
      <c r="L26" s="76" t="s">
        <v>26</v>
      </c>
      <c r="M26" s="76" t="s">
        <v>23</v>
      </c>
      <c r="N26" s="80">
        <f>SUMIFS(ESS전력량!G:G,ESS전력량!B:B,L:L,ESS전력량!C:C,M:M)</f>
        <v>0</v>
      </c>
      <c r="O26" s="255">
        <v>5.3</v>
      </c>
      <c r="P26" s="255"/>
      <c r="Q26" s="185"/>
      <c r="R26" s="80">
        <f t="shared" si="1"/>
        <v>0</v>
      </c>
      <c r="S26" s="80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P25"/>
  <sheetViews>
    <sheetView workbookViewId="0">
      <selection activeCell="O18" sqref="O18"/>
    </sheetView>
  </sheetViews>
  <sheetFormatPr defaultRowHeight="16.5"/>
  <cols>
    <col min="1" max="2" width="9" style="75"/>
    <col min="3" max="3" width="9" style="183"/>
    <col min="4" max="6" width="9" style="75"/>
    <col min="7" max="7" width="9.25" style="75" bestFit="1" customWidth="1"/>
    <col min="8" max="8" width="9" style="75"/>
    <col min="9" max="9" width="9" style="81"/>
    <col min="10" max="11" width="9" style="75"/>
    <col min="12" max="12" width="9" style="75" customWidth="1"/>
    <col min="13" max="13" width="9" style="75"/>
    <col min="14" max="14" width="14.5" style="75" customWidth="1"/>
    <col min="15" max="16384" width="9" style="75"/>
  </cols>
  <sheetData>
    <row r="1" spans="2:16">
      <c r="B1" s="75" t="s">
        <v>163</v>
      </c>
      <c r="C1" s="183" t="s">
        <v>415</v>
      </c>
      <c r="D1" s="75" t="s">
        <v>164</v>
      </c>
      <c r="E1" s="75" t="s">
        <v>165</v>
      </c>
      <c r="F1" s="75" t="s">
        <v>166</v>
      </c>
      <c r="G1" s="75" t="s">
        <v>167</v>
      </c>
      <c r="H1" s="75" t="s">
        <v>168</v>
      </c>
      <c r="I1" s="72" t="s">
        <v>169</v>
      </c>
      <c r="J1" s="75" t="s">
        <v>170</v>
      </c>
      <c r="K1" s="75" t="s">
        <v>171</v>
      </c>
      <c r="L1" s="75" t="s">
        <v>172</v>
      </c>
    </row>
    <row r="2" spans="2:16">
      <c r="B2" s="76" t="s">
        <v>25</v>
      </c>
      <c r="C2" s="184" t="s">
        <v>256</v>
      </c>
      <c r="D2" s="76" t="s">
        <v>9</v>
      </c>
      <c r="E2" s="88">
        <f>전력분배!D3/전력분배!K3</f>
        <v>4.3834055308810203E-2</v>
      </c>
      <c r="F2" s="88">
        <f>전력분배!E3/전력분배!$K$3</f>
        <v>9.7821911547401746E-3</v>
      </c>
      <c r="G2" s="88">
        <f>전력분배!F3/전력분배!$K$3</f>
        <v>0.31527049283176728</v>
      </c>
      <c r="H2" s="88">
        <f>전력분배!G3/전력분배!$K$3</f>
        <v>0.34359310290682843</v>
      </c>
      <c r="I2" s="88">
        <f>전력분배!H3/전력분배!$K$3</f>
        <v>0.18204635833312302</v>
      </c>
      <c r="J2" s="88">
        <f>전력분배!I3/전력분배!$K$3</f>
        <v>0.10282728631993336</v>
      </c>
      <c r="K2" s="88">
        <f>전력분배!J3/전력분배!$K$3</f>
        <v>2.6465541171423524E-3</v>
      </c>
      <c r="L2" s="88">
        <f>SUM(E2:K2)</f>
        <v>1.0000000409723449</v>
      </c>
    </row>
    <row r="3" spans="2:16">
      <c r="B3" s="76" t="s">
        <v>25</v>
      </c>
      <c r="C3" s="184" t="s">
        <v>256</v>
      </c>
      <c r="D3" s="76" t="s">
        <v>13</v>
      </c>
      <c r="E3" s="88">
        <f>전력분배!D4/전력분배!$K$4</f>
        <v>4.4429186624501606E-2</v>
      </c>
      <c r="F3" s="88">
        <f>전력분배!E4/전력분배!$K$4</f>
        <v>1.1885641351344749E-2</v>
      </c>
      <c r="G3" s="88">
        <f>전력분배!F4/전력분배!$K$4</f>
        <v>0.36003122938906634</v>
      </c>
      <c r="H3" s="88">
        <f>전력분배!G4/전력분배!$K$4</f>
        <v>0.3295177778252712</v>
      </c>
      <c r="I3" s="88">
        <f>전력분배!H4/전력분배!$K$4</f>
        <v>0.15617361441903699</v>
      </c>
      <c r="J3" s="88">
        <f>전력분배!I4/전력분배!$K$4</f>
        <v>9.5340884570600332E-2</v>
      </c>
      <c r="K3" s="88">
        <f>전력분배!J4/전력분배!$K$4</f>
        <v>2.6217453376869066E-3</v>
      </c>
      <c r="L3" s="88">
        <f t="shared" ref="L3:L14" si="0">SUM(E3:K3)</f>
        <v>1.0000000795175081</v>
      </c>
    </row>
    <row r="4" spans="2:16">
      <c r="B4" s="76" t="s">
        <v>25</v>
      </c>
      <c r="C4" s="184" t="s">
        <v>256</v>
      </c>
      <c r="D4" s="76" t="s">
        <v>14</v>
      </c>
      <c r="E4" s="88">
        <f>전력분배!D5/전력분배!$K$5</f>
        <v>5.2710322358532548E-2</v>
      </c>
      <c r="F4" s="88">
        <f>전력분배!E5/전력분배!$K$5</f>
        <v>9.922384283167213E-3</v>
      </c>
      <c r="G4" s="88">
        <f>전력분배!F5/전력분배!$K$5</f>
        <v>0.32984237543839029</v>
      </c>
      <c r="H4" s="88">
        <f>전력분배!G5/전력분배!$K$5</f>
        <v>0.37114918948535153</v>
      </c>
      <c r="I4" s="88">
        <f>전력분배!H5/전력분배!$K$5</f>
        <v>0.13567158377487246</v>
      </c>
      <c r="J4" s="88">
        <f>전력분배!I5/전력분배!$K$5</f>
        <v>9.7989790020516512E-2</v>
      </c>
      <c r="K4" s="88">
        <f>전력분배!J5/전력분배!$K$5</f>
        <v>2.7144858413594088E-3</v>
      </c>
      <c r="L4" s="88">
        <f t="shared" si="0"/>
        <v>1.00000013120219</v>
      </c>
    </row>
    <row r="5" spans="2:16">
      <c r="B5" s="76" t="s">
        <v>25</v>
      </c>
      <c r="C5" s="184" t="s">
        <v>258</v>
      </c>
      <c r="D5" s="76" t="s">
        <v>15</v>
      </c>
      <c r="E5" s="88">
        <f>전력분배!D6/전력분배!$K$6</f>
        <v>4.4963122821789901E-2</v>
      </c>
      <c r="F5" s="88">
        <f>전력분배!E6/전력분배!$K$6</f>
        <v>1.0246798789738788E-2</v>
      </c>
      <c r="G5" s="88">
        <f>전력분배!F6/전력분배!$K$6</f>
        <v>0.34286262998821471</v>
      </c>
      <c r="H5" s="88">
        <f>전력분배!G6/전력분배!$K$6</f>
        <v>0.33243403148037914</v>
      </c>
      <c r="I5" s="88">
        <f>전력분배!H6/전력분배!$K$6</f>
        <v>0.16828763607491073</v>
      </c>
      <c r="J5" s="88">
        <f>전력분배!I6/전력분배!$K$6</f>
        <v>9.7479575216520592E-2</v>
      </c>
      <c r="K5" s="88">
        <f>전력분배!J6/전력분배!$K$6</f>
        <v>3.7262564262616278E-3</v>
      </c>
      <c r="L5" s="88">
        <f t="shared" si="0"/>
        <v>1.0000000507978155</v>
      </c>
    </row>
    <row r="6" spans="2:16">
      <c r="B6" s="76" t="s">
        <v>25</v>
      </c>
      <c r="C6" s="184" t="s">
        <v>258</v>
      </c>
      <c r="D6" s="76" t="s">
        <v>16</v>
      </c>
      <c r="E6" s="88">
        <f>전력분배!D7/전력분배!$K$7</f>
        <v>5.7133154419097214E-2</v>
      </c>
      <c r="F6" s="88">
        <f>전력분배!E7/전력분배!$K$7</f>
        <v>1.2664275635333235E-2</v>
      </c>
      <c r="G6" s="88">
        <f>전력분배!F7/전력분배!$K$7</f>
        <v>0.3655423435447902</v>
      </c>
      <c r="H6" s="88">
        <f>전력분배!G7/전력분배!$K$7</f>
        <v>0.33629377480478928</v>
      </c>
      <c r="I6" s="88">
        <f>전력분배!H7/전력분배!$K$7</f>
        <v>0.12688464800541954</v>
      </c>
      <c r="J6" s="88">
        <f>전력분배!I7/전력분배!$K$7</f>
        <v>9.8206102338727522E-2</v>
      </c>
      <c r="K6" s="88">
        <f>전력분배!J7/전력분배!$K$7</f>
        <v>3.2758135110513352E-3</v>
      </c>
      <c r="L6" s="88">
        <f t="shared" si="0"/>
        <v>1.0000001122592084</v>
      </c>
    </row>
    <row r="7" spans="2:16">
      <c r="B7" s="76" t="s">
        <v>25</v>
      </c>
      <c r="C7" s="184" t="s">
        <v>258</v>
      </c>
      <c r="D7" s="76" t="s">
        <v>17</v>
      </c>
      <c r="E7" s="88">
        <f>전력분배!D8/전력분배!$K$8</f>
        <v>6.1607071606292758E-2</v>
      </c>
      <c r="F7" s="88">
        <f>전력분배!E8/전력분배!$K$8</f>
        <v>1.1566205547522612E-2</v>
      </c>
      <c r="G7" s="88">
        <f>전력분배!F8/전력분배!$K$8</f>
        <v>0.34002889085132293</v>
      </c>
      <c r="H7" s="88">
        <f>전력분배!G8/전력분배!$K$8</f>
        <v>0.32837764135866671</v>
      </c>
      <c r="I7" s="88">
        <f>전력분배!H8/전력분배!$K$8</f>
        <v>0.15088648860661108</v>
      </c>
      <c r="J7" s="88">
        <f>전력분배!I8/전력분배!$K$8</f>
        <v>0.10385680820148931</v>
      </c>
      <c r="K7" s="88">
        <f>전력분배!J8/전력분배!$K$8</f>
        <v>3.6770094337761315E-3</v>
      </c>
      <c r="L7" s="88">
        <f t="shared" si="0"/>
        <v>1.0000001156056815</v>
      </c>
    </row>
    <row r="8" spans="2:16">
      <c r="B8" s="76" t="s">
        <v>25</v>
      </c>
      <c r="C8" s="184" t="s">
        <v>260</v>
      </c>
      <c r="D8" s="76" t="s">
        <v>18</v>
      </c>
      <c r="E8" s="88">
        <f>전력분배!D9/전력분배!$K$9</f>
        <v>5.5310225583349491E-2</v>
      </c>
      <c r="F8" s="88">
        <f>전력분배!E9/전력분배!$K$9</f>
        <v>1.2189418912804601E-2</v>
      </c>
      <c r="G8" s="88">
        <f>전력분배!F9/전력분배!$K$9</f>
        <v>0.35653304165858468</v>
      </c>
      <c r="H8" s="88">
        <f>전력분배!G9/전력분배!$K$9</f>
        <v>0.34734530330942248</v>
      </c>
      <c r="I8" s="88">
        <f>전력분배!H9/전력분배!$K$9</f>
        <v>0.12894050360350914</v>
      </c>
      <c r="J8" s="88">
        <f>전력분배!I9/전력분배!$K$9</f>
        <v>9.7002563263529989E-2</v>
      </c>
      <c r="K8" s="88">
        <f>전력분배!J9/전력분배!$K$9</f>
        <v>2.6790446642104581E-3</v>
      </c>
      <c r="L8" s="88">
        <f t="shared" si="0"/>
        <v>1.0000001009954109</v>
      </c>
    </row>
    <row r="9" spans="2:16">
      <c r="B9" s="76" t="s">
        <v>25</v>
      </c>
      <c r="C9" s="184" t="s">
        <v>260</v>
      </c>
      <c r="D9" s="76" t="s">
        <v>19</v>
      </c>
      <c r="E9" s="88">
        <f>전력분배!D10/전력분배!$K$10</f>
        <v>5.7254698933407989E-2</v>
      </c>
      <c r="F9" s="88">
        <f>전력분배!E10/전력분배!$K$10</f>
        <v>1.0646878722504926E-2</v>
      </c>
      <c r="G9" s="88">
        <f>전력분배!F10/전력분배!$K$10</f>
        <v>0.35478462178319925</v>
      </c>
      <c r="H9" s="88">
        <f>전력분배!G10/전력분배!$K$10</f>
        <v>0.35424336828027303</v>
      </c>
      <c r="I9" s="88">
        <f>전력분배!H10/전력분배!$K$10</f>
        <v>0.12820719745470363</v>
      </c>
      <c r="J9" s="88">
        <f>전력분배!I10/전력분배!$K$10</f>
        <v>9.21551446561934E-2</v>
      </c>
      <c r="K9" s="88">
        <f>전력분배!J10/전력분배!$K$10</f>
        <v>2.7081652202076093E-3</v>
      </c>
      <c r="L9" s="88">
        <f t="shared" si="0"/>
        <v>1.00000007505049</v>
      </c>
    </row>
    <row r="10" spans="2:16">
      <c r="B10" s="76" t="s">
        <v>25</v>
      </c>
      <c r="C10" s="184" t="s">
        <v>260</v>
      </c>
      <c r="D10" s="76" t="s">
        <v>20</v>
      </c>
      <c r="E10" s="88">
        <f>전력분배!D11/전력분배!$K$11</f>
        <v>5.6015206108179984E-2</v>
      </c>
      <c r="F10" s="88">
        <f>전력분배!E11/전력분배!$K$11</f>
        <v>1.1928073035073421E-2</v>
      </c>
      <c r="G10" s="88">
        <f>전력분배!F11/전력분배!$K$11</f>
        <v>0.35130216376056794</v>
      </c>
      <c r="H10" s="88">
        <f>전력분배!G11/전력분배!$K$11</f>
        <v>0.33912546558430023</v>
      </c>
      <c r="I10" s="88">
        <f>전력분배!H11/전력분배!$K$11</f>
        <v>0.13471858735826936</v>
      </c>
      <c r="J10" s="88">
        <f>전력분배!I11/전력분배!$K$11</f>
        <v>0.10361211645148433</v>
      </c>
      <c r="K10" s="88">
        <f>전력분배!J11/전력분배!$K$11</f>
        <v>3.298410043037504E-3</v>
      </c>
      <c r="L10" s="88">
        <f t="shared" si="0"/>
        <v>1.0000000223409129</v>
      </c>
    </row>
    <row r="11" spans="2:16">
      <c r="B11" s="76" t="s">
        <v>25</v>
      </c>
      <c r="C11" s="184" t="s">
        <v>262</v>
      </c>
      <c r="D11" s="76" t="s">
        <v>21</v>
      </c>
      <c r="E11" s="88">
        <f>전력분배!D12/전력분배!$K$12</f>
        <v>7.5213979566718367E-2</v>
      </c>
      <c r="F11" s="88">
        <f>전력분배!E12/전력분배!$K$12</f>
        <v>1.1456601219408204E-2</v>
      </c>
      <c r="G11" s="88">
        <f>전력분배!F12/전력분배!$K$12</f>
        <v>0.35826997793553339</v>
      </c>
      <c r="H11" s="88">
        <f>전력분배!G12/전력분배!$K$12</f>
        <v>0.3250698050239248</v>
      </c>
      <c r="I11" s="88">
        <f>전력분배!H12/전력분배!$K$12</f>
        <v>0.12782525685250434</v>
      </c>
      <c r="J11" s="88">
        <f>전력분배!I12/전력분배!$K$12</f>
        <v>9.9220342628791827E-2</v>
      </c>
      <c r="K11" s="88">
        <f>전력분배!J12/전력분배!$K$12</f>
        <v>2.9440940244734376E-3</v>
      </c>
      <c r="L11" s="88">
        <f t="shared" si="0"/>
        <v>1.0000000572513543</v>
      </c>
    </row>
    <row r="12" spans="2:16">
      <c r="B12" s="76" t="s">
        <v>25</v>
      </c>
      <c r="C12" s="184" t="s">
        <v>262</v>
      </c>
      <c r="D12" s="76" t="s">
        <v>22</v>
      </c>
      <c r="E12" s="88">
        <f>전력분배!D13/전력분배!$K$13</f>
        <v>3.9670439004901734E-2</v>
      </c>
      <c r="F12" s="88">
        <f>전력분배!E13/전력분배!$K$13</f>
        <v>4.2894981484042473E-3</v>
      </c>
      <c r="G12" s="88">
        <f>전력분배!F13/전력분배!$K$13</f>
        <v>0.12353967149542033</v>
      </c>
      <c r="H12" s="88">
        <f>전력분배!G13/전력분배!$K$13</f>
        <v>0.22397702455862731</v>
      </c>
      <c r="I12" s="88">
        <f>전력분배!H13/전력분배!$K$13</f>
        <v>0.33665086375789421</v>
      </c>
      <c r="J12" s="88">
        <f>전력분배!I13/전력분배!$K$13</f>
        <v>0.26263430191574133</v>
      </c>
      <c r="K12" s="88">
        <f>전력분배!J13/전력분배!$K$13</f>
        <v>9.2382911538284231E-3</v>
      </c>
      <c r="L12" s="88">
        <f t="shared" si="0"/>
        <v>1.0000000900348176</v>
      </c>
    </row>
    <row r="13" spans="2:16">
      <c r="B13" s="76" t="s">
        <v>25</v>
      </c>
      <c r="C13" s="184" t="s">
        <v>262</v>
      </c>
      <c r="D13" s="76" t="s">
        <v>23</v>
      </c>
      <c r="E13" s="88">
        <f>전력분배!D14/전력분배!$K$14</f>
        <v>3.9231616968242247E-2</v>
      </c>
      <c r="F13" s="88">
        <f>전력분배!E14/전력분배!$K$14</f>
        <v>3.0670441490234695E-4</v>
      </c>
      <c r="G13" s="88">
        <f>전력분배!F14/전력분배!$K$14</f>
        <v>9.6108886478350669E-2</v>
      </c>
      <c r="H13" s="88">
        <f>전력분배!G14/전력분배!$K$14</f>
        <v>0.172835977248467</v>
      </c>
      <c r="I13" s="88">
        <f>전력분배!H14/전력분배!$K$14</f>
        <v>0.39155176790991147</v>
      </c>
      <c r="J13" s="88">
        <f>전력분배!I14/전력분배!$K$14</f>
        <v>0.2909834287296898</v>
      </c>
      <c r="K13" s="88">
        <f>전력분배!J14/전력분배!$K$14</f>
        <v>8.981618250451337E-3</v>
      </c>
      <c r="L13" s="88">
        <f t="shared" si="0"/>
        <v>1.0000000000000149</v>
      </c>
    </row>
    <row r="14" spans="2:16">
      <c r="B14" s="76" t="s">
        <v>26</v>
      </c>
      <c r="C14" s="184" t="s">
        <v>256</v>
      </c>
      <c r="D14" s="76" t="s">
        <v>9</v>
      </c>
      <c r="E14" s="88">
        <f>전력분배!D15/전력분배!$K$15</f>
        <v>6.183099182595804E-2</v>
      </c>
      <c r="F14" s="88">
        <f>전력분배!E15/전력분배!$K$15</f>
        <v>1.3129566805845511E-3</v>
      </c>
      <c r="G14" s="88">
        <f>전력분배!F15/전력분배!$K$15</f>
        <v>0.15836942491772518</v>
      </c>
      <c r="H14" s="88">
        <f>전력분배!G15/전력분배!$K$15</f>
        <v>0.17781139454302947</v>
      </c>
      <c r="I14" s="88">
        <f>전력분배!H15/전력분배!$K$15-O14</f>
        <v>0.35064663286416464</v>
      </c>
      <c r="J14" s="88">
        <f>전력분배!I15/전력분배!$K$15</f>
        <v>0.241698256005699</v>
      </c>
      <c r="K14" s="88">
        <f>전력분배!J15/전력분배!$K$15</f>
        <v>8.3303431628392478E-3</v>
      </c>
      <c r="L14" s="88">
        <f t="shared" si="0"/>
        <v>1</v>
      </c>
      <c r="M14" s="75">
        <v>1</v>
      </c>
      <c r="N14" s="113">
        <f>L14-M14</f>
        <v>0</v>
      </c>
      <c r="O14" s="75">
        <v>1.5573803713309076E-7</v>
      </c>
      <c r="P14" s="75" t="str">
        <f>IF(L14=M14,"일치","불일치")</f>
        <v>일치</v>
      </c>
    </row>
    <row r="15" spans="2:16">
      <c r="B15" s="76" t="s">
        <v>26</v>
      </c>
      <c r="C15" s="184" t="s">
        <v>256</v>
      </c>
      <c r="D15" s="76" t="s">
        <v>13</v>
      </c>
      <c r="E15" s="88">
        <f>IFERROR(전력분배!D16/전력분배!K16,0)</f>
        <v>9.6424963122471896E-2</v>
      </c>
      <c r="F15" s="88">
        <f>IFERROR(전력분배!E16/전력분배!K16,0)</f>
        <v>6.5885218931915966E-4</v>
      </c>
      <c r="G15" s="88">
        <f>IFERROR(전력분배!F16/전력분배!K16,0)</f>
        <v>0.22790423409421071</v>
      </c>
      <c r="H15" s="88">
        <f>IFERROR(전력분배!G16/전력분배!K16,0)</f>
        <v>0.2357777500949127</v>
      </c>
      <c r="I15" s="88">
        <f>IFERROR(전력분배!H16/전력분배!K16-O15,0)</f>
        <v>0.2418335819847853</v>
      </c>
      <c r="J15" s="88">
        <f>IFERROR(전력분배!I16/전력분배!K16,0)</f>
        <v>0.19241216622374083</v>
      </c>
      <c r="K15" s="88">
        <f>IFERROR(전력분배!J16/전력분배!K16,0)</f>
        <v>4.9884522905593517E-3</v>
      </c>
      <c r="L15" s="88">
        <f t="shared" ref="L15:L25" si="1">SUM(E15:K15)</f>
        <v>1</v>
      </c>
      <c r="M15" s="183">
        <v>1</v>
      </c>
      <c r="N15" s="113">
        <f>L15-M15</f>
        <v>0</v>
      </c>
      <c r="O15" s="75">
        <v>1.8537631985005021E-7</v>
      </c>
      <c r="P15" s="106" t="str">
        <f t="shared" ref="P15:P25" si="2">IF(L15=M15,"일치","불일치")</f>
        <v>일치</v>
      </c>
    </row>
    <row r="16" spans="2:16">
      <c r="B16" s="76" t="s">
        <v>26</v>
      </c>
      <c r="C16" s="184" t="s">
        <v>256</v>
      </c>
      <c r="D16" s="76" t="s">
        <v>14</v>
      </c>
      <c r="E16" s="88">
        <f>IFERROR(전력분배!D17/전력분배!K17,0)</f>
        <v>3.3939315192974329E-2</v>
      </c>
      <c r="F16" s="88">
        <f>IFERROR(전력분배!E17/전력분배!K17,0)</f>
        <v>1.1530099213117239E-2</v>
      </c>
      <c r="G16" s="88">
        <f>IFERROR(전력분배!F17/전력분배!K17,0)</f>
        <v>0.29910737485750138</v>
      </c>
      <c r="H16" s="88">
        <f>IFERROR(전력분배!G17/전력분배!K17,0)</f>
        <v>0.34969727954746771</v>
      </c>
      <c r="I16" s="88">
        <f>IFERROR(전력분배!H17/전력분배!K17-O16,0)</f>
        <v>0.17321255742545355</v>
      </c>
      <c r="J16" s="88">
        <f>IFERROR(전력분배!I17/전력분배!K17,0)</f>
        <v>0.12803978200374311</v>
      </c>
      <c r="K16" s="88">
        <f>IFERROR(전력분배!J17/전력분배!K17,0)</f>
        <v>4.4735917597427399E-3</v>
      </c>
      <c r="L16" s="88">
        <f t="shared" si="1"/>
        <v>1</v>
      </c>
      <c r="M16" s="183">
        <v>1</v>
      </c>
      <c r="N16" s="113">
        <f t="shared" ref="N16:N25" si="3">L16-M16</f>
        <v>0</v>
      </c>
      <c r="O16" s="75">
        <v>1.5374498718578877E-7</v>
      </c>
      <c r="P16" s="183" t="str">
        <f t="shared" si="2"/>
        <v>일치</v>
      </c>
    </row>
    <row r="17" spans="2:16">
      <c r="B17" s="76" t="s">
        <v>26</v>
      </c>
      <c r="C17" s="184" t="s">
        <v>258</v>
      </c>
      <c r="D17" s="76" t="s">
        <v>15</v>
      </c>
      <c r="E17" s="88">
        <f>전력분배!D18/전력분배!K18</f>
        <v>5.4965421641752811E-2</v>
      </c>
      <c r="F17" s="88">
        <f>IFERROR(전력분배!E18/전력분배!K18,0)</f>
        <v>1.0813813576441038E-2</v>
      </c>
      <c r="G17" s="88">
        <f>IFERROR(전력분배!F18/전력분배!K18,0)</f>
        <v>0.34655438689519696</v>
      </c>
      <c r="H17" s="88">
        <f>IFERROR(전력분배!G18/전력분배!K18,0)</f>
        <v>0.32975690693460041</v>
      </c>
      <c r="I17" s="88">
        <f>IFERROR(전력분배!H18/전력분배!K18-O17,0)</f>
        <v>0.14415627163677389</v>
      </c>
      <c r="J17" s="88">
        <f>IFERROR(전력분배!I18/전력분배!K18,0)</f>
        <v>0.11033266748785779</v>
      </c>
      <c r="K17" s="88">
        <f>IFERROR(전력분배!J18/전력분배!K18,0)</f>
        <v>3.4205318273771361E-3</v>
      </c>
      <c r="L17" s="88">
        <f t="shared" si="1"/>
        <v>1</v>
      </c>
      <c r="M17" s="183">
        <v>1</v>
      </c>
      <c r="N17" s="113">
        <f t="shared" si="3"/>
        <v>0</v>
      </c>
      <c r="O17" s="75">
        <v>1.0864131860799375E-7</v>
      </c>
      <c r="P17" s="183" t="str">
        <f t="shared" si="2"/>
        <v>일치</v>
      </c>
    </row>
    <row r="18" spans="2:16">
      <c r="B18" s="76" t="s">
        <v>26</v>
      </c>
      <c r="C18" s="184" t="s">
        <v>258</v>
      </c>
      <c r="D18" s="76" t="s">
        <v>16</v>
      </c>
      <c r="E18" s="88">
        <f>전력분배!D19/전력분배!K19</f>
        <v>7.9208680169831569E-2</v>
      </c>
      <c r="F18" s="88">
        <f>IFERROR(전력분배!E19/전력분배!K19,0)</f>
        <v>1.145219765078709E-2</v>
      </c>
      <c r="G18" s="88">
        <f>IFERROR(전력분배!F19/전력분배!K19,0)</f>
        <v>0.33701600318769054</v>
      </c>
      <c r="H18" s="88">
        <f>IFERROR(전력분배!G19/전력분배!K19,0)</f>
        <v>0.31954849539428581</v>
      </c>
      <c r="I18" s="88">
        <f>IFERROR(전력분배!H19/전력분배!K19-O18,0)</f>
        <v>0.14456033282130926</v>
      </c>
      <c r="J18" s="88">
        <f>IFERROR(전력분배!I19/전력분배!K19,0)</f>
        <v>0.10538685343899623</v>
      </c>
      <c r="K18" s="88">
        <f>IFERROR(전력분배!J19/전력분배!K19,0)</f>
        <v>2.8274373370994225E-3</v>
      </c>
      <c r="L18" s="88">
        <f t="shared" si="1"/>
        <v>1</v>
      </c>
      <c r="M18" s="183">
        <v>1</v>
      </c>
      <c r="N18" s="113">
        <f t="shared" si="3"/>
        <v>0</v>
      </c>
      <c r="O18" s="75">
        <v>5.6064346498629902E-9</v>
      </c>
      <c r="P18" s="183" t="str">
        <f t="shared" si="2"/>
        <v>일치</v>
      </c>
    </row>
    <row r="19" spans="2:16">
      <c r="B19" s="76" t="s">
        <v>26</v>
      </c>
      <c r="C19" s="184" t="s">
        <v>258</v>
      </c>
      <c r="D19" s="76" t="s">
        <v>17</v>
      </c>
      <c r="E19" s="88">
        <f>전력분배!D20/전력분배!K20</f>
        <v>5.8957283647493121E-2</v>
      </c>
      <c r="F19" s="88">
        <f>IFERROR(전력분배!E20/전력분배!K20,0)</f>
        <v>1.1288296660045298E-2</v>
      </c>
      <c r="G19" s="88">
        <f>IFERROR(전력분배!F20/전력분배!K20,0)</f>
        <v>0.36485923553032051</v>
      </c>
      <c r="H19" s="88">
        <f>IFERROR(전력분배!G20/전력분배!K20,0)</f>
        <v>0.31375138181993856</v>
      </c>
      <c r="I19" s="88">
        <f>IFERROR(전력분배!H20/전력분배!K20-O19,0)</f>
        <v>0.14137766559815398</v>
      </c>
      <c r="J19" s="88">
        <f>IFERROR(전력분배!I20/전력분배!K20,0)</f>
        <v>0.10670641796749562</v>
      </c>
      <c r="K19" s="88">
        <f>IFERROR(전력분배!J20/전력분배!K20,0)</f>
        <v>3.0597187765529668E-3</v>
      </c>
      <c r="L19" s="88">
        <f t="shared" si="1"/>
        <v>1</v>
      </c>
      <c r="M19" s="183">
        <v>1</v>
      </c>
      <c r="N19" s="113">
        <f t="shared" si="3"/>
        <v>0</v>
      </c>
      <c r="P19" s="106" t="str">
        <f t="shared" si="2"/>
        <v>일치</v>
      </c>
    </row>
    <row r="20" spans="2:16">
      <c r="B20" s="76" t="s">
        <v>26</v>
      </c>
      <c r="C20" s="184" t="s">
        <v>260</v>
      </c>
      <c r="D20" s="76" t="s">
        <v>18</v>
      </c>
      <c r="E20" s="88" t="e">
        <f>전력분배!D21/전력분배!K21</f>
        <v>#DIV/0!</v>
      </c>
      <c r="F20" s="88">
        <f>IFERROR(전력분배!E21/전력분배!K21,0)</f>
        <v>0</v>
      </c>
      <c r="G20" s="88">
        <f>IFERROR(전력분배!F21/전력분배!K21,0)</f>
        <v>0</v>
      </c>
      <c r="H20" s="88">
        <f>IFERROR(전력분배!G21/전력분배!K21,0)</f>
        <v>0</v>
      </c>
      <c r="I20" s="88">
        <f>IFERROR(전력분배!H21/전력분배!K21-O20,0)</f>
        <v>0</v>
      </c>
      <c r="J20" s="88">
        <f>IFERROR(전력분배!I21/전력분배!K21,0)</f>
        <v>0</v>
      </c>
      <c r="K20" s="88">
        <f>IFERROR(전력분배!J21/전력분배!K21,0)</f>
        <v>0</v>
      </c>
      <c r="L20" s="88" t="e">
        <f t="shared" si="1"/>
        <v>#DIV/0!</v>
      </c>
      <c r="M20" s="183">
        <v>1</v>
      </c>
      <c r="N20" s="113" t="e">
        <f t="shared" si="3"/>
        <v>#DIV/0!</v>
      </c>
      <c r="P20" s="106" t="e">
        <f t="shared" si="2"/>
        <v>#DIV/0!</v>
      </c>
    </row>
    <row r="21" spans="2:16">
      <c r="B21" s="76" t="s">
        <v>26</v>
      </c>
      <c r="C21" s="184" t="s">
        <v>260</v>
      </c>
      <c r="D21" s="76" t="s">
        <v>19</v>
      </c>
      <c r="E21" s="88" t="e">
        <f>전력분배!D22/전력분배!K22</f>
        <v>#DIV/0!</v>
      </c>
      <c r="F21" s="88">
        <f>IFERROR(전력분배!E22/전력분배!K22,0)</f>
        <v>0</v>
      </c>
      <c r="G21" s="88">
        <f>IFERROR(전력분배!F22/전력분배!K22,0)</f>
        <v>0</v>
      </c>
      <c r="H21" s="88">
        <f>IFERROR(전력분배!G22/전력분배!K22,0)</f>
        <v>0</v>
      </c>
      <c r="I21" s="88">
        <f>IFERROR(전력분배!H22/전력분배!K22-O21,0)</f>
        <v>0</v>
      </c>
      <c r="J21" s="88">
        <f>IFERROR(전력분배!I22/전력분배!K22,0)</f>
        <v>0</v>
      </c>
      <c r="K21" s="88">
        <f>IFERROR(전력분배!J22/전력분배!K22,0)</f>
        <v>0</v>
      </c>
      <c r="L21" s="88" t="e">
        <f t="shared" si="1"/>
        <v>#DIV/0!</v>
      </c>
      <c r="M21" s="183">
        <v>1</v>
      </c>
      <c r="N21" s="113" t="e">
        <f t="shared" si="3"/>
        <v>#DIV/0!</v>
      </c>
      <c r="P21" s="106" t="e">
        <f t="shared" si="2"/>
        <v>#DIV/0!</v>
      </c>
    </row>
    <row r="22" spans="2:16">
      <c r="B22" s="76" t="s">
        <v>26</v>
      </c>
      <c r="C22" s="184" t="s">
        <v>260</v>
      </c>
      <c r="D22" s="76" t="s">
        <v>20</v>
      </c>
      <c r="E22" s="88" t="e">
        <f>전력분배!D23/전력분배!K23</f>
        <v>#DIV/0!</v>
      </c>
      <c r="F22" s="88">
        <f>IFERROR(전력분배!E23/전력분배!K23,0)</f>
        <v>0</v>
      </c>
      <c r="G22" s="88">
        <f>IFERROR(전력분배!F23/전력분배!K23,0)</f>
        <v>0</v>
      </c>
      <c r="H22" s="88">
        <f>IFERROR(전력분배!G23/전력분배!K23,0)</f>
        <v>0</v>
      </c>
      <c r="I22" s="88">
        <f>IFERROR(전력분배!H23/전력분배!K23-O22,0)</f>
        <v>0</v>
      </c>
      <c r="J22" s="88">
        <f>IFERROR(전력분배!I23/전력분배!K23,0)</f>
        <v>0</v>
      </c>
      <c r="K22" s="88">
        <f>IFERROR(전력분배!J23/전력분배!K23,0)</f>
        <v>0</v>
      </c>
      <c r="L22" s="88" t="e">
        <f t="shared" si="1"/>
        <v>#DIV/0!</v>
      </c>
      <c r="M22" s="183">
        <v>1</v>
      </c>
      <c r="N22" s="113" t="e">
        <f t="shared" si="3"/>
        <v>#DIV/0!</v>
      </c>
      <c r="P22" s="106" t="e">
        <f t="shared" si="2"/>
        <v>#DIV/0!</v>
      </c>
    </row>
    <row r="23" spans="2:16">
      <c r="B23" s="76" t="s">
        <v>26</v>
      </c>
      <c r="C23" s="184" t="s">
        <v>262</v>
      </c>
      <c r="D23" s="76" t="s">
        <v>21</v>
      </c>
      <c r="E23" s="88" t="e">
        <f>전력분배!D24/전력분배!K24</f>
        <v>#DIV/0!</v>
      </c>
      <c r="F23" s="88">
        <f>IFERROR(전력분배!E24/전력분배!K24,0)</f>
        <v>0</v>
      </c>
      <c r="G23" s="88">
        <f>IFERROR(전력분배!F24/전력분배!K24,0)</f>
        <v>0</v>
      </c>
      <c r="H23" s="88">
        <f>IFERROR(전력분배!G24/전력분배!K24,0)</f>
        <v>0</v>
      </c>
      <c r="I23" s="88">
        <f>IFERROR(전력분배!H24/전력분배!K24-O23,0)</f>
        <v>0</v>
      </c>
      <c r="J23" s="88">
        <f>IFERROR(전력분배!I24/전력분배!K24,0)</f>
        <v>0</v>
      </c>
      <c r="K23" s="88">
        <f>IFERROR(전력분배!J24/전력분배!K24,0)</f>
        <v>0</v>
      </c>
      <c r="L23" s="88" t="e">
        <f t="shared" si="1"/>
        <v>#DIV/0!</v>
      </c>
      <c r="M23" s="183">
        <v>1</v>
      </c>
      <c r="N23" s="113" t="e">
        <f t="shared" si="3"/>
        <v>#DIV/0!</v>
      </c>
      <c r="P23" s="106" t="e">
        <f t="shared" si="2"/>
        <v>#DIV/0!</v>
      </c>
    </row>
    <row r="24" spans="2:16">
      <c r="B24" s="76" t="s">
        <v>26</v>
      </c>
      <c r="C24" s="184" t="s">
        <v>262</v>
      </c>
      <c r="D24" s="76" t="s">
        <v>22</v>
      </c>
      <c r="E24" s="88" t="e">
        <f>전력분배!D25/전력분배!K25</f>
        <v>#DIV/0!</v>
      </c>
      <c r="F24" s="88">
        <f>IFERROR(전력분배!E25/전력분배!K25,0)</f>
        <v>0</v>
      </c>
      <c r="G24" s="88">
        <f>IFERROR(전력분배!F25/전력분배!K25,0)</f>
        <v>0</v>
      </c>
      <c r="H24" s="88">
        <f>IFERROR(전력분배!G25/전력분배!K25,0)</f>
        <v>0</v>
      </c>
      <c r="I24" s="88">
        <f>IFERROR(전력분배!H25/전력분배!K25-O24,0)</f>
        <v>0</v>
      </c>
      <c r="J24" s="88">
        <f>IFERROR(전력분배!I25/전력분배!K25,0)</f>
        <v>0</v>
      </c>
      <c r="K24" s="88">
        <f>IFERROR(전력분배!J25/전력분배!K25,0)</f>
        <v>0</v>
      </c>
      <c r="L24" s="88" t="e">
        <f t="shared" si="1"/>
        <v>#DIV/0!</v>
      </c>
      <c r="M24" s="183">
        <v>1</v>
      </c>
      <c r="N24" s="113" t="e">
        <f t="shared" si="3"/>
        <v>#DIV/0!</v>
      </c>
      <c r="P24" s="106" t="e">
        <f t="shared" si="2"/>
        <v>#DIV/0!</v>
      </c>
    </row>
    <row r="25" spans="2:16">
      <c r="B25" s="76" t="s">
        <v>26</v>
      </c>
      <c r="C25" s="184" t="s">
        <v>262</v>
      </c>
      <c r="D25" s="76" t="s">
        <v>23</v>
      </c>
      <c r="E25" s="88" t="e">
        <f>전력분배!D26/전력분배!K26</f>
        <v>#DIV/0!</v>
      </c>
      <c r="F25" s="88">
        <f>IFERROR(전력분배!E26/전력분배!K26,0)</f>
        <v>0</v>
      </c>
      <c r="G25" s="88">
        <f>IFERROR(전력분배!F26/전력분배!K26,0)</f>
        <v>0</v>
      </c>
      <c r="H25" s="88">
        <f>IFERROR(전력분배!G26/전력분배!K26,0)</f>
        <v>0</v>
      </c>
      <c r="I25" s="88">
        <f>IFERROR(전력분배!H26/전력분배!K26-O25,0)</f>
        <v>0</v>
      </c>
      <c r="J25" s="88">
        <f>IFERROR(전력분배!I26/전력분배!K26,0)</f>
        <v>0</v>
      </c>
      <c r="K25" s="88">
        <f>IFERROR(전력분배!J26/전력분배!K26,0)</f>
        <v>0</v>
      </c>
      <c r="L25" s="88" t="e">
        <f t="shared" si="1"/>
        <v>#DIV/0!</v>
      </c>
      <c r="M25" s="183">
        <v>1</v>
      </c>
      <c r="N25" s="113" t="e">
        <f t="shared" si="3"/>
        <v>#DIV/0!</v>
      </c>
      <c r="P25" s="106" t="e">
        <f t="shared" si="2"/>
        <v>#DIV/0!</v>
      </c>
    </row>
  </sheetData>
  <sheetProtection selectLockedCells="1"/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25"/>
  <sheetViews>
    <sheetView workbookViewId="0">
      <selection activeCell="H14" sqref="H14:H25"/>
    </sheetView>
  </sheetViews>
  <sheetFormatPr defaultRowHeight="16.5"/>
  <cols>
    <col min="1" max="6" width="9" style="183"/>
    <col min="7" max="7" width="9.25" style="183" bestFit="1" customWidth="1"/>
    <col min="8" max="8" width="9" style="183"/>
    <col min="9" max="9" width="9" style="172"/>
    <col min="10" max="13" width="9" style="183"/>
    <col min="14" max="14" width="14.5" style="183" customWidth="1"/>
    <col min="15" max="16384" width="9" style="183"/>
  </cols>
  <sheetData>
    <row r="1" spans="2:16">
      <c r="B1" s="183" t="s">
        <v>2</v>
      </c>
      <c r="C1" s="183" t="s">
        <v>255</v>
      </c>
      <c r="D1" s="183" t="s">
        <v>4</v>
      </c>
      <c r="E1" s="183" t="s">
        <v>133</v>
      </c>
      <c r="F1" s="183" t="s">
        <v>134</v>
      </c>
      <c r="G1" s="183" t="s">
        <v>135</v>
      </c>
      <c r="H1" s="183" t="s">
        <v>136</v>
      </c>
      <c r="I1" s="72" t="s">
        <v>137</v>
      </c>
      <c r="J1" s="183" t="s">
        <v>138</v>
      </c>
      <c r="K1" s="183" t="s">
        <v>139</v>
      </c>
      <c r="L1" s="183" t="s">
        <v>132</v>
      </c>
    </row>
    <row r="2" spans="2:16">
      <c r="B2" s="214" t="s">
        <v>25</v>
      </c>
      <c r="C2" s="214" t="s">
        <v>256</v>
      </c>
      <c r="D2" s="214" t="s">
        <v>9</v>
      </c>
      <c r="E2" s="88"/>
      <c r="F2" s="88"/>
      <c r="G2" s="88"/>
      <c r="H2" s="88"/>
      <c r="I2" s="88"/>
      <c r="J2" s="88"/>
      <c r="K2" s="88"/>
      <c r="L2" s="88">
        <f>SUM(E2:K2)</f>
        <v>0</v>
      </c>
    </row>
    <row r="3" spans="2:16">
      <c r="B3" s="214" t="s">
        <v>25</v>
      </c>
      <c r="C3" s="214" t="s">
        <v>256</v>
      </c>
      <c r="D3" s="214" t="s">
        <v>13</v>
      </c>
      <c r="E3" s="88"/>
      <c r="F3" s="88"/>
      <c r="G3" s="88"/>
      <c r="H3" s="88"/>
      <c r="I3" s="88"/>
      <c r="J3" s="88"/>
      <c r="K3" s="88"/>
      <c r="L3" s="88">
        <f t="shared" ref="L3:L25" si="0">SUM(E3:K3)</f>
        <v>0</v>
      </c>
    </row>
    <row r="4" spans="2:16">
      <c r="B4" s="214" t="s">
        <v>25</v>
      </c>
      <c r="C4" s="214" t="s">
        <v>256</v>
      </c>
      <c r="D4" s="214" t="s">
        <v>14</v>
      </c>
      <c r="E4" s="88"/>
      <c r="F4" s="88"/>
      <c r="G4" s="88"/>
      <c r="H4" s="88"/>
      <c r="I4" s="88"/>
      <c r="J4" s="88"/>
      <c r="K4" s="88"/>
      <c r="L4" s="88">
        <f t="shared" si="0"/>
        <v>0</v>
      </c>
    </row>
    <row r="5" spans="2:16">
      <c r="B5" s="214" t="s">
        <v>25</v>
      </c>
      <c r="C5" s="214" t="s">
        <v>258</v>
      </c>
      <c r="D5" s="214" t="s">
        <v>15</v>
      </c>
      <c r="E5" s="88"/>
      <c r="F5" s="88"/>
      <c r="G5" s="88"/>
      <c r="H5" s="88"/>
      <c r="I5" s="88"/>
      <c r="J5" s="88"/>
      <c r="K5" s="88"/>
      <c r="L5" s="88">
        <f t="shared" si="0"/>
        <v>0</v>
      </c>
    </row>
    <row r="6" spans="2:16">
      <c r="B6" s="214" t="s">
        <v>25</v>
      </c>
      <c r="C6" s="214" t="s">
        <v>258</v>
      </c>
      <c r="D6" s="214" t="s">
        <v>16</v>
      </c>
      <c r="E6" s="88"/>
      <c r="F6" s="88"/>
      <c r="G6" s="88"/>
      <c r="H6" s="88"/>
      <c r="I6" s="88"/>
      <c r="J6" s="88"/>
      <c r="K6" s="88"/>
      <c r="L6" s="88">
        <f t="shared" si="0"/>
        <v>0</v>
      </c>
    </row>
    <row r="7" spans="2:16">
      <c r="B7" s="214" t="s">
        <v>25</v>
      </c>
      <c r="C7" s="214" t="s">
        <v>258</v>
      </c>
      <c r="D7" s="214" t="s">
        <v>17</v>
      </c>
      <c r="E7" s="88"/>
      <c r="F7" s="88"/>
      <c r="G7" s="88"/>
      <c r="H7" s="88"/>
      <c r="I7" s="88"/>
      <c r="J7" s="88"/>
      <c r="K7" s="88"/>
      <c r="L7" s="88">
        <f t="shared" si="0"/>
        <v>0</v>
      </c>
    </row>
    <row r="8" spans="2:16">
      <c r="B8" s="214" t="s">
        <v>25</v>
      </c>
      <c r="C8" s="214" t="s">
        <v>260</v>
      </c>
      <c r="D8" s="214" t="s">
        <v>18</v>
      </c>
      <c r="E8" s="88"/>
      <c r="F8" s="88"/>
      <c r="G8" s="88"/>
      <c r="H8" s="88"/>
      <c r="I8" s="88"/>
      <c r="J8" s="88"/>
      <c r="K8" s="88"/>
      <c r="L8" s="88">
        <f t="shared" si="0"/>
        <v>0</v>
      </c>
    </row>
    <row r="9" spans="2:16">
      <c r="B9" s="214" t="s">
        <v>25</v>
      </c>
      <c r="C9" s="214" t="s">
        <v>260</v>
      </c>
      <c r="D9" s="214" t="s">
        <v>19</v>
      </c>
      <c r="E9" s="88"/>
      <c r="F9" s="88"/>
      <c r="G9" s="88"/>
      <c r="H9" s="88"/>
      <c r="I9" s="88"/>
      <c r="J9" s="88"/>
      <c r="K9" s="88"/>
      <c r="L9" s="88">
        <f t="shared" si="0"/>
        <v>0</v>
      </c>
    </row>
    <row r="10" spans="2:16">
      <c r="B10" s="214" t="s">
        <v>25</v>
      </c>
      <c r="C10" s="214" t="s">
        <v>260</v>
      </c>
      <c r="D10" s="214" t="s">
        <v>20</v>
      </c>
      <c r="E10" s="88"/>
      <c r="F10" s="88"/>
      <c r="G10" s="88"/>
      <c r="H10" s="88"/>
      <c r="I10" s="88"/>
      <c r="J10" s="88"/>
      <c r="K10" s="88"/>
      <c r="L10" s="88">
        <f t="shared" si="0"/>
        <v>0</v>
      </c>
    </row>
    <row r="11" spans="2:16">
      <c r="B11" s="214" t="s">
        <v>25</v>
      </c>
      <c r="C11" s="214" t="s">
        <v>262</v>
      </c>
      <c r="D11" s="214" t="s">
        <v>21</v>
      </c>
      <c r="E11" s="88"/>
      <c r="F11" s="88"/>
      <c r="G11" s="88"/>
      <c r="H11" s="88"/>
      <c r="I11" s="88"/>
      <c r="J11" s="88"/>
      <c r="K11" s="88"/>
      <c r="L11" s="88">
        <f t="shared" si="0"/>
        <v>0</v>
      </c>
    </row>
    <row r="12" spans="2:16">
      <c r="B12" s="214" t="s">
        <v>25</v>
      </c>
      <c r="C12" s="214" t="s">
        <v>262</v>
      </c>
      <c r="D12" s="214" t="s">
        <v>22</v>
      </c>
      <c r="E12" s="88"/>
      <c r="F12" s="88"/>
      <c r="G12" s="88"/>
      <c r="H12" s="88"/>
      <c r="I12" s="88"/>
      <c r="J12" s="88"/>
      <c r="K12" s="88"/>
      <c r="L12" s="88">
        <f t="shared" si="0"/>
        <v>0</v>
      </c>
    </row>
    <row r="13" spans="2:16">
      <c r="B13" s="214" t="s">
        <v>25</v>
      </c>
      <c r="C13" s="214" t="s">
        <v>262</v>
      </c>
      <c r="D13" s="214" t="s">
        <v>23</v>
      </c>
      <c r="E13" s="88"/>
      <c r="F13" s="88"/>
      <c r="G13" s="88"/>
      <c r="H13" s="88"/>
      <c r="I13" s="88"/>
      <c r="J13" s="88"/>
      <c r="K13" s="88"/>
      <c r="L13" s="88">
        <f t="shared" si="0"/>
        <v>0</v>
      </c>
    </row>
    <row r="14" spans="2:16">
      <c r="B14" s="214" t="s">
        <v>26</v>
      </c>
      <c r="C14" s="214" t="s">
        <v>256</v>
      </c>
      <c r="D14" s="214" t="s">
        <v>9</v>
      </c>
      <c r="E14" s="88"/>
      <c r="F14" s="88"/>
      <c r="G14" s="88"/>
      <c r="H14" s="88">
        <v>1</v>
      </c>
      <c r="I14" s="88"/>
      <c r="J14" s="88"/>
      <c r="K14" s="88"/>
      <c r="L14" s="88">
        <f t="shared" si="0"/>
        <v>1</v>
      </c>
      <c r="M14" s="183">
        <v>1</v>
      </c>
      <c r="N14" s="113">
        <f>L14-M14</f>
        <v>0</v>
      </c>
      <c r="P14" s="183" t="str">
        <f>IF(L14=M14,"일치","불일치")</f>
        <v>일치</v>
      </c>
    </row>
    <row r="15" spans="2:16">
      <c r="B15" s="214" t="s">
        <v>26</v>
      </c>
      <c r="C15" s="214" t="s">
        <v>256</v>
      </c>
      <c r="D15" s="214" t="s">
        <v>13</v>
      </c>
      <c r="E15" s="185"/>
      <c r="F15" s="185"/>
      <c r="G15" s="185"/>
      <c r="H15" s="88">
        <v>1</v>
      </c>
      <c r="I15" s="185"/>
      <c r="J15" s="185"/>
      <c r="K15" s="185"/>
      <c r="L15" s="88">
        <f t="shared" si="0"/>
        <v>1</v>
      </c>
      <c r="M15" s="183">
        <v>1</v>
      </c>
      <c r="N15" s="113">
        <f t="shared" ref="N15:N25" si="1">L15-M15</f>
        <v>0</v>
      </c>
      <c r="P15" s="183" t="str">
        <f t="shared" ref="P15:P25" si="2">IF(L15=M15,"일치","불일치")</f>
        <v>일치</v>
      </c>
    </row>
    <row r="16" spans="2:16">
      <c r="B16" s="214" t="s">
        <v>26</v>
      </c>
      <c r="C16" s="214" t="s">
        <v>256</v>
      </c>
      <c r="D16" s="214" t="s">
        <v>14</v>
      </c>
      <c r="E16" s="185"/>
      <c r="F16" s="185"/>
      <c r="G16" s="185"/>
      <c r="H16" s="88">
        <v>1</v>
      </c>
      <c r="I16" s="185"/>
      <c r="J16" s="185"/>
      <c r="K16" s="185"/>
      <c r="L16" s="88">
        <f t="shared" si="0"/>
        <v>1</v>
      </c>
      <c r="M16" s="183">
        <v>1</v>
      </c>
      <c r="N16" s="113">
        <f t="shared" si="1"/>
        <v>0</v>
      </c>
      <c r="P16" s="183" t="str">
        <f t="shared" si="2"/>
        <v>일치</v>
      </c>
    </row>
    <row r="17" spans="2:16">
      <c r="B17" s="214" t="s">
        <v>26</v>
      </c>
      <c r="C17" s="214" t="s">
        <v>258</v>
      </c>
      <c r="D17" s="214" t="s">
        <v>15</v>
      </c>
      <c r="E17" s="185"/>
      <c r="F17" s="185"/>
      <c r="G17" s="185"/>
      <c r="H17" s="88">
        <v>1</v>
      </c>
      <c r="I17" s="185"/>
      <c r="J17" s="185"/>
      <c r="K17" s="185"/>
      <c r="L17" s="88">
        <f t="shared" si="0"/>
        <v>1</v>
      </c>
      <c r="M17" s="183">
        <v>1</v>
      </c>
      <c r="N17" s="113">
        <f t="shared" si="1"/>
        <v>0</v>
      </c>
      <c r="P17" s="183" t="str">
        <f t="shared" si="2"/>
        <v>일치</v>
      </c>
    </row>
    <row r="18" spans="2:16">
      <c r="B18" s="214" t="s">
        <v>26</v>
      </c>
      <c r="C18" s="214" t="s">
        <v>258</v>
      </c>
      <c r="D18" s="214" t="s">
        <v>16</v>
      </c>
      <c r="E18" s="185"/>
      <c r="F18" s="185"/>
      <c r="G18" s="185"/>
      <c r="H18" s="88">
        <v>1</v>
      </c>
      <c r="I18" s="185"/>
      <c r="J18" s="185"/>
      <c r="K18" s="185"/>
      <c r="L18" s="88">
        <f t="shared" si="0"/>
        <v>1</v>
      </c>
      <c r="M18" s="183">
        <v>1</v>
      </c>
      <c r="N18" s="113">
        <f t="shared" si="1"/>
        <v>0</v>
      </c>
      <c r="P18" s="183" t="str">
        <f t="shared" si="2"/>
        <v>일치</v>
      </c>
    </row>
    <row r="19" spans="2:16">
      <c r="B19" s="214" t="s">
        <v>26</v>
      </c>
      <c r="C19" s="214" t="s">
        <v>258</v>
      </c>
      <c r="D19" s="214" t="s">
        <v>17</v>
      </c>
      <c r="E19" s="185"/>
      <c r="F19" s="185"/>
      <c r="G19" s="185"/>
      <c r="H19" s="88">
        <v>1</v>
      </c>
      <c r="I19" s="185"/>
      <c r="J19" s="185"/>
      <c r="K19" s="185"/>
      <c r="L19" s="88">
        <f t="shared" si="0"/>
        <v>1</v>
      </c>
      <c r="M19" s="183">
        <v>1</v>
      </c>
      <c r="N19" s="113">
        <f t="shared" si="1"/>
        <v>0</v>
      </c>
      <c r="P19" s="183" t="str">
        <f t="shared" si="2"/>
        <v>일치</v>
      </c>
    </row>
    <row r="20" spans="2:16">
      <c r="B20" s="214" t="s">
        <v>26</v>
      </c>
      <c r="C20" s="214" t="s">
        <v>260</v>
      </c>
      <c r="D20" s="214" t="s">
        <v>18</v>
      </c>
      <c r="E20" s="185"/>
      <c r="F20" s="185"/>
      <c r="G20" s="185"/>
      <c r="H20" s="88">
        <v>1</v>
      </c>
      <c r="I20" s="185"/>
      <c r="J20" s="185"/>
      <c r="K20" s="185"/>
      <c r="L20" s="88">
        <f t="shared" si="0"/>
        <v>1</v>
      </c>
      <c r="M20" s="183">
        <v>1</v>
      </c>
      <c r="N20" s="113">
        <f t="shared" si="1"/>
        <v>0</v>
      </c>
      <c r="P20" s="183" t="str">
        <f t="shared" si="2"/>
        <v>일치</v>
      </c>
    </row>
    <row r="21" spans="2:16">
      <c r="B21" s="214" t="s">
        <v>26</v>
      </c>
      <c r="C21" s="214" t="s">
        <v>260</v>
      </c>
      <c r="D21" s="214" t="s">
        <v>19</v>
      </c>
      <c r="E21" s="185"/>
      <c r="F21" s="185"/>
      <c r="G21" s="185"/>
      <c r="H21" s="88">
        <v>1</v>
      </c>
      <c r="I21" s="185"/>
      <c r="J21" s="185"/>
      <c r="K21" s="185"/>
      <c r="L21" s="88">
        <f t="shared" si="0"/>
        <v>1</v>
      </c>
      <c r="M21" s="183">
        <v>1</v>
      </c>
      <c r="N21" s="113">
        <f t="shared" si="1"/>
        <v>0</v>
      </c>
      <c r="P21" s="183" t="str">
        <f t="shared" si="2"/>
        <v>일치</v>
      </c>
    </row>
    <row r="22" spans="2:16">
      <c r="B22" s="214" t="s">
        <v>26</v>
      </c>
      <c r="C22" s="214" t="s">
        <v>260</v>
      </c>
      <c r="D22" s="214" t="s">
        <v>20</v>
      </c>
      <c r="E22" s="185"/>
      <c r="F22" s="185"/>
      <c r="G22" s="185"/>
      <c r="H22" s="88">
        <v>1</v>
      </c>
      <c r="I22" s="185"/>
      <c r="J22" s="185"/>
      <c r="K22" s="185"/>
      <c r="L22" s="88">
        <f t="shared" si="0"/>
        <v>1</v>
      </c>
      <c r="M22" s="183">
        <v>1</v>
      </c>
      <c r="N22" s="113">
        <f t="shared" si="1"/>
        <v>0</v>
      </c>
      <c r="P22" s="183" t="str">
        <f t="shared" si="2"/>
        <v>일치</v>
      </c>
    </row>
    <row r="23" spans="2:16">
      <c r="B23" s="214" t="s">
        <v>26</v>
      </c>
      <c r="C23" s="214" t="s">
        <v>262</v>
      </c>
      <c r="D23" s="214" t="s">
        <v>21</v>
      </c>
      <c r="E23" s="185"/>
      <c r="F23" s="185"/>
      <c r="G23" s="185"/>
      <c r="H23" s="88">
        <v>1</v>
      </c>
      <c r="I23" s="185"/>
      <c r="J23" s="185"/>
      <c r="K23" s="185"/>
      <c r="L23" s="88">
        <f t="shared" si="0"/>
        <v>1</v>
      </c>
      <c r="M23" s="183">
        <v>1</v>
      </c>
      <c r="N23" s="113">
        <f t="shared" si="1"/>
        <v>0</v>
      </c>
      <c r="P23" s="183" t="str">
        <f t="shared" si="2"/>
        <v>일치</v>
      </c>
    </row>
    <row r="24" spans="2:16">
      <c r="B24" s="214" t="s">
        <v>26</v>
      </c>
      <c r="C24" s="214" t="s">
        <v>262</v>
      </c>
      <c r="D24" s="214" t="s">
        <v>22</v>
      </c>
      <c r="E24" s="185"/>
      <c r="F24" s="185"/>
      <c r="G24" s="185"/>
      <c r="H24" s="88">
        <v>1</v>
      </c>
      <c r="I24" s="185"/>
      <c r="J24" s="185"/>
      <c r="K24" s="185"/>
      <c r="L24" s="88">
        <f t="shared" si="0"/>
        <v>1</v>
      </c>
      <c r="M24" s="183">
        <v>1</v>
      </c>
      <c r="N24" s="113">
        <f t="shared" si="1"/>
        <v>0</v>
      </c>
      <c r="P24" s="183" t="str">
        <f t="shared" si="2"/>
        <v>일치</v>
      </c>
    </row>
    <row r="25" spans="2:16">
      <c r="B25" s="214" t="s">
        <v>26</v>
      </c>
      <c r="C25" s="214" t="s">
        <v>262</v>
      </c>
      <c r="D25" s="214" t="s">
        <v>23</v>
      </c>
      <c r="E25" s="185"/>
      <c r="F25" s="185"/>
      <c r="G25" s="185"/>
      <c r="H25" s="88">
        <v>1</v>
      </c>
      <c r="I25" s="185"/>
      <c r="J25" s="185"/>
      <c r="K25" s="185"/>
      <c r="L25" s="88">
        <f t="shared" si="0"/>
        <v>1</v>
      </c>
      <c r="M25" s="183">
        <v>1</v>
      </c>
      <c r="N25" s="113">
        <f t="shared" si="1"/>
        <v>0</v>
      </c>
      <c r="P25" s="183" t="str">
        <f t="shared" si="2"/>
        <v>일치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7"/>
  <sheetViews>
    <sheetView topLeftCell="A13" workbookViewId="0">
      <selection activeCell="G42" sqref="G42"/>
    </sheetView>
  </sheetViews>
  <sheetFormatPr defaultRowHeight="16.5"/>
  <cols>
    <col min="2" max="3" width="9" style="94"/>
    <col min="4" max="5" width="11" bestFit="1" customWidth="1"/>
    <col min="7" max="7" width="9" style="244"/>
    <col min="11" max="11" width="10.375" customWidth="1"/>
    <col min="13" max="13" width="9.5" bestFit="1" customWidth="1"/>
  </cols>
  <sheetData>
    <row r="1" spans="2:13" s="93" customFormat="1">
      <c r="B1" s="94"/>
      <c r="C1" s="94"/>
      <c r="E1" s="257"/>
      <c r="F1" s="257"/>
      <c r="G1" s="258"/>
      <c r="H1" s="257"/>
      <c r="I1" s="257"/>
      <c r="J1" s="257"/>
      <c r="K1" s="257"/>
      <c r="L1" s="257"/>
    </row>
    <row r="2" spans="2:13" s="92" customFormat="1">
      <c r="B2" s="98" t="s">
        <v>202</v>
      </c>
      <c r="C2" s="98"/>
      <c r="D2" s="97"/>
      <c r="E2" s="259"/>
      <c r="F2" s="259"/>
      <c r="G2" s="260"/>
      <c r="H2" s="259"/>
      <c r="I2" s="259"/>
      <c r="J2" s="259"/>
      <c r="K2" s="259"/>
      <c r="L2" s="259"/>
    </row>
    <row r="3" spans="2:13" s="92" customFormat="1">
      <c r="B3" s="98"/>
      <c r="C3" s="98"/>
      <c r="D3" s="97"/>
      <c r="E3" s="334" t="s">
        <v>203</v>
      </c>
      <c r="F3" s="334"/>
      <c r="G3" s="334"/>
      <c r="H3" s="334"/>
      <c r="I3" s="334"/>
      <c r="J3" s="334"/>
      <c r="K3" s="334"/>
      <c r="L3" s="334"/>
    </row>
    <row r="4" spans="2:13" s="92" customFormat="1">
      <c r="B4" s="94"/>
      <c r="C4" s="94"/>
      <c r="E4" s="257"/>
      <c r="F4" s="257"/>
      <c r="G4" s="258"/>
      <c r="H4" s="257"/>
      <c r="I4" s="257"/>
      <c r="J4" s="257"/>
      <c r="K4" s="257"/>
      <c r="L4" s="257"/>
    </row>
    <row r="5" spans="2:13" ht="33">
      <c r="B5" s="94" t="s">
        <v>126</v>
      </c>
      <c r="C5" s="94" t="s">
        <v>164</v>
      </c>
      <c r="D5" s="94" t="s">
        <v>197</v>
      </c>
      <c r="E5" s="94" t="s">
        <v>198</v>
      </c>
      <c r="F5" s="94" t="s">
        <v>199</v>
      </c>
      <c r="G5" s="256" t="s">
        <v>200</v>
      </c>
      <c r="H5" s="91" t="s">
        <v>204</v>
      </c>
      <c r="I5" s="96" t="s">
        <v>201</v>
      </c>
      <c r="J5" s="91" t="s">
        <v>205</v>
      </c>
      <c r="K5" s="91" t="s">
        <v>206</v>
      </c>
      <c r="L5" s="91" t="s">
        <v>207</v>
      </c>
      <c r="M5" s="4" t="s">
        <v>208</v>
      </c>
    </row>
    <row r="6" spans="2:13">
      <c r="B6" s="94" t="s">
        <v>193</v>
      </c>
      <c r="C6" s="94" t="s">
        <v>194</v>
      </c>
      <c r="D6">
        <f>SUMIFS(ESS전력량계!O:O,ESS전력량계!B:B,B:B,ESS전력량계!C:C,C:C)-SUMIFS(ESS전력량계!N:N,ESS전력량계!B:B,B:B,ESS전력량계!C:C,C:C)</f>
        <v>75.77</v>
      </c>
      <c r="E6">
        <f>SUMIFS(ESS전력량계!I:I,ESS전력량계!B:B,B:B,ESS전력량계!C:C,C:C)-SUMIFS(ESS전력량계!H:H,ESS전력량계!B:B,B:B,ESS전력량계!C:C,C:C)</f>
        <v>0.09</v>
      </c>
      <c r="F6">
        <v>1736</v>
      </c>
      <c r="G6" s="244">
        <v>19</v>
      </c>
      <c r="H6" s="95">
        <v>3</v>
      </c>
      <c r="I6">
        <f>ROUND(((D6*F6)-(E6*F6))/(G6*H6),0)</f>
        <v>2305</v>
      </c>
      <c r="J6" s="95">
        <v>1.2</v>
      </c>
      <c r="K6" s="95">
        <v>3</v>
      </c>
      <c r="L6" s="95">
        <v>8320</v>
      </c>
      <c r="M6">
        <f>I6*J6*K6*L6*(27/31)</f>
        <v>60131055.483870968</v>
      </c>
    </row>
    <row r="7" spans="2:13">
      <c r="B7" s="94" t="s">
        <v>193</v>
      </c>
      <c r="C7" s="94" t="s">
        <v>19</v>
      </c>
      <c r="D7" s="92">
        <f>SUMIFS(ESS전력량계!O:O,ESS전력량계!B:B,B:B,ESS전력량계!C:C,C:C)-SUMIFS(ESS전력량계!N:N,ESS전력량계!B:B,B:B,ESS전력량계!C:C,C:C)</f>
        <v>102.3</v>
      </c>
      <c r="E7" s="92">
        <f>SUMIFS(ESS전력량계!I:I,ESS전력량계!B:B,B:B,ESS전력량계!C:C,C:C)-SUMIFS(ESS전력량계!H:H,ESS전력량계!B:B,B:B,ESS전력량계!C:C,C:C)</f>
        <v>0</v>
      </c>
      <c r="F7" s="92">
        <v>1736</v>
      </c>
      <c r="G7" s="244">
        <v>22</v>
      </c>
      <c r="H7" s="95">
        <v>3</v>
      </c>
      <c r="I7" s="93">
        <f t="shared" ref="I7:I47" si="0">ROUND(((D7*F7)-(E7*F7))/(G7*H7),0)</f>
        <v>2691</v>
      </c>
      <c r="J7" s="95">
        <v>1.2</v>
      </c>
      <c r="K7" s="95">
        <v>3</v>
      </c>
      <c r="L7" s="95">
        <v>8320</v>
      </c>
      <c r="M7" s="93">
        <f>I7*J7*K7*L7</f>
        <v>80600831.999999985</v>
      </c>
    </row>
    <row r="8" spans="2:13">
      <c r="B8" s="94" t="s">
        <v>193</v>
      </c>
      <c r="C8" s="94" t="s">
        <v>20</v>
      </c>
      <c r="D8" s="92">
        <f>SUMIFS(ESS전력량계!O:O,ESS전력량계!B:B,B:B,ESS전력량계!C:C,C:C)-SUMIFS(ESS전력량계!N:N,ESS전력량계!B:B,B:B,ESS전력량계!C:C,C:C)</f>
        <v>86.829999999999984</v>
      </c>
      <c r="E8" s="92">
        <f>SUMIFS(ESS전력량계!I:I,ESS전력량계!B:B,B:B,ESS전력량계!C:C,C:C)-SUMIFS(ESS전력량계!H:H,ESS전력량계!B:B,B:B,ESS전력량계!C:C,C:C)</f>
        <v>1.0000000000000009E-2</v>
      </c>
      <c r="F8" s="92">
        <v>1736</v>
      </c>
      <c r="G8" s="244">
        <v>17</v>
      </c>
      <c r="H8" s="95">
        <v>3</v>
      </c>
      <c r="I8" s="93">
        <f t="shared" si="0"/>
        <v>2955</v>
      </c>
      <c r="J8" s="95">
        <v>1.2</v>
      </c>
      <c r="K8" s="95">
        <v>3</v>
      </c>
      <c r="L8" s="95">
        <v>8320</v>
      </c>
      <c r="M8" s="93">
        <f t="shared" ref="M8:M47" si="1">I8*J8*K8*L8</f>
        <v>88508160</v>
      </c>
    </row>
    <row r="9" spans="2:13">
      <c r="B9" s="94" t="s">
        <v>193</v>
      </c>
      <c r="C9" s="94" t="s">
        <v>21</v>
      </c>
      <c r="D9" s="92">
        <f>SUMIFS(ESS전력량계!O:O,ESS전력량계!B:B,B:B,ESS전력량계!C:C,C:C)-SUMIFS(ESS전력량계!N:N,ESS전력량계!B:B,B:B,ESS전력량계!C:C,C:C)</f>
        <v>107.49000000000001</v>
      </c>
      <c r="E9" s="92">
        <f>SUMIFS(ESS전력량계!I:I,ESS전력량계!B:B,B:B,ESS전력량계!C:C,C:C)-SUMIFS(ESS전력량계!H:H,ESS전력량계!B:B,B:B,ESS전력량계!C:C,C:C)</f>
        <v>0.03</v>
      </c>
      <c r="F9" s="92">
        <v>1736</v>
      </c>
      <c r="G9" s="244">
        <v>21</v>
      </c>
      <c r="H9" s="95">
        <v>3</v>
      </c>
      <c r="I9" s="93">
        <f t="shared" si="0"/>
        <v>2961</v>
      </c>
      <c r="J9" s="95">
        <v>1.2</v>
      </c>
      <c r="K9" s="95">
        <v>3</v>
      </c>
      <c r="L9" s="95">
        <v>8320</v>
      </c>
      <c r="M9" s="93">
        <f t="shared" si="1"/>
        <v>88687871.999999985</v>
      </c>
    </row>
    <row r="10" spans="2:13">
      <c r="B10" s="94" t="s">
        <v>193</v>
      </c>
      <c r="C10" s="94" t="s">
        <v>22</v>
      </c>
      <c r="D10" s="92">
        <f>SUMIFS(ESS전력량계!O:O,ESS전력량계!B:B,B:B,ESS전력량계!C:C,C:C)-SUMIFS(ESS전력량계!N:N,ESS전력량계!B:B,B:B,ESS전력량계!C:C,C:C)</f>
        <v>112.5</v>
      </c>
      <c r="E10" s="92">
        <f>SUMIFS(ESS전력량계!I:I,ESS전력량계!B:B,B:B,ESS전력량계!C:C,C:C)-SUMIFS(ESS전력량계!H:H,ESS전력량계!B:B,B:B,ESS전력량계!C:C,C:C)</f>
        <v>0.03</v>
      </c>
      <c r="F10" s="92">
        <v>1736</v>
      </c>
      <c r="G10" s="244">
        <v>22</v>
      </c>
      <c r="H10" s="95">
        <v>3</v>
      </c>
      <c r="I10" s="93">
        <f t="shared" si="0"/>
        <v>2958</v>
      </c>
      <c r="J10" s="95">
        <v>1.2</v>
      </c>
      <c r="K10" s="95">
        <v>3</v>
      </c>
      <c r="L10" s="95">
        <v>8320</v>
      </c>
      <c r="M10" s="93">
        <f t="shared" si="1"/>
        <v>88598016</v>
      </c>
    </row>
    <row r="11" spans="2:13">
      <c r="B11" s="94" t="s">
        <v>193</v>
      </c>
      <c r="C11" s="94" t="s">
        <v>23</v>
      </c>
      <c r="D11" s="92">
        <f>SUMIFS(ESS전력량계!O:O,ESS전력량계!B:B,B:B,ESS전력량계!C:C,C:C)-SUMIFS(ESS전력량계!N:N,ESS전력량계!B:B,B:B,ESS전력량계!C:C,C:C)</f>
        <v>96.730000000000018</v>
      </c>
      <c r="E11" s="92">
        <f>SUMIFS(ESS전력량계!I:I,ESS전력량계!B:B,B:B,ESS전력량계!C:C,C:C)-SUMIFS(ESS전력량계!H:H,ESS전력량계!B:B,B:B,ESS전력량계!C:C,C:C)</f>
        <v>0.03</v>
      </c>
      <c r="F11" s="92">
        <v>1736</v>
      </c>
      <c r="G11" s="244">
        <v>20</v>
      </c>
      <c r="H11" s="95">
        <v>3</v>
      </c>
      <c r="I11" s="93">
        <f t="shared" si="0"/>
        <v>2798</v>
      </c>
      <c r="J11" s="95">
        <v>1.2</v>
      </c>
      <c r="K11" s="95">
        <v>3</v>
      </c>
      <c r="L11" s="95">
        <v>8320</v>
      </c>
      <c r="M11" s="93">
        <f t="shared" si="1"/>
        <v>83805696</v>
      </c>
    </row>
    <row r="12" spans="2:13">
      <c r="B12" s="94" t="s">
        <v>195</v>
      </c>
      <c r="C12" s="94" t="s">
        <v>196</v>
      </c>
      <c r="D12" s="92">
        <f>SUMIFS(ESS전력량계!O:O,ESS전력량계!B:B,B:B,ESS전력량계!C:C,C:C)-SUMIFS(ESS전력량계!N:N,ESS전력량계!B:B,B:B,ESS전력량계!C:C,C:C)</f>
        <v>109.5</v>
      </c>
      <c r="E12" s="92">
        <f>SUMIFS(ESS전력량계!I:I,ESS전력량계!B:B,B:B,ESS전력량계!C:C,C:C)-SUMIFS(ESS전력량계!H:H,ESS전력량계!B:B,B:B,ESS전력량계!C:C,C:C)</f>
        <v>0.03</v>
      </c>
      <c r="F12" s="92">
        <v>1736</v>
      </c>
      <c r="G12" s="244">
        <v>22</v>
      </c>
      <c r="H12" s="95">
        <v>3</v>
      </c>
      <c r="I12" s="93">
        <f t="shared" si="0"/>
        <v>2879</v>
      </c>
      <c r="J12" s="95">
        <v>1.2</v>
      </c>
      <c r="K12" s="95">
        <v>3</v>
      </c>
      <c r="L12" s="95">
        <v>8320</v>
      </c>
      <c r="M12" s="93">
        <f t="shared" si="1"/>
        <v>86231808</v>
      </c>
    </row>
    <row r="13" spans="2:13">
      <c r="B13" s="94" t="s">
        <v>195</v>
      </c>
      <c r="C13" s="94" t="s">
        <v>13</v>
      </c>
      <c r="D13" s="92">
        <f>SUMIFS(ESS전력량계!O:O,ESS전력량계!B:B,B:B,ESS전력량계!C:C,C:C)-SUMIFS(ESS전력량계!N:N,ESS전력량계!B:B,B:B,ESS전력량계!C:C,C:C)</f>
        <v>85.5</v>
      </c>
      <c r="E13" s="92">
        <f>SUMIFS(ESS전력량계!I:I,ESS전력량계!B:B,B:B,ESS전력량계!C:C,C:C)-SUMIFS(ESS전력량계!H:H,ESS전력량계!B:B,B:B,ESS전력량계!C:C,C:C)</f>
        <v>0.03</v>
      </c>
      <c r="F13" s="92">
        <v>1736</v>
      </c>
      <c r="G13" s="244">
        <v>17</v>
      </c>
      <c r="H13" s="95">
        <v>3</v>
      </c>
      <c r="I13" s="93">
        <f t="shared" si="0"/>
        <v>2909</v>
      </c>
      <c r="J13" s="95">
        <v>1.2</v>
      </c>
      <c r="K13" s="95">
        <v>3</v>
      </c>
      <c r="L13" s="95">
        <v>8320</v>
      </c>
      <c r="M13" s="93">
        <f t="shared" si="1"/>
        <v>87130368</v>
      </c>
    </row>
    <row r="14" spans="2:13">
      <c r="B14" s="94" t="s">
        <v>195</v>
      </c>
      <c r="C14" s="94" t="s">
        <v>14</v>
      </c>
      <c r="D14" s="92">
        <f>SUMIFS(ESS전력량계!O:O,ESS전력량계!B:B,B:B,ESS전력량계!C:C,C:C)-SUMIFS(ESS전력량계!N:N,ESS전력량계!B:B,B:B,ESS전력량계!C:C,C:C)</f>
        <v>101.83000000000004</v>
      </c>
      <c r="E14" s="92">
        <f>SUMIFS(ESS전력량계!I:I,ESS전력량계!B:B,B:B,ESS전력량계!C:C,C:C)-SUMIFS(ESS전력량계!H:H,ESS전력량계!B:B,B:B,ESS전력량계!C:C,C:C)</f>
        <v>2.0000000000000018E-2</v>
      </c>
      <c r="F14" s="92">
        <v>1736</v>
      </c>
      <c r="G14" s="244">
        <v>20</v>
      </c>
      <c r="H14" s="95">
        <v>3</v>
      </c>
      <c r="I14" s="93">
        <f t="shared" si="0"/>
        <v>2946</v>
      </c>
      <c r="J14" s="95">
        <v>1.2</v>
      </c>
      <c r="K14" s="95">
        <v>3</v>
      </c>
      <c r="L14" s="95">
        <v>8320</v>
      </c>
      <c r="M14" s="93">
        <f t="shared" si="1"/>
        <v>88238591.999999985</v>
      </c>
    </row>
    <row r="15" spans="2:13">
      <c r="B15" s="94" t="s">
        <v>195</v>
      </c>
      <c r="C15" s="94" t="s">
        <v>15</v>
      </c>
      <c r="D15" s="92">
        <f>SUMIFS(ESS전력량계!O:O,ESS전력량계!B:B,B:B,ESS전력량계!C:C,C:C)-SUMIFS(ESS전력량계!N:N,ESS전력량계!B:B,B:B,ESS전력량계!C:C,C:C)</f>
        <v>112.03999999999996</v>
      </c>
      <c r="E15" s="92">
        <f>SUMIFS(ESS전력량계!I:I,ESS전력량계!B:B,B:B,ESS전력량계!C:C,C:C)-SUMIFS(ESS전력량계!H:H,ESS전력량계!B:B,B:B,ESS전력량계!C:C,C:C)</f>
        <v>2.9999999999999971E-2</v>
      </c>
      <c r="F15" s="92">
        <v>1736</v>
      </c>
      <c r="G15" s="244">
        <v>22</v>
      </c>
      <c r="H15" s="95">
        <v>3</v>
      </c>
      <c r="I15" s="93">
        <f t="shared" si="0"/>
        <v>2946</v>
      </c>
      <c r="J15" s="95">
        <v>1.2</v>
      </c>
      <c r="K15" s="95">
        <v>3</v>
      </c>
      <c r="L15" s="95">
        <v>8320</v>
      </c>
      <c r="M15" s="93">
        <f t="shared" si="1"/>
        <v>88238591.999999985</v>
      </c>
    </row>
    <row r="16" spans="2:13">
      <c r="B16" s="94" t="s">
        <v>195</v>
      </c>
      <c r="C16" s="94" t="s">
        <v>16</v>
      </c>
      <c r="D16" s="92">
        <f>SUMIFS(ESS전력량계!O:O,ESS전력량계!B:B,B:B,ESS전력량계!C:C,C:C)-SUMIFS(ESS전력량계!N:N,ESS전력량계!B:B,B:B,ESS전력량계!C:C,C:C)</f>
        <v>111.69000000000005</v>
      </c>
      <c r="E16" s="92">
        <f>SUMIFS(ESS전력량계!I:I,ESS전력량계!B:B,B:B,ESS전력량계!C:C,C:C)-SUMIFS(ESS전력량계!H:H,ESS전력량계!B:B,B:B,ESS전력량계!C:C,C:C)</f>
        <v>3.0000000000000027E-2</v>
      </c>
      <c r="F16" s="92">
        <v>1736</v>
      </c>
      <c r="G16" s="244">
        <v>22</v>
      </c>
      <c r="H16" s="95">
        <v>3</v>
      </c>
      <c r="I16" s="93">
        <f t="shared" si="0"/>
        <v>2937</v>
      </c>
      <c r="J16" s="95">
        <v>1.2</v>
      </c>
      <c r="K16" s="95">
        <v>3</v>
      </c>
      <c r="L16" s="95">
        <v>8320</v>
      </c>
      <c r="M16" s="93">
        <f t="shared" si="1"/>
        <v>87969024</v>
      </c>
    </row>
    <row r="17" spans="2:13">
      <c r="B17" s="94" t="s">
        <v>195</v>
      </c>
      <c r="C17" s="94" t="s">
        <v>17</v>
      </c>
      <c r="D17" s="92">
        <f>SUMIFS(ESS전력량계!O:O,ESS전력량계!B:B,B:B,ESS전력량계!C:C,C:C)-SUMIFS(ESS전력량계!N:N,ESS전력량계!B:B,B:B,ESS전력량계!C:C,C:C)</f>
        <v>95.819999999999936</v>
      </c>
      <c r="E17" s="92">
        <f>SUMIFS(ESS전력량계!I:I,ESS전력량계!B:B,B:B,ESS전력량계!C:C,C:C)-SUMIFS(ESS전력량계!H:H,ESS전력량계!B:B,B:B,ESS전력량계!C:C,C:C)</f>
        <v>1.9999999999999962E-2</v>
      </c>
      <c r="F17" s="92">
        <v>1736</v>
      </c>
      <c r="G17" s="244">
        <v>19</v>
      </c>
      <c r="H17" s="95">
        <v>3</v>
      </c>
      <c r="I17" s="93">
        <f t="shared" si="0"/>
        <v>2918</v>
      </c>
      <c r="J17" s="95">
        <v>1.2</v>
      </c>
      <c r="K17" s="95">
        <v>3</v>
      </c>
      <c r="L17" s="95">
        <v>8320</v>
      </c>
      <c r="M17" s="93">
        <f t="shared" si="1"/>
        <v>87399936</v>
      </c>
    </row>
    <row r="18" spans="2:13">
      <c r="B18" s="94" t="s">
        <v>195</v>
      </c>
      <c r="C18" s="94" t="s">
        <v>18</v>
      </c>
      <c r="D18" s="92">
        <f>SUMIFS(ESS전력량계!O:O,ESS전력량계!B:B,B:B,ESS전력량계!C:C,C:C)-SUMIFS(ESS전력량계!N:N,ESS전력량계!B:B,B:B,ESS전력량계!C:C,C:C)</f>
        <v>115.91000000000008</v>
      </c>
      <c r="E18" s="92">
        <f>SUMIFS(ESS전력량계!I:I,ESS전력량계!B:B,B:B,ESS전력량계!C:C,C:C)-SUMIFS(ESS전력량계!H:H,ESS전력량계!B:B,B:B,ESS전력량계!C:C,C:C)</f>
        <v>3.0000000000000027E-2</v>
      </c>
      <c r="F18" s="92">
        <v>1736</v>
      </c>
      <c r="G18" s="244">
        <v>23</v>
      </c>
      <c r="H18" s="95">
        <v>3</v>
      </c>
      <c r="I18" s="93">
        <f t="shared" si="0"/>
        <v>2915</v>
      </c>
      <c r="J18" s="95">
        <v>1.2</v>
      </c>
      <c r="K18" s="95">
        <v>3</v>
      </c>
      <c r="L18" s="95">
        <v>8320</v>
      </c>
      <c r="M18" s="93">
        <f t="shared" si="1"/>
        <v>87310080</v>
      </c>
    </row>
    <row r="19" spans="2:13">
      <c r="B19" s="94" t="s">
        <v>195</v>
      </c>
      <c r="C19" s="94" t="s">
        <v>19</v>
      </c>
      <c r="D19" s="92">
        <f>SUMIFS(ESS전력량계!O:O,ESS전력량계!B:B,B:B,ESS전력량계!C:C,C:C)-SUMIFS(ESS전력량계!N:N,ESS전력량계!B:B,B:B,ESS전력량계!C:C,C:C)</f>
        <v>100.14999999999986</v>
      </c>
      <c r="E19" s="92">
        <f>SUMIFS(ESS전력량계!I:I,ESS전력량계!B:B,B:B,ESS전력량계!C:C,C:C)-SUMIFS(ESS전력량계!H:H,ESS전력량계!B:B,B:B,ESS전력량계!C:C,C:C)</f>
        <v>2.9999999999999971E-2</v>
      </c>
      <c r="F19" s="92">
        <v>1736</v>
      </c>
      <c r="G19" s="244">
        <v>21</v>
      </c>
      <c r="H19" s="95">
        <v>3</v>
      </c>
      <c r="I19" s="93">
        <f t="shared" si="0"/>
        <v>2759</v>
      </c>
      <c r="J19" s="95">
        <v>1.2</v>
      </c>
      <c r="K19" s="95">
        <v>3</v>
      </c>
      <c r="L19" s="95">
        <v>8320</v>
      </c>
      <c r="M19" s="93">
        <f t="shared" si="1"/>
        <v>82637568</v>
      </c>
    </row>
    <row r="20" spans="2:13">
      <c r="B20" s="94" t="s">
        <v>195</v>
      </c>
      <c r="C20" s="94" t="s">
        <v>20</v>
      </c>
      <c r="D20" s="92">
        <f>SUMIFS(ESS전력량계!O:O,ESS전력량계!B:B,B:B,ESS전력량계!C:C,C:C)-SUMIFS(ESS전력량계!N:N,ESS전력량계!B:B,B:B,ESS전력량계!C:C,C:C)</f>
        <v>94.529999999999973</v>
      </c>
      <c r="E20" s="92">
        <f>SUMIFS(ESS전력량계!I:I,ESS전력량계!B:B,B:B,ESS전력량계!C:C,C:C)-SUMIFS(ESS전력량계!H:H,ESS전력량계!B:B,B:B,ESS전력량계!C:C,C:C)</f>
        <v>2.0000000000000018E-2</v>
      </c>
      <c r="F20" s="92">
        <v>1736</v>
      </c>
      <c r="G20" s="244">
        <v>19</v>
      </c>
      <c r="H20" s="95">
        <v>3</v>
      </c>
      <c r="I20" s="93">
        <f t="shared" si="0"/>
        <v>2878</v>
      </c>
      <c r="J20" s="95">
        <v>1.2</v>
      </c>
      <c r="K20" s="95">
        <v>3</v>
      </c>
      <c r="L20" s="95">
        <v>8320</v>
      </c>
      <c r="M20" s="93">
        <f t="shared" si="1"/>
        <v>86201856</v>
      </c>
    </row>
    <row r="21" spans="2:13">
      <c r="B21" s="94" t="s">
        <v>195</v>
      </c>
      <c r="C21" s="94" t="s">
        <v>21</v>
      </c>
      <c r="D21" s="92">
        <f>SUMIFS(ESS전력량계!O:O,ESS전력량계!B:B,B:B,ESS전력량계!C:C,C:C)-SUMIFS(ESS전력량계!N:N,ESS전력량계!B:B,B:B,ESS전력량계!C:C,C:C)</f>
        <v>102.23000000000002</v>
      </c>
      <c r="E21" s="92">
        <f>SUMIFS(ESS전력량계!I:I,ESS전력량계!B:B,B:B,ESS전력량계!C:C,C:C)-SUMIFS(ESS전력량계!H:H,ESS전력량계!B:B,B:B,ESS전력량계!C:C,C:C)</f>
        <v>3.0000000000000027E-2</v>
      </c>
      <c r="F21" s="92">
        <v>1736</v>
      </c>
      <c r="G21" s="244">
        <v>21</v>
      </c>
      <c r="H21" s="95">
        <v>3</v>
      </c>
      <c r="I21" s="93">
        <f t="shared" si="0"/>
        <v>2816</v>
      </c>
      <c r="J21" s="95">
        <v>1.2</v>
      </c>
      <c r="K21" s="95">
        <v>3</v>
      </c>
      <c r="L21" s="95">
        <v>8320</v>
      </c>
      <c r="M21" s="93">
        <f t="shared" si="1"/>
        <v>84344831.999999985</v>
      </c>
    </row>
    <row r="22" spans="2:13">
      <c r="B22" s="94" t="s">
        <v>195</v>
      </c>
      <c r="C22" s="94" t="s">
        <v>22</v>
      </c>
      <c r="D22" s="92">
        <f>SUMIFS(ESS전력량계!O:O,ESS전력량계!B:B,B:B,ESS전력량계!C:C,C:C)-SUMIFS(ESS전력량계!N:N,ESS전력량계!B:B,B:B,ESS전력량계!C:C,C:C)</f>
        <v>101.19000000000005</v>
      </c>
      <c r="E22" s="92">
        <f>SUMIFS(ESS전력량계!I:I,ESS전력량계!B:B,B:B,ESS전력량계!C:C,C:C)-SUMIFS(ESS전력량계!H:H,ESS전력량계!B:B,B:B,ESS전력량계!C:C,C:C)</f>
        <v>3.999999999999998E-2</v>
      </c>
      <c r="F22" s="92">
        <v>1736</v>
      </c>
      <c r="G22" s="244">
        <v>21</v>
      </c>
      <c r="H22" s="95">
        <v>3</v>
      </c>
      <c r="I22" s="93">
        <f t="shared" si="0"/>
        <v>2787</v>
      </c>
      <c r="J22" s="95">
        <v>1.2</v>
      </c>
      <c r="K22" s="95">
        <v>3</v>
      </c>
      <c r="L22" s="95">
        <v>8320</v>
      </c>
      <c r="M22" s="93">
        <f t="shared" si="1"/>
        <v>83476224</v>
      </c>
    </row>
    <row r="23" spans="2:13">
      <c r="B23" s="94" t="s">
        <v>195</v>
      </c>
      <c r="C23" s="94" t="s">
        <v>23</v>
      </c>
      <c r="D23" s="92">
        <f>SUMIFS(ESS전력량계!O:O,ESS전력량계!B:B,B:B,ESS전력량계!C:C,C:C)-SUMIFS(ESS전력량계!N:N,ESS전력량계!B:B,B:B,ESS전력량계!C:C,C:C)</f>
        <v>81.5</v>
      </c>
      <c r="E23" s="92">
        <f>SUMIFS(ESS전력량계!I:I,ESS전력량계!B:B,B:B,ESS전력량계!C:C,C:C)-SUMIFS(ESS전력량계!H:H,ESS전력량계!B:B,B:B,ESS전력량계!C:C,C:C)</f>
        <v>4.0000000000000036E-2</v>
      </c>
      <c r="F23" s="92">
        <v>1736</v>
      </c>
      <c r="G23" s="244">
        <v>21</v>
      </c>
      <c r="H23" s="95">
        <v>3</v>
      </c>
      <c r="I23" s="93">
        <f t="shared" si="0"/>
        <v>2245</v>
      </c>
      <c r="J23" s="95">
        <v>1.2</v>
      </c>
      <c r="K23" s="95">
        <v>3</v>
      </c>
      <c r="L23" s="95">
        <v>8320</v>
      </c>
      <c r="M23" s="93">
        <f t="shared" si="1"/>
        <v>67242240</v>
      </c>
    </row>
    <row r="24" spans="2:13">
      <c r="B24" s="94" t="s">
        <v>25</v>
      </c>
      <c r="C24" s="94" t="s">
        <v>196</v>
      </c>
      <c r="D24" s="92">
        <f>SUMIFS(ESS전력량계!O:O,ESS전력량계!B:B,B:B,ESS전력량계!C:C,C:C)-SUMIFS(ESS전력량계!N:N,ESS전력량계!B:B,B:B,ESS전력량계!C:C,C:C)</f>
        <v>39.8900000000001</v>
      </c>
      <c r="E24" s="92">
        <f>SUMIFS(ESS전력량계!I:I,ESS전력량계!B:B,B:B,ESS전력량계!C:C,C:C)-SUMIFS(ESS전력량계!H:H,ESS전력량계!B:B,B:B,ESS전력량계!C:C,C:C)</f>
        <v>0.12</v>
      </c>
      <c r="F24" s="92">
        <v>1736</v>
      </c>
      <c r="G24" s="244">
        <v>20</v>
      </c>
      <c r="H24" s="95">
        <v>3</v>
      </c>
      <c r="I24" s="93">
        <f t="shared" si="0"/>
        <v>1151</v>
      </c>
      <c r="J24" s="95">
        <v>1.2</v>
      </c>
      <c r="K24" s="95">
        <v>3</v>
      </c>
      <c r="L24" s="95">
        <v>8320</v>
      </c>
      <c r="M24" s="93">
        <f t="shared" si="1"/>
        <v>34474752</v>
      </c>
    </row>
    <row r="25" spans="2:13">
      <c r="B25" s="94" t="s">
        <v>25</v>
      </c>
      <c r="C25" s="94" t="s">
        <v>13</v>
      </c>
      <c r="D25" s="92">
        <f>SUMIFS(ESS전력량계!O:O,ESS전력량계!B:B,B:B,ESS전력량계!C:C,C:C)-SUMIFS(ESS전력량계!N:N,ESS전력량계!B:B,B:B,ESS전력량계!C:C,C:C)</f>
        <v>94.289999999999964</v>
      </c>
      <c r="E25" s="92">
        <f>SUMIFS(ESS전력량계!I:I,ESS전력량계!B:B,B:B,ESS전력량계!C:C,C:C)-SUMIFS(ESS전력량계!H:H,ESS전력량계!B:B,B:B,ESS전력량계!C:C,C:C)</f>
        <v>2.9999999999999916E-2</v>
      </c>
      <c r="F25" s="92">
        <v>1736</v>
      </c>
      <c r="G25" s="244">
        <v>20</v>
      </c>
      <c r="H25" s="95">
        <v>3</v>
      </c>
      <c r="I25" s="93">
        <f t="shared" si="0"/>
        <v>2727</v>
      </c>
      <c r="J25" s="95">
        <v>1.2</v>
      </c>
      <c r="K25" s="95">
        <v>3</v>
      </c>
      <c r="L25" s="95">
        <v>8320</v>
      </c>
      <c r="M25" s="93">
        <f t="shared" si="1"/>
        <v>81679104</v>
      </c>
    </row>
    <row r="26" spans="2:13">
      <c r="B26" s="94" t="s">
        <v>25</v>
      </c>
      <c r="C26" s="94" t="s">
        <v>14</v>
      </c>
      <c r="D26" s="92">
        <f>SUMIFS(ESS전력량계!O:O,ESS전력량계!B:B,B:B,ESS전력량계!C:C,C:C)-SUMIFS(ESS전력량계!N:N,ESS전력량계!B:B,B:B,ESS전력량계!C:C,C:C)</f>
        <v>108.29999999999995</v>
      </c>
      <c r="E26" s="92">
        <f>SUMIFS(ESS전력량계!I:I,ESS전력량계!B:B,B:B,ESS전력량계!C:C,C:C)-SUMIFS(ESS전력량계!H:H,ESS전력량계!B:B,B:B,ESS전력량계!C:C,C:C)</f>
        <v>2.0000000000000018E-2</v>
      </c>
      <c r="F26" s="92">
        <v>1736</v>
      </c>
      <c r="G26" s="244">
        <v>22</v>
      </c>
      <c r="H26" s="95">
        <v>3</v>
      </c>
      <c r="I26" s="93">
        <f t="shared" si="0"/>
        <v>2848</v>
      </c>
      <c r="J26" s="95">
        <v>1.2</v>
      </c>
      <c r="K26" s="95">
        <v>3</v>
      </c>
      <c r="L26" s="95">
        <v>8320</v>
      </c>
      <c r="M26" s="93">
        <f t="shared" si="1"/>
        <v>85303296</v>
      </c>
    </row>
    <row r="27" spans="2:13">
      <c r="B27" s="94" t="s">
        <v>25</v>
      </c>
      <c r="C27" s="94" t="s">
        <v>15</v>
      </c>
      <c r="D27" s="92">
        <f>SUMIFS(ESS전력량계!O:O,ESS전력량계!B:B,B:B,ESS전력량계!C:C,C:C)-SUMIFS(ESS전력량계!N:N,ESS전력량계!B:B,B:B,ESS전력량계!C:C,C:C)</f>
        <v>94.680000000000064</v>
      </c>
      <c r="E27" s="92">
        <f>SUMIFS(ESS전력량계!I:I,ESS전력량계!B:B,B:B,ESS전력량계!C:C,C:C)-SUMIFS(ESS전력량계!H:H,ESS전력량계!B:B,B:B,ESS전력량계!C:C,C:C)</f>
        <v>3.0000000000000027E-2</v>
      </c>
      <c r="F27" s="92">
        <v>1736</v>
      </c>
      <c r="G27" s="244">
        <v>20</v>
      </c>
      <c r="H27" s="95">
        <v>3</v>
      </c>
      <c r="I27" s="93">
        <f t="shared" si="0"/>
        <v>2739</v>
      </c>
      <c r="J27" s="95">
        <v>1.2</v>
      </c>
      <c r="K27" s="95">
        <v>3</v>
      </c>
      <c r="L27" s="95">
        <v>8320</v>
      </c>
      <c r="M27" s="93">
        <f t="shared" si="1"/>
        <v>82038528</v>
      </c>
    </row>
    <row r="28" spans="2:13">
      <c r="B28" s="94" t="s">
        <v>25</v>
      </c>
      <c r="C28" s="94" t="s">
        <v>16</v>
      </c>
      <c r="D28" s="92">
        <f>SUMIFS(ESS전력량계!O:O,ESS전력량계!B:B,B:B,ESS전력량계!C:C,C:C)-SUMIFS(ESS전력량계!N:N,ESS전력량계!B:B,B:B,ESS전력량계!C:C,C:C)</f>
        <v>92.409999999999854</v>
      </c>
      <c r="E28" s="92">
        <f>SUMIFS(ESS전력량계!I:I,ESS전력량계!B:B,B:B,ESS전력량계!C:C,C:C)-SUMIFS(ESS전력량계!H:H,ESS전력량계!B:B,B:B,ESS전력량계!C:C,C:C)</f>
        <v>2.0000000000000018E-2</v>
      </c>
      <c r="F28" s="92">
        <v>1736</v>
      </c>
      <c r="G28" s="244">
        <v>20</v>
      </c>
      <c r="H28" s="95">
        <v>3</v>
      </c>
      <c r="I28" s="93">
        <f t="shared" si="0"/>
        <v>2673</v>
      </c>
      <c r="J28" s="95">
        <v>1.2</v>
      </c>
      <c r="K28" s="95">
        <v>3</v>
      </c>
      <c r="L28" s="95">
        <v>8320</v>
      </c>
      <c r="M28" s="93">
        <f t="shared" si="1"/>
        <v>80061696</v>
      </c>
    </row>
    <row r="29" spans="2:13">
      <c r="B29" s="94" t="s">
        <v>25</v>
      </c>
      <c r="C29" s="94" t="s">
        <v>17</v>
      </c>
      <c r="D29" s="92">
        <f>SUMIFS(ESS전력량계!O:O,ESS전력량계!B:B,B:B,ESS전력량계!C:C,C:C)-SUMIFS(ESS전력량계!N:N,ESS전력량계!B:B,B:B,ESS전력량계!C:C,C:C)</f>
        <v>83.599999999999909</v>
      </c>
      <c r="E29" s="92">
        <f>SUMIFS(ESS전력량계!I:I,ESS전력량계!B:B,B:B,ESS전력량계!C:C,C:C)-SUMIFS(ESS전력량계!H:H,ESS전력량계!B:B,B:B,ESS전력량계!C:C,C:C)</f>
        <v>5.0000000000000044E-2</v>
      </c>
      <c r="F29" s="92">
        <v>1736</v>
      </c>
      <c r="G29" s="244">
        <v>22</v>
      </c>
      <c r="H29" s="95">
        <v>3</v>
      </c>
      <c r="I29" s="93">
        <f t="shared" si="0"/>
        <v>2198</v>
      </c>
      <c r="J29" s="95">
        <v>1.2</v>
      </c>
      <c r="K29" s="95">
        <v>3</v>
      </c>
      <c r="L29" s="95">
        <v>8320</v>
      </c>
      <c r="M29" s="93">
        <f t="shared" si="1"/>
        <v>65834495.999999993</v>
      </c>
    </row>
    <row r="30" spans="2:13">
      <c r="B30" s="94" t="s">
        <v>25</v>
      </c>
      <c r="C30" s="94" t="s">
        <v>18</v>
      </c>
      <c r="D30" s="92">
        <f>SUMIFS(ESS전력량계!O:O,ESS전력량계!B:B,B:B,ESS전력량계!C:C,C:C)-SUMIFS(ESS전력량계!N:N,ESS전력량계!B:B,B:B,ESS전력량계!C:C,C:C)</f>
        <v>88.0300000000002</v>
      </c>
      <c r="E30" s="92">
        <f>SUMIFS(ESS전력량계!I:I,ESS전력량계!B:B,B:B,ESS전력량계!C:C,C:C)-SUMIFS(ESS전력량계!H:H,ESS전력량계!B:B,B:B,ESS전력량계!C:C,C:C)</f>
        <v>3.9999999999999925E-2</v>
      </c>
      <c r="F30" s="92">
        <v>1736</v>
      </c>
      <c r="G30" s="244">
        <v>23</v>
      </c>
      <c r="H30" s="95">
        <v>3</v>
      </c>
      <c r="I30" s="93">
        <f t="shared" si="0"/>
        <v>2214</v>
      </c>
      <c r="J30" s="95">
        <v>1.2</v>
      </c>
      <c r="K30" s="95">
        <v>3</v>
      </c>
      <c r="L30" s="95">
        <v>8320</v>
      </c>
      <c r="M30" s="93">
        <f t="shared" si="1"/>
        <v>66313728</v>
      </c>
    </row>
    <row r="31" spans="2:13">
      <c r="B31" s="94" t="s">
        <v>25</v>
      </c>
      <c r="C31" s="94" t="s">
        <v>19</v>
      </c>
      <c r="D31" s="92">
        <f>SUMIFS(ESS전력량계!O:O,ESS전력량계!B:B,B:B,ESS전력량계!C:C,C:C)-SUMIFS(ESS전력량계!N:N,ESS전력량계!B:B,B:B,ESS전력량계!C:C,C:C)</f>
        <v>80.230000000000018</v>
      </c>
      <c r="E31" s="92">
        <f>SUMIFS(ESS전력량계!I:I,ESS전력량계!B:B,B:B,ESS전력량계!C:C,C:C)-SUMIFS(ESS전력량계!H:H,ESS전력량계!B:B,B:B,ESS전력량계!C:C,C:C)</f>
        <v>4.0000000000000036E-2</v>
      </c>
      <c r="F31" s="92">
        <v>1736</v>
      </c>
      <c r="G31" s="244">
        <v>21</v>
      </c>
      <c r="H31" s="95">
        <v>3</v>
      </c>
      <c r="I31" s="93">
        <f t="shared" si="0"/>
        <v>2210</v>
      </c>
      <c r="J31" s="95">
        <v>1.2</v>
      </c>
      <c r="K31" s="95">
        <v>3</v>
      </c>
      <c r="L31" s="95">
        <v>8320</v>
      </c>
      <c r="M31" s="93">
        <f t="shared" si="1"/>
        <v>66193920</v>
      </c>
    </row>
    <row r="32" spans="2:13">
      <c r="B32" s="94" t="s">
        <v>25</v>
      </c>
      <c r="C32" s="94" t="s">
        <v>20</v>
      </c>
      <c r="D32" s="92">
        <f>SUMIFS(ESS전력량계!O:O,ESS전력량계!B:B,B:B,ESS전력량계!C:C,C:C)-SUMIFS(ESS전력량계!N:N,ESS전력량계!B:B,B:B,ESS전력량계!C:C,C:C)</f>
        <v>75.549999999999727</v>
      </c>
      <c r="E32" s="92">
        <f>SUMIFS(ESS전력량계!I:I,ESS전력량계!B:B,B:B,ESS전력량계!C:C,C:C)-SUMIFS(ESS전력량계!H:H,ESS전력량계!B:B,B:B,ESS전력량계!C:C,C:C)</f>
        <v>4.9999999999999933E-2</v>
      </c>
      <c r="F32" s="92">
        <v>1736</v>
      </c>
      <c r="G32" s="244">
        <v>21</v>
      </c>
      <c r="H32" s="95">
        <v>3</v>
      </c>
      <c r="I32" s="93">
        <f t="shared" si="0"/>
        <v>2080</v>
      </c>
      <c r="J32" s="95">
        <v>1.2</v>
      </c>
      <c r="K32" s="95">
        <v>3</v>
      </c>
      <c r="L32" s="95">
        <v>8320</v>
      </c>
      <c r="M32" s="93">
        <f t="shared" si="1"/>
        <v>62300160</v>
      </c>
    </row>
    <row r="33" spans="2:13">
      <c r="B33" s="94" t="s">
        <v>25</v>
      </c>
      <c r="C33" s="94" t="s">
        <v>21</v>
      </c>
      <c r="D33" s="92">
        <f>SUMIFS(ESS전력량계!O:O,ESS전력량계!B:B,B:B,ESS전력량계!C:C,C:C)-SUMIFS(ESS전력량계!N:N,ESS전력량계!B:B,B:B,ESS전력량계!C:C,C:C)</f>
        <v>72.390000000000327</v>
      </c>
      <c r="E33" s="92">
        <f>SUMIFS(ESS전력량계!I:I,ESS전력량계!B:B,B:B,ESS전력량계!C:C,C:C)-SUMIFS(ESS전력량계!H:H,ESS전력량계!B:B,B:B,ESS전력량계!C:C,C:C)</f>
        <v>4.0000000000000036E-2</v>
      </c>
      <c r="F33" s="92">
        <v>1736</v>
      </c>
      <c r="G33" s="244">
        <v>19</v>
      </c>
      <c r="H33" s="95">
        <v>3</v>
      </c>
      <c r="I33" s="93">
        <f t="shared" si="0"/>
        <v>2204</v>
      </c>
      <c r="J33" s="95">
        <v>1.2</v>
      </c>
      <c r="K33" s="95">
        <v>3</v>
      </c>
      <c r="L33" s="95">
        <v>8320</v>
      </c>
      <c r="M33" s="93">
        <f t="shared" si="1"/>
        <v>66014208</v>
      </c>
    </row>
    <row r="34" spans="2:13">
      <c r="B34" s="94" t="s">
        <v>25</v>
      </c>
      <c r="C34" s="94" t="s">
        <v>22</v>
      </c>
      <c r="D34" s="92">
        <f>SUMIFS(ESS전력량계!O:O,ESS전력량계!B:B,B:B,ESS전력량계!C:C,C:C)-SUMIFS(ESS전력량계!N:N,ESS전력량계!B:B,B:B,ESS전력량계!C:C,C:C)</f>
        <v>78.099999999999909</v>
      </c>
      <c r="E34" s="92">
        <f>SUMIFS(ESS전력량계!I:I,ESS전력량계!B:B,B:B,ESS전력량계!C:C,C:C)-SUMIFS(ESS전력량계!H:H,ESS전력량계!B:B,B:B,ESS전력량계!C:C,C:C)</f>
        <v>5.0000000000000044E-2</v>
      </c>
      <c r="F34" s="92">
        <v>1736</v>
      </c>
      <c r="G34" s="244">
        <v>21</v>
      </c>
      <c r="H34" s="95">
        <v>3</v>
      </c>
      <c r="I34" s="93">
        <f t="shared" si="0"/>
        <v>2151</v>
      </c>
      <c r="J34" s="95">
        <v>1.2</v>
      </c>
      <c r="K34" s="95">
        <v>3</v>
      </c>
      <c r="L34" s="95">
        <v>8320</v>
      </c>
      <c r="M34" s="93">
        <f t="shared" si="1"/>
        <v>64426751.999999993</v>
      </c>
    </row>
    <row r="35" spans="2:13">
      <c r="B35" s="94" t="s">
        <v>25</v>
      </c>
      <c r="C35" s="94" t="s">
        <v>23</v>
      </c>
      <c r="D35" s="92">
        <f>SUMIFS(ESS전력량계!O:O,ESS전력량계!B:B,B:B,ESS전력량계!C:C,C:C)-SUMIFS(ESS전력량계!N:N,ESS전력량계!B:B,B:B,ESS전력량계!C:C,C:C)</f>
        <v>78.150000000000091</v>
      </c>
      <c r="E35" s="92">
        <f>SUMIFS(ESS전력량계!I:I,ESS전력량계!B:B,B:B,ESS전력량계!C:C,C:C)-SUMIFS(ESS전력량계!H:H,ESS전력량계!B:B,B:B,ESS전력량계!C:C,C:C)</f>
        <v>5.0000000000000044E-2</v>
      </c>
      <c r="F35" s="92">
        <v>1736</v>
      </c>
      <c r="G35" s="244">
        <v>22</v>
      </c>
      <c r="H35" s="95">
        <v>3</v>
      </c>
      <c r="I35" s="93">
        <f t="shared" si="0"/>
        <v>2054</v>
      </c>
      <c r="J35" s="95">
        <v>1.2</v>
      </c>
      <c r="K35" s="95">
        <v>3</v>
      </c>
      <c r="L35" s="95">
        <v>8320</v>
      </c>
      <c r="M35" s="93">
        <f t="shared" si="1"/>
        <v>61521408</v>
      </c>
    </row>
    <row r="36" spans="2:13">
      <c r="B36" s="94" t="s">
        <v>26</v>
      </c>
      <c r="C36" s="94" t="s">
        <v>196</v>
      </c>
      <c r="D36" s="92">
        <f>SUMIFS(ESS전력량계!O:O,ESS전력량계!B:B,B:B,ESS전력량계!C:C,C:C)-SUMIFS(ESS전력량계!N:N,ESS전력량계!B:B,B:B,ESS전력량계!C:C,C:C)</f>
        <v>73.009999999999764</v>
      </c>
      <c r="E36" s="92">
        <f>SUMIFS(ESS전력량계!I:I,ESS전력량계!B:B,B:B,ESS전력량계!C:C,C:C)-SUMIFS(ESS전력량계!H:H,ESS전력량계!B:B,B:B,ESS전력량계!C:C,C:C)</f>
        <v>4.9999999999999822E-2</v>
      </c>
      <c r="F36" s="92">
        <v>1736</v>
      </c>
      <c r="G36" s="244">
        <v>20</v>
      </c>
      <c r="H36" s="95">
        <v>3</v>
      </c>
      <c r="I36" s="93">
        <f t="shared" si="0"/>
        <v>2111</v>
      </c>
      <c r="J36" s="95">
        <v>1</v>
      </c>
      <c r="K36" s="95">
        <v>1</v>
      </c>
      <c r="L36" s="95">
        <v>8320</v>
      </c>
      <c r="M36" s="93">
        <f t="shared" si="1"/>
        <v>17563520</v>
      </c>
    </row>
    <row r="37" spans="2:13">
      <c r="B37" s="94" t="s">
        <v>26</v>
      </c>
      <c r="C37" s="94" t="s">
        <v>13</v>
      </c>
      <c r="D37" s="183">
        <f>SUMIFS(ESS전력량계!O:O,ESS전력량계!B:B,B:B,ESS전력량계!C:C,C:C)-SUMIFS(ESS전력량계!N:N,ESS전력량계!B:B,B:B,ESS전력량계!C:C,C:C)</f>
        <v>68.620000000000346</v>
      </c>
      <c r="E37" s="183">
        <f>SUMIFS(ESS전력량계!I:I,ESS전력량계!B:B,B:B,ESS전력량계!C:C,C:C)-SUMIFS(ESS전력량계!H:H,ESS전력량계!B:B,B:B,ESS전력량계!C:C,C:C)</f>
        <v>4.0000000000000036E-2</v>
      </c>
      <c r="F37" s="92">
        <v>1736</v>
      </c>
      <c r="G37" s="244">
        <v>18</v>
      </c>
      <c r="H37" s="95">
        <v>3</v>
      </c>
      <c r="I37" s="93">
        <f t="shared" si="0"/>
        <v>2205</v>
      </c>
      <c r="J37" s="95">
        <v>1</v>
      </c>
      <c r="K37" s="95">
        <v>1</v>
      </c>
      <c r="L37" s="95">
        <v>8320</v>
      </c>
      <c r="M37" s="93">
        <f t="shared" si="1"/>
        <v>18345600</v>
      </c>
    </row>
    <row r="38" spans="2:13">
      <c r="B38" s="94" t="s">
        <v>26</v>
      </c>
      <c r="C38" s="94" t="s">
        <v>14</v>
      </c>
      <c r="D38" s="183">
        <f>SUMIFS(ESS전력량계!O:O,ESS전력량계!B:B,B:B,ESS전력량계!C:C,C:C)-SUMIFS(ESS전력량계!N:N,ESS전력량계!B:B,B:B,ESS전력량계!C:C,C:C)</f>
        <v>87.169999999999618</v>
      </c>
      <c r="E38" s="183">
        <f>SUMIFS(ESS전력량계!I:I,ESS전력량계!B:B,B:B,ESS전력량계!C:C,C:C)-SUMIFS(ESS전력량계!H:H,ESS전력량계!B:B,B:B,ESS전력량계!C:C,C:C)</f>
        <v>5.0000000000000044E-2</v>
      </c>
      <c r="F38" s="92">
        <v>1736</v>
      </c>
      <c r="G38" s="244">
        <v>22</v>
      </c>
      <c r="H38" s="95">
        <v>3</v>
      </c>
      <c r="I38" s="93">
        <f t="shared" si="0"/>
        <v>2292</v>
      </c>
      <c r="J38" s="95">
        <v>1</v>
      </c>
      <c r="K38" s="95">
        <v>1</v>
      </c>
      <c r="L38" s="95">
        <v>8320</v>
      </c>
      <c r="M38" s="93">
        <f t="shared" si="1"/>
        <v>19069440</v>
      </c>
    </row>
    <row r="39" spans="2:13">
      <c r="B39" s="94" t="s">
        <v>26</v>
      </c>
      <c r="C39" s="94" t="s">
        <v>15</v>
      </c>
      <c r="D39" s="183">
        <f>SUMIFS(ESS전력량계!O:O,ESS전력량계!B:B,B:B,ESS전력량계!C:C,C:C)-SUMIFS(ESS전력량계!N:N,ESS전력량계!B:B,B:B,ESS전력량계!C:C,C:C)</f>
        <v>86.909999999999854</v>
      </c>
      <c r="E39" s="183">
        <f>SUMIFS(ESS전력량계!I:I,ESS전력량계!B:B,B:B,ESS전력량계!C:C,C:C)-SUMIFS(ESS전력량계!H:H,ESS전력량계!B:B,B:B,ESS전력량계!C:C,C:C)</f>
        <v>5.0000000000000044E-2</v>
      </c>
      <c r="F39" s="92">
        <v>1736</v>
      </c>
      <c r="G39" s="244">
        <v>22</v>
      </c>
      <c r="H39" s="95">
        <v>3</v>
      </c>
      <c r="I39" s="93">
        <f t="shared" si="0"/>
        <v>2285</v>
      </c>
      <c r="J39" s="95">
        <v>1</v>
      </c>
      <c r="K39" s="95">
        <v>1</v>
      </c>
      <c r="L39" s="95">
        <v>8320</v>
      </c>
      <c r="M39" s="93">
        <f t="shared" si="1"/>
        <v>19011200</v>
      </c>
    </row>
    <row r="40" spans="2:13">
      <c r="B40" s="94" t="s">
        <v>26</v>
      </c>
      <c r="C40" s="94" t="s">
        <v>16</v>
      </c>
      <c r="D40" s="183">
        <f>SUMIFS(ESS전력량계!O:O,ESS전력량계!B:B,B:B,ESS전력량계!C:C,C:C)-SUMIFS(ESS전력량계!N:N,ESS전력량계!B:B,B:B,ESS전력량계!C:C,C:C)</f>
        <v>74.5</v>
      </c>
      <c r="E40" s="183">
        <f>SUMIFS(ESS전력량계!I:I,ESS전력량계!B:B,B:B,ESS전력량계!C:C,C:C)-SUMIFS(ESS전력량계!H:H,ESS전력량계!B:B,B:B,ESS전력량계!C:C,C:C)</f>
        <v>4.0000000000000036E-2</v>
      </c>
      <c r="F40" s="92">
        <v>1736</v>
      </c>
      <c r="G40" s="244">
        <v>19</v>
      </c>
      <c r="H40" s="95">
        <v>3</v>
      </c>
      <c r="I40" s="93">
        <f t="shared" si="0"/>
        <v>2268</v>
      </c>
      <c r="J40" s="95">
        <v>1</v>
      </c>
      <c r="K40" s="95">
        <v>1</v>
      </c>
      <c r="L40" s="95">
        <v>8320</v>
      </c>
      <c r="M40" s="93">
        <f t="shared" si="1"/>
        <v>18869760</v>
      </c>
    </row>
    <row r="41" spans="2:13">
      <c r="B41" s="94" t="s">
        <v>26</v>
      </c>
      <c r="C41" s="94" t="s">
        <v>17</v>
      </c>
      <c r="D41" s="183">
        <f>SUMIFS(ESS전력량계!O:O,ESS전력량계!B:B,B:B,ESS전력량계!C:C,C:C)-SUMIFS(ESS전력량계!N:N,ESS전력량계!B:B,B:B,ESS전력량계!C:C,C:C)</f>
        <v>85.31</v>
      </c>
      <c r="E41" s="183">
        <f>SUMIFS(ESS전력량계!I:I,ESS전력량계!B:B,B:B,ESS전력량계!C:C,C:C)-SUMIFS(ESS전력량계!H:H,ESS전력량계!B:B,B:B,ESS전력량계!C:C,C:C)</f>
        <v>5.0000000000000044E-2</v>
      </c>
      <c r="F41" s="92">
        <v>1736</v>
      </c>
      <c r="G41" s="244">
        <v>22</v>
      </c>
      <c r="H41" s="95">
        <v>3</v>
      </c>
      <c r="I41" s="93">
        <f t="shared" si="0"/>
        <v>2243</v>
      </c>
      <c r="J41" s="95">
        <v>1</v>
      </c>
      <c r="K41" s="95">
        <v>1</v>
      </c>
      <c r="L41" s="95">
        <v>8320</v>
      </c>
      <c r="M41" s="93">
        <f t="shared" si="1"/>
        <v>18661760</v>
      </c>
    </row>
    <row r="42" spans="2:13">
      <c r="B42" s="94" t="s">
        <v>26</v>
      </c>
      <c r="C42" s="94" t="s">
        <v>18</v>
      </c>
      <c r="D42" s="183">
        <f>SUMIFS(ESS전력량계!O:O,ESS전력량계!B:B,B:B,ESS전력량계!C:C,C:C)-SUMIFS(ESS전력량계!N:N,ESS전력량계!B:B,B:B,ESS전력량계!C:C,C:C)</f>
        <v>0</v>
      </c>
      <c r="E42" s="183">
        <f>SUMIFS(ESS전력량계!I:I,ESS전력량계!B:B,B:B,ESS전력량계!C:C,C:C)-SUMIFS(ESS전력량계!H:H,ESS전력량계!B:B,B:B,ESS전력량계!C:C,C:C)</f>
        <v>0</v>
      </c>
      <c r="F42" s="92">
        <v>1736</v>
      </c>
      <c r="H42" s="95">
        <v>3</v>
      </c>
      <c r="I42" s="93" t="e">
        <f t="shared" si="0"/>
        <v>#DIV/0!</v>
      </c>
      <c r="J42" s="95">
        <v>1</v>
      </c>
      <c r="K42" s="95">
        <v>1</v>
      </c>
      <c r="L42" s="95">
        <v>8320</v>
      </c>
      <c r="M42" s="93" t="e">
        <f t="shared" si="1"/>
        <v>#DIV/0!</v>
      </c>
    </row>
    <row r="43" spans="2:13">
      <c r="B43" s="94" t="s">
        <v>26</v>
      </c>
      <c r="C43" s="94" t="s">
        <v>19</v>
      </c>
      <c r="D43" s="183">
        <f>SUMIFS(ESS전력량계!O:O,ESS전력량계!B:B,B:B,ESS전력량계!C:C,C:C)-SUMIFS(ESS전력량계!N:N,ESS전력량계!B:B,B:B,ESS전력량계!C:C,C:C)</f>
        <v>0</v>
      </c>
      <c r="E43" s="183">
        <f>SUMIFS(ESS전력량계!I:I,ESS전력량계!B:B,B:B,ESS전력량계!C:C,C:C)-SUMIFS(ESS전력량계!H:H,ESS전력량계!B:B,B:B,ESS전력량계!C:C,C:C)</f>
        <v>0</v>
      </c>
      <c r="F43" s="92">
        <v>1736</v>
      </c>
      <c r="H43" s="95">
        <v>3</v>
      </c>
      <c r="I43" s="93" t="e">
        <f t="shared" si="0"/>
        <v>#DIV/0!</v>
      </c>
      <c r="J43" s="95">
        <v>1</v>
      </c>
      <c r="K43" s="95">
        <v>1</v>
      </c>
      <c r="L43" s="95">
        <v>8320</v>
      </c>
      <c r="M43" s="93" t="e">
        <f t="shared" si="1"/>
        <v>#DIV/0!</v>
      </c>
    </row>
    <row r="44" spans="2:13">
      <c r="B44" s="94" t="s">
        <v>26</v>
      </c>
      <c r="C44" s="94" t="s">
        <v>20</v>
      </c>
      <c r="D44" s="183">
        <f>SUMIFS(ESS전력량계!O:O,ESS전력량계!B:B,B:B,ESS전력량계!C:C,C:C)-SUMIFS(ESS전력량계!N:N,ESS전력량계!B:B,B:B,ESS전력량계!C:C,C:C)</f>
        <v>0</v>
      </c>
      <c r="E44" s="183">
        <f>SUMIFS(ESS전력량계!I:I,ESS전력량계!B:B,B:B,ESS전력량계!C:C,C:C)-SUMIFS(ESS전력량계!H:H,ESS전력량계!B:B,B:B,ESS전력량계!C:C,C:C)</f>
        <v>0</v>
      </c>
      <c r="F44" s="92">
        <v>1736</v>
      </c>
      <c r="H44" s="95">
        <v>3</v>
      </c>
      <c r="I44" s="93" t="e">
        <f t="shared" si="0"/>
        <v>#DIV/0!</v>
      </c>
      <c r="J44" s="95">
        <v>1</v>
      </c>
      <c r="K44" s="95">
        <v>1</v>
      </c>
      <c r="L44" s="95">
        <v>8320</v>
      </c>
      <c r="M44" s="93" t="e">
        <f t="shared" si="1"/>
        <v>#DIV/0!</v>
      </c>
    </row>
    <row r="45" spans="2:13">
      <c r="B45" s="94" t="s">
        <v>26</v>
      </c>
      <c r="C45" s="94" t="s">
        <v>21</v>
      </c>
      <c r="D45" s="183">
        <f>SUMIFS(ESS전력량계!O:O,ESS전력량계!B:B,B:B,ESS전력량계!C:C,C:C)-SUMIFS(ESS전력량계!N:N,ESS전력량계!B:B,B:B,ESS전력량계!C:C,C:C)</f>
        <v>0</v>
      </c>
      <c r="E45" s="183">
        <f>SUMIFS(ESS전력량계!I:I,ESS전력량계!B:B,B:B,ESS전력량계!C:C,C:C)-SUMIFS(ESS전력량계!H:H,ESS전력량계!B:B,B:B,ESS전력량계!C:C,C:C)</f>
        <v>0</v>
      </c>
      <c r="F45" s="92">
        <v>1736</v>
      </c>
      <c r="H45" s="95">
        <v>3</v>
      </c>
      <c r="I45" s="93" t="e">
        <f t="shared" si="0"/>
        <v>#DIV/0!</v>
      </c>
      <c r="J45" s="95">
        <v>1</v>
      </c>
      <c r="K45" s="95">
        <v>1</v>
      </c>
      <c r="L45" s="95">
        <v>8320</v>
      </c>
      <c r="M45" s="93" t="e">
        <f t="shared" si="1"/>
        <v>#DIV/0!</v>
      </c>
    </row>
    <row r="46" spans="2:13">
      <c r="B46" s="94" t="s">
        <v>26</v>
      </c>
      <c r="C46" s="94" t="s">
        <v>22</v>
      </c>
      <c r="D46" s="183">
        <f>SUMIFS(ESS전력량계!O:O,ESS전력량계!B:B,B:B,ESS전력량계!C:C,C:C)-SUMIFS(ESS전력량계!N:N,ESS전력량계!B:B,B:B,ESS전력량계!C:C,C:C)</f>
        <v>0</v>
      </c>
      <c r="E46" s="183">
        <f>SUMIFS(ESS전력량계!I:I,ESS전력량계!B:B,B:B,ESS전력량계!C:C,C:C)-SUMIFS(ESS전력량계!H:H,ESS전력량계!B:B,B:B,ESS전력량계!C:C,C:C)</f>
        <v>0</v>
      </c>
      <c r="F46" s="92">
        <v>1736</v>
      </c>
      <c r="H46" s="95">
        <v>3</v>
      </c>
      <c r="I46" s="93" t="e">
        <f t="shared" si="0"/>
        <v>#DIV/0!</v>
      </c>
      <c r="J46" s="95">
        <v>1</v>
      </c>
      <c r="K46" s="95">
        <v>1</v>
      </c>
      <c r="L46" s="95">
        <v>8320</v>
      </c>
      <c r="M46" s="93" t="e">
        <f t="shared" si="1"/>
        <v>#DIV/0!</v>
      </c>
    </row>
    <row r="47" spans="2:13">
      <c r="B47" s="94" t="s">
        <v>26</v>
      </c>
      <c r="C47" s="94" t="s">
        <v>23</v>
      </c>
      <c r="D47" s="183">
        <f>SUMIFS(ESS전력량계!O:O,ESS전력량계!B:B,B:B,ESS전력량계!C:C,C:C)-SUMIFS(ESS전력량계!N:N,ESS전력량계!B:B,B:B,ESS전력량계!C:C,C:C)</f>
        <v>0</v>
      </c>
      <c r="E47" s="183">
        <f>SUMIFS(ESS전력량계!I:I,ESS전력량계!B:B,B:B,ESS전력량계!C:C,C:C)-SUMIFS(ESS전력량계!H:H,ESS전력량계!B:B,B:B,ESS전력량계!C:C,C:C)</f>
        <v>0</v>
      </c>
      <c r="F47" s="92">
        <v>1736</v>
      </c>
      <c r="H47" s="95">
        <v>3</v>
      </c>
      <c r="I47" s="93" t="e">
        <f t="shared" si="0"/>
        <v>#DIV/0!</v>
      </c>
      <c r="J47" s="95">
        <v>1</v>
      </c>
      <c r="K47" s="95">
        <v>1</v>
      </c>
      <c r="L47" s="95">
        <v>8320</v>
      </c>
      <c r="M47" s="93" t="e">
        <f t="shared" si="1"/>
        <v>#DIV/0!</v>
      </c>
    </row>
  </sheetData>
  <mergeCells count="1">
    <mergeCell ref="E3:L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37"/>
  <sheetViews>
    <sheetView workbookViewId="0">
      <selection activeCell="J32" sqref="J32"/>
    </sheetView>
  </sheetViews>
  <sheetFormatPr defaultRowHeight="16.5"/>
  <cols>
    <col min="3" max="3" width="9" style="183"/>
  </cols>
  <sheetData>
    <row r="1" spans="2:11">
      <c r="B1" t="s">
        <v>131</v>
      </c>
      <c r="C1" s="183" t="s">
        <v>362</v>
      </c>
      <c r="D1" t="s">
        <v>4</v>
      </c>
      <c r="E1" t="s">
        <v>133</v>
      </c>
      <c r="F1" t="s">
        <v>135</v>
      </c>
      <c r="G1" t="s">
        <v>211</v>
      </c>
      <c r="H1" t="s">
        <v>137</v>
      </c>
      <c r="I1" t="s">
        <v>138</v>
      </c>
      <c r="J1" t="s">
        <v>139</v>
      </c>
      <c r="K1" t="s">
        <v>132</v>
      </c>
    </row>
    <row r="2" spans="2:11">
      <c r="B2" s="103" t="s">
        <v>24</v>
      </c>
      <c r="C2" s="183" t="s">
        <v>363</v>
      </c>
      <c r="D2" s="103" t="s">
        <v>9</v>
      </c>
      <c r="E2" s="101">
        <v>24321.200000000001</v>
      </c>
      <c r="F2" s="101">
        <v>24447.85</v>
      </c>
      <c r="G2" s="101">
        <v>25093.45</v>
      </c>
      <c r="H2" s="101">
        <v>10515.025</v>
      </c>
      <c r="I2" s="101">
        <v>3854.22</v>
      </c>
      <c r="J2" s="101">
        <v>2175.6770000000001</v>
      </c>
      <c r="K2">
        <f>SUM(E2:J2)</f>
        <v>90407.421999999991</v>
      </c>
    </row>
    <row r="3" spans="2:11">
      <c r="B3" s="103" t="s">
        <v>24</v>
      </c>
      <c r="C3" s="183" t="s">
        <v>363</v>
      </c>
      <c r="D3" s="103" t="s">
        <v>13</v>
      </c>
      <c r="E3" s="101">
        <v>20140.96</v>
      </c>
      <c r="F3" s="101">
        <v>19502.189999999999</v>
      </c>
      <c r="G3" s="101">
        <v>24088.48</v>
      </c>
      <c r="H3" s="101">
        <v>12236.65</v>
      </c>
      <c r="I3" s="101">
        <v>3861.06</v>
      </c>
      <c r="J3" s="101">
        <v>1176.0889999999999</v>
      </c>
      <c r="K3" s="105">
        <f t="shared" ref="K3:K37" si="0">SUM(E3:J3)</f>
        <v>81005.428999999975</v>
      </c>
    </row>
    <row r="4" spans="2:11">
      <c r="B4" s="103" t="s">
        <v>24</v>
      </c>
      <c r="C4" s="183" t="s">
        <v>363</v>
      </c>
      <c r="D4" s="103" t="s">
        <v>14</v>
      </c>
      <c r="E4" s="101">
        <v>22769.03</v>
      </c>
      <c r="F4" s="101">
        <v>24777.67</v>
      </c>
      <c r="G4" s="101">
        <v>26374.12</v>
      </c>
      <c r="H4" s="101">
        <v>11682.86</v>
      </c>
      <c r="I4" s="101">
        <v>4785.4160000000002</v>
      </c>
      <c r="J4" s="101">
        <v>1829.607</v>
      </c>
      <c r="K4" s="105">
        <f t="shared" si="0"/>
        <v>92218.702999999994</v>
      </c>
    </row>
    <row r="5" spans="2:11">
      <c r="B5" s="103" t="s">
        <v>24</v>
      </c>
      <c r="C5" s="183" t="s">
        <v>259</v>
      </c>
      <c r="D5" s="103" t="s">
        <v>15</v>
      </c>
      <c r="E5" s="101">
        <v>29313.01</v>
      </c>
      <c r="F5" s="101">
        <v>27470.080000000002</v>
      </c>
      <c r="G5" s="101">
        <v>25326.11</v>
      </c>
      <c r="H5" s="101">
        <v>11416.999</v>
      </c>
      <c r="I5" s="101">
        <v>4077.13</v>
      </c>
      <c r="J5" s="101">
        <v>1986.5920000000001</v>
      </c>
      <c r="K5" s="105">
        <f t="shared" si="0"/>
        <v>99589.921000000002</v>
      </c>
    </row>
    <row r="6" spans="2:11">
      <c r="B6" s="103" t="s">
        <v>24</v>
      </c>
      <c r="C6" s="183" t="s">
        <v>259</v>
      </c>
      <c r="D6" s="103" t="s">
        <v>16</v>
      </c>
      <c r="E6" s="101">
        <v>23944.98</v>
      </c>
      <c r="F6" s="101">
        <v>24134.27</v>
      </c>
      <c r="G6" s="101">
        <v>23376.31</v>
      </c>
      <c r="H6" s="101">
        <v>11742.414000000001</v>
      </c>
      <c r="I6" s="101">
        <v>3747.15</v>
      </c>
      <c r="J6" s="101">
        <v>2543.683</v>
      </c>
      <c r="K6" s="105">
        <f t="shared" si="0"/>
        <v>89488.807000000001</v>
      </c>
    </row>
    <row r="7" spans="2:11">
      <c r="B7" s="103" t="s">
        <v>24</v>
      </c>
      <c r="C7" s="183" t="s">
        <v>259</v>
      </c>
      <c r="D7" s="103" t="s">
        <v>17</v>
      </c>
      <c r="E7" s="101">
        <v>12694.75</v>
      </c>
      <c r="F7" s="101">
        <v>10125.719999999999</v>
      </c>
      <c r="G7" s="101">
        <v>7511.18</v>
      </c>
      <c r="H7" s="101">
        <v>9807.0499999999993</v>
      </c>
      <c r="I7" s="101">
        <v>3570.49</v>
      </c>
      <c r="J7" s="101">
        <v>1634.8989999999999</v>
      </c>
      <c r="K7" s="105">
        <f t="shared" si="0"/>
        <v>45344.088999999993</v>
      </c>
    </row>
    <row r="8" spans="2:11">
      <c r="B8" s="103" t="s">
        <v>24</v>
      </c>
      <c r="C8" s="183" t="s">
        <v>367</v>
      </c>
      <c r="D8" s="103" t="s">
        <v>18</v>
      </c>
      <c r="E8" s="101">
        <v>31487.17</v>
      </c>
      <c r="F8" s="101">
        <v>29355.279999999999</v>
      </c>
      <c r="G8" s="101">
        <v>28877.759999999998</v>
      </c>
      <c r="H8" s="101">
        <v>15195.275</v>
      </c>
      <c r="I8" s="101">
        <v>4744.08</v>
      </c>
      <c r="J8" s="101">
        <v>2045.5329999999999</v>
      </c>
      <c r="K8" s="105">
        <f t="shared" si="0"/>
        <v>111705.09799999998</v>
      </c>
    </row>
    <row r="9" spans="2:11">
      <c r="B9" s="103" t="s">
        <v>24</v>
      </c>
      <c r="C9" s="183" t="s">
        <v>367</v>
      </c>
      <c r="D9" s="103" t="s">
        <v>19</v>
      </c>
      <c r="E9" s="101">
        <v>25526.69</v>
      </c>
      <c r="F9" s="101">
        <v>23863.57</v>
      </c>
      <c r="G9" s="101">
        <v>25471.11</v>
      </c>
      <c r="H9" s="101">
        <v>14506.19</v>
      </c>
      <c r="I9" s="101">
        <v>5166.473</v>
      </c>
      <c r="J9" s="101">
        <v>1877.4250000000002</v>
      </c>
      <c r="K9" s="105">
        <f t="shared" si="0"/>
        <v>96411.457999999999</v>
      </c>
    </row>
    <row r="10" spans="2:11">
      <c r="B10" s="103" t="s">
        <v>24</v>
      </c>
      <c r="C10" s="183" t="s">
        <v>367</v>
      </c>
      <c r="D10" s="103" t="s">
        <v>20</v>
      </c>
      <c r="E10" s="101">
        <v>27311.536</v>
      </c>
      <c r="F10" s="101">
        <v>26868.626</v>
      </c>
      <c r="G10" s="101">
        <v>25751.96</v>
      </c>
      <c r="H10" s="101">
        <v>12934.13</v>
      </c>
      <c r="I10" s="101">
        <v>4169.9459999999999</v>
      </c>
      <c r="J10" s="101">
        <v>1961.779</v>
      </c>
      <c r="K10" s="105">
        <f t="shared" si="0"/>
        <v>98997.976999999999</v>
      </c>
    </row>
    <row r="11" spans="2:11">
      <c r="B11" s="103" t="s">
        <v>24</v>
      </c>
      <c r="C11" s="183" t="s">
        <v>368</v>
      </c>
      <c r="D11" s="103" t="s">
        <v>21</v>
      </c>
      <c r="E11" s="101">
        <v>29289.213</v>
      </c>
      <c r="F11" s="101">
        <v>27209.233</v>
      </c>
      <c r="G11" s="101">
        <v>27795.19</v>
      </c>
      <c r="H11" s="101">
        <v>13924.514999999999</v>
      </c>
      <c r="I11" s="101">
        <v>4349.66</v>
      </c>
      <c r="J11" s="101">
        <v>2016.9090000000001</v>
      </c>
      <c r="K11" s="105">
        <f t="shared" si="0"/>
        <v>104584.72</v>
      </c>
    </row>
    <row r="12" spans="2:11">
      <c r="B12" s="103" t="s">
        <v>24</v>
      </c>
      <c r="C12" s="183" t="s">
        <v>368</v>
      </c>
      <c r="D12" s="103" t="s">
        <v>22</v>
      </c>
      <c r="E12" s="101">
        <v>28110.080000000002</v>
      </c>
      <c r="F12" s="101">
        <v>27071.87</v>
      </c>
      <c r="G12" s="101">
        <v>27531.01</v>
      </c>
      <c r="H12" s="101">
        <v>13924.96</v>
      </c>
      <c r="I12" s="101">
        <v>4495.68</v>
      </c>
      <c r="J12" s="101">
        <v>2417.797</v>
      </c>
      <c r="K12" s="105">
        <f t="shared" si="0"/>
        <v>103551.39699999998</v>
      </c>
    </row>
    <row r="13" spans="2:11">
      <c r="B13" s="103" t="s">
        <v>24</v>
      </c>
      <c r="C13" s="183" t="s">
        <v>368</v>
      </c>
      <c r="D13" s="103" t="s">
        <v>23</v>
      </c>
      <c r="E13" s="101">
        <v>27222.560000000001</v>
      </c>
      <c r="F13" s="101">
        <v>26078.67</v>
      </c>
      <c r="G13" s="101">
        <v>24778.2</v>
      </c>
      <c r="H13" s="101">
        <v>13622.65</v>
      </c>
      <c r="I13" s="101">
        <v>5916.52</v>
      </c>
      <c r="J13" s="101">
        <v>1964.0479999999998</v>
      </c>
      <c r="K13" s="105">
        <f t="shared" si="0"/>
        <v>99582.647999999986</v>
      </c>
    </row>
    <row r="14" spans="2:11">
      <c r="B14" s="104" t="s">
        <v>25</v>
      </c>
      <c r="C14" s="183" t="s">
        <v>363</v>
      </c>
      <c r="D14" s="104" t="s">
        <v>9</v>
      </c>
      <c r="E14" s="101">
        <v>26245.87</v>
      </c>
      <c r="F14" s="101">
        <v>22650.43</v>
      </c>
      <c r="G14" s="101">
        <v>24738.14</v>
      </c>
      <c r="H14" s="101">
        <v>13714.31</v>
      </c>
      <c r="I14" s="101">
        <v>5146.8100000000004</v>
      </c>
      <c r="J14" s="101">
        <v>2103.4609999999998</v>
      </c>
      <c r="K14" s="105">
        <f t="shared" si="0"/>
        <v>94599.020999999993</v>
      </c>
    </row>
    <row r="15" spans="2:11">
      <c r="B15" s="104" t="s">
        <v>25</v>
      </c>
      <c r="C15" s="183" t="s">
        <v>363</v>
      </c>
      <c r="D15" s="104" t="s">
        <v>13</v>
      </c>
      <c r="E15" s="101">
        <v>28930.16</v>
      </c>
      <c r="F15" s="101">
        <v>27040.54</v>
      </c>
      <c r="G15" s="101">
        <v>24620.85</v>
      </c>
      <c r="H15" s="101">
        <v>11408.93</v>
      </c>
      <c r="I15" s="101">
        <v>5270.54</v>
      </c>
      <c r="J15" s="101">
        <v>2169.0450000000001</v>
      </c>
      <c r="K15" s="105">
        <f t="shared" si="0"/>
        <v>99440.064999999973</v>
      </c>
    </row>
    <row r="16" spans="2:11">
      <c r="B16" s="104" t="s">
        <v>25</v>
      </c>
      <c r="C16" s="183" t="s">
        <v>363</v>
      </c>
      <c r="D16" s="104" t="s">
        <v>14</v>
      </c>
      <c r="E16" s="101">
        <v>23803.14</v>
      </c>
      <c r="F16" s="101">
        <v>21718.05</v>
      </c>
      <c r="G16" s="101">
        <v>26927.78</v>
      </c>
      <c r="H16" s="101">
        <v>13299.08</v>
      </c>
      <c r="I16" s="101">
        <v>4212.8040000000001</v>
      </c>
      <c r="J16" s="101">
        <v>1830.972</v>
      </c>
      <c r="K16" s="105">
        <f t="shared" si="0"/>
        <v>91791.826000000001</v>
      </c>
    </row>
    <row r="17" spans="2:11">
      <c r="B17" s="104" t="s">
        <v>25</v>
      </c>
      <c r="C17" s="183" t="s">
        <v>259</v>
      </c>
      <c r="D17" s="104" t="s">
        <v>15</v>
      </c>
      <c r="E17" s="101">
        <v>25935.35</v>
      </c>
      <c r="F17" s="101">
        <v>26465.74</v>
      </c>
      <c r="G17" s="101">
        <v>24694.04</v>
      </c>
      <c r="H17" s="101">
        <v>12905.32</v>
      </c>
      <c r="I17" s="101">
        <v>4553.6120000000001</v>
      </c>
      <c r="J17" s="101">
        <v>2268.9749999999999</v>
      </c>
      <c r="K17" s="105">
        <f t="shared" si="0"/>
        <v>96823.037000000011</v>
      </c>
    </row>
    <row r="18" spans="2:11">
      <c r="B18" s="104" t="s">
        <v>25</v>
      </c>
      <c r="C18" s="183" t="s">
        <v>259</v>
      </c>
      <c r="D18" s="104" t="s">
        <v>16</v>
      </c>
      <c r="E18" s="101">
        <v>25439.66</v>
      </c>
      <c r="F18" s="101">
        <v>24555.22</v>
      </c>
      <c r="G18" s="101">
        <v>22811.49</v>
      </c>
      <c r="H18" s="101">
        <v>12638.958000000001</v>
      </c>
      <c r="I18" s="101">
        <v>4030.74</v>
      </c>
      <c r="J18" s="101">
        <v>1940.7950000000001</v>
      </c>
      <c r="K18" s="105">
        <f t="shared" si="0"/>
        <v>91416.863000000012</v>
      </c>
    </row>
    <row r="19" spans="2:11">
      <c r="B19" s="104" t="s">
        <v>25</v>
      </c>
      <c r="C19" s="183" t="s">
        <v>259</v>
      </c>
      <c r="D19" s="104" t="s">
        <v>17</v>
      </c>
      <c r="E19" s="101">
        <v>29493.7</v>
      </c>
      <c r="F19" s="101">
        <v>26319.439999999999</v>
      </c>
      <c r="G19" s="101">
        <v>24990.17</v>
      </c>
      <c r="H19" s="101">
        <v>13592.15</v>
      </c>
      <c r="I19" s="101">
        <v>5254.96</v>
      </c>
      <c r="J19" s="101">
        <v>2557.9339999999997</v>
      </c>
      <c r="K19" s="105">
        <f t="shared" si="0"/>
        <v>102208.35399999999</v>
      </c>
    </row>
    <row r="20" spans="2:11">
      <c r="B20" s="104" t="s">
        <v>25</v>
      </c>
      <c r="C20" s="183" t="s">
        <v>367</v>
      </c>
      <c r="D20" s="104" t="s">
        <v>18</v>
      </c>
      <c r="E20" s="101">
        <v>32433.26</v>
      </c>
      <c r="F20" s="101">
        <v>31018.73</v>
      </c>
      <c r="G20" s="101">
        <v>30848.92</v>
      </c>
      <c r="H20" s="101">
        <v>15058.49</v>
      </c>
      <c r="I20" s="101">
        <v>4973.76</v>
      </c>
      <c r="J20" s="101">
        <v>1729.174</v>
      </c>
      <c r="K20" s="105">
        <f t="shared" si="0"/>
        <v>116062.334</v>
      </c>
    </row>
    <row r="21" spans="2:11">
      <c r="B21" s="104" t="s">
        <v>25</v>
      </c>
      <c r="C21" s="183" t="s">
        <v>367</v>
      </c>
      <c r="D21" s="104" t="s">
        <v>19</v>
      </c>
      <c r="E21" s="101">
        <v>28571.633000000002</v>
      </c>
      <c r="F21" s="101">
        <v>28360.402999999998</v>
      </c>
      <c r="G21" s="101">
        <v>27730.79</v>
      </c>
      <c r="H21" s="101">
        <v>12414.97</v>
      </c>
      <c r="I21" s="101">
        <v>4617.4399999999996</v>
      </c>
      <c r="J21" s="101">
        <v>1921.671</v>
      </c>
      <c r="K21" s="105">
        <f t="shared" si="0"/>
        <v>103616.90700000001</v>
      </c>
    </row>
    <row r="22" spans="2:11">
      <c r="B22" s="104" t="s">
        <v>25</v>
      </c>
      <c r="C22" s="183" t="s">
        <v>367</v>
      </c>
      <c r="D22" s="104" t="s">
        <v>20</v>
      </c>
      <c r="E22" s="101">
        <v>29580.91</v>
      </c>
      <c r="F22" s="101">
        <v>26496.3</v>
      </c>
      <c r="G22" s="101">
        <v>29266.38</v>
      </c>
      <c r="H22" s="101">
        <v>13015.86</v>
      </c>
      <c r="I22" s="101">
        <v>4099.0349999999999</v>
      </c>
      <c r="J22" s="101">
        <v>2172.1200000000003</v>
      </c>
      <c r="K22" s="105">
        <f t="shared" si="0"/>
        <v>104630.605</v>
      </c>
    </row>
    <row r="23" spans="2:11">
      <c r="B23" s="104" t="s">
        <v>25</v>
      </c>
      <c r="C23" s="183" t="s">
        <v>368</v>
      </c>
      <c r="D23" s="104" t="s">
        <v>21</v>
      </c>
      <c r="E23" s="101">
        <v>30626.621999999999</v>
      </c>
      <c r="F23" s="101">
        <v>29912.322</v>
      </c>
      <c r="G23" s="101">
        <v>27208.31</v>
      </c>
      <c r="H23" s="101">
        <v>13640.47</v>
      </c>
      <c r="I23" s="101">
        <v>4427.88</v>
      </c>
      <c r="J23" s="101">
        <v>2259.6299999999997</v>
      </c>
      <c r="K23" s="105">
        <f t="shared" si="0"/>
        <v>108075.23400000001</v>
      </c>
    </row>
    <row r="24" spans="2:11">
      <c r="B24" s="104" t="s">
        <v>25</v>
      </c>
      <c r="C24" s="183" t="s">
        <v>368</v>
      </c>
      <c r="D24" s="104" t="s">
        <v>22</v>
      </c>
      <c r="E24" s="101">
        <v>652.48</v>
      </c>
      <c r="F24" s="101">
        <v>0</v>
      </c>
      <c r="G24" s="101">
        <v>1333.4739999999999</v>
      </c>
      <c r="H24" s="101">
        <v>13281.05</v>
      </c>
      <c r="I24" s="101">
        <v>4859.99</v>
      </c>
      <c r="J24" s="101">
        <v>3234.3440000000001</v>
      </c>
      <c r="K24" s="105">
        <f t="shared" si="0"/>
        <v>23361.338</v>
      </c>
    </row>
    <row r="25" spans="2:11">
      <c r="B25" s="104" t="s">
        <v>25</v>
      </c>
      <c r="C25" s="183" t="s">
        <v>368</v>
      </c>
      <c r="D25" s="104" t="s">
        <v>23</v>
      </c>
      <c r="E25" s="101">
        <v>0</v>
      </c>
      <c r="F25" s="101">
        <v>0</v>
      </c>
      <c r="G25" s="101">
        <v>0</v>
      </c>
      <c r="H25" s="101">
        <v>12661.9</v>
      </c>
      <c r="I25" s="101">
        <v>4664.7700000000004</v>
      </c>
      <c r="J25" s="101">
        <v>2033.2829999999999</v>
      </c>
      <c r="K25" s="105">
        <f t="shared" si="0"/>
        <v>19359.952999999998</v>
      </c>
    </row>
    <row r="26" spans="2:11">
      <c r="B26" s="104" t="s">
        <v>26</v>
      </c>
      <c r="C26" s="183" t="s">
        <v>363</v>
      </c>
      <c r="D26" s="104" t="s">
        <v>9</v>
      </c>
      <c r="E26" s="89">
        <v>2138.14</v>
      </c>
      <c r="F26" s="89">
        <v>787.3</v>
      </c>
      <c r="G26" s="89">
        <v>0</v>
      </c>
      <c r="H26" s="89">
        <v>12404.55</v>
      </c>
      <c r="I26" s="89">
        <v>4934.12</v>
      </c>
      <c r="J26" s="89">
        <v>2038.739</v>
      </c>
      <c r="K26" s="105">
        <f t="shared" si="0"/>
        <v>22302.848999999998</v>
      </c>
    </row>
    <row r="27" spans="2:11">
      <c r="B27" s="104" t="s">
        <v>26</v>
      </c>
      <c r="C27" s="183" t="s">
        <v>363</v>
      </c>
      <c r="D27" s="104" t="s">
        <v>13</v>
      </c>
      <c r="E27" s="89">
        <v>2122.54</v>
      </c>
      <c r="F27" s="89">
        <v>1420.75</v>
      </c>
      <c r="G27" s="89">
        <v>0</v>
      </c>
      <c r="H27" s="89">
        <v>11953.14</v>
      </c>
      <c r="I27" s="89">
        <v>4764.8500000000004</v>
      </c>
      <c r="J27">
        <f>2005.504+240.08+77.886</f>
        <v>2323.4699999999998</v>
      </c>
      <c r="K27" s="183">
        <f t="shared" si="0"/>
        <v>22584.75</v>
      </c>
    </row>
    <row r="28" spans="2:11">
      <c r="B28" s="104" t="s">
        <v>26</v>
      </c>
      <c r="C28" s="183" t="s">
        <v>363</v>
      </c>
      <c r="D28" s="104" t="s">
        <v>14</v>
      </c>
      <c r="E28" s="89">
        <v>27582.12</v>
      </c>
      <c r="F28" s="89">
        <v>23204.240000000002</v>
      </c>
      <c r="G28" s="89">
        <v>22857.03</v>
      </c>
      <c r="H28" s="89">
        <v>13031.1</v>
      </c>
      <c r="I28" s="89">
        <v>5544.98</v>
      </c>
      <c r="J28">
        <f>2389.902+95.442+113.954</f>
        <v>2599.2980000000002</v>
      </c>
      <c r="K28" s="183">
        <f t="shared" si="0"/>
        <v>94818.767999999996</v>
      </c>
    </row>
    <row r="29" spans="2:11">
      <c r="B29" s="104" t="s">
        <v>26</v>
      </c>
      <c r="C29" s="183" t="s">
        <v>259</v>
      </c>
      <c r="D29" s="104" t="s">
        <v>15</v>
      </c>
      <c r="E29" s="89">
        <v>26827.91</v>
      </c>
      <c r="F29" s="89">
        <v>25189.66</v>
      </c>
      <c r="G29" s="89">
        <v>25085.55</v>
      </c>
      <c r="H29" s="89">
        <v>13503.67</v>
      </c>
      <c r="I29" s="89">
        <v>5117.62</v>
      </c>
      <c r="J29">
        <f>2232.424+164.43+128.976</f>
        <v>2525.83</v>
      </c>
      <c r="K29" s="183">
        <f t="shared" si="0"/>
        <v>98250.239999999991</v>
      </c>
    </row>
    <row r="30" spans="2:11">
      <c r="B30" s="104" t="s">
        <v>26</v>
      </c>
      <c r="C30" s="183" t="s">
        <v>259</v>
      </c>
      <c r="D30" s="104" t="s">
        <v>16</v>
      </c>
      <c r="E30" s="89">
        <v>23596.41</v>
      </c>
      <c r="F30" s="89">
        <v>24489.72</v>
      </c>
      <c r="G30" s="89">
        <v>26414.52</v>
      </c>
      <c r="H30" s="89">
        <v>13422.08</v>
      </c>
      <c r="I30" s="89">
        <v>5208.74</v>
      </c>
      <c r="J30">
        <f>1689.892+214.96+117.202</f>
        <v>2022.0540000000001</v>
      </c>
      <c r="K30" s="183">
        <f t="shared" si="0"/>
        <v>95153.524000000019</v>
      </c>
    </row>
    <row r="31" spans="2:11">
      <c r="B31" s="104" t="s">
        <v>26</v>
      </c>
      <c r="C31" s="183" t="s">
        <v>259</v>
      </c>
      <c r="D31" s="104" t="s">
        <v>17</v>
      </c>
      <c r="E31" s="89">
        <v>28186.31</v>
      </c>
      <c r="F31" s="89">
        <v>25465.54</v>
      </c>
      <c r="G31">
        <f>17484.04+8798.01</f>
        <v>26282.050000000003</v>
      </c>
      <c r="H31" s="89">
        <v>13611.48</v>
      </c>
      <c r="I31" s="89">
        <v>5351.01</v>
      </c>
      <c r="J31">
        <f>2199.526+158.79+111.91</f>
        <v>2470.2259999999997</v>
      </c>
      <c r="K31" s="183">
        <f t="shared" si="0"/>
        <v>101366.61599999999</v>
      </c>
    </row>
    <row r="32" spans="2:11">
      <c r="B32" s="104" t="s">
        <v>26</v>
      </c>
      <c r="C32" s="183" t="s">
        <v>367</v>
      </c>
      <c r="D32" s="104" t="s">
        <v>18</v>
      </c>
      <c r="K32" s="183">
        <f t="shared" si="0"/>
        <v>0</v>
      </c>
    </row>
    <row r="33" spans="2:11">
      <c r="B33" s="104" t="s">
        <v>26</v>
      </c>
      <c r="C33" s="183" t="s">
        <v>367</v>
      </c>
      <c r="D33" s="104" t="s">
        <v>19</v>
      </c>
      <c r="K33" s="183">
        <f t="shared" si="0"/>
        <v>0</v>
      </c>
    </row>
    <row r="34" spans="2:11">
      <c r="B34" s="104" t="s">
        <v>26</v>
      </c>
      <c r="C34" s="183" t="s">
        <v>367</v>
      </c>
      <c r="D34" s="104" t="s">
        <v>20</v>
      </c>
      <c r="K34" s="183">
        <f t="shared" si="0"/>
        <v>0</v>
      </c>
    </row>
    <row r="35" spans="2:11">
      <c r="B35" s="104" t="s">
        <v>26</v>
      </c>
      <c r="C35" s="183" t="s">
        <v>368</v>
      </c>
      <c r="D35" s="104" t="s">
        <v>21</v>
      </c>
      <c r="K35" s="183">
        <f t="shared" si="0"/>
        <v>0</v>
      </c>
    </row>
    <row r="36" spans="2:11">
      <c r="B36" s="104" t="s">
        <v>26</v>
      </c>
      <c r="C36" s="183" t="s">
        <v>368</v>
      </c>
      <c r="D36" s="104" t="s">
        <v>22</v>
      </c>
      <c r="K36" s="183">
        <f t="shared" si="0"/>
        <v>0</v>
      </c>
    </row>
    <row r="37" spans="2:11">
      <c r="B37" s="104" t="s">
        <v>26</v>
      </c>
      <c r="C37" s="183" t="s">
        <v>368</v>
      </c>
      <c r="D37" s="104" t="s">
        <v>23</v>
      </c>
      <c r="K37" s="183">
        <f t="shared" si="0"/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30" sqref="X30"/>
    </sheetView>
  </sheetViews>
  <sheetFormatPr defaultRowHeight="16.5"/>
  <cols>
    <col min="3" max="3" width="9" style="158"/>
    <col min="12" max="12" width="9" style="183"/>
    <col min="14" max="14" width="9" style="106"/>
    <col min="17" max="17" width="9" style="158"/>
    <col min="26" max="26" width="9" style="183"/>
  </cols>
  <sheetData>
    <row r="1" spans="1:27">
      <c r="A1" t="s">
        <v>94</v>
      </c>
      <c r="B1" t="s">
        <v>126</v>
      </c>
      <c r="C1" s="158" t="s">
        <v>362</v>
      </c>
      <c r="D1" t="s">
        <v>212</v>
      </c>
      <c r="E1" t="s">
        <v>147</v>
      </c>
      <c r="F1" t="s">
        <v>214</v>
      </c>
      <c r="G1" t="s">
        <v>148</v>
      </c>
      <c r="H1" t="s">
        <v>149</v>
      </c>
      <c r="I1" t="s">
        <v>137</v>
      </c>
      <c r="J1" t="s">
        <v>138</v>
      </c>
      <c r="K1" t="s">
        <v>215</v>
      </c>
      <c r="L1" s="183" t="s">
        <v>466</v>
      </c>
      <c r="M1" t="s">
        <v>145</v>
      </c>
      <c r="O1" s="106" t="s">
        <v>94</v>
      </c>
      <c r="P1" s="106" t="s">
        <v>126</v>
      </c>
      <c r="Q1" s="158" t="s">
        <v>362</v>
      </c>
      <c r="R1" s="106" t="s">
        <v>212</v>
      </c>
      <c r="S1" s="106" t="s">
        <v>147</v>
      </c>
      <c r="T1" s="106" t="s">
        <v>214</v>
      </c>
      <c r="U1" s="106" t="s">
        <v>148</v>
      </c>
      <c r="V1" s="106" t="s">
        <v>149</v>
      </c>
      <c r="W1" s="106" t="s">
        <v>137</v>
      </c>
      <c r="X1" s="106" t="s">
        <v>138</v>
      </c>
      <c r="Y1" s="106" t="s">
        <v>215</v>
      </c>
      <c r="Z1" s="183" t="s">
        <v>465</v>
      </c>
      <c r="AA1" s="106" t="s">
        <v>145</v>
      </c>
    </row>
    <row r="2" spans="1:27">
      <c r="A2" t="s">
        <v>213</v>
      </c>
      <c r="B2" s="106" t="s">
        <v>25</v>
      </c>
      <c r="C2" s="158" t="s">
        <v>363</v>
      </c>
      <c r="D2" s="106" t="s">
        <v>9</v>
      </c>
      <c r="E2">
        <f>ROUND(SUMIFS(본전력량!G:G,본전력량!B:B,B:B,본전력량!C:C,D:D)*SUMIFS(라인별전력적용비율!E:E,라인별전력적용비율!B:B,B:B,라인별전력적용비율!D:D,D:D),0)-S2</f>
        <v>245902</v>
      </c>
      <c r="F2">
        <f>ROUND(SUMIFS(본전력량!G:G,본전력량!B:B,B:B,본전력량!C:C,D:D)*SUMIFS(라인별전력적용비율!F:F,라인별전력적용비율!B:B,B:B,라인별전력적용비율!D:D,D:D),0)-T2</f>
        <v>54876</v>
      </c>
      <c r="G2">
        <f>ROUND(SUMIFS(본전력량!G:G,본전력량!B:B,B:B,본전력량!C:C,D:D)*SUMIFS(라인별전력적용비율!G:G,라인별전력적용비율!B:B,B:B,라인별전력적용비율!D:D,D:D),0)-U2</f>
        <v>1768615</v>
      </c>
      <c r="H2">
        <f>ROUND(SUMIFS(본전력량!G:G,본전력량!B:B,B:B,본전력량!C:C,D:D)*SUMIFS(라인별전력적용비율!H:H,라인별전력적용비율!B:B,B:B,라인별전력적용비율!D:D,D:D),0)-V2</f>
        <v>1927501</v>
      </c>
      <c r="I2">
        <f>ROUND(SUMIFS(본전력량!G:G,본전력량!B:B,B:B,본전력량!C:C,D:D)*SUMIFS(라인별전력적용비율!I:I,라인별전력적용비율!B:B,B:B,라인별전력적용비율!D:D,D:D),0)-W2</f>
        <v>1021250</v>
      </c>
      <c r="J2">
        <f>ROUND(SUMIFS(본전력량!G:G,본전력량!B:B,B:B,본전력량!C:C,D:D)*SUMIFS(라인별전력적용비율!J:J,라인별전력적용비율!B:B,B:B,라인별전력적용비율!D:D,D:D),0)-X2</f>
        <v>576844</v>
      </c>
      <c r="K2">
        <f>ROUND(SUMIFS(본전력량!G:G,본전력량!B:B,B:B,본전력량!C:C,D:D)*SUMIFS(라인별전력적용비율!K:K,라인별전력적용비율!B:B,B:B,라인별전력적용비율!D:D,D:D),0)-Y2</f>
        <v>14847</v>
      </c>
      <c r="M2">
        <f>SUM(E2:K2)</f>
        <v>5609835</v>
      </c>
      <c r="O2" s="106" t="s">
        <v>216</v>
      </c>
      <c r="P2" s="106" t="s">
        <v>25</v>
      </c>
      <c r="Q2" s="158" t="s">
        <v>363</v>
      </c>
      <c r="R2" s="106" t="s">
        <v>9</v>
      </c>
      <c r="S2" s="106">
        <f>ROUND(SUMIFS(ESS전력량!G:G,ESS전력량!B:B,P:P,ESS전력량!C:C,R:R)*SUMIFS(라인별전력적용비율!E:E,라인별전력적용비율!B:B,P:P,라인별전력적용비율!D:D,R:R),0)</f>
        <v>4228</v>
      </c>
      <c r="T2" s="106">
        <f>ROUND(SUMIFS(ESS전력량!G:G,ESS전력량!B:B,P:P,ESS전력량!C:C,R:R)*SUMIFS(라인별전력적용비율!F:F,라인별전력적용비율!B:B,P:P,라인별전력적용비율!D:D,R:R),0)</f>
        <v>944</v>
      </c>
      <c r="U2" s="106">
        <f>ROUND(SUMIFS(ESS전력량!G:G,ESS전력량!B:B,P:P,ESS전력량!C:C,R:R)*SUMIFS(라인별전력적용비율!G:G,라인별전력적용비율!B:B,P:P,라인별전력적용비율!D:D,R:R),0)</f>
        <v>30409</v>
      </c>
      <c r="V2" s="106">
        <f>ROUND(SUMIFS(ESS전력량!G:G,ESS전력량!B:B,P:P,ESS전력량!C:C,R:R)*SUMIFS(라인별전력적용비율!H:H,라인별전력적용비율!B:B,P:P,라인별전력적용비율!D:D,R:R),0)</f>
        <v>33140</v>
      </c>
      <c r="W2" s="106">
        <f>ROUND(SUMIFS(ESS전력량!G:G,ESS전력량!B:B,P:P,ESS전력량!C:C,R:R)*SUMIFS(라인별전력적용비율!I:I,라인별전력적용비율!B:B,P:P,라인별전력적용비율!D:D,R:R),0)</f>
        <v>17559</v>
      </c>
      <c r="X2" s="106">
        <f>ROUND(SUMIFS(ESS전력량!G:G,ESS전력량!B:B,P:P,ESS전력량!C:C,R:R)*SUMIFS(라인별전력적용비율!J:J,라인별전력적용비율!B:B,P:P,라인별전력적용비율!D:D,R:R),0)</f>
        <v>9918</v>
      </c>
      <c r="Y2" s="106">
        <f>ROUND(SUMIFS(ESS전력량!G:G,ESS전력량!B:B,P:P,ESS전력량!C:C,R:R)*SUMIFS(라인별전력적용비율!K:K,라인별전력적용비율!B:B,P:P,라인별전력적용비율!D:D,R:R),0)</f>
        <v>255</v>
      </c>
      <c r="AA2" s="106">
        <f t="shared" ref="AA2:AA13" si="0">SUM(S2:Y2)</f>
        <v>96453</v>
      </c>
    </row>
    <row r="3" spans="1:27">
      <c r="A3" s="106" t="s">
        <v>213</v>
      </c>
      <c r="B3" s="106" t="s">
        <v>25</v>
      </c>
      <c r="C3" s="158" t="s">
        <v>363</v>
      </c>
      <c r="D3" s="106" t="s">
        <v>13</v>
      </c>
      <c r="E3" s="106">
        <f>ROUND(SUMIFS(본전력량!G:G,본전력량!B:B,B:B,본전력량!C:C,D:D)*SUMIFS(라인별전력적용비율!E:E,라인별전력적용비율!B:B,B:B,라인별전력적용비율!D:D,D:D),0)-S3</f>
        <v>251976</v>
      </c>
      <c r="F3" s="106">
        <f>ROUND(SUMIFS(본전력량!G:G,본전력량!B:B,B:B,본전력량!C:C,D:D)*SUMIFS(라인별전력적용비율!F:F,라인별전력적용비율!B:B,B:B,라인별전력적용비율!D:D,D:D),0)-T3</f>
        <v>67408</v>
      </c>
      <c r="G3" s="106">
        <f>ROUND(SUMIFS(본전력량!G:G,본전력량!B:B,B:B,본전력량!C:C,D:D)*SUMIFS(라인별전력적용비율!G:G,라인별전력적용비율!B:B,B:B,라인별전력적용비율!D:D,D:D),0)-U3</f>
        <v>2041881</v>
      </c>
      <c r="H3" s="106">
        <f>ROUND(SUMIFS(본전력량!G:G,본전력량!B:B,B:B,본전력량!C:C,D:D)*SUMIFS(라인별전력적용비율!H:H,라인별전력적용비율!B:B,B:B,라인별전력적용비율!D:D,D:D),0)-V3</f>
        <v>1868828</v>
      </c>
      <c r="I3" s="106">
        <f>ROUND(SUMIFS(본전력량!G:G,본전력량!B:B,B:B,본전력량!C:C,D:D)*SUMIFS(라인별전력적용비율!I:I,라인별전력적용비율!B:B,B:B,라인별전력적용비율!D:D,D:D),0)-W3</f>
        <v>885723</v>
      </c>
      <c r="J3" s="106">
        <f>ROUND(SUMIFS(본전력량!G:G,본전력량!B:B,B:B,본전력량!C:C,D:D)*SUMIFS(라인별전력적용비율!J:J,라인별전력적용비율!B:B,B:B,라인별전력적용비율!D:D,D:D),0)-X3</f>
        <v>540717</v>
      </c>
      <c r="K3" s="106">
        <f>ROUND(SUMIFS(본전력량!G:G,본전력량!B:B,B:B,본전력량!C:C,D:D)*SUMIFS(라인별전력적용비율!K:K,라인별전력적용비율!B:B,B:B,라인별전력적용비율!D:D,D:D),0)-Y3</f>
        <v>14869</v>
      </c>
      <c r="M3" s="106">
        <f t="shared" ref="M3:M13" si="1">SUM(E3:K3)</f>
        <v>5671402</v>
      </c>
      <c r="O3" s="106" t="s">
        <v>216</v>
      </c>
      <c r="P3" s="106" t="s">
        <v>25</v>
      </c>
      <c r="Q3" s="158" t="s">
        <v>363</v>
      </c>
      <c r="R3" s="106" t="s">
        <v>13</v>
      </c>
      <c r="S3" s="106">
        <f>ROUND(SUMIFS(ESS전력량!G:G,ESS전력량!B:B,P:P,ESS전력량!C:C,R:R)*SUMIFS(라인별전력적용비율!E:E,라인별전력적용비율!B:B,P:P,라인별전력적용비율!D:D,R:R),0)</f>
        <v>9931</v>
      </c>
      <c r="T3" s="106">
        <f>ROUND(SUMIFS(ESS전력량!G:G,ESS전력량!B:B,P:P,ESS전력량!C:C,R:R)*SUMIFS(라인별전력적용비율!F:F,라인별전력적용비율!B:B,P:P,라인별전력적용비율!D:D,R:R),0)</f>
        <v>2657</v>
      </c>
      <c r="U3" s="106">
        <f>ROUND(SUMIFS(ESS전력량!G:G,ESS전력량!B:B,P:P,ESS전력량!C:C,R:R)*SUMIFS(라인별전력적용비율!G:G,라인별전력적용비율!B:B,P:P,라인별전력적용비율!D:D,R:R),0)</f>
        <v>80477</v>
      </c>
      <c r="V3" s="106">
        <f>ROUND(SUMIFS(ESS전력량!G:G,ESS전력량!B:B,P:P,ESS전력량!C:C,R:R)*SUMIFS(라인별전력적용비율!H:H,라인별전력적용비율!B:B,P:P,라인별전력적용비율!D:D,R:R),0)</f>
        <v>73656</v>
      </c>
      <c r="W3" s="106">
        <f>ROUND(SUMIFS(ESS전력량!G:G,ESS전력량!B:B,P:P,ESS전력량!C:C,R:R)*SUMIFS(라인별전력적용비율!I:I,라인별전력적용비율!B:B,P:P,라인별전력적용비율!D:D,R:R),0)</f>
        <v>34909</v>
      </c>
      <c r="X3" s="106">
        <f>ROUND(SUMIFS(ESS전력량!G:G,ESS전력량!B:B,P:P,ESS전력량!C:C,R:R)*SUMIFS(라인별전력적용비율!J:J,라인별전력적용비율!B:B,P:P,라인별전력적용비율!D:D,R:R),0)</f>
        <v>21311</v>
      </c>
      <c r="Y3" s="106">
        <f>ROUND(SUMIFS(ESS전력량!G:G,ESS전력량!B:B,P:P,ESS전력량!C:C,R:R)*SUMIFS(라인별전력적용비율!K:K,라인별전력적용비율!B:B,P:P,라인별전력적용비율!D:D,R:R),0)</f>
        <v>586</v>
      </c>
      <c r="AA3" s="106">
        <f t="shared" si="0"/>
        <v>223527</v>
      </c>
    </row>
    <row r="4" spans="1:27">
      <c r="A4" s="106" t="s">
        <v>213</v>
      </c>
      <c r="B4" s="106" t="s">
        <v>25</v>
      </c>
      <c r="C4" s="158" t="s">
        <v>363</v>
      </c>
      <c r="D4" s="106" t="s">
        <v>14</v>
      </c>
      <c r="E4" s="106">
        <f>ROUND(SUMIFS(본전력량!G:G,본전력량!B:B,B:B,본전력량!C:C,D:D)*SUMIFS(라인별전력적용비율!E:E,라인별전력적용비율!B:B,B:B,라인별전력적용비율!D:D,D:D),0)-S4</f>
        <v>288497</v>
      </c>
      <c r="F4" s="106">
        <f>ROUND(SUMIFS(본전력량!G:G,본전력량!B:B,B:B,본전력량!C:C,D:D)*SUMIFS(라인별전력적용비율!F:F,라인별전력적용비율!B:B,B:B,라인별전력적용비율!D:D,D:D),0)-T4</f>
        <v>54308</v>
      </c>
      <c r="G4" s="106">
        <f>ROUND(SUMIFS(본전력량!G:G,본전력량!B:B,B:B,본전력량!C:C,D:D)*SUMIFS(라인별전력적용비율!G:G,라인별전력적용비율!B:B,B:B,라인별전력적용비율!D:D,D:D),0)-U4</f>
        <v>1805306</v>
      </c>
      <c r="H4" s="106">
        <f>ROUND(SUMIFS(본전력량!G:G,본전력량!B:B,B:B,본전력량!C:C,D:D)*SUMIFS(라인별전력적용비율!H:H,라인별전력적용비율!B:B,B:B,라인별전력적용비율!D:D,D:D),0)-V4</f>
        <v>2031389</v>
      </c>
      <c r="I4" s="106">
        <f>ROUND(SUMIFS(본전력량!G:G,본전력량!B:B,B:B,본전력량!C:C,D:D)*SUMIFS(라인별전력적용비율!I:I,라인별전력적용비율!B:B,B:B,라인별전력적용비율!D:D,D:D),0)-W4</f>
        <v>742564</v>
      </c>
      <c r="J4" s="106">
        <f>ROUND(SUMIFS(본전력량!G:G,본전력량!B:B,B:B,본전력량!C:C,D:D)*SUMIFS(라인별전력적용비율!J:J,라인별전력적용비율!B:B,B:B,라인별전력적용비율!D:D,D:D),0)-X4</f>
        <v>536322</v>
      </c>
      <c r="K4" s="106">
        <f>ROUND(SUMIFS(본전력량!G:G,본전력량!B:B,B:B,본전력량!C:C,D:D)*SUMIFS(라인별전력적용비율!K:K,라인별전력적용비율!B:B,B:B,라인별전력적용비율!D:D,D:D),0)-Y4</f>
        <v>14857</v>
      </c>
      <c r="M4" s="106">
        <f t="shared" si="1"/>
        <v>5473243</v>
      </c>
      <c r="O4" s="106" t="s">
        <v>216</v>
      </c>
      <c r="P4" s="106" t="s">
        <v>25</v>
      </c>
      <c r="Q4" s="158" t="s">
        <v>363</v>
      </c>
      <c r="R4" s="106" t="s">
        <v>14</v>
      </c>
      <c r="S4" s="106">
        <f>ROUND(SUMIFS(ESS전력량!G:G,ESS전력량!B:B,P:P,ESS전력량!C:C,R:R)*SUMIFS(라인별전력적용비율!E:E,라인별전력적용비율!B:B,P:P,라인별전력적용비율!D:D,R:R),0)</f>
        <v>12815</v>
      </c>
      <c r="T4" s="106">
        <f>ROUND(SUMIFS(ESS전력량!G:G,ESS전력량!B:B,P:P,ESS전력량!C:C,R:R)*SUMIFS(라인별전력적용비율!F:F,라인별전력적용비율!B:B,P:P,라인별전력적용비율!D:D,R:R),0)</f>
        <v>2412</v>
      </c>
      <c r="U4" s="106">
        <f>ROUND(SUMIFS(ESS전력량!G:G,ESS전력량!B:B,P:P,ESS전력량!C:C,R:R)*SUMIFS(라인별전력적용비율!G:G,라인별전력적용비율!B:B,P:P,라인별전력적용비율!D:D,R:R),0)</f>
        <v>80194</v>
      </c>
      <c r="V4" s="106">
        <f>ROUND(SUMIFS(ESS전력량!G:G,ESS전력량!B:B,P:P,ESS전력량!C:C,R:R)*SUMIFS(라인별전력적용비율!H:H,라인별전력적용비율!B:B,P:P,라인별전력적용비율!D:D,R:R),0)</f>
        <v>90236</v>
      </c>
      <c r="W4" s="106">
        <f>ROUND(SUMIFS(ESS전력량!G:G,ESS전력량!B:B,P:P,ESS전력량!C:C,R:R)*SUMIFS(라인별전력적용비율!I:I,라인별전력적용비율!B:B,P:P,라인별전력적용비율!D:D,R:R),0)</f>
        <v>32985</v>
      </c>
      <c r="X4" s="106">
        <f>ROUND(SUMIFS(ESS전력량!G:G,ESS전력량!B:B,P:P,ESS전력량!C:C,R:R)*SUMIFS(라인별전력적용비율!J:J,라인별전력적용비율!B:B,P:P,라인별전력적용비율!D:D,R:R),0)</f>
        <v>23824</v>
      </c>
      <c r="Y4" s="106">
        <f>ROUND(SUMIFS(ESS전력량!G:G,ESS전력량!B:B,P:P,ESS전력량!C:C,R:R)*SUMIFS(라인별전력적용비율!K:K,라인별전력적용비율!B:B,P:P,라인별전력적용비율!D:D,R:R),0)</f>
        <v>660</v>
      </c>
      <c r="AA4" s="106">
        <f t="shared" si="0"/>
        <v>243126</v>
      </c>
    </row>
    <row r="5" spans="1:27">
      <c r="A5" s="106" t="s">
        <v>213</v>
      </c>
      <c r="B5" s="106" t="s">
        <v>25</v>
      </c>
      <c r="C5" s="158" t="s">
        <v>259</v>
      </c>
      <c r="D5" s="106" t="s">
        <v>15</v>
      </c>
      <c r="E5" s="106">
        <f>ROUND(SUMIFS(본전력량!G:G,본전력량!B:B,B:B,본전력량!C:C,D:D)*SUMIFS(라인별전력적용비율!E:E,라인별전력적용비율!B:B,B:B,라인별전력적용비율!D:D,D:D),0)-S5</f>
        <v>239239</v>
      </c>
      <c r="F5" s="106">
        <f>ROUND(SUMIFS(본전력량!G:G,본전력량!B:B,B:B,본전력량!C:C,D:D)*SUMIFS(라인별전력적용비율!F:F,라인별전력적용비율!B:B,B:B,라인별전력적용비율!D:D,D:D),0)-T5</f>
        <v>54521</v>
      </c>
      <c r="G5" s="106">
        <f>ROUND(SUMIFS(본전력량!G:G,본전력량!B:B,B:B,본전력량!C:C,D:D)*SUMIFS(라인별전력적용비율!G:G,라인별전력적용비율!B:B,B:B,라인별전력적용비율!D:D,D:D),0)-U5</f>
        <v>1824298</v>
      </c>
      <c r="H5" s="106">
        <f>ROUND(SUMIFS(본전력량!G:G,본전력량!B:B,B:B,본전력량!C:C,D:D)*SUMIFS(라인별전력적용비율!H:H,라인별전력적용비율!B:B,B:B,라인별전력적용비율!D:D,D:D),0)-V5</f>
        <v>1768810</v>
      </c>
      <c r="I5" s="106">
        <f>ROUND(SUMIFS(본전력량!G:G,본전력량!B:B,B:B,본전력량!C:C,D:D)*SUMIFS(라인별전력적용비율!I:I,라인별전력적용비율!B:B,B:B,라인별전력적용비율!D:D,D:D),0)-W5</f>
        <v>895422</v>
      </c>
      <c r="J5" s="106">
        <f>ROUND(SUMIFS(본전력량!G:G,본전력량!B:B,B:B,본전력량!C:C,D:D)*SUMIFS(라인별전력적용비율!J:J,라인별전력적용비율!B:B,B:B,라인별전력적용비율!D:D,D:D),0)-X5</f>
        <v>518668</v>
      </c>
      <c r="K5" s="106">
        <f>ROUND(SUMIFS(본전력량!G:G,본전력량!B:B,B:B,본전력량!C:C,D:D)*SUMIFS(라인별전력적용비율!K:K,라인별전력적용비율!B:B,B:B,라인별전력적용비율!D:D,D:D),0)-Y5</f>
        <v>19827</v>
      </c>
      <c r="M5" s="106">
        <f t="shared" si="1"/>
        <v>5320785</v>
      </c>
      <c r="O5" s="106" t="s">
        <v>216</v>
      </c>
      <c r="P5" s="106" t="s">
        <v>25</v>
      </c>
      <c r="Q5" s="158" t="s">
        <v>259</v>
      </c>
      <c r="R5" s="106" t="s">
        <v>15</v>
      </c>
      <c r="S5" s="106">
        <f>ROUND(SUMIFS(ESS전력량!G:G,ESS전력량!B:B,P:P,ESS전력량!C:C,R:R)*SUMIFS(라인별전력적용비율!E:E,라인별전력적용비율!B:B,P:P,라인별전력적용비율!D:D,R:R),0)</f>
        <v>9706</v>
      </c>
      <c r="T5" s="106">
        <f>ROUND(SUMIFS(ESS전력량!G:G,ESS전력량!B:B,P:P,ESS전력량!C:C,R:R)*SUMIFS(라인별전력적용비율!F:F,라인별전력적용비율!B:B,P:P,라인별전력적용비율!D:D,R:R),0)</f>
        <v>2212</v>
      </c>
      <c r="U5" s="106">
        <f>ROUND(SUMIFS(ESS전력량!G:G,ESS전력량!B:B,P:P,ESS전력량!C:C,R:R)*SUMIFS(라인별전력적용비율!G:G,라인별전력적용비율!B:B,P:P,라인별전력적용비율!D:D,R:R),0)</f>
        <v>74014</v>
      </c>
      <c r="V5" s="106">
        <f>ROUND(SUMIFS(ESS전력량!G:G,ESS전력량!B:B,P:P,ESS전력량!C:C,R:R)*SUMIFS(라인별전력적용비율!H:H,라인별전력적용비율!B:B,P:P,라인별전력적용비율!D:D,R:R),0)</f>
        <v>71763</v>
      </c>
      <c r="W5" s="106">
        <f>ROUND(SUMIFS(ESS전력량!G:G,ESS전력량!B:B,P:P,ESS전력량!C:C,R:R)*SUMIFS(라인별전력적용비율!I:I,라인별전력적용비율!B:B,P:P,라인별전력적용비율!D:D,R:R),0)</f>
        <v>36329</v>
      </c>
      <c r="X5" s="106">
        <f>ROUND(SUMIFS(ESS전력량!G:G,ESS전력량!B:B,P:P,ESS전력량!C:C,R:R)*SUMIFS(라인별전력적용비율!J:J,라인별전력적용비율!B:B,P:P,라인별전력적용비율!D:D,R:R),0)</f>
        <v>21043</v>
      </c>
      <c r="Y5" s="106">
        <f>ROUND(SUMIFS(ESS전력량!G:G,ESS전력량!B:B,P:P,ESS전력량!C:C,R:R)*SUMIFS(라인별전력적용비율!K:K,라인별전력적용비율!B:B,P:P,라인별전력적용비율!D:D,R:R),0)</f>
        <v>804</v>
      </c>
      <c r="AA5" s="106">
        <f t="shared" si="0"/>
        <v>215871</v>
      </c>
    </row>
    <row r="6" spans="1:27">
      <c r="A6" s="106" t="s">
        <v>213</v>
      </c>
      <c r="B6" s="106" t="s">
        <v>25</v>
      </c>
      <c r="C6" s="158" t="s">
        <v>259</v>
      </c>
      <c r="D6" s="106" t="s">
        <v>16</v>
      </c>
      <c r="E6" s="106">
        <f>ROUND(SUMIFS(본전력량!G:G,본전력량!B:B,B:B,본전력량!C:C,D:D)*SUMIFS(라인별전력적용비율!E:E,라인별전력적용비율!B:B,B:B,라인별전력적용비율!D:D,D:D),0)-S6</f>
        <v>305539</v>
      </c>
      <c r="F6" s="106">
        <f>ROUND(SUMIFS(본전력량!G:G,본전력량!B:B,B:B,본전력량!C:C,D:D)*SUMIFS(라인별전력적용비율!F:F,라인별전력적용비율!B:B,B:B,라인별전력적용비율!D:D,D:D),0)-T6</f>
        <v>67727</v>
      </c>
      <c r="G6" s="106">
        <f>ROUND(SUMIFS(본전력량!G:G,본전력량!B:B,B:B,본전력량!C:C,D:D)*SUMIFS(라인별전력적용비율!G:G,라인별전력적용비율!B:B,B:B,라인별전력적용비율!D:D,D:D),0)-U6</f>
        <v>1954866</v>
      </c>
      <c r="H6" s="106">
        <f>ROUND(SUMIFS(본전력량!G:G,본전력량!B:B,B:B,본전력량!C:C,D:D)*SUMIFS(라인별전력적용비율!H:H,라인별전력적용비율!B:B,B:B,라인별전력적용비율!D:D,D:D),0)-V6</f>
        <v>1798449</v>
      </c>
      <c r="I6" s="106">
        <f>ROUND(SUMIFS(본전력량!G:G,본전력량!B:B,B:B,본전력량!C:C,D:D)*SUMIFS(라인별전력적용비율!I:I,라인별전력적용비율!B:B,B:B,라인별전력적용비율!D:D,D:D),0)-W6</f>
        <v>678560</v>
      </c>
      <c r="J6" s="106">
        <f>ROUND(SUMIFS(본전력량!G:G,본전력량!B:B,B:B,본전력량!C:C,D:D)*SUMIFS(라인별전력적용비율!J:J,라인별전력적용비율!B:B,B:B,라인별전력적용비율!D:D,D:D),0)-X6</f>
        <v>525192</v>
      </c>
      <c r="K6" s="106">
        <f>ROUND(SUMIFS(본전력량!G:G,본전력량!B:B,B:B,본전력량!C:C,D:D)*SUMIFS(라인별전력적용비율!K:K,라인별전력적용비율!B:B,B:B,라인별전력적용비율!D:D,D:D),0)-Y6</f>
        <v>17519</v>
      </c>
      <c r="M6" s="106">
        <f t="shared" si="1"/>
        <v>5347852</v>
      </c>
      <c r="O6" s="106" t="s">
        <v>216</v>
      </c>
      <c r="P6" s="106" t="s">
        <v>25</v>
      </c>
      <c r="Q6" s="158" t="s">
        <v>259</v>
      </c>
      <c r="R6" s="106" t="s">
        <v>16</v>
      </c>
      <c r="S6" s="106">
        <f>ROUND(SUMIFS(ESS전력량!G:G,ESS전력량!B:B,P:P,ESS전력량!C:C,R:R)*SUMIFS(라인별전력적용비율!E:E,라인별전력적용비율!B:B,P:P,라인별전력적용비율!D:D,R:R),0)</f>
        <v>12548</v>
      </c>
      <c r="T6" s="106">
        <f>ROUND(SUMIFS(ESS전력량!G:G,ESS전력량!B:B,P:P,ESS전력량!C:C,R:R)*SUMIFS(라인별전력적용비율!F:F,라인별전력적용비율!B:B,P:P,라인별전력적용비율!D:D,R:R),0)</f>
        <v>2781</v>
      </c>
      <c r="U6" s="106">
        <f>ROUND(SUMIFS(ESS전력량!G:G,ESS전력량!B:B,P:P,ESS전력량!C:C,R:R)*SUMIFS(라인별전력적용비율!G:G,라인별전력적용비율!B:B,P:P,라인별전력적용비율!D:D,R:R),0)</f>
        <v>80281</v>
      </c>
      <c r="V6" s="106">
        <f>ROUND(SUMIFS(ESS전력량!G:G,ESS전력량!B:B,P:P,ESS전력량!C:C,R:R)*SUMIFS(라인별전력적용비율!H:H,라인별전력적용비율!B:B,P:P,라인별전력적용비율!D:D,R:R),0)</f>
        <v>73857</v>
      </c>
      <c r="W6" s="106">
        <f>ROUND(SUMIFS(ESS전력량!G:G,ESS전력량!B:B,P:P,ESS전력량!C:C,R:R)*SUMIFS(라인별전력적용비율!I:I,라인별전력적용비율!B:B,P:P,라인별전력적용비율!D:D,R:R),0)</f>
        <v>27867</v>
      </c>
      <c r="X6" s="106">
        <f>ROUND(SUMIFS(ESS전력량!G:G,ESS전력량!B:B,P:P,ESS전력량!C:C,R:R)*SUMIFS(라인별전력적용비율!J:J,라인별전력적용비율!B:B,P:P,라인별전력적용비율!D:D,R:R),0)</f>
        <v>21568</v>
      </c>
      <c r="Y6" s="106">
        <f>ROUND(SUMIFS(ESS전력량!G:G,ESS전력량!B:B,P:P,ESS전력량!C:C,R:R)*SUMIFS(라인별전력적용비율!K:K,라인별전력적용비율!B:B,P:P,라인별전력적용비율!D:D,R:R),0)</f>
        <v>719</v>
      </c>
      <c r="AA6" s="106">
        <f t="shared" si="0"/>
        <v>219621</v>
      </c>
    </row>
    <row r="7" spans="1:27">
      <c r="A7" s="106" t="s">
        <v>213</v>
      </c>
      <c r="B7" s="106" t="s">
        <v>25</v>
      </c>
      <c r="C7" s="158" t="s">
        <v>259</v>
      </c>
      <c r="D7" s="106" t="s">
        <v>17</v>
      </c>
      <c r="E7" s="106">
        <f>ROUND(SUMIFS(본전력량!G:G,본전력량!B:B,B:B,본전력량!C:C,D:D)*SUMIFS(라인별전력적용비율!E:E,라인별전력적용비율!B:B,B:B,라인별전력적용비율!D:D,D:D),0)-S7</f>
        <v>339290</v>
      </c>
      <c r="F7" s="106">
        <f>ROUND(SUMIFS(본전력량!G:G,본전력량!B:B,B:B,본전력량!C:C,D:D)*SUMIFS(라인별전력적용비율!F:F,라인별전력적용비율!B:B,B:B,라인별전력적용비율!D:D,D:D),0)-T7</f>
        <v>63699</v>
      </c>
      <c r="G7" s="106">
        <f>ROUND(SUMIFS(본전력량!G:G,본전력량!B:B,B:B,본전력량!C:C,D:D)*SUMIFS(라인별전력적용비율!G:G,라인별전력적용비율!B:B,B:B,라인별전력적용비율!D:D,D:D),0)-U7</f>
        <v>1872651</v>
      </c>
      <c r="H7" s="106">
        <f>ROUND(SUMIFS(본전력량!G:G,본전력량!B:B,B:B,본전력량!C:C,D:D)*SUMIFS(라인별전력적용비율!H:H,라인별전력적용비율!B:B,B:B,라인별전력적용비율!D:D,D:D),0)-V7</f>
        <v>1808483</v>
      </c>
      <c r="I7" s="106">
        <f>ROUND(SUMIFS(본전력량!G:G,본전력량!B:B,B:B,본전력량!C:C,D:D)*SUMIFS(라인별전력적용비율!I:I,라인별전력적용비율!B:B,B:B,라인별전력적용비율!D:D,D:D),0)-W7</f>
        <v>830982</v>
      </c>
      <c r="J7" s="106">
        <f>ROUND(SUMIFS(본전력량!G:G,본전력량!B:B,B:B,본전력량!C:C,D:D)*SUMIFS(라인별전력적용비율!J:J,라인별전력적용비율!B:B,B:B,라인별전력적용비율!D:D,D:D),0)-X7</f>
        <v>571974</v>
      </c>
      <c r="K7" s="106">
        <f>ROUND(SUMIFS(본전력량!G:G,본전력량!B:B,B:B,본전력량!C:C,D:D)*SUMIFS(라인별전력적용비율!K:K,라인별전력적용비율!B:B,B:B,라인별전력적용비율!D:D,D:D),0)-Y7</f>
        <v>20251</v>
      </c>
      <c r="M7" s="106">
        <f t="shared" si="1"/>
        <v>5507330</v>
      </c>
      <c r="O7" s="106" t="s">
        <v>216</v>
      </c>
      <c r="P7" s="106" t="s">
        <v>25</v>
      </c>
      <c r="Q7" s="158" t="s">
        <v>259</v>
      </c>
      <c r="R7" s="106" t="s">
        <v>17</v>
      </c>
      <c r="S7" s="106">
        <f>ROUND(SUMIFS(ESS전력량!G:G,ESS전력량!B:B,P:P,ESS전력량!C:C,R:R)*SUMIFS(라인별전력적용비율!E:E,라인별전력적용비율!B:B,P:P,라인별전력적용비율!D:D,R:R),0)</f>
        <v>10430</v>
      </c>
      <c r="T7" s="106">
        <f>ROUND(SUMIFS(ESS전력량!G:G,ESS전력량!B:B,P:P,ESS전력량!C:C,R:R)*SUMIFS(라인별전력적용비율!F:F,라인별전력적용비율!B:B,P:P,라인별전력적용비율!D:D,R:R),0)</f>
        <v>1958</v>
      </c>
      <c r="U7" s="106">
        <f>ROUND(SUMIFS(ESS전력량!G:G,ESS전력량!B:B,P:P,ESS전력량!C:C,R:R)*SUMIFS(라인별전력적용비율!G:G,라인별전력적용비율!B:B,P:P,라인별전력적용비율!D:D,R:R),0)</f>
        <v>57565</v>
      </c>
      <c r="V7" s="106">
        <f>ROUND(SUMIFS(ESS전력량!G:G,ESS전력량!B:B,P:P,ESS전력량!C:C,R:R)*SUMIFS(라인별전력적용비율!H:H,라인별전력적용비율!B:B,P:P,라인별전력적용비율!D:D,R:R),0)</f>
        <v>55593</v>
      </c>
      <c r="W7" s="106">
        <f>ROUND(SUMIFS(ESS전력량!G:G,ESS전력량!B:B,P:P,ESS전력량!C:C,R:R)*SUMIFS(라인별전력적용비율!I:I,라인별전력적용비율!B:B,P:P,라인별전력적용비율!D:D,R:R),0)</f>
        <v>25544</v>
      </c>
      <c r="X7" s="106">
        <f>ROUND(SUMIFS(ESS전력량!G:G,ESS전력량!B:B,P:P,ESS전력량!C:C,R:R)*SUMIFS(라인별전력적용비율!J:J,라인별전력적용비율!B:B,P:P,라인별전력적용비율!D:D,R:R),0)</f>
        <v>17582</v>
      </c>
      <c r="Y7" s="106">
        <f>ROUND(SUMIFS(ESS전력량!G:G,ESS전력량!B:B,P:P,ESS전력량!C:C,R:R)*SUMIFS(라인별전력적용비율!K:K,라인별전력적용비율!B:B,P:P,라인별전력적용비율!D:D,R:R),0)</f>
        <v>622</v>
      </c>
      <c r="AA7" s="106">
        <f t="shared" si="0"/>
        <v>169294</v>
      </c>
    </row>
    <row r="8" spans="1:27">
      <c r="A8" s="106" t="s">
        <v>213</v>
      </c>
      <c r="B8" s="106" t="s">
        <v>25</v>
      </c>
      <c r="C8" s="158" t="s">
        <v>367</v>
      </c>
      <c r="D8" s="106" t="s">
        <v>18</v>
      </c>
      <c r="E8" s="106">
        <f>ROUND(SUMIFS(본전력량!G:G,본전력량!B:B,B:B,본전력량!C:C,D:D)*SUMIFS(라인별전력적용비율!E:E,라인별전력적용비율!B:B,B:B,라인별전력적용비율!D:D,D:D),0)-S8</f>
        <v>331417</v>
      </c>
      <c r="F8" s="106">
        <f>ROUND(SUMIFS(본전력량!G:G,본전력량!B:B,B:B,본전력량!C:C,D:D)*SUMIFS(라인별전력적용비율!F:F,라인별전력적용비율!B:B,B:B,라인별전력적용비율!D:D,D:D),0)-T8</f>
        <v>73038</v>
      </c>
      <c r="G8" s="106">
        <f>ROUND(SUMIFS(본전력량!G:G,본전력량!B:B,B:B,본전력량!C:C,D:D)*SUMIFS(라인별전력적용비율!G:G,라인별전력적용비율!B:B,B:B,라인별전력적용비율!D:D,D:D),0)-U8</f>
        <v>2136330</v>
      </c>
      <c r="H8" s="106">
        <f>ROUND(SUMIFS(본전력량!G:G,본전력량!B:B,B:B,본전력량!C:C,D:D)*SUMIFS(라인별전력적용비율!H:H,라인별전력적용비율!B:B,B:B,라인별전력적용비율!D:D,D:D),0)-V8</f>
        <v>2081277</v>
      </c>
      <c r="I8" s="106">
        <f>ROUND(SUMIFS(본전력량!G:G,본전력량!B:B,B:B,본전력량!C:C,D:D)*SUMIFS(라인별전력적용비율!I:I,라인별전력적용비율!B:B,B:B,라인별전력적용비율!D:D,D:D),0)-W8</f>
        <v>772605</v>
      </c>
      <c r="J8" s="106">
        <f>ROUND(SUMIFS(본전력량!G:G,본전력량!B:B,B:B,본전력량!C:C,D:D)*SUMIFS(라인별전력적용비율!J:J,라인별전력적용비율!B:B,B:B,라인별전력적용비율!D:D,D:D),0)-X8</f>
        <v>581235</v>
      </c>
      <c r="K8" s="106">
        <f>ROUND(SUMIFS(본전력량!G:G,본전력량!B:B,B:B,본전력량!C:C,D:D)*SUMIFS(라인별전력적용비율!K:K,라인별전력적용비율!B:B,B:B,라인별전력적용비율!D:D,D:D),0)-Y8</f>
        <v>16053</v>
      </c>
      <c r="M8" s="106">
        <f t="shared" si="1"/>
        <v>5991955</v>
      </c>
      <c r="O8" s="106" t="s">
        <v>216</v>
      </c>
      <c r="P8" s="106" t="s">
        <v>25</v>
      </c>
      <c r="Q8" s="158" t="s">
        <v>367</v>
      </c>
      <c r="R8" s="106" t="s">
        <v>18</v>
      </c>
      <c r="S8" s="106">
        <f>ROUND(SUMIFS(ESS전력량!G:G,ESS전력량!B:B,P:P,ESS전력량!C:C,R:R)*SUMIFS(라인별전력적용비율!E:E,라인별전력적용비율!B:B,P:P,라인별전력적용비율!D:D,R:R),0)</f>
        <v>10865</v>
      </c>
      <c r="T8" s="106">
        <f>ROUND(SUMIFS(ESS전력량!G:G,ESS전력량!B:B,P:P,ESS전력량!C:C,R:R)*SUMIFS(라인별전력적용비율!F:F,라인별전력적용비율!B:B,P:P,라인별전력적용비율!D:D,R:R),0)</f>
        <v>2395</v>
      </c>
      <c r="U8" s="106">
        <f>ROUND(SUMIFS(ESS전력량!G:G,ESS전력량!B:B,P:P,ESS전력량!C:C,R:R)*SUMIFS(라인별전력적용비율!G:G,라인별전력적용비율!B:B,P:P,라인별전력적용비율!D:D,R:R),0)</f>
        <v>70039</v>
      </c>
      <c r="V8" s="106">
        <f>ROUND(SUMIFS(ESS전력량!G:G,ESS전력량!B:B,P:P,ESS전력량!C:C,R:R)*SUMIFS(라인별전력적용비율!H:H,라인별전력적용비율!B:B,P:P,라인별전력적용비율!D:D,R:R),0)</f>
        <v>68235</v>
      </c>
      <c r="W8" s="106">
        <f>ROUND(SUMIFS(ESS전력량!G:G,ESS전력량!B:B,P:P,ESS전력량!C:C,R:R)*SUMIFS(라인별전력적용비율!I:I,라인별전력적용비율!B:B,P:P,라인별전력적용비율!D:D,R:R),0)</f>
        <v>25330</v>
      </c>
      <c r="X8" s="106">
        <f>ROUND(SUMIFS(ESS전력량!G:G,ESS전력량!B:B,P:P,ESS전력량!C:C,R:R)*SUMIFS(라인별전력적용비율!J:J,라인별전력적용비율!B:B,P:P,라인별전력적용비율!D:D,R:R),0)</f>
        <v>19056</v>
      </c>
      <c r="Y8" s="106">
        <f>ROUND(SUMIFS(ESS전력량!G:G,ESS전력량!B:B,P:P,ESS전력량!C:C,R:R)*SUMIFS(라인별전력적용비율!K:K,라인별전력적용비율!B:B,P:P,라인별전력적용비율!D:D,R:R),0)</f>
        <v>526</v>
      </c>
      <c r="AA8" s="106">
        <f t="shared" si="0"/>
        <v>196446</v>
      </c>
    </row>
    <row r="9" spans="1:27">
      <c r="A9" s="106" t="s">
        <v>213</v>
      </c>
      <c r="B9" s="106" t="s">
        <v>25</v>
      </c>
      <c r="C9" s="158" t="s">
        <v>367</v>
      </c>
      <c r="D9" s="106" t="s">
        <v>19</v>
      </c>
      <c r="E9" s="106">
        <f>ROUND(SUMIFS(본전력량!G:G,본전력량!B:B,B:B,본전력량!C:C,D:D)*SUMIFS(라인별전력적용비율!E:E,라인별전력적용비율!B:B,B:B,라인별전력적용비율!D:D,D:D),0)-S9</f>
        <v>323353</v>
      </c>
      <c r="F9" s="106">
        <f>ROUND(SUMIFS(본전력량!G:G,본전력량!B:B,B:B,본전력량!C:C,D:D)*SUMIFS(라인별전력적용비율!F:F,라인별전력적용비율!B:B,B:B,라인별전력적용비율!D:D,D:D),0)-T9</f>
        <v>60130</v>
      </c>
      <c r="G9" s="106">
        <f>ROUND(SUMIFS(본전력량!G:G,본전력량!B:B,B:B,본전력량!C:C,D:D)*SUMIFS(라인별전력적용비율!G:G,라인별전력적용비율!B:B,B:B,라인별전력적용비율!D:D,D:D),0)-U9</f>
        <v>2003692</v>
      </c>
      <c r="H9" s="106">
        <f>ROUND(SUMIFS(본전력량!G:G,본전력량!B:B,B:B,본전력량!C:C,D:D)*SUMIFS(라인별전력적용비율!H:H,라인별전력적용비율!B:B,B:B,라인별전력적용비율!D:D,D:D),0)-V9</f>
        <v>2000636</v>
      </c>
      <c r="I9" s="106">
        <f>ROUND(SUMIFS(본전력량!G:G,본전력량!B:B,B:B,본전력량!C:C,D:D)*SUMIFS(라인별전력적용비율!I:I,라인별전력적용비율!B:B,B:B,라인별전력적용비율!D:D,D:D),0)-W9</f>
        <v>724067</v>
      </c>
      <c r="J9" s="106">
        <f>ROUND(SUMIFS(본전력량!G:G,본전력량!B:B,B:B,본전력량!C:C,D:D)*SUMIFS(라인별전력적용비율!J:J,라인별전력적용비율!B:B,B:B,라인별전력적용비율!D:D,D:D),0)-X9</f>
        <v>520458</v>
      </c>
      <c r="K9" s="106">
        <f>ROUND(SUMIFS(본전력량!G:G,본전력량!B:B,B:B,본전력량!C:C,D:D)*SUMIFS(라인별전력적용비율!K:K,라인별전력적용비율!B:B,B:B,라인별전력적용비율!D:D,D:D),0)-Y9</f>
        <v>15295</v>
      </c>
      <c r="M9" s="106">
        <f t="shared" si="1"/>
        <v>5647631</v>
      </c>
      <c r="O9" s="106" t="s">
        <v>216</v>
      </c>
      <c r="P9" s="106" t="s">
        <v>25</v>
      </c>
      <c r="Q9" s="158" t="s">
        <v>367</v>
      </c>
      <c r="R9" s="106" t="s">
        <v>19</v>
      </c>
      <c r="S9" s="106">
        <f>ROUND(SUMIFS(ESS전력량!G:G,ESS전력량!B:B,P:P,ESS전력량!C:C,R:R)*SUMIFS(라인별전력적용비율!E:E,라인별전력적용비율!B:B,P:P,라인별전력적용비율!D:D,R:R),0)</f>
        <v>10408</v>
      </c>
      <c r="T9" s="106">
        <f>ROUND(SUMIFS(ESS전력량!G:G,ESS전력량!B:B,P:P,ESS전력량!C:C,R:R)*SUMIFS(라인별전력적용비율!F:F,라인별전력적용비율!B:B,P:P,라인별전력적용비율!D:D,R:R),0)</f>
        <v>1935</v>
      </c>
      <c r="U9" s="106">
        <f>ROUND(SUMIFS(ESS전력량!G:G,ESS전력량!B:B,P:P,ESS전력량!C:C,R:R)*SUMIFS(라인별전력적용비율!G:G,라인별전력적용비율!B:B,P:P,라인별전력적용비율!D:D,R:R),0)</f>
        <v>64492</v>
      </c>
      <c r="V9" s="106">
        <f>ROUND(SUMIFS(ESS전력량!G:G,ESS전력량!B:B,P:P,ESS전력량!C:C,R:R)*SUMIFS(라인별전력적용비율!H:H,라인별전력적용비율!B:B,P:P,라인별전력적용비율!D:D,R:R),0)</f>
        <v>64393</v>
      </c>
      <c r="W9" s="106">
        <f>ROUND(SUMIFS(ESS전력량!G:G,ESS전력량!B:B,P:P,ESS전력량!C:C,R:R)*SUMIFS(라인별전력적용비율!I:I,라인별전력적용비율!B:B,P:P,라인별전력적용비율!D:D,R:R),0)</f>
        <v>23305</v>
      </c>
      <c r="X9" s="106">
        <f>ROUND(SUMIFS(ESS전력량!G:G,ESS전력량!B:B,P:P,ESS전력량!C:C,R:R)*SUMIFS(라인별전력적용비율!J:J,라인별전력적용비율!B:B,P:P,라인별전력적용비율!D:D,R:R),0)</f>
        <v>16752</v>
      </c>
      <c r="Y9" s="106">
        <f>ROUND(SUMIFS(ESS전력량!G:G,ESS전력량!B:B,P:P,ESS전력량!C:C,R:R)*SUMIFS(라인별전력적용비율!K:K,라인별전력적용비율!B:B,P:P,라인별전력적용비율!D:D,R:R),0)</f>
        <v>492</v>
      </c>
      <c r="AA9" s="106">
        <f t="shared" si="0"/>
        <v>181777</v>
      </c>
    </row>
    <row r="10" spans="1:27">
      <c r="A10" s="106" t="s">
        <v>213</v>
      </c>
      <c r="B10" s="106" t="s">
        <v>25</v>
      </c>
      <c r="C10" s="158" t="s">
        <v>367</v>
      </c>
      <c r="D10" s="106" t="s">
        <v>20</v>
      </c>
      <c r="E10" s="106">
        <f>ROUND(SUMIFS(본전력량!G:G,본전력량!B:B,B:B,본전력량!C:C,D:D)*SUMIFS(라인별전력적용비율!E:E,라인별전력적용비율!B:B,B:B,라인별전력적용비율!D:D,D:D),0)-S10</f>
        <v>303387</v>
      </c>
      <c r="F10" s="106">
        <f>ROUND(SUMIFS(본전력량!G:G,본전력량!B:B,B:B,본전력량!C:C,D:D)*SUMIFS(라인별전력적용비율!F:F,라인별전력적용비율!B:B,B:B,라인별전력적용비율!D:D,D:D),0)-T10</f>
        <v>64604</v>
      </c>
      <c r="G10" s="106">
        <f>ROUND(SUMIFS(본전력량!G:G,본전력량!B:B,B:B,본전력량!C:C,D:D)*SUMIFS(라인별전력적용비율!G:G,라인별전력적용비율!B:B,B:B,라인별전력적용비율!D:D,D:D),0)-U10</f>
        <v>1902707</v>
      </c>
      <c r="H10" s="106">
        <f>ROUND(SUMIFS(본전력량!G:G,본전력량!B:B,B:B,본전력량!C:C,D:D)*SUMIFS(라인별전력적용비율!H:H,라인별전력적용비율!B:B,B:B,라인별전력적용비율!D:D,D:D),0)-V10</f>
        <v>1836757</v>
      </c>
      <c r="I10" s="106">
        <f>ROUND(SUMIFS(본전력량!G:G,본전력량!B:B,B:B,본전력량!C:C,D:D)*SUMIFS(라인별전력적용비율!I:I,라인별전력적용비율!B:B,B:B,라인별전력적용비율!D:D,D:D),0)-W10</f>
        <v>729657</v>
      </c>
      <c r="J10" s="106">
        <f>ROUND(SUMIFS(본전력량!G:G,본전력량!B:B,B:B,본전력량!C:C,D:D)*SUMIFS(라인별전력적용비율!J:J,라인별전력적용비율!B:B,B:B,라인별전력적용비율!D:D,D:D),0)-X10</f>
        <v>561179</v>
      </c>
      <c r="K10" s="106">
        <f>ROUND(SUMIFS(본전력량!G:G,본전력량!B:B,B:B,본전력량!C:C,D:D)*SUMIFS(라인별전력적용비율!K:K,라인별전력적용비율!B:B,B:B,라인별전력적용비율!D:D,D:D),0)-Y10</f>
        <v>17865</v>
      </c>
      <c r="M10" s="106">
        <f t="shared" si="1"/>
        <v>5416156</v>
      </c>
      <c r="O10" s="106" t="s">
        <v>216</v>
      </c>
      <c r="P10" s="106" t="s">
        <v>25</v>
      </c>
      <c r="Q10" s="158" t="s">
        <v>367</v>
      </c>
      <c r="R10" s="106" t="s">
        <v>20</v>
      </c>
      <c r="S10" s="106">
        <f>ROUND(SUMIFS(ESS전력량!G:G,ESS전력량!B:B,P:P,ESS전력량!C:C,R:R)*SUMIFS(라인별전력적용비율!E:E,라인별전력적용비율!B:B,P:P,라인별전력적용비율!D:D,R:R),0)</f>
        <v>10025</v>
      </c>
      <c r="T10" s="106">
        <f>ROUND(SUMIFS(ESS전력량!G:G,ESS전력량!B:B,P:P,ESS전력량!C:C,R:R)*SUMIFS(라인별전력적용비율!F:F,라인별전력적용비율!B:B,P:P,라인별전력적용비율!D:D,R:R),0)</f>
        <v>2135</v>
      </c>
      <c r="U10" s="106">
        <f>ROUND(SUMIFS(ESS전력량!G:G,ESS전력량!B:B,P:P,ESS전력량!C:C,R:R)*SUMIFS(라인별전력적용비율!G:G,라인별전력적용비율!B:B,P:P,라인별전력적용비율!D:D,R:R),0)</f>
        <v>62871</v>
      </c>
      <c r="V10" s="106">
        <f>ROUND(SUMIFS(ESS전력량!G:G,ESS전력량!B:B,P:P,ESS전력량!C:C,R:R)*SUMIFS(라인별전력적용비율!H:H,라인별전력적용비율!B:B,P:P,라인별전력적용비율!D:D,R:R),0)</f>
        <v>60691</v>
      </c>
      <c r="W10" s="106">
        <f>ROUND(SUMIFS(ESS전력량!G:G,ESS전력량!B:B,P:P,ESS전력량!C:C,R:R)*SUMIFS(라인별전력적용비율!I:I,라인별전력적용비율!B:B,P:P,라인별전력적용비율!D:D,R:R),0)</f>
        <v>24110</v>
      </c>
      <c r="X10" s="106">
        <f>ROUND(SUMIFS(ESS전력량!G:G,ESS전력량!B:B,P:P,ESS전력량!C:C,R:R)*SUMIFS(라인별전력적용비율!J:J,라인별전력적용비율!B:B,P:P,라인별전력적용비율!D:D,R:R),0)</f>
        <v>18543</v>
      </c>
      <c r="Y10" s="106">
        <f>ROUND(SUMIFS(ESS전력량!G:G,ESS전력량!B:B,P:P,ESS전력량!C:C,R:R)*SUMIFS(라인별전력적용비율!K:K,라인별전력적용비율!B:B,P:P,라인별전력적용비율!D:D,R:R),0)</f>
        <v>590</v>
      </c>
      <c r="AA10" s="106">
        <f t="shared" si="0"/>
        <v>178965</v>
      </c>
    </row>
    <row r="11" spans="1:27">
      <c r="A11" s="106" t="s">
        <v>213</v>
      </c>
      <c r="B11" s="106" t="s">
        <v>25</v>
      </c>
      <c r="C11" s="158" t="s">
        <v>368</v>
      </c>
      <c r="D11" s="106" t="s">
        <v>21</v>
      </c>
      <c r="E11" s="106">
        <f>ROUND(SUMIFS(본전력량!G:G,본전력량!B:B,B:B,본전력량!C:C,D:D)*SUMIFS(라인별전력적용비율!E:E,라인별전력적용비율!B:B,B:B,라인별전력적용비율!D:D,D:D),0)-S11</f>
        <v>439038</v>
      </c>
      <c r="F11" s="106">
        <f>ROUND(SUMIFS(본전력량!G:G,본전력량!B:B,B:B,본전력량!C:C,D:D)*SUMIFS(라인별전력적용비율!F:F,라인별전력적용비율!B:B,B:B,라인별전력적용비율!D:D,D:D),0)-T11</f>
        <v>66874</v>
      </c>
      <c r="G11" s="106">
        <f>ROUND(SUMIFS(본전력량!G:G,본전력량!B:B,B:B,본전력량!C:C,D:D)*SUMIFS(라인별전력적용비율!G:G,라인별전력적용비율!B:B,B:B,라인별전력적용비율!D:D,D:D),0)-U11</f>
        <v>2091288</v>
      </c>
      <c r="H11" s="106">
        <f>ROUND(SUMIFS(본전력량!G:G,본전력량!B:B,B:B,본전력량!C:C,D:D)*SUMIFS(라인별전력적용비율!H:H,라인별전력적용비율!B:B,B:B,라인별전력적용비율!D:D,D:D),0)-V11</f>
        <v>1897493</v>
      </c>
      <c r="I11" s="106">
        <f>ROUND(SUMIFS(본전력량!G:G,본전력량!B:B,B:B,본전력량!C:C,D:D)*SUMIFS(라인별전력적용비율!I:I,라인별전력적용비율!B:B,B:B,라인별전력적용비율!D:D,D:D),0)-W11</f>
        <v>746139</v>
      </c>
      <c r="J11" s="106">
        <f>ROUND(SUMIFS(본전력량!G:G,본전력량!B:B,B:B,본전력량!C:C,D:D)*SUMIFS(라인별전력적용비율!J:J,라인별전력적용비율!B:B,B:B,라인별전력적용비율!D:D,D:D),0)-X11</f>
        <v>579167</v>
      </c>
      <c r="K11" s="106">
        <f>ROUND(SUMIFS(본전력량!G:G,본전력량!B:B,B:B,본전력량!C:C,D:D)*SUMIFS(라인별전력적용비율!K:K,라인별전력적용비율!B:B,B:B,라인별전력적용비율!D:D,D:D),0)-Y11</f>
        <v>17185</v>
      </c>
      <c r="M11" s="106">
        <f t="shared" si="1"/>
        <v>5837184</v>
      </c>
      <c r="O11" s="106" t="s">
        <v>216</v>
      </c>
      <c r="P11" s="106" t="s">
        <v>25</v>
      </c>
      <c r="Q11" s="158" t="s">
        <v>368</v>
      </c>
      <c r="R11" s="106" t="s">
        <v>21</v>
      </c>
      <c r="S11" s="106">
        <f>ROUND(SUMIFS(ESS전력량!G:G,ESS전력량!B:B,P:P,ESS전력량!C:C,R:R)*SUMIFS(라인별전력적용비율!E:E,라인별전력적용비율!B:B,P:P,라인별전력적용비율!D:D,R:R),0)</f>
        <v>12564</v>
      </c>
      <c r="T11" s="106">
        <f>ROUND(SUMIFS(ESS전력량!G:G,ESS전력량!B:B,P:P,ESS전력량!C:C,R:R)*SUMIFS(라인별전력적용비율!F:F,라인별전력적용비율!B:B,P:P,라인별전력적용비율!D:D,R:R),0)</f>
        <v>1914</v>
      </c>
      <c r="U11" s="106">
        <f>ROUND(SUMIFS(ESS전력량!G:G,ESS전력량!B:B,P:P,ESS전력량!C:C,R:R)*SUMIFS(라인별전력적용비율!G:G,라인별전력적용비율!B:B,P:P,라인별전력적용비율!D:D,R:R),0)</f>
        <v>59845</v>
      </c>
      <c r="V11" s="106">
        <f>ROUND(SUMIFS(ESS전력량!G:G,ESS전력량!B:B,P:P,ESS전력량!C:C,R:R)*SUMIFS(라인별전력적용비율!H:H,라인별전력적용비율!B:B,P:P,라인별전력적용비율!D:D,R:R),0)</f>
        <v>54299</v>
      </c>
      <c r="W11" s="106">
        <f>ROUND(SUMIFS(ESS전력량!G:G,ESS전력량!B:B,P:P,ESS전력량!C:C,R:R)*SUMIFS(라인별전력적용비율!I:I,라인별전력적용비율!B:B,P:P,라인별전력적용비율!D:D,R:R),0)</f>
        <v>21352</v>
      </c>
      <c r="X11" s="106">
        <f>ROUND(SUMIFS(ESS전력량!G:G,ESS전력량!B:B,P:P,ESS전력량!C:C,R:R)*SUMIFS(라인별전력적용비율!J:J,라인별전력적용비율!B:B,P:P,라인별전력적용비율!D:D,R:R),0)</f>
        <v>16574</v>
      </c>
      <c r="Y11" s="106">
        <f>ROUND(SUMIFS(ESS전력량!G:G,ESS전력량!B:B,P:P,ESS전력량!C:C,R:R)*SUMIFS(라인별전력적용비율!K:K,라인별전력적용비율!B:B,P:P,라인별전력적용비율!D:D,R:R),0)</f>
        <v>492</v>
      </c>
      <c r="AA11" s="106">
        <f t="shared" si="0"/>
        <v>167040</v>
      </c>
    </row>
    <row r="12" spans="1:27">
      <c r="A12" s="106" t="s">
        <v>213</v>
      </c>
      <c r="B12" s="106" t="s">
        <v>25</v>
      </c>
      <c r="C12" s="158" t="s">
        <v>368</v>
      </c>
      <c r="D12" s="106" t="s">
        <v>22</v>
      </c>
      <c r="E12" s="106">
        <f>ROUND(SUMIFS(본전력량!G:G,본전력량!B:B,B:B,본전력량!C:C,D:D)*SUMIFS(라인별전력적용비율!E:E,라인별전력적용비율!B:B,B:B,라인별전력적용비율!D:D,D:D),0)-S12</f>
        <v>75552</v>
      </c>
      <c r="F12" s="106">
        <f>ROUND(SUMIFS(본전력량!G:G,본전력량!B:B,B:B,본전력량!C:C,D:D)*SUMIFS(라인별전력적용비율!F:F,라인별전력적용비율!B:B,B:B,라인별전력적용비율!D:D,D:D),0)-T12</f>
        <v>8169</v>
      </c>
      <c r="G12" s="106">
        <f>ROUND(SUMIFS(본전력량!G:G,본전력량!B:B,B:B,본전력량!C:C,D:D)*SUMIFS(라인별전력적용비율!G:G,라인별전력적용비율!B:B,B:B,라인별전력적용비율!D:D,D:D),0)-U12</f>
        <v>235279</v>
      </c>
      <c r="H12" s="106">
        <f>ROUND(SUMIFS(본전력량!G:G,본전력량!B:B,B:B,본전력량!C:C,D:D)*SUMIFS(라인별전력적용비율!H:H,라인별전력적용비율!B:B,B:B,라인별전력적용비율!D:D,D:D),0)-V12</f>
        <v>426560</v>
      </c>
      <c r="I12" s="106">
        <f>ROUND(SUMIFS(본전력량!G:G,본전력량!B:B,B:B,본전력량!C:C,D:D)*SUMIFS(라인별전력적용비율!I:I,라인별전력적용비율!B:B,B:B,라인별전력적용비율!D:D,D:D),0)-W12</f>
        <v>641146</v>
      </c>
      <c r="J12" s="106">
        <f>ROUND(SUMIFS(본전력량!G:G,본전력량!B:B,B:B,본전력량!C:C,D:D)*SUMIFS(라인별전력적용비율!J:J,라인별전력적용비율!B:B,B:B,라인별전력적용비율!D:D,D:D),0)-X12</f>
        <v>500182</v>
      </c>
      <c r="K12" s="106">
        <f>ROUND(SUMIFS(본전력량!G:G,본전력량!B:B,B:B,본전력량!C:C,D:D)*SUMIFS(라인별전력적용비율!K:K,라인별전력적용비율!B:B,B:B,라인별전력적용비율!D:D,D:D),0)-Y12</f>
        <v>17594</v>
      </c>
      <c r="M12" s="106">
        <f t="shared" si="1"/>
        <v>1904482</v>
      </c>
      <c r="O12" s="106" t="s">
        <v>216</v>
      </c>
      <c r="P12" s="106" t="s">
        <v>25</v>
      </c>
      <c r="Q12" s="158" t="s">
        <v>368</v>
      </c>
      <c r="R12" s="106" t="s">
        <v>22</v>
      </c>
      <c r="S12" s="106">
        <f>ROUND(SUMIFS(ESS전력량!G:G,ESS전력량!B:B,P:P,ESS전력량!C:C,R:R)*SUMIFS(라인별전력적용비율!E:E,라인별전력적용비율!B:B,P:P,라인별전력적용비율!D:D,R:R),0)</f>
        <v>7063</v>
      </c>
      <c r="T12" s="106">
        <f>ROUND(SUMIFS(ESS전력량!G:G,ESS전력량!B:B,P:P,ESS전력량!C:C,R:R)*SUMIFS(라인별전력적용비율!F:F,라인별전력적용비율!B:B,P:P,라인별전력적용비율!D:D,R:R),0)</f>
        <v>764</v>
      </c>
      <c r="U12" s="106">
        <f>ROUND(SUMIFS(ESS전력량!G:G,ESS전력량!B:B,P:P,ESS전력량!C:C,R:R)*SUMIFS(라인별전력적용비율!G:G,라인별전력적용비율!B:B,P:P,라인별전력적용비율!D:D,R:R),0)</f>
        <v>21996</v>
      </c>
      <c r="V12" s="106">
        <f>ROUND(SUMIFS(ESS전력량!G:G,ESS전력량!B:B,P:P,ESS전력량!C:C,R:R)*SUMIFS(라인별전력적용비율!H:H,라인별전력적용비율!B:B,P:P,라인별전력적용비율!D:D,R:R),0)</f>
        <v>39878</v>
      </c>
      <c r="W12" s="106">
        <f>ROUND(SUMIFS(ESS전력량!G:G,ESS전력량!B:B,P:P,ESS전력량!C:C,R:R)*SUMIFS(라인별전력적용비율!I:I,라인별전력적용비율!B:B,P:P,라인별전력적용비율!D:D,R:R),0)</f>
        <v>59939</v>
      </c>
      <c r="X12" s="106">
        <f>ROUND(SUMIFS(ESS전력량!G:G,ESS전력량!B:B,P:P,ESS전력량!C:C,R:R)*SUMIFS(라인별전력적용비율!J:J,라인별전력적용비율!B:B,P:P,라인별전력적용비율!D:D,R:R),0)</f>
        <v>46761</v>
      </c>
      <c r="Y12" s="106">
        <f>ROUND(SUMIFS(ESS전력량!G:G,ESS전력량!B:B,P:P,ESS전력량!C:C,R:R)*SUMIFS(라인별전력적용비율!K:K,라인별전력적용비율!B:B,P:P,라인별전력적용비율!D:D,R:R),0)</f>
        <v>1645</v>
      </c>
      <c r="AA12" s="106">
        <f t="shared" si="0"/>
        <v>178046</v>
      </c>
    </row>
    <row r="13" spans="1:27">
      <c r="A13" s="106" t="s">
        <v>213</v>
      </c>
      <c r="B13" s="106" t="s">
        <v>25</v>
      </c>
      <c r="C13" s="158" t="s">
        <v>368</v>
      </c>
      <c r="D13" s="106" t="s">
        <v>23</v>
      </c>
      <c r="E13" s="106">
        <f>ROUND(SUMIFS(본전력량!G:G,본전력량!B:B,B:B,본전력량!C:C,D:D)*SUMIFS(라인별전력적용비율!E:E,라인별전력적용비율!B:B,B:B,라인별전력적용비율!D:D,D:D),0)-S13</f>
        <v>69304</v>
      </c>
      <c r="F13" s="106">
        <f>ROUND(SUMIFS(본전력량!G:G,본전력량!B:B,B:B,본전력량!C:C,D:D)*SUMIFS(라인별전력적용비율!F:F,라인별전력적용비율!B:B,B:B,라인별전력적용비율!D:D,D:D),0)-T13</f>
        <v>542</v>
      </c>
      <c r="G13" s="106">
        <f>ROUND(SUMIFS(본전력량!G:G,본전력량!B:B,B:B,본전력량!C:C,D:D)*SUMIFS(라인별전력적용비율!G:G,라인별전력적용비율!B:B,B:B,라인별전력적용비율!D:D,D:D),0)-U13</f>
        <v>169780</v>
      </c>
      <c r="H13" s="106">
        <f>ROUND(SUMIFS(본전력량!G:G,본전력량!B:B,B:B,본전력량!C:C,D:D)*SUMIFS(라인별전력적용비율!H:H,라인별전력적용비율!B:B,B:B,라인별전력적용비율!D:D,D:D),0)-V13</f>
        <v>305322</v>
      </c>
      <c r="I13" s="106">
        <f>ROUND(SUMIFS(본전력량!G:G,본전력량!B:B,B:B,본전력량!C:C,D:D)*SUMIFS(라인별전력적용비율!I:I,라인별전력적용비율!B:B,B:B,라인별전력적용비율!D:D,D:D),0)-W13</f>
        <v>691693</v>
      </c>
      <c r="J13" s="106">
        <f>ROUND(SUMIFS(본전력량!G:G,본전력량!B:B,B:B,본전력량!C:C,D:D)*SUMIFS(라인별전력적용비율!J:J,라인별전력적용비율!B:B,B:B,라인별전력적용비율!D:D,D:D),0)-X13</f>
        <v>514035</v>
      </c>
      <c r="K13" s="106">
        <f>ROUND(SUMIFS(본전력량!G:G,본전력량!B:B,B:B,본전력량!C:C,D:D)*SUMIFS(라인별전력적용비율!K:K,라인별전력적용비율!B:B,B:B,라인별전력적용비율!D:D,D:D),0)-Y13</f>
        <v>15866</v>
      </c>
      <c r="M13" s="106">
        <f t="shared" si="1"/>
        <v>1766542</v>
      </c>
      <c r="O13" s="106" t="s">
        <v>216</v>
      </c>
      <c r="P13" s="106" t="s">
        <v>25</v>
      </c>
      <c r="Q13" s="158" t="s">
        <v>368</v>
      </c>
      <c r="R13" s="106" t="s">
        <v>23</v>
      </c>
      <c r="S13" s="106">
        <f>ROUND(SUMIFS(ESS전력량!G:G,ESS전력량!B:B,P:P,ESS전력량!C:C,R:R)*SUMIFS(라인별전력적용비율!E:E,라인별전력적용비율!B:B,P:P,라인별전력적용비율!D:D,R:R),0)</f>
        <v>7188</v>
      </c>
      <c r="T13" s="106">
        <f>ROUND(SUMIFS(ESS전력량!G:G,ESS전력량!B:B,P:P,ESS전력량!C:C,R:R)*SUMIFS(라인별전력적용비율!F:F,라인별전력적용비율!B:B,P:P,라인별전력적용비율!D:D,R:R),0)</f>
        <v>56</v>
      </c>
      <c r="U13" s="106">
        <f>ROUND(SUMIFS(ESS전력량!G:G,ESS전력량!B:B,P:P,ESS전력량!C:C,R:R)*SUMIFS(라인별전력적용비율!G:G,라인별전력적용비율!B:B,P:P,라인별전력적용비율!D:D,R:R),0)</f>
        <v>17609</v>
      </c>
      <c r="V13" s="106">
        <f>ROUND(SUMIFS(ESS전력량!G:G,ESS전력량!B:B,P:P,ESS전력량!C:C,R:R)*SUMIFS(라인별전력적용비율!H:H,라인별전력적용비율!B:B,P:P,라인별전력적용비율!D:D,R:R),0)</f>
        <v>31667</v>
      </c>
      <c r="W13" s="106">
        <f>ROUND(SUMIFS(ESS전력량!G:G,ESS전력량!B:B,P:P,ESS전력량!C:C,R:R)*SUMIFS(라인별전력적용비율!I:I,라인별전력적용비율!B:B,P:P,라인별전력적용비율!D:D,R:R),0)</f>
        <v>71739</v>
      </c>
      <c r="X13" s="106">
        <f>ROUND(SUMIFS(ESS전력량!G:G,ESS전력량!B:B,P:P,ESS전력량!C:C,R:R)*SUMIFS(라인별전력적용비율!J:J,라인별전력적용비율!B:B,P:P,라인별전력적용비율!D:D,R:R),0)</f>
        <v>53313</v>
      </c>
      <c r="Y13" s="106">
        <f>ROUND(SUMIFS(ESS전력량!G:G,ESS전력량!B:B,P:P,ESS전력량!C:C,R:R)*SUMIFS(라인별전력적용비율!K:K,라인별전력적용비율!B:B,P:P,라인별전력적용비율!D:D,R:R),0)</f>
        <v>1646</v>
      </c>
      <c r="AA13" s="106">
        <f t="shared" si="0"/>
        <v>183218</v>
      </c>
    </row>
    <row r="14" spans="1:27">
      <c r="A14" s="106" t="s">
        <v>213</v>
      </c>
      <c r="B14" s="106" t="s">
        <v>26</v>
      </c>
      <c r="C14" s="158" t="s">
        <v>363</v>
      </c>
      <c r="D14" s="106" t="s">
        <v>9</v>
      </c>
      <c r="E14" s="106">
        <f>ROUND(SUMIFS(본전력량!G:G,본전력량!B:B,B:B,본전력량!C:C,D:D)*SUMIFS(라인별전력적용비율!E:E,라인별전력적용비율!B:B,B:B,라인별전력적용비율!D:D,D:D)-S14,0)</f>
        <v>126349</v>
      </c>
      <c r="F14" s="106">
        <f>ROUND(SUMIFS(본전력량!G:G,본전력량!B:B,B:B,본전력량!C:C,D:D)*SUMIFS(라인별전력적용비율!F:F,라인별전력적용비율!B:B,B:B,라인별전력적용비율!D:D,D:D)-T14,0)</f>
        <v>2683</v>
      </c>
      <c r="G14" s="106">
        <f>ROUND(SUMIFS(본전력량!G:G,본전력량!B:B,B:B,본전력량!C:C,D:D)*SUMIFS(라인별전력적용비율!G:G,라인별전력적용비율!B:B,B:B,라인별전력적용비율!D:D,D:D)-U14,0)</f>
        <v>323621</v>
      </c>
      <c r="H14" s="183">
        <f>ROUND(SUMIFS(본전력량!G:G,본전력량!B:B,B:B,본전력량!C:C,D:D)*SUMIFS(라인별전력적용비율!H:H,라인별전력적용비율!B:B,B:B,라인별전력적용비율!D:D,D:D)-V14+SUMIFS(신설본전력량!G:G,신설본전력량!B:B,B:B,신설본전력량!C:C,D:D),0)</f>
        <v>367574</v>
      </c>
      <c r="I14" s="106">
        <f>ROUND(SUMIFS(본전력량!G:G,본전력량!B:B,B:B,본전력량!C:C,D:D)*SUMIFS(라인별전력적용비율!I:I,라인별전력적용비율!B:B,B:B,라인별전력적용비율!D:D,D:D)-W14,0)</f>
        <v>716531</v>
      </c>
      <c r="J14" s="106">
        <f>ROUND(SUMIFS(본전력량!G:G,본전력량!B:B,B:B,본전력량!C:C,D:D)*SUMIFS(라인별전력적용비율!J:J,라인별전력적용비율!B:B,B:B,라인별전력적용비율!D:D,D:D)-X14,0)</f>
        <v>493900</v>
      </c>
      <c r="K14" s="106">
        <f>ROUND(SUMIFS(본전력량!G:G,본전력량!B:B,B:B,본전력량!C:C,D:D)*SUMIFS(라인별전력적용비율!K:K,라인별전력적용비율!B:B,B:B,라인별전력적용비율!D:D,D:D)-Y14,0)</f>
        <v>17023</v>
      </c>
      <c r="M14" s="183">
        <f>SUM(E14:L14)</f>
        <v>2047681</v>
      </c>
      <c r="O14" s="106" t="s">
        <v>216</v>
      </c>
      <c r="P14" s="106" t="s">
        <v>26</v>
      </c>
      <c r="Q14" s="158" t="s">
        <v>363</v>
      </c>
      <c r="R14" s="106" t="s">
        <v>9</v>
      </c>
      <c r="S14" s="106">
        <f>ROUND(SUMIFS(ESS전력량!G:G,ESS전력량!B:B,P:P,ESS전력량!C:C,R:R)*SUMIFS(라인별전력적용비율!E:E,라인별전력적용비율!B:B,P:P,라인별전력적용비율!D:D,R:R),0)</f>
        <v>10126</v>
      </c>
      <c r="T14" s="106">
        <f>ROUND(SUMIFS(ESS전력량!G:G,ESS전력량!B:B,P:P,ESS전력량!C:C,R:R)*SUMIFS(라인별전력적용비율!F:F,라인별전력적용비율!B:B,P:P,라인별전력적용비율!D:D,R:R),0)</f>
        <v>215</v>
      </c>
      <c r="U14" s="106">
        <f>ROUND(SUMIFS(ESS전력량!G:G,ESS전력량!B:B,P:P,ESS전력량!C:C,R:R)*SUMIFS(라인별전력적용비율!G:G,라인별전력적용비율!B:B,P:P,라인별전력적용비율!D:D,R:R),0)</f>
        <v>25937</v>
      </c>
      <c r="V14" s="106">
        <f>ROUND(SUMIFS(ESS전력량!G:G,ESS전력량!B:B,P:P,ESS전력량!C:C,R:R)*SUMIFS(라인별전력적용비율!H:H,라인별전력적용비율!B:B,P:P,라인별전력적용비율!D:D,R:R),0)</f>
        <v>29121</v>
      </c>
      <c r="W14" s="106">
        <f>ROUND(SUMIFS(ESS전력량!G:G,ESS전력량!B:B,P:P,ESS전력량!C:C,R:R)*SUMIFS(라인별전력적용비율!I:I,라인별전력적용비율!B:B,P:P,라인별전력적용비율!D:D,R:R),0)</f>
        <v>57427</v>
      </c>
      <c r="X14" s="106">
        <f>ROUND(SUMIFS(ESS전력량!G:G,ESS전력량!B:B,P:P,ESS전력량!C:C,R:R)*SUMIFS(라인별전력적용비율!J:J,라인별전력적용비율!B:B,P:P,라인별전력적용비율!D:D,R:R),0)</f>
        <v>39584</v>
      </c>
      <c r="Y14" s="106">
        <f>ROUND(SUMIFS(ESS전력량!G:G,ESS전력량!B:B,P:P,ESS전력량!C:C,R:R)*SUMIFS(라인별전력적용비율!K:K,라인별전력적용비율!B:B,P:P,라인별전력적용비율!D:D,R:R),0)</f>
        <v>1364</v>
      </c>
      <c r="Z14" s="183">
        <v>1</v>
      </c>
      <c r="AA14" s="106">
        <f>(SUM(S14:Z14))</f>
        <v>163775</v>
      </c>
    </row>
    <row r="15" spans="1:27">
      <c r="A15" s="106" t="s">
        <v>213</v>
      </c>
      <c r="B15" s="106" t="s">
        <v>26</v>
      </c>
      <c r="C15" s="158" t="s">
        <v>363</v>
      </c>
      <c r="D15" s="106" t="s">
        <v>13</v>
      </c>
      <c r="E15" s="183">
        <f>ROUND(SUMIFS(본전력량!G:G,본전력량!B:B,B:B,본전력량!C:C,D:D)*SUMIFS(라인별전력적용비율!E:E,라인별전력적용비율!B:B,B:B,라인별전력적용비율!D:D,D:D)-S15,0)</f>
        <v>229102</v>
      </c>
      <c r="F15" s="183">
        <f>ROUND(SUMIFS(본전력량!G:G,본전력량!B:B,B:B,본전력량!C:C,D:D)*SUMIFS(라인별전력적용비율!F:F,라인별전력적용비율!B:B,B:B,라인별전력적용비율!D:D,D:D)-T15,0)</f>
        <v>1565</v>
      </c>
      <c r="G15" s="183">
        <f>ROUND(SUMIFS(본전력량!G:G,본전력량!B:B,B:B,본전력량!C:C,D:D)*SUMIFS(라인별전력적용비율!G:G,라인별전력적용비율!B:B,B:B,라인별전력적용비율!D:D,D:D)-U15,0)</f>
        <v>541491</v>
      </c>
      <c r="H15" s="183">
        <f>ROUND(SUMIFS(본전력량!G:G,본전력량!B:B,B:B,본전력량!C:C,D:D)*SUMIFS(라인별전력적용비율!H:H,라인별전력적용비율!B:B,B:B,라인별전력적용비율!D:D,D:D)-V15+SUMIFS(신설본전력량!G:G,신설본전력량!B:B,B:B,신설본전력량!C:C,D:D),0)</f>
        <v>990710</v>
      </c>
      <c r="I15" s="183">
        <f>ROUND(SUMIFS(본전력량!G:G,본전력량!B:B,B:B,본전력량!C:C,D:D)*SUMIFS(라인별전력적용비율!I:I,라인별전력적용비율!B:B,B:B,라인별전력적용비율!D:D,D:D)-W15,0)</f>
        <v>574587</v>
      </c>
      <c r="J15" s="183">
        <f>ROUND(SUMIFS(본전력량!G:G,본전력량!B:B,B:B,본전력량!C:C,D:D)*SUMIFS(라인별전력적용비율!J:J,라인별전력적용비율!B:B,B:B,라인별전력적용비율!D:D,D:D)-X15,0)</f>
        <v>457163</v>
      </c>
      <c r="K15" s="183">
        <f>ROUND(SUMIFS(본전력량!G:G,본전력량!B:B,B:B,본전력량!C:C,D:D)*SUMIFS(라인별전력적용비율!K:K,라인별전력적용비율!B:B,B:B,라인별전력적용비율!D:D,D:D)-Y15,0)</f>
        <v>11852</v>
      </c>
      <c r="L15" s="183">
        <v>1</v>
      </c>
      <c r="M15" s="106">
        <f>SUM(E15:L15)</f>
        <v>2806471</v>
      </c>
      <c r="O15" s="106" t="s">
        <v>216</v>
      </c>
      <c r="P15" s="106" t="s">
        <v>26</v>
      </c>
      <c r="Q15" s="158" t="s">
        <v>363</v>
      </c>
      <c r="R15" s="106" t="s">
        <v>13</v>
      </c>
      <c r="S15" s="183">
        <f>ROUND(SUMIFS(ESS전력량!G:G,ESS전력량!B:B,P:P,ESS전력량!C:C,R:R)*SUMIFS(라인별전력적용비율!E:E,라인별전력적용비율!B:B,P:P,라인별전력적용비율!D:D,R:R),0)</f>
        <v>14722</v>
      </c>
      <c r="T15" s="183">
        <f>ROUND(SUMIFS(ESS전력량!G:G,ESS전력량!B:B,P:P,ESS전력량!C:C,R:R)*SUMIFS(라인별전력적용비율!F:F,라인별전력적용비율!B:B,P:P,라인별전력적용비율!D:D,R:R),0)</f>
        <v>101</v>
      </c>
      <c r="U15" s="183">
        <f>ROUND(SUMIFS(ESS전력량!G:G,ESS전력량!B:B,P:P,ESS전력량!C:C,R:R)*SUMIFS(라인별전력적용비율!G:G,라인별전력적용비율!B:B,P:P,라인별전력적용비율!D:D,R:R),0)</f>
        <v>34797</v>
      </c>
      <c r="V15" s="183">
        <f>ROUND(SUMIFS(ESS전력량!G:G,ESS전력량!B:B,P:P,ESS전력량!C:C,R:R)*SUMIFS(라인별전력적용비율!H:H,라인별전력적용비율!B:B,P:P,라인별전력적용비율!D:D,R:R),0)</f>
        <v>35999</v>
      </c>
      <c r="W15" s="183">
        <f>ROUND(SUMIFS(ESS전력량!G:G,ESS전력량!B:B,P:P,ESS전력량!C:C,R:R)*SUMIFS(라인별전력적용비율!I:I,라인별전력적용비율!B:B,P:P,라인별전력적용비율!D:D,R:R),0)</f>
        <v>36923</v>
      </c>
      <c r="X15" s="183">
        <f>ROUND(SUMIFS(ESS전력량!G:G,ESS전력량!B:B,P:P,ESS전력량!C:C,R:R)*SUMIFS(라인별전력적용비율!J:J,라인별전력적용비율!B:B,P:P,라인별전력적용비율!D:D,R:R),0)</f>
        <v>29378</v>
      </c>
      <c r="Y15" s="183">
        <f>ROUND(SUMIFS(ESS전력량!G:G,ESS전력량!B:B,P:P,ESS전력량!C:C,R:R)*SUMIFS(라인별전력적용비율!K:K,라인별전력적용비율!B:B,P:P,라인별전력적용비율!D:D,R:R),0)</f>
        <v>762</v>
      </c>
      <c r="Z15" s="183">
        <v>-1</v>
      </c>
      <c r="AA15" s="183">
        <f t="shared" ref="AA15:AA25" si="2">(SUM(S15:Z15))</f>
        <v>152681</v>
      </c>
    </row>
    <row r="16" spans="1:27">
      <c r="A16" s="106" t="s">
        <v>213</v>
      </c>
      <c r="B16" s="106" t="s">
        <v>26</v>
      </c>
      <c r="C16" s="158" t="s">
        <v>363</v>
      </c>
      <c r="D16" s="106" t="s">
        <v>14</v>
      </c>
      <c r="E16" s="183">
        <f>ROUND(SUMIFS(본전력량!G:G,본전력량!B:B,B:B,본전력량!C:C,D:D)*SUMIFS(라인별전력적용비율!E:E,라인별전력적용비율!B:B,B:B,라인별전력적용비율!D:D,D:D)-S16,0)</f>
        <v>179604</v>
      </c>
      <c r="F16" s="183">
        <f>ROUND(SUMIFS(본전력량!G:G,본전력량!B:B,B:B,본전력량!C:C,D:D)*SUMIFS(라인별전력적용비율!F:F,라인별전력적용비율!B:B,B:B,라인별전력적용비율!D:D,D:D)-T16,0)</f>
        <v>61017</v>
      </c>
      <c r="G16" s="183">
        <f>ROUND(SUMIFS(본전력량!G:G,본전력량!B:B,B:B,본전력량!C:C,D:D)*SUMIFS(라인별전력적용비율!G:G,라인별전력적용비율!B:B,B:B,라인별전력적용비율!D:D,D:D)-U16,0)</f>
        <v>1582857</v>
      </c>
      <c r="H16" s="183">
        <f>ROUND(SUMIFS(본전력량!G:G,본전력량!B:B,B:B,본전력량!C:C,D:D)*SUMIFS(라인별전력적용비율!H:H,라인별전력적용비율!B:B,B:B,라인별전력적용비율!D:D,D:D)-V16+SUMIFS(신설본전력량!G:G,신설본전력량!B:B,B:B,신설본전력량!C:C,D:D),0)</f>
        <v>2471312</v>
      </c>
      <c r="I16" s="183">
        <f>ROUND(SUMIFS(본전력량!G:G,본전력량!B:B,B:B,본전력량!C:C,D:D)*SUMIFS(라인별전력적용비율!I:I,라인별전력적용비율!B:B,B:B,라인별전력적용비율!D:D,D:D)-W16,0)</f>
        <v>916630</v>
      </c>
      <c r="J16" s="183">
        <f>ROUND(SUMIFS(본전력량!G:G,본전력량!B:B,B:B,본전력량!C:C,D:D)*SUMIFS(라인별전력적용비율!J:J,라인별전력적용비율!B:B,B:B,라인별전력적용비율!D:D,D:D)-X16,0)</f>
        <v>677578</v>
      </c>
      <c r="K16" s="183">
        <f>ROUND(SUMIFS(본전력량!G:G,본전력량!B:B,B:B,본전력량!C:C,D:D)*SUMIFS(라인별전력적용비율!K:K,라인별전력적용비율!B:B,B:B,라인별전력적용비율!D:D,D:D)-Y16,0)</f>
        <v>23674</v>
      </c>
      <c r="L16" s="183">
        <v>-2</v>
      </c>
      <c r="M16" s="183">
        <f t="shared" ref="M16:M25" si="3">SUM(E16:L16)</f>
        <v>5912670</v>
      </c>
      <c r="O16" s="106" t="s">
        <v>216</v>
      </c>
      <c r="P16" s="106" t="s">
        <v>26</v>
      </c>
      <c r="Q16" s="158" t="s">
        <v>363</v>
      </c>
      <c r="R16" s="106" t="s">
        <v>14</v>
      </c>
      <c r="S16" s="183">
        <f>ROUND(SUMIFS(ESS전력량!G:G,ESS전력량!B:B,P:P,ESS전력량!C:C,R:R)*SUMIFS(라인별전력적용비율!E:E,라인별전력적용비율!B:B,P:P,라인별전력적용비율!D:D,R:R),0)</f>
        <v>6654</v>
      </c>
      <c r="T16" s="183">
        <f>ROUND(SUMIFS(ESS전력량!G:G,ESS전력량!B:B,P:P,ESS전력량!C:C,R:R)*SUMIFS(라인별전력적용비율!F:F,라인별전력적용비율!B:B,P:P,라인별전력적용비율!D:D,R:R),0)</f>
        <v>2260</v>
      </c>
      <c r="U16" s="183">
        <f>ROUND(SUMIFS(ESS전력량!G:G,ESS전력량!B:B,P:P,ESS전력량!C:C,R:R)*SUMIFS(라인별전력적용비율!G:G,라인별전력적용비율!B:B,P:P,라인별전력적용비율!D:D,R:R),0)</f>
        <v>58639</v>
      </c>
      <c r="V16" s="183">
        <f>ROUND(SUMIFS(ESS전력량!G:G,ESS전력량!B:B,P:P,ESS전력량!C:C,R:R)*SUMIFS(라인별전력적용비율!H:H,라인별전력적용비율!B:B,P:P,라인별전력적용비율!D:D,R:R),0)</f>
        <v>68557</v>
      </c>
      <c r="W16" s="183">
        <f>ROUND(SUMIFS(ESS전력량!G:G,ESS전력량!B:B,P:P,ESS전력량!C:C,R:R)*SUMIFS(라인별전력적용비율!I:I,라인별전력적용비율!B:B,P:P,라인별전력적용비율!D:D,R:R),0)</f>
        <v>33958</v>
      </c>
      <c r="X16" s="183">
        <f>ROUND(SUMIFS(ESS전력량!G:G,ESS전력량!B:B,P:P,ESS전력량!C:C,R:R)*SUMIFS(라인별전력적용비율!J:J,라인별전력적용비율!B:B,P:P,라인별전력적용비율!D:D,R:R),0)</f>
        <v>25102</v>
      </c>
      <c r="Y16" s="183">
        <f>ROUND(SUMIFS(ESS전력량!G:G,ESS전력량!B:B,P:P,ESS전력량!C:C,R:R)*SUMIFS(라인별전력적용비율!K:K,라인별전력적용비율!B:B,P:P,라인별전력적용비율!D:D,R:R),0)</f>
        <v>877</v>
      </c>
      <c r="Z16" s="183">
        <v>0</v>
      </c>
      <c r="AA16" s="183">
        <f t="shared" si="2"/>
        <v>196047</v>
      </c>
    </row>
    <row r="17" spans="1:27">
      <c r="A17" s="106" t="s">
        <v>213</v>
      </c>
      <c r="B17" s="106" t="s">
        <v>26</v>
      </c>
      <c r="C17" s="158" t="s">
        <v>259</v>
      </c>
      <c r="D17" s="106" t="s">
        <v>15</v>
      </c>
      <c r="E17" s="183">
        <f>ROUND(SUMIFS(본전력량!G:G,본전력량!B:B,B:B,본전력량!C:C,D:D)*SUMIFS(라인별전력적용비율!E:E,라인별전력적용비율!B:B,B:B,라인별전력적용비율!D:D,D:D)-S17,0)</f>
        <v>289660</v>
      </c>
      <c r="F17" s="183">
        <f>ROUND(SUMIFS(본전력량!G:G,본전력량!B:B,B:B,본전력량!C:C,D:D)*SUMIFS(라인별전력적용비율!F:F,라인별전력적용비율!B:B,B:B,라인별전력적용비율!D:D,D:D)-T17,0)</f>
        <v>56987</v>
      </c>
      <c r="G17" s="183">
        <f>ROUND(SUMIFS(본전력량!G:G,본전력량!B:B,B:B,본전력량!C:C,D:D)*SUMIFS(라인별전력적용비율!G:G,라인별전력적용비율!B:B,B:B,라인별전력적용비율!D:D,D:D)-U17,0)</f>
        <v>1826294</v>
      </c>
      <c r="H17" s="183">
        <f>ROUND(SUMIFS(본전력량!G:G,본전력량!B:B,B:B,본전력량!C:C,D:D)*SUMIFS(라인별전력적용비율!H:H,라인별전력적용비율!B:B,B:B,라인별전력적용비율!D:D,D:D)-V17+SUMIFS(신설본전력량!G:G,신설본전력량!B:B,B:B,신설본전력량!C:C,D:D),0)</f>
        <v>2227614</v>
      </c>
      <c r="I17" s="183">
        <f>ROUND(SUMIFS(본전력량!G:G,본전력량!B:B,B:B,본전력량!C:C,D:D)*SUMIFS(라인별전력적용비율!I:I,라인별전력적용비율!B:B,B:B,라인별전력적용비율!D:D,D:D)-W17,0)</f>
        <v>759683</v>
      </c>
      <c r="J17" s="183">
        <f>ROUND(SUMIFS(본전력량!G:G,본전력량!B:B,B:B,본전력량!C:C,D:D)*SUMIFS(라인별전력적용비율!J:J,라인별전력적용비율!B:B,B:B,라인별전력적용비율!D:D,D:D)-X17,0)</f>
        <v>581438</v>
      </c>
      <c r="K17" s="183">
        <f>ROUND(SUMIFS(본전력량!G:G,본전력량!B:B,B:B,본전력량!C:C,D:D)*SUMIFS(라인별전력적용비율!K:K,라인별전력적용비율!B:B,B:B,라인별전력적용비율!D:D,D:D)-Y17,0)</f>
        <v>18026</v>
      </c>
      <c r="L17" s="183">
        <v>-1</v>
      </c>
      <c r="M17" s="183">
        <f t="shared" si="3"/>
        <v>5759701</v>
      </c>
      <c r="O17" s="106" t="s">
        <v>216</v>
      </c>
      <c r="P17" s="106" t="s">
        <v>26</v>
      </c>
      <c r="Q17" s="158" t="s">
        <v>259</v>
      </c>
      <c r="R17" s="106" t="s">
        <v>15</v>
      </c>
      <c r="S17" s="183">
        <f>ROUND(SUMIFS(ESS전력량!G:G,ESS전력량!B:B,P:P,ESS전력량!C:C,R:R)*SUMIFS(라인별전력적용비율!E:E,라인별전력적용비율!B:B,P:P,라인별전력적용비율!D:D,R:R),0)</f>
        <v>10739</v>
      </c>
      <c r="T17" s="183">
        <f>ROUND(SUMIFS(ESS전력량!G:G,ESS전력량!B:B,P:P,ESS전력량!C:C,R:R)*SUMIFS(라인별전력적용비율!F:F,라인별전력적용비율!B:B,P:P,라인별전력적용비율!D:D,R:R),0)</f>
        <v>2113</v>
      </c>
      <c r="U17" s="183">
        <f>ROUND(SUMIFS(ESS전력량!G:G,ESS전력량!B:B,P:P,ESS전력량!C:C,R:R)*SUMIFS(라인별전력적용비율!G:G,라인별전력적용비율!B:B,P:P,라인별전력적용비율!D:D,R:R),0)</f>
        <v>67706</v>
      </c>
      <c r="V17" s="183">
        <f>ROUND(SUMIFS(ESS전력량!G:G,ESS전력량!B:B,P:P,ESS전력량!C:C,R:R)*SUMIFS(라인별전력적용비율!H:H,라인별전력적용비율!B:B,P:P,라인별전력적용비율!D:D,R:R),0)</f>
        <v>64424</v>
      </c>
      <c r="W17" s="183">
        <f>ROUND(SUMIFS(ESS전력량!G:G,ESS전력량!B:B,P:P,ESS전력량!C:C,R:R)*SUMIFS(라인별전력적용비율!I:I,라인별전력적용비율!B:B,P:P,라인별전력적용비율!D:D,R:R),0)</f>
        <v>28164</v>
      </c>
      <c r="X17" s="183">
        <f>ROUND(SUMIFS(ESS전력량!G:G,ESS전력량!B:B,P:P,ESS전력량!C:C,R:R)*SUMIFS(라인별전력적용비율!J:J,라인별전력적용비율!B:B,P:P,라인별전력적용비율!D:D,R:R),0)</f>
        <v>21556</v>
      </c>
      <c r="Y17" s="183">
        <f>ROUND(SUMIFS(ESS전력량!G:G,ESS전력량!B:B,P:P,ESS전력량!C:C,R:R)*SUMIFS(라인별전력적용비율!K:K,라인별전력적용비율!B:B,P:P,라인별전력적용비율!D:D,R:R),0)</f>
        <v>668</v>
      </c>
      <c r="Z17" s="183">
        <v>0</v>
      </c>
      <c r="AA17" s="183">
        <f t="shared" si="2"/>
        <v>195370</v>
      </c>
    </row>
    <row r="18" spans="1:27">
      <c r="A18" s="106" t="s">
        <v>213</v>
      </c>
      <c r="B18" s="106" t="s">
        <v>26</v>
      </c>
      <c r="C18" s="158" t="s">
        <v>259</v>
      </c>
      <c r="D18" s="106" t="s">
        <v>16</v>
      </c>
      <c r="E18" s="183">
        <f>ROUND(SUMIFS(본전력량!G:G,본전력량!B:B,B:B,본전력량!C:C,D:D)*SUMIFS(라인별전력적용비율!E:E,라인별전력적용비율!B:B,B:B,라인별전력적용비율!D:D,D:D)-S18,0)</f>
        <v>427296</v>
      </c>
      <c r="F18" s="183">
        <f>ROUND(SUMIFS(본전력량!G:G,본전력량!B:B,B:B,본전력량!C:C,D:D)*SUMIFS(라인별전력적용비율!F:F,라인별전력적용비율!B:B,B:B,라인별전력적용비율!D:D,D:D)-T18,0)</f>
        <v>61780</v>
      </c>
      <c r="G18" s="183">
        <f>ROUND(SUMIFS(본전력량!G:G,본전력량!B:B,B:B,본전력량!C:C,D:D)*SUMIFS(라인별전력적용비율!G:G,라인별전력적용비율!B:B,B:B,라인별전력적용비율!D:D,D:D)-U18,0)</f>
        <v>1818057</v>
      </c>
      <c r="H18" s="183">
        <f>ROUND(SUMIFS(본전력량!G:G,본전력량!B:B,B:B,본전력량!C:C,D:D)*SUMIFS(라인별전력적용비율!H:H,라인별전력적용비율!B:B,B:B,라인별전력적용비율!D:D,D:D)-V18+SUMIFS(신설본전력량!G:G,신설본전력량!B:B,B:B,신설본전력량!C:C,D:D),0)</f>
        <v>2387475</v>
      </c>
      <c r="I18" s="183">
        <f>ROUND(SUMIFS(본전력량!G:G,본전력량!B:B,B:B,본전력량!C:C,D:D)*SUMIFS(라인별전력적용비율!I:I,라인별전력적용비율!B:B,B:B,라인별전력적용비율!D:D,D:D)-W18,0)</f>
        <v>779841</v>
      </c>
      <c r="J18" s="183">
        <f>ROUND(SUMIFS(본전력량!G:G,본전력량!B:B,B:B,본전력량!C:C,D:D)*SUMIFS(라인별전력적용비율!J:J,라인별전력적용비율!B:B,B:B,라인별전력적용비율!D:D,D:D)-X18,0)</f>
        <v>568517</v>
      </c>
      <c r="K18" s="183">
        <f>ROUND(SUMIFS(본전력량!G:G,본전력량!B:B,B:B,본전력량!C:C,D:D)*SUMIFS(라인별전력적용비율!K:K,라인별전력적용비율!B:B,B:B,라인별전력적용비율!D:D,D:D)-Y18,0)</f>
        <v>15253</v>
      </c>
      <c r="L18" s="183">
        <v>1</v>
      </c>
      <c r="M18" s="183">
        <f t="shared" si="3"/>
        <v>6058220</v>
      </c>
      <c r="O18" s="106" t="s">
        <v>216</v>
      </c>
      <c r="P18" s="106" t="s">
        <v>26</v>
      </c>
      <c r="Q18" s="158" t="s">
        <v>259</v>
      </c>
      <c r="R18" s="106" t="s">
        <v>16</v>
      </c>
      <c r="S18" s="183">
        <f>ROUND(SUMIFS(ESS전력량!G:G,ESS전력량!B:B,P:P,ESS전력량!C:C,R:R)*SUMIFS(라인별전력적용비율!E:E,라인별전력적용비율!B:B,P:P,라인별전력적용비율!D:D,R:R),0)</f>
        <v>14209</v>
      </c>
      <c r="T18" s="183">
        <f>ROUND(SUMIFS(ESS전력량!G:G,ESS전력량!B:B,P:P,ESS전력량!C:C,R:R)*SUMIFS(라인별전력적용비율!F:F,라인별전력적용비율!B:B,P:P,라인별전력적용비율!D:D,R:R),0)</f>
        <v>2054</v>
      </c>
      <c r="U18" s="183">
        <f>ROUND(SUMIFS(ESS전력량!G:G,ESS전력량!B:B,P:P,ESS전력량!C:C,R:R)*SUMIFS(라인별전력적용비율!G:G,라인별전력적용비율!B:B,P:P,라인별전력적용비율!D:D,R:R),0)</f>
        <v>60454</v>
      </c>
      <c r="V18" s="183">
        <f>ROUND(SUMIFS(ESS전력량!G:G,ESS전력량!B:B,P:P,ESS전력량!C:C,R:R)*SUMIFS(라인별전력적용비율!H:H,라인별전력적용비율!B:B,P:P,라인별전력적용비율!D:D,R:R),0)</f>
        <v>57321</v>
      </c>
      <c r="W18" s="183">
        <f>ROUND(SUMIFS(ESS전력량!G:G,ESS전력량!B:B,P:P,ESS전력량!C:C,R:R)*SUMIFS(라인별전력적용비율!I:I,라인별전력적용비율!B:B,P:P,라인별전력적용비율!D:D,R:R),0)</f>
        <v>25931</v>
      </c>
      <c r="X18" s="183">
        <f>ROUND(SUMIFS(ESS전력량!G:G,ESS전력량!B:B,P:P,ESS전력량!C:C,R:R)*SUMIFS(라인별전력적용비율!J:J,라인별전력적용비율!B:B,P:P,라인별전력적용비율!D:D,R:R),0)</f>
        <v>18904</v>
      </c>
      <c r="Y18" s="183">
        <f>ROUND(SUMIFS(ESS전력량!G:G,ESS전력량!B:B,P:P,ESS전력량!C:C,R:R)*SUMIFS(라인별전력적용비율!K:K,라인별전력적용비율!B:B,P:P,라인별전력적용비율!D:D,R:R),0)</f>
        <v>507</v>
      </c>
      <c r="AA18" s="183">
        <f t="shared" si="2"/>
        <v>179380</v>
      </c>
    </row>
    <row r="19" spans="1:27">
      <c r="A19" s="106" t="s">
        <v>213</v>
      </c>
      <c r="B19" s="106" t="s">
        <v>26</v>
      </c>
      <c r="C19" s="158" t="s">
        <v>259</v>
      </c>
      <c r="D19" s="106" t="s">
        <v>17</v>
      </c>
      <c r="E19" s="183">
        <f>ROUND(SUMIFS(본전력량!G:G,본전력량!B:B,B:B,본전력량!C:C,D:D)*SUMIFS(라인별전력적용비율!E:E,라인별전력적용비율!B:B,B:B,라인별전력적용비율!D:D,D:D)-S19,0)</f>
        <v>320629</v>
      </c>
      <c r="F19" s="183">
        <f>ROUND(SUMIFS(본전력량!G:G,본전력량!B:B,B:B,본전력량!C:C,D:D)*SUMIFS(라인별전력적용비율!F:F,라인별전력적용비율!B:B,B:B,라인별전력적용비율!D:D,D:D)-T19,0)</f>
        <v>61389</v>
      </c>
      <c r="G19" s="183">
        <f>ROUND(SUMIFS(본전력량!G:G,본전력량!B:B,B:B,본전력량!C:C,D:D)*SUMIFS(라인별전력적용비율!G:G,라인별전력적용비율!B:B,B:B,라인별전력적용비율!D:D,D:D)-U19,0)</f>
        <v>1984223</v>
      </c>
      <c r="H19" s="183">
        <f>ROUND(SUMIFS(본전력량!G:G,본전력량!B:B,B:B,본전력량!C:C,D:D)*SUMIFS(라인별전력적용비율!H:H,라인별전력적용비율!B:B,B:B,라인별전력적용비율!D:D,D:D)-V19+SUMIFS(신설본전력량!G:G,신설본전력량!B:B,B:B,신설본전력량!C:C,D:D),0)</f>
        <v>2355818</v>
      </c>
      <c r="I19" s="183">
        <f>ROUND(SUMIFS(본전력량!G:G,본전력량!B:B,B:B,본전력량!C:C,D:D)*SUMIFS(라인별전력적용비율!I:I,라인별전력적용비율!B:B,B:B,라인별전력적용비율!D:D,D:D)-W19,0)</f>
        <v>768857</v>
      </c>
      <c r="J19" s="183">
        <f>ROUND(SUMIFS(본전력량!G:G,본전력량!B:B,B:B,본전력량!C:C,D:D)*SUMIFS(라인별전력적용비율!J:J,라인별전력적용비율!B:B,B:B,라인별전력적용비율!D:D,D:D)-X19,0)</f>
        <v>580304</v>
      </c>
      <c r="K19" s="183">
        <f>ROUND(SUMIFS(본전력량!G:G,본전력량!B:B,B:B,본전력량!C:C,D:D)*SUMIFS(라인별전력적용비율!K:K,라인별전력적용비율!B:B,B:B,라인별전력적용비율!D:D,D:D)-Y19,0)</f>
        <v>16640</v>
      </c>
      <c r="M19" s="183">
        <f t="shared" si="3"/>
        <v>6087860</v>
      </c>
      <c r="O19" s="106" t="s">
        <v>216</v>
      </c>
      <c r="P19" s="106" t="s">
        <v>26</v>
      </c>
      <c r="Q19" s="158" t="s">
        <v>259</v>
      </c>
      <c r="R19" s="106" t="s">
        <v>17</v>
      </c>
      <c r="S19" s="183">
        <f>ROUND(SUMIFS(ESS전력량!G:G,ESS전력량!B:B,P:P,ESS전력량!C:C,R:R)*SUMIFS(라인별전력적용비율!E:E,라인별전력적용비율!B:B,P:P,라인별전력적용비율!D:D,R:R),0)</f>
        <v>11316</v>
      </c>
      <c r="T19" s="183">
        <f>ROUND(SUMIFS(ESS전력량!G:G,ESS전력량!B:B,P:P,ESS전력량!C:C,R:R)*SUMIFS(라인별전력적용비율!F:F,라인별전력적용비율!B:B,P:P,라인별전력적용비율!D:D,R:R),0)</f>
        <v>2167</v>
      </c>
      <c r="U19" s="183">
        <f>ROUND(SUMIFS(ESS전력량!G:G,ESS전력량!B:B,P:P,ESS전력량!C:C,R:R)*SUMIFS(라인별전력적용비율!G:G,라인별전력적용비율!B:B,P:P,라인별전력적용비율!D:D,R:R),0)</f>
        <v>70028</v>
      </c>
      <c r="V19" s="183">
        <f>ROUND(SUMIFS(ESS전력량!G:G,ESS전력량!B:B,P:P,ESS전력량!C:C,R:R)*SUMIFS(라인별전력적용비율!H:H,라인별전력적용비율!B:B,P:P,라인별전력적용비율!D:D,R:R),0)</f>
        <v>60219</v>
      </c>
      <c r="W19" s="183">
        <f>ROUND(SUMIFS(ESS전력량!G:G,ESS전력량!B:B,P:P,ESS전력량!C:C,R:R)*SUMIFS(라인별전력적용비율!I:I,라인별전력적용비율!B:B,P:P,라인별전력적용비율!D:D,R:R),0)</f>
        <v>27135</v>
      </c>
      <c r="X19" s="183">
        <f>ROUND(SUMIFS(ESS전력량!G:G,ESS전력량!B:B,P:P,ESS전력량!C:C,R:R)*SUMIFS(라인별전력적용비율!J:J,라인별전력적용비율!B:B,P:P,라인별전력적용비율!D:D,R:R),0)</f>
        <v>20480</v>
      </c>
      <c r="Y19" s="183">
        <f>ROUND(SUMIFS(ESS전력량!G:G,ESS전력량!B:B,P:P,ESS전력량!C:C,R:R)*SUMIFS(라인별전력적용비율!K:K,라인별전력적용비율!B:B,P:P,라인별전력적용비율!D:D,R:R),0)</f>
        <v>587</v>
      </c>
      <c r="AA19" s="183">
        <f t="shared" si="2"/>
        <v>191932</v>
      </c>
    </row>
    <row r="20" spans="1:27">
      <c r="A20" s="106" t="s">
        <v>213</v>
      </c>
      <c r="B20" s="106" t="s">
        <v>26</v>
      </c>
      <c r="C20" s="158" t="s">
        <v>367</v>
      </c>
      <c r="D20" s="106" t="s">
        <v>18</v>
      </c>
      <c r="E20" s="183" t="e">
        <f>ROUND(SUMIFS(본전력량!G:G,본전력량!B:B,B:B,본전력량!C:C,D:D)*SUMIFS(라인별전력적용비율!E:E,라인별전력적용비율!B:B,B:B,라인별전력적용비율!D:D,D:D)-S20,0)</f>
        <v>#DIV/0!</v>
      </c>
      <c r="F20" s="183">
        <f>ROUND(SUMIFS(본전력량!G:G,본전력량!B:B,B:B,본전력량!C:C,D:D)*SUMIFS(라인별전력적용비율!F:F,라인별전력적용비율!B:B,B:B,라인별전력적용비율!D:D,D:D)-T20,0)</f>
        <v>0</v>
      </c>
      <c r="G20" s="183">
        <f>ROUND(SUMIFS(본전력량!G:G,본전력량!B:B,B:B,본전력량!C:C,D:D)*SUMIFS(라인별전력적용비율!G:G,라인별전력적용비율!B:B,B:B,라인별전력적용비율!D:D,D:D)-U20,0)</f>
        <v>0</v>
      </c>
      <c r="H20" s="183">
        <f>ROUND(SUMIFS(본전력량!G:G,본전력량!B:B,B:B,본전력량!C:C,D:D)*SUMIFS(라인별전력적용비율!H:H,라인별전력적용비율!B:B,B:B,라인별전력적용비율!D:D,D:D)-V20+SUMIFS(신설본전력량!G:G,신설본전력량!B:B,B:B,신설본전력량!C:C,D:D),0)</f>
        <v>0</v>
      </c>
      <c r="I20" s="183">
        <f>ROUND(SUMIFS(본전력량!G:G,본전력량!B:B,B:B,본전력량!C:C,D:D)*SUMIFS(라인별전력적용비율!I:I,라인별전력적용비율!B:B,B:B,라인별전력적용비율!D:D,D:D)-W20,0)</f>
        <v>0</v>
      </c>
      <c r="J20" s="183">
        <f>ROUND(SUMIFS(본전력량!G:G,본전력량!B:B,B:B,본전력량!C:C,D:D)*SUMIFS(라인별전력적용비율!J:J,라인별전력적용비율!B:B,B:B,라인별전력적용비율!D:D,D:D)-X20,0)</f>
        <v>0</v>
      </c>
      <c r="K20" s="183">
        <f>ROUND(SUMIFS(본전력량!G:G,본전력량!B:B,B:B,본전력량!C:C,D:D)*SUMIFS(라인별전력적용비율!K:K,라인별전력적용비율!B:B,B:B,라인별전력적용비율!D:D,D:D)-Y20,0)</f>
        <v>0</v>
      </c>
      <c r="M20" s="183" t="e">
        <f t="shared" si="3"/>
        <v>#DIV/0!</v>
      </c>
      <c r="O20" s="106" t="s">
        <v>216</v>
      </c>
      <c r="P20" s="106" t="s">
        <v>26</v>
      </c>
      <c r="Q20" s="158" t="s">
        <v>367</v>
      </c>
      <c r="R20" s="106" t="s">
        <v>18</v>
      </c>
      <c r="S20" s="183" t="e">
        <f>ROUND(SUMIFS(ESS전력량!G:G,ESS전력량!B:B,P:P,ESS전력량!C:C,R:R)*SUMIFS(라인별전력적용비율!E:E,라인별전력적용비율!B:B,P:P,라인별전력적용비율!D:D,R:R),0)</f>
        <v>#DIV/0!</v>
      </c>
      <c r="T20" s="183">
        <f>ROUND(SUMIFS(ESS전력량!G:G,ESS전력량!B:B,P:P,ESS전력량!C:C,R:R)*SUMIFS(라인별전력적용비율!F:F,라인별전력적용비율!B:B,P:P,라인별전력적용비율!D:D,R:R),0)</f>
        <v>0</v>
      </c>
      <c r="U20" s="183">
        <f>ROUND(SUMIFS(ESS전력량!G:G,ESS전력량!B:B,P:P,ESS전력량!C:C,R:R)*SUMIFS(라인별전력적용비율!G:G,라인별전력적용비율!B:B,P:P,라인별전력적용비율!D:D,R:R),0)</f>
        <v>0</v>
      </c>
      <c r="V20" s="183">
        <f>ROUND(SUMIFS(ESS전력량!G:G,ESS전력량!B:B,P:P,ESS전력량!C:C,R:R)*SUMIFS(라인별전력적용비율!H:H,라인별전력적용비율!B:B,P:P,라인별전력적용비율!D:D,R:R),0)</f>
        <v>0</v>
      </c>
      <c r="W20" s="183">
        <f>ROUND(SUMIFS(ESS전력량!G:G,ESS전력량!B:B,P:P,ESS전력량!C:C,R:R)*SUMIFS(라인별전력적용비율!I:I,라인별전력적용비율!B:B,P:P,라인별전력적용비율!D:D,R:R),0)</f>
        <v>0</v>
      </c>
      <c r="X20" s="183">
        <f>ROUND(SUMIFS(ESS전력량!G:G,ESS전력량!B:B,P:P,ESS전력량!C:C,R:R)*SUMIFS(라인별전력적용비율!J:J,라인별전력적용비율!B:B,P:P,라인별전력적용비율!D:D,R:R),0)</f>
        <v>0</v>
      </c>
      <c r="Y20" s="183">
        <f>ROUND(SUMIFS(ESS전력량!G:G,ESS전력량!B:B,P:P,ESS전력량!C:C,R:R)*SUMIFS(라인별전력적용비율!K:K,라인별전력적용비율!B:B,P:P,라인별전력적용비율!D:D,R:R),0)</f>
        <v>0</v>
      </c>
      <c r="AA20" s="183" t="e">
        <f t="shared" si="2"/>
        <v>#DIV/0!</v>
      </c>
    </row>
    <row r="21" spans="1:27">
      <c r="A21" s="106" t="s">
        <v>213</v>
      </c>
      <c r="B21" s="106" t="s">
        <v>26</v>
      </c>
      <c r="C21" s="158" t="s">
        <v>367</v>
      </c>
      <c r="D21" s="106" t="s">
        <v>19</v>
      </c>
      <c r="E21" s="183" t="e">
        <f>ROUND(SUMIFS(본전력량!G:G,본전력량!B:B,B:B,본전력량!C:C,D:D)*SUMIFS(라인별전력적용비율!E:E,라인별전력적용비율!B:B,B:B,라인별전력적용비율!D:D,D:D)-S21,0)</f>
        <v>#DIV/0!</v>
      </c>
      <c r="F21" s="183">
        <f>ROUND(SUMIFS(본전력량!G:G,본전력량!B:B,B:B,본전력량!C:C,D:D)*SUMIFS(라인별전력적용비율!F:F,라인별전력적용비율!B:B,B:B,라인별전력적용비율!D:D,D:D)-T21,0)</f>
        <v>0</v>
      </c>
      <c r="G21" s="183">
        <f>ROUND(SUMIFS(본전력량!G:G,본전력량!B:B,B:B,본전력량!C:C,D:D)*SUMIFS(라인별전력적용비율!G:G,라인별전력적용비율!B:B,B:B,라인별전력적용비율!D:D,D:D)-U21,0)</f>
        <v>0</v>
      </c>
      <c r="H21" s="183">
        <f>ROUND(SUMIFS(본전력량!G:G,본전력량!B:B,B:B,본전력량!C:C,D:D)*SUMIFS(라인별전력적용비율!H:H,라인별전력적용비율!B:B,B:B,라인별전력적용비율!D:D,D:D)-V21+SUMIFS(신설본전력량!G:G,신설본전력량!B:B,B:B,신설본전력량!C:C,D:D),0)</f>
        <v>0</v>
      </c>
      <c r="I21" s="183">
        <f>ROUND(SUMIFS(본전력량!G:G,본전력량!B:B,B:B,본전력량!C:C,D:D)*SUMIFS(라인별전력적용비율!I:I,라인별전력적용비율!B:B,B:B,라인별전력적용비율!D:D,D:D)-W21,0)</f>
        <v>0</v>
      </c>
      <c r="J21" s="183">
        <f>ROUND(SUMIFS(본전력량!G:G,본전력량!B:B,B:B,본전력량!C:C,D:D)*SUMIFS(라인별전력적용비율!J:J,라인별전력적용비율!B:B,B:B,라인별전력적용비율!D:D,D:D)-X21,0)</f>
        <v>0</v>
      </c>
      <c r="K21" s="183">
        <f>ROUND(SUMIFS(본전력량!G:G,본전력량!B:B,B:B,본전력량!C:C,D:D)*SUMIFS(라인별전력적용비율!K:K,라인별전력적용비율!B:B,B:B,라인별전력적용비율!D:D,D:D)-Y21,0)</f>
        <v>0</v>
      </c>
      <c r="M21" s="183" t="e">
        <f t="shared" si="3"/>
        <v>#DIV/0!</v>
      </c>
      <c r="O21" s="106" t="s">
        <v>216</v>
      </c>
      <c r="P21" s="106" t="s">
        <v>26</v>
      </c>
      <c r="Q21" s="158" t="s">
        <v>367</v>
      </c>
      <c r="R21" s="106" t="s">
        <v>19</v>
      </c>
      <c r="S21" s="183" t="e">
        <f>ROUND(SUMIFS(ESS전력량!G:G,ESS전력량!B:B,P:P,ESS전력량!C:C,R:R)*SUMIFS(라인별전력적용비율!E:E,라인별전력적용비율!B:B,P:P,라인별전력적용비율!D:D,R:R),0)</f>
        <v>#DIV/0!</v>
      </c>
      <c r="T21" s="183">
        <f>ROUND(SUMIFS(ESS전력량!G:G,ESS전력량!B:B,P:P,ESS전력량!C:C,R:R)*SUMIFS(라인별전력적용비율!F:F,라인별전력적용비율!B:B,P:P,라인별전력적용비율!D:D,R:R),0)</f>
        <v>0</v>
      </c>
      <c r="U21" s="183">
        <f>ROUND(SUMIFS(ESS전력량!G:G,ESS전력량!B:B,P:P,ESS전력량!C:C,R:R)*SUMIFS(라인별전력적용비율!G:G,라인별전력적용비율!B:B,P:P,라인별전력적용비율!D:D,R:R),0)</f>
        <v>0</v>
      </c>
      <c r="V21" s="183">
        <f>ROUND(SUMIFS(ESS전력량!G:G,ESS전력량!B:B,P:P,ESS전력량!C:C,R:R)*SUMIFS(라인별전력적용비율!H:H,라인별전력적용비율!B:B,P:P,라인별전력적용비율!D:D,R:R),0)</f>
        <v>0</v>
      </c>
      <c r="W21" s="183">
        <f>ROUND(SUMIFS(ESS전력량!G:G,ESS전력량!B:B,P:P,ESS전력량!C:C,R:R)*SUMIFS(라인별전력적용비율!I:I,라인별전력적용비율!B:B,P:P,라인별전력적용비율!D:D,R:R),0)</f>
        <v>0</v>
      </c>
      <c r="X21" s="183">
        <f>ROUND(SUMIFS(ESS전력량!G:G,ESS전력량!B:B,P:P,ESS전력량!C:C,R:R)*SUMIFS(라인별전력적용비율!J:J,라인별전력적용비율!B:B,P:P,라인별전력적용비율!D:D,R:R),0)</f>
        <v>0</v>
      </c>
      <c r="Y21" s="183">
        <f>ROUND(SUMIFS(ESS전력량!G:G,ESS전력량!B:B,P:P,ESS전력량!C:C,R:R)*SUMIFS(라인별전력적용비율!K:K,라인별전력적용비율!B:B,P:P,라인별전력적용비율!D:D,R:R),0)</f>
        <v>0</v>
      </c>
      <c r="AA21" s="183" t="e">
        <f t="shared" si="2"/>
        <v>#DIV/0!</v>
      </c>
    </row>
    <row r="22" spans="1:27">
      <c r="A22" s="106" t="s">
        <v>213</v>
      </c>
      <c r="B22" s="106" t="s">
        <v>26</v>
      </c>
      <c r="C22" s="158" t="s">
        <v>367</v>
      </c>
      <c r="D22" s="106" t="s">
        <v>20</v>
      </c>
      <c r="E22" s="183" t="e">
        <f>ROUND(SUMIFS(본전력량!G:G,본전력량!B:B,B:B,본전력량!C:C,D:D)*SUMIFS(라인별전력적용비율!E:E,라인별전력적용비율!B:B,B:B,라인별전력적용비율!D:D,D:D)-S22,0)</f>
        <v>#DIV/0!</v>
      </c>
      <c r="F22" s="183">
        <f>ROUND(SUMIFS(본전력량!G:G,본전력량!B:B,B:B,본전력량!C:C,D:D)*SUMIFS(라인별전력적용비율!F:F,라인별전력적용비율!B:B,B:B,라인별전력적용비율!D:D,D:D)-T22,0)</f>
        <v>0</v>
      </c>
      <c r="G22" s="183">
        <f>ROUND(SUMIFS(본전력량!G:G,본전력량!B:B,B:B,본전력량!C:C,D:D)*SUMIFS(라인별전력적용비율!G:G,라인별전력적용비율!B:B,B:B,라인별전력적용비율!D:D,D:D)-U22,0)</f>
        <v>0</v>
      </c>
      <c r="H22" s="183">
        <f>ROUND(SUMIFS(본전력량!G:G,본전력량!B:B,B:B,본전력량!C:C,D:D)*SUMIFS(라인별전력적용비율!H:H,라인별전력적용비율!B:B,B:B,라인별전력적용비율!D:D,D:D)-V22+SUMIFS(신설본전력량!G:G,신설본전력량!B:B,B:B,신설본전력량!C:C,D:D),0)</f>
        <v>0</v>
      </c>
      <c r="I22" s="183">
        <f>ROUND(SUMIFS(본전력량!G:G,본전력량!B:B,B:B,본전력량!C:C,D:D)*SUMIFS(라인별전력적용비율!I:I,라인별전력적용비율!B:B,B:B,라인별전력적용비율!D:D,D:D)-W22,0)</f>
        <v>0</v>
      </c>
      <c r="J22" s="183">
        <f>ROUND(SUMIFS(본전력량!G:G,본전력량!B:B,B:B,본전력량!C:C,D:D)*SUMIFS(라인별전력적용비율!J:J,라인별전력적용비율!B:B,B:B,라인별전력적용비율!D:D,D:D)-X22,0)</f>
        <v>0</v>
      </c>
      <c r="K22" s="183">
        <f>ROUND(SUMIFS(본전력량!G:G,본전력량!B:B,B:B,본전력량!C:C,D:D)*SUMIFS(라인별전력적용비율!K:K,라인별전력적용비율!B:B,B:B,라인별전력적용비율!D:D,D:D)-Y22,0)</f>
        <v>0</v>
      </c>
      <c r="M22" s="183" t="e">
        <f t="shared" si="3"/>
        <v>#DIV/0!</v>
      </c>
      <c r="O22" s="106" t="s">
        <v>216</v>
      </c>
      <c r="P22" s="106" t="s">
        <v>26</v>
      </c>
      <c r="Q22" s="158" t="s">
        <v>367</v>
      </c>
      <c r="R22" s="106" t="s">
        <v>20</v>
      </c>
      <c r="S22" s="183" t="e">
        <f>ROUND(SUMIFS(ESS전력량!G:G,ESS전력량!B:B,P:P,ESS전력량!C:C,R:R)*SUMIFS(라인별전력적용비율!E:E,라인별전력적용비율!B:B,P:P,라인별전력적용비율!D:D,R:R),0)</f>
        <v>#DIV/0!</v>
      </c>
      <c r="T22" s="183">
        <f>ROUND(SUMIFS(ESS전력량!G:G,ESS전력량!B:B,P:P,ESS전력량!C:C,R:R)*SUMIFS(라인별전력적용비율!F:F,라인별전력적용비율!B:B,P:P,라인별전력적용비율!D:D,R:R),0)</f>
        <v>0</v>
      </c>
      <c r="U22" s="183">
        <f>ROUND(SUMIFS(ESS전력량!G:G,ESS전력량!B:B,P:P,ESS전력량!C:C,R:R)*SUMIFS(라인별전력적용비율!G:G,라인별전력적용비율!B:B,P:P,라인별전력적용비율!D:D,R:R),0)</f>
        <v>0</v>
      </c>
      <c r="V22" s="183">
        <f>ROUND(SUMIFS(ESS전력량!G:G,ESS전력량!B:B,P:P,ESS전력량!C:C,R:R)*SUMIFS(라인별전력적용비율!H:H,라인별전력적용비율!B:B,P:P,라인별전력적용비율!D:D,R:R),0)</f>
        <v>0</v>
      </c>
      <c r="W22" s="183">
        <f>ROUND(SUMIFS(ESS전력량!G:G,ESS전력량!B:B,P:P,ESS전력량!C:C,R:R)*SUMIFS(라인별전력적용비율!I:I,라인별전력적용비율!B:B,P:P,라인별전력적용비율!D:D,R:R),0)</f>
        <v>0</v>
      </c>
      <c r="X22" s="183">
        <f>ROUND(SUMIFS(ESS전력량!G:G,ESS전력량!B:B,P:P,ESS전력량!C:C,R:R)*SUMIFS(라인별전력적용비율!J:J,라인별전력적용비율!B:B,P:P,라인별전력적용비율!D:D,R:R),0)</f>
        <v>0</v>
      </c>
      <c r="Y22" s="183">
        <f>ROUND(SUMIFS(ESS전력량!G:G,ESS전력량!B:B,P:P,ESS전력량!C:C,R:R)*SUMIFS(라인별전력적용비율!K:K,라인별전력적용비율!B:B,P:P,라인별전력적용비율!D:D,R:R),0)</f>
        <v>0</v>
      </c>
      <c r="AA22" s="183" t="e">
        <f t="shared" si="2"/>
        <v>#DIV/0!</v>
      </c>
    </row>
    <row r="23" spans="1:27">
      <c r="A23" s="106" t="s">
        <v>213</v>
      </c>
      <c r="B23" s="106" t="s">
        <v>26</v>
      </c>
      <c r="C23" s="158" t="s">
        <v>368</v>
      </c>
      <c r="D23" s="106" t="s">
        <v>21</v>
      </c>
      <c r="E23" s="183" t="e">
        <f>ROUND(SUMIFS(본전력량!G:G,본전력량!B:B,B:B,본전력량!C:C,D:D)*SUMIFS(라인별전력적용비율!E:E,라인별전력적용비율!B:B,B:B,라인별전력적용비율!D:D,D:D)-S23,0)</f>
        <v>#DIV/0!</v>
      </c>
      <c r="F23" s="183">
        <f>ROUND(SUMIFS(본전력량!G:G,본전력량!B:B,B:B,본전력량!C:C,D:D)*SUMIFS(라인별전력적용비율!F:F,라인별전력적용비율!B:B,B:B,라인별전력적용비율!D:D,D:D)-T23,0)</f>
        <v>0</v>
      </c>
      <c r="G23" s="183">
        <f>ROUND(SUMIFS(본전력량!G:G,본전력량!B:B,B:B,본전력량!C:C,D:D)*SUMIFS(라인별전력적용비율!G:G,라인별전력적용비율!B:B,B:B,라인별전력적용비율!D:D,D:D)-U23,0)</f>
        <v>0</v>
      </c>
      <c r="H23" s="183">
        <f>ROUND(SUMIFS(본전력량!G:G,본전력량!B:B,B:B,본전력량!C:C,D:D)*SUMIFS(라인별전력적용비율!H:H,라인별전력적용비율!B:B,B:B,라인별전력적용비율!D:D,D:D)-V23+SUMIFS(신설본전력량!G:G,신설본전력량!B:B,B:B,신설본전력량!C:C,D:D),0)</f>
        <v>0</v>
      </c>
      <c r="I23" s="183">
        <f>ROUND(SUMIFS(본전력량!G:G,본전력량!B:B,B:B,본전력량!C:C,D:D)*SUMIFS(라인별전력적용비율!I:I,라인별전력적용비율!B:B,B:B,라인별전력적용비율!D:D,D:D)-W23,0)</f>
        <v>0</v>
      </c>
      <c r="J23" s="183">
        <f>ROUND(SUMIFS(본전력량!G:G,본전력량!B:B,B:B,본전력량!C:C,D:D)*SUMIFS(라인별전력적용비율!J:J,라인별전력적용비율!B:B,B:B,라인별전력적용비율!D:D,D:D)-X23,0)</f>
        <v>0</v>
      </c>
      <c r="K23" s="183">
        <f>ROUND(SUMIFS(본전력량!G:G,본전력량!B:B,B:B,본전력량!C:C,D:D)*SUMIFS(라인별전력적용비율!K:K,라인별전력적용비율!B:B,B:B,라인별전력적용비율!D:D,D:D)-Y23,0)</f>
        <v>0</v>
      </c>
      <c r="M23" s="183" t="e">
        <f t="shared" si="3"/>
        <v>#DIV/0!</v>
      </c>
      <c r="O23" s="106" t="s">
        <v>216</v>
      </c>
      <c r="P23" s="106" t="s">
        <v>26</v>
      </c>
      <c r="Q23" s="158" t="s">
        <v>368</v>
      </c>
      <c r="R23" s="106" t="s">
        <v>21</v>
      </c>
      <c r="S23" s="183" t="e">
        <f>ROUND(SUMIFS(ESS전력량!G:G,ESS전력량!B:B,P:P,ESS전력량!C:C,R:R)*SUMIFS(라인별전력적용비율!E:E,라인별전력적용비율!B:B,P:P,라인별전력적용비율!D:D,R:R),0)</f>
        <v>#DIV/0!</v>
      </c>
      <c r="T23" s="183">
        <f>ROUND(SUMIFS(ESS전력량!G:G,ESS전력량!B:B,P:P,ESS전력량!C:C,R:R)*SUMIFS(라인별전력적용비율!F:F,라인별전력적용비율!B:B,P:P,라인별전력적용비율!D:D,R:R),0)</f>
        <v>0</v>
      </c>
      <c r="U23" s="183">
        <f>ROUND(SUMIFS(ESS전력량!G:G,ESS전력량!B:B,P:P,ESS전력량!C:C,R:R)*SUMIFS(라인별전력적용비율!G:G,라인별전력적용비율!B:B,P:P,라인별전력적용비율!D:D,R:R),0)</f>
        <v>0</v>
      </c>
      <c r="V23" s="183">
        <f>ROUND(SUMIFS(ESS전력량!G:G,ESS전력량!B:B,P:P,ESS전력량!C:C,R:R)*SUMIFS(라인별전력적용비율!H:H,라인별전력적용비율!B:B,P:P,라인별전력적용비율!D:D,R:R),0)</f>
        <v>0</v>
      </c>
      <c r="W23" s="183">
        <f>ROUND(SUMIFS(ESS전력량!G:G,ESS전력량!B:B,P:P,ESS전력량!C:C,R:R)*SUMIFS(라인별전력적용비율!I:I,라인별전력적용비율!B:B,P:P,라인별전력적용비율!D:D,R:R),0)</f>
        <v>0</v>
      </c>
      <c r="X23" s="183">
        <f>ROUND(SUMIFS(ESS전력량!G:G,ESS전력량!B:B,P:P,ESS전력량!C:C,R:R)*SUMIFS(라인별전력적용비율!J:J,라인별전력적용비율!B:B,P:P,라인별전력적용비율!D:D,R:R),0)</f>
        <v>0</v>
      </c>
      <c r="Y23" s="183">
        <f>ROUND(SUMIFS(ESS전력량!G:G,ESS전력량!B:B,P:P,ESS전력량!C:C,R:R)*SUMIFS(라인별전력적용비율!K:K,라인별전력적용비율!B:B,P:P,라인별전력적용비율!D:D,R:R),0)</f>
        <v>0</v>
      </c>
      <c r="AA23" s="183" t="e">
        <f t="shared" si="2"/>
        <v>#DIV/0!</v>
      </c>
    </row>
    <row r="24" spans="1:27">
      <c r="A24" s="106" t="s">
        <v>213</v>
      </c>
      <c r="B24" s="106" t="s">
        <v>26</v>
      </c>
      <c r="C24" s="158" t="s">
        <v>368</v>
      </c>
      <c r="D24" s="106" t="s">
        <v>22</v>
      </c>
      <c r="E24" s="183" t="e">
        <f>ROUND(SUMIFS(본전력량!G:G,본전력량!B:B,B:B,본전력량!C:C,D:D)*SUMIFS(라인별전력적용비율!E:E,라인별전력적용비율!B:B,B:B,라인별전력적용비율!D:D,D:D)-S24,0)</f>
        <v>#DIV/0!</v>
      </c>
      <c r="F24" s="183">
        <f>ROUND(SUMIFS(본전력량!G:G,본전력량!B:B,B:B,본전력량!C:C,D:D)*SUMIFS(라인별전력적용비율!F:F,라인별전력적용비율!B:B,B:B,라인별전력적용비율!D:D,D:D)-T24,0)</f>
        <v>0</v>
      </c>
      <c r="G24" s="183">
        <f>ROUND(SUMIFS(본전력량!G:G,본전력량!B:B,B:B,본전력량!C:C,D:D)*SUMIFS(라인별전력적용비율!G:G,라인별전력적용비율!B:B,B:B,라인별전력적용비율!D:D,D:D)-U24,0)</f>
        <v>0</v>
      </c>
      <c r="H24" s="183">
        <f>ROUND(SUMIFS(본전력량!G:G,본전력량!B:B,B:B,본전력량!C:C,D:D)*SUMIFS(라인별전력적용비율!H:H,라인별전력적용비율!B:B,B:B,라인별전력적용비율!D:D,D:D)-V24+SUMIFS(신설본전력량!G:G,신설본전력량!B:B,B:B,신설본전력량!C:C,D:D),0)</f>
        <v>0</v>
      </c>
      <c r="I24" s="183">
        <f>ROUND(SUMIFS(본전력량!G:G,본전력량!B:B,B:B,본전력량!C:C,D:D)*SUMIFS(라인별전력적용비율!I:I,라인별전력적용비율!B:B,B:B,라인별전력적용비율!D:D,D:D)-W24,0)</f>
        <v>0</v>
      </c>
      <c r="J24" s="183">
        <f>ROUND(SUMIFS(본전력량!G:G,본전력량!B:B,B:B,본전력량!C:C,D:D)*SUMIFS(라인별전력적용비율!J:J,라인별전력적용비율!B:B,B:B,라인별전력적용비율!D:D,D:D)-X24,0)</f>
        <v>0</v>
      </c>
      <c r="K24" s="183">
        <f>ROUND(SUMIFS(본전력량!G:G,본전력량!B:B,B:B,본전력량!C:C,D:D)*SUMIFS(라인별전력적용비율!K:K,라인별전력적용비율!B:B,B:B,라인별전력적용비율!D:D,D:D)-Y24,0)</f>
        <v>0</v>
      </c>
      <c r="M24" s="183" t="e">
        <f t="shared" si="3"/>
        <v>#DIV/0!</v>
      </c>
      <c r="O24" s="106" t="s">
        <v>216</v>
      </c>
      <c r="P24" s="106" t="s">
        <v>26</v>
      </c>
      <c r="Q24" s="158" t="s">
        <v>368</v>
      </c>
      <c r="R24" s="106" t="s">
        <v>22</v>
      </c>
      <c r="S24" s="183" t="e">
        <f>ROUND(SUMIFS(ESS전력량!G:G,ESS전력량!B:B,P:P,ESS전력량!C:C,R:R)*SUMIFS(라인별전력적용비율!E:E,라인별전력적용비율!B:B,P:P,라인별전력적용비율!D:D,R:R),0)</f>
        <v>#DIV/0!</v>
      </c>
      <c r="T24" s="183">
        <f>ROUND(SUMIFS(ESS전력량!G:G,ESS전력량!B:B,P:P,ESS전력량!C:C,R:R)*SUMIFS(라인별전력적용비율!F:F,라인별전력적용비율!B:B,P:P,라인별전력적용비율!D:D,R:R),0)</f>
        <v>0</v>
      </c>
      <c r="U24" s="183">
        <f>ROUND(SUMIFS(ESS전력량!G:G,ESS전력량!B:B,P:P,ESS전력량!C:C,R:R)*SUMIFS(라인별전력적용비율!G:G,라인별전력적용비율!B:B,P:P,라인별전력적용비율!D:D,R:R),0)</f>
        <v>0</v>
      </c>
      <c r="V24" s="183">
        <f>ROUND(SUMIFS(ESS전력량!G:G,ESS전력량!B:B,P:P,ESS전력량!C:C,R:R)*SUMIFS(라인별전력적용비율!H:H,라인별전력적용비율!B:B,P:P,라인별전력적용비율!D:D,R:R),0)</f>
        <v>0</v>
      </c>
      <c r="W24" s="183">
        <f>ROUND(SUMIFS(ESS전력량!G:G,ESS전력량!B:B,P:P,ESS전력량!C:C,R:R)*SUMIFS(라인별전력적용비율!I:I,라인별전력적용비율!B:B,P:P,라인별전력적용비율!D:D,R:R),0)</f>
        <v>0</v>
      </c>
      <c r="X24" s="183">
        <f>ROUND(SUMIFS(ESS전력량!G:G,ESS전력량!B:B,P:P,ESS전력량!C:C,R:R)*SUMIFS(라인별전력적용비율!J:J,라인별전력적용비율!B:B,P:P,라인별전력적용비율!D:D,R:R),0)</f>
        <v>0</v>
      </c>
      <c r="Y24" s="183">
        <f>ROUND(SUMIFS(ESS전력량!G:G,ESS전력량!B:B,P:P,ESS전력량!C:C,R:R)*SUMIFS(라인별전력적용비율!K:K,라인별전력적용비율!B:B,P:P,라인별전력적용비율!D:D,R:R),0)</f>
        <v>0</v>
      </c>
      <c r="AA24" s="183" t="e">
        <f t="shared" si="2"/>
        <v>#DIV/0!</v>
      </c>
    </row>
    <row r="25" spans="1:27">
      <c r="A25" s="106" t="s">
        <v>213</v>
      </c>
      <c r="B25" s="106" t="s">
        <v>26</v>
      </c>
      <c r="C25" s="158" t="s">
        <v>368</v>
      </c>
      <c r="D25" s="106" t="s">
        <v>23</v>
      </c>
      <c r="E25" s="183" t="e">
        <f>ROUND(SUMIFS(본전력량!G:G,본전력량!B:B,B:B,본전력량!C:C,D:D)*SUMIFS(라인별전력적용비율!E:E,라인별전력적용비율!B:B,B:B,라인별전력적용비율!D:D,D:D)-S25,0)</f>
        <v>#DIV/0!</v>
      </c>
      <c r="F25" s="183">
        <f>ROUND(SUMIFS(본전력량!G:G,본전력량!B:B,B:B,본전력량!C:C,D:D)*SUMIFS(라인별전력적용비율!F:F,라인별전력적용비율!B:B,B:B,라인별전력적용비율!D:D,D:D)-T25,0)</f>
        <v>0</v>
      </c>
      <c r="G25" s="183">
        <f>ROUND(SUMIFS(본전력량!G:G,본전력량!B:B,B:B,본전력량!C:C,D:D)*SUMIFS(라인별전력적용비율!G:G,라인별전력적용비율!B:B,B:B,라인별전력적용비율!D:D,D:D)-U25,0)</f>
        <v>0</v>
      </c>
      <c r="H25" s="183">
        <f>ROUND(SUMIFS(본전력량!G:G,본전력량!B:B,B:B,본전력량!C:C,D:D)*SUMIFS(라인별전력적용비율!H:H,라인별전력적용비율!B:B,B:B,라인별전력적용비율!D:D,D:D)-V25+SUMIFS(신설본전력량!G:G,신설본전력량!B:B,B:B,신설본전력량!C:C,D:D),0)</f>
        <v>0</v>
      </c>
      <c r="I25" s="183">
        <f>ROUND(SUMIFS(본전력량!G:G,본전력량!B:B,B:B,본전력량!C:C,D:D)*SUMIFS(라인별전력적용비율!I:I,라인별전력적용비율!B:B,B:B,라인별전력적용비율!D:D,D:D)-W25,0)</f>
        <v>0</v>
      </c>
      <c r="J25" s="183">
        <f>ROUND(SUMIFS(본전력량!G:G,본전력량!B:B,B:B,본전력량!C:C,D:D)*SUMIFS(라인별전력적용비율!J:J,라인별전력적용비율!B:B,B:B,라인별전력적용비율!D:D,D:D)-X25,0)</f>
        <v>0</v>
      </c>
      <c r="K25" s="183">
        <f>ROUND(SUMIFS(본전력량!G:G,본전력량!B:B,B:B,본전력량!C:C,D:D)*SUMIFS(라인별전력적용비율!K:K,라인별전력적용비율!B:B,B:B,라인별전력적용비율!D:D,D:D)-Y25,0)</f>
        <v>0</v>
      </c>
      <c r="M25" s="183" t="e">
        <f t="shared" si="3"/>
        <v>#DIV/0!</v>
      </c>
      <c r="O25" s="106" t="s">
        <v>216</v>
      </c>
      <c r="P25" s="106" t="s">
        <v>26</v>
      </c>
      <c r="Q25" s="158" t="s">
        <v>368</v>
      </c>
      <c r="R25" s="106" t="s">
        <v>23</v>
      </c>
      <c r="S25" s="183" t="e">
        <f>ROUND(SUMIFS(ESS전력량!G:G,ESS전력량!B:B,P:P,ESS전력량!C:C,R:R)*SUMIFS(라인별전력적용비율!E:E,라인별전력적용비율!B:B,P:P,라인별전력적용비율!D:D,R:R),0)</f>
        <v>#DIV/0!</v>
      </c>
      <c r="T25" s="183">
        <f>ROUND(SUMIFS(ESS전력량!G:G,ESS전력량!B:B,P:P,ESS전력량!C:C,R:R)*SUMIFS(라인별전력적용비율!F:F,라인별전력적용비율!B:B,P:P,라인별전력적용비율!D:D,R:R),0)</f>
        <v>0</v>
      </c>
      <c r="U25" s="183">
        <f>ROUND(SUMIFS(ESS전력량!G:G,ESS전력량!B:B,P:P,ESS전력량!C:C,R:R)*SUMIFS(라인별전력적용비율!G:G,라인별전력적용비율!B:B,P:P,라인별전력적용비율!D:D,R:R),0)</f>
        <v>0</v>
      </c>
      <c r="V25" s="183">
        <f>ROUND(SUMIFS(ESS전력량!G:G,ESS전력량!B:B,P:P,ESS전력량!C:C,R:R)*SUMIFS(라인별전력적용비율!H:H,라인별전력적용비율!B:B,P:P,라인별전력적용비율!D:D,R:R),0)</f>
        <v>0</v>
      </c>
      <c r="W25" s="183">
        <f>ROUND(SUMIFS(ESS전력량!G:G,ESS전력량!B:B,P:P,ESS전력량!C:C,R:R)*SUMIFS(라인별전력적용비율!I:I,라인별전력적용비율!B:B,P:P,라인별전력적용비율!D:D,R:R),0)</f>
        <v>0</v>
      </c>
      <c r="X25" s="183">
        <f>ROUND(SUMIFS(ESS전력량!G:G,ESS전력량!B:B,P:P,ESS전력량!C:C,R:R)*SUMIFS(라인별전력적용비율!J:J,라인별전력적용비율!B:B,P:P,라인별전력적용비율!D:D,R:R),0)</f>
        <v>0</v>
      </c>
      <c r="Y25" s="183">
        <f>ROUND(SUMIFS(ESS전력량!G:G,ESS전력량!B:B,P:P,ESS전력량!C:C,R:R)*SUMIFS(라인별전력적용비율!K:K,라인별전력적용비율!B:B,P:P,라인별전력적용비율!D:D,R:R),0)</f>
        <v>0</v>
      </c>
      <c r="AA25" s="183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Q1" workbookViewId="0">
      <selection activeCell="E19" sqref="E19:AE19"/>
    </sheetView>
  </sheetViews>
  <sheetFormatPr defaultRowHeight="16.5"/>
  <cols>
    <col min="1" max="2" width="9" style="106"/>
    <col min="3" max="3" width="9" style="183"/>
    <col min="4" max="4" width="9" style="106"/>
    <col min="5" max="5" width="9.875" style="106" bestFit="1" customWidth="1"/>
    <col min="6" max="6" width="9.125" style="106" bestFit="1" customWidth="1"/>
    <col min="7" max="10" width="11" style="106" bestFit="1" customWidth="1"/>
    <col min="11" max="11" width="9.125" style="106" bestFit="1" customWidth="1"/>
    <col min="12" max="12" width="9.125" style="183" customWidth="1"/>
    <col min="13" max="13" width="11.375" style="106" customWidth="1"/>
    <col min="14" max="14" width="14.875" style="186" bestFit="1" customWidth="1"/>
    <col min="15" max="15" width="8.375" style="183" customWidth="1"/>
    <col min="16" max="18" width="9" style="106"/>
    <col min="19" max="19" width="9" style="183"/>
    <col min="20" max="27" width="9" style="106"/>
    <col min="28" max="28" width="9" style="183"/>
    <col min="29" max="29" width="9" style="106"/>
    <col min="30" max="30" width="13.625" style="306" bestFit="1" customWidth="1"/>
    <col min="31" max="16384" width="9" style="106"/>
  </cols>
  <sheetData>
    <row r="1" spans="1:31">
      <c r="A1" s="106" t="s">
        <v>94</v>
      </c>
      <c r="B1" s="106" t="s">
        <v>126</v>
      </c>
      <c r="C1" s="183" t="s">
        <v>415</v>
      </c>
      <c r="D1" s="106" t="s">
        <v>212</v>
      </c>
      <c r="E1" s="106" t="s">
        <v>147</v>
      </c>
      <c r="F1" s="106" t="s">
        <v>214</v>
      </c>
      <c r="G1" s="106" t="s">
        <v>148</v>
      </c>
      <c r="H1" s="106" t="s">
        <v>149</v>
      </c>
      <c r="I1" s="106" t="s">
        <v>137</v>
      </c>
      <c r="J1" s="106" t="s">
        <v>138</v>
      </c>
      <c r="K1" s="106" t="s">
        <v>215</v>
      </c>
      <c r="L1" s="183" t="s">
        <v>465</v>
      </c>
      <c r="M1" s="106" t="s">
        <v>145</v>
      </c>
      <c r="Q1" s="106" t="s">
        <v>94</v>
      </c>
      <c r="R1" s="106" t="s">
        <v>126</v>
      </c>
      <c r="S1" s="183" t="s">
        <v>415</v>
      </c>
      <c r="T1" s="106" t="s">
        <v>212</v>
      </c>
      <c r="U1" s="106" t="s">
        <v>147</v>
      </c>
      <c r="V1" s="106" t="s">
        <v>214</v>
      </c>
      <c r="W1" s="106" t="s">
        <v>148</v>
      </c>
      <c r="X1" s="106" t="s">
        <v>149</v>
      </c>
      <c r="Y1" s="106" t="s">
        <v>137</v>
      </c>
      <c r="Z1" s="106" t="s">
        <v>138</v>
      </c>
      <c r="AA1" s="106" t="s">
        <v>215</v>
      </c>
      <c r="AB1" s="183" t="s">
        <v>466</v>
      </c>
      <c r="AC1" s="106" t="s">
        <v>145</v>
      </c>
    </row>
    <row r="2" spans="1:31">
      <c r="A2" s="106" t="s">
        <v>213</v>
      </c>
      <c r="B2" s="106" t="s">
        <v>25</v>
      </c>
      <c r="C2" s="183" t="s">
        <v>363</v>
      </c>
      <c r="D2" s="106" t="s">
        <v>9</v>
      </c>
      <c r="E2" s="112">
        <f>총전력량!$AF26*라인별전력적용비율!E2</f>
        <v>26445115.716868434</v>
      </c>
      <c r="F2" s="112">
        <f>총전력량!$AF26*라인별전력적용비율!F2</f>
        <v>5901602.651845823</v>
      </c>
      <c r="G2" s="112">
        <f>총전력량!$AF26*라인별전력적용비율!G2</f>
        <v>190202905.16845015</v>
      </c>
      <c r="H2" s="112">
        <f>총전력량!$AF26*라인별전력적용비율!H2</f>
        <v>207289955.30702576</v>
      </c>
      <c r="I2" s="112">
        <f>총전력량!$AF26*라인별전력적용비율!I2</f>
        <v>109828693.19385837</v>
      </c>
      <c r="J2" s="112">
        <f>총전력량!$AF26*라인별전력적용비율!J2</f>
        <v>62035772.561423324</v>
      </c>
      <c r="K2" s="112">
        <f>총전력량!$AF26*라인별전력적용비율!K2</f>
        <v>1596667.9191719028</v>
      </c>
      <c r="L2" s="112"/>
      <c r="M2" s="108">
        <f>SUM(E2:K2)</f>
        <v>603300712.51864374</v>
      </c>
      <c r="O2" s="171"/>
      <c r="Q2" s="106" t="s">
        <v>216</v>
      </c>
      <c r="R2" s="106" t="s">
        <v>25</v>
      </c>
      <c r="S2" s="183" t="s">
        <v>363</v>
      </c>
      <c r="T2" s="106" t="s">
        <v>9</v>
      </c>
      <c r="U2" s="106">
        <f>ROUND(총전력량!$AR26*라인별전력적용비율!E2,0)</f>
        <v>114318</v>
      </c>
      <c r="V2" s="106">
        <f>ROUND(총전력량!$AR26*라인별전력적용비율!F2,0)</f>
        <v>25512</v>
      </c>
      <c r="W2" s="106">
        <f>ROUND(총전력량!$AR26*라인별전력적용비율!G2,0)</f>
        <v>822216</v>
      </c>
      <c r="X2" s="106">
        <f>ROUND(총전력량!$AR26*라인별전력적용비율!H2,0)</f>
        <v>896081</v>
      </c>
      <c r="Y2" s="106">
        <f>ROUND(총전력량!$AR26*라인별전력적용비율!I2,0)</f>
        <v>474771</v>
      </c>
      <c r="Z2" s="106">
        <f>ROUND(총전력량!$AR26*라인별전력적용비율!J2,0)</f>
        <v>268170</v>
      </c>
      <c r="AA2" s="106">
        <f>ROUND(총전력량!$AR26*라인별전력적용비율!K2,0)</f>
        <v>6902</v>
      </c>
      <c r="AC2" s="106">
        <f>SUM(U2:AA2)</f>
        <v>2607970</v>
      </c>
    </row>
    <row r="3" spans="1:31">
      <c r="A3" s="106" t="s">
        <v>213</v>
      </c>
      <c r="B3" s="106" t="s">
        <v>25</v>
      </c>
      <c r="C3" s="183" t="s">
        <v>363</v>
      </c>
      <c r="D3" s="106" t="s">
        <v>13</v>
      </c>
      <c r="E3" s="112">
        <f>총전력량!$AF27*라인별전력적용비율!E3</f>
        <v>25199789.313022267</v>
      </c>
      <c r="F3" s="112">
        <f>총전력량!$AF27*라인별전력적용비율!F3</f>
        <v>6741416.6375680938</v>
      </c>
      <c r="G3" s="112">
        <f>총전력량!$AF27*라인별전력적용비율!G3</f>
        <v>204206104.50044757</v>
      </c>
      <c r="H3" s="112">
        <f>총전력량!$AF27*라인별전력적용비율!H3</f>
        <v>186899180.62809604</v>
      </c>
      <c r="I3" s="112">
        <f>총전력량!$AF27*라인별전력적용비율!I3</f>
        <v>88580108.676636308</v>
      </c>
      <c r="J3" s="112">
        <f>총전력량!$AF27*라인별전력적용비율!J3</f>
        <v>54076394.069553934</v>
      </c>
      <c r="K3" s="112">
        <f>총전력량!$AF27*라인별전력적용비율!K3</f>
        <v>1487027.6762094467</v>
      </c>
      <c r="L3" s="112"/>
      <c r="M3" s="108">
        <f t="shared" ref="M3:M13" si="0">SUM(E3:K3)</f>
        <v>567190021.50153375</v>
      </c>
      <c r="O3" s="171"/>
      <c r="Q3" s="106" t="s">
        <v>216</v>
      </c>
      <c r="R3" s="106" t="s">
        <v>25</v>
      </c>
      <c r="S3" s="183" t="s">
        <v>363</v>
      </c>
      <c r="T3" s="106" t="s">
        <v>13</v>
      </c>
      <c r="U3" s="106">
        <f>ROUND(총전력량!$AR27*라인별전력적용비율!E3,0)</f>
        <v>262693</v>
      </c>
      <c r="V3" s="106">
        <f>ROUND(총전력량!$AR27*라인별전력적용비율!F3,0)</f>
        <v>70275</v>
      </c>
      <c r="W3" s="106">
        <f>ROUND(총전력량!$AR27*라인별전력적용비율!G3,0)</f>
        <v>2128725</v>
      </c>
      <c r="X3" s="106">
        <f>ROUND(총전력량!$AR27*라인별전력적용비율!H3,0)</f>
        <v>1948311</v>
      </c>
      <c r="Y3" s="106">
        <f>ROUND(총전력량!$AR27*라인별전력적용비율!I3,0)</f>
        <v>923394</v>
      </c>
      <c r="Z3" s="106">
        <f>ROUND(총전력량!$AR27*라인별전력적용비율!J3,0)</f>
        <v>563714</v>
      </c>
      <c r="AA3" s="106">
        <f>ROUND(총전력량!$AR27*라인별전력적용비율!K3,0)</f>
        <v>15501</v>
      </c>
      <c r="AC3" s="106">
        <f t="shared" ref="AC3:AC13" si="1">SUM(U3:AA3)</f>
        <v>5912613</v>
      </c>
    </row>
    <row r="4" spans="1:31">
      <c r="A4" s="106" t="s">
        <v>213</v>
      </c>
      <c r="B4" s="106" t="s">
        <v>25</v>
      </c>
      <c r="C4" s="183" t="s">
        <v>363</v>
      </c>
      <c r="D4" s="106" t="s">
        <v>14</v>
      </c>
      <c r="E4" s="112">
        <f>총전력량!$AF28*라인별전력적용비율!E4</f>
        <v>21928346.474501368</v>
      </c>
      <c r="F4" s="112">
        <f>총전력량!$AF28*라인별전력적용비율!F4</f>
        <v>4127872.3156815651</v>
      </c>
      <c r="G4" s="112">
        <f>총전력량!$AF28*라인별전력적용비율!G4</f>
        <v>137219762.03043932</v>
      </c>
      <c r="H4" s="112">
        <f>총전력량!$AF28*라인별전력적용비율!H4</f>
        <v>154404064.64233446</v>
      </c>
      <c r="I4" s="112">
        <f>총전력량!$AF28*라인별전력적용비율!I4</f>
        <v>56441572.781961001</v>
      </c>
      <c r="J4" s="112">
        <f>총전력량!$AF28*라인별전력적용비율!J4</f>
        <v>40765337.23163031</v>
      </c>
      <c r="K4" s="112">
        <f>총전력량!$AF28*라인별전력적용비율!K4</f>
        <v>1129270.005684606</v>
      </c>
      <c r="L4" s="112"/>
      <c r="M4" s="108">
        <f t="shared" si="0"/>
        <v>416016225.48223269</v>
      </c>
      <c r="O4" s="171"/>
      <c r="Q4" s="106" t="s">
        <v>216</v>
      </c>
      <c r="R4" s="106" t="s">
        <v>25</v>
      </c>
      <c r="S4" s="183" t="s">
        <v>363</v>
      </c>
      <c r="T4" s="106" t="s">
        <v>14</v>
      </c>
      <c r="U4" s="106">
        <f>ROUND(총전력량!$AR28*라인별전력적용비율!E4,0)</f>
        <v>300353</v>
      </c>
      <c r="V4" s="106">
        <f>ROUND(총전력량!$AR28*라인별전력적용비율!F4,0)</f>
        <v>56539</v>
      </c>
      <c r="W4" s="106">
        <f>ROUND(총전력량!$AR28*라인별전력적용비율!G4,0)</f>
        <v>1879500</v>
      </c>
      <c r="X4" s="106">
        <f>ROUND(총전력량!$AR28*라인별전력적용비율!H4,0)</f>
        <v>2114873</v>
      </c>
      <c r="Y4" s="106">
        <f>ROUND(총전력량!$AR28*라인별전력적용비율!I4,0)</f>
        <v>773080</v>
      </c>
      <c r="Z4" s="106">
        <f>ROUND(총전력량!$AR28*라인별전력적용비율!J4,0)</f>
        <v>558363</v>
      </c>
      <c r="AA4" s="106">
        <f>ROUND(총전력량!$AR28*라인별전력적용비율!K4,0)</f>
        <v>15468</v>
      </c>
      <c r="AC4" s="106">
        <f t="shared" si="1"/>
        <v>5698176</v>
      </c>
    </row>
    <row r="5" spans="1:31">
      <c r="A5" s="106" t="s">
        <v>213</v>
      </c>
      <c r="B5" s="106" t="s">
        <v>25</v>
      </c>
      <c r="C5" s="183" t="s">
        <v>259</v>
      </c>
      <c r="D5" s="106" t="s">
        <v>15</v>
      </c>
      <c r="E5" s="112">
        <f>총전력량!$AF29*라인별전력적용비율!E5</f>
        <v>18328366.563316036</v>
      </c>
      <c r="F5" s="112">
        <f>총전력량!$AF29*라인별전력적용비율!F5</f>
        <v>4176913.7135613076</v>
      </c>
      <c r="G5" s="112">
        <f>총전력량!$AF29*라인별전력적용비율!G5</f>
        <v>139761466.03948081</v>
      </c>
      <c r="H5" s="112">
        <f>총전력량!$AF29*라인별전력적용비율!H5</f>
        <v>135510445.1094881</v>
      </c>
      <c r="I5" s="112">
        <f>총전력량!$AF29*라인별전력적용비율!I5</f>
        <v>68599271.769444808</v>
      </c>
      <c r="J5" s="112">
        <f>총전력량!$AF29*라인별전력적용비율!J5</f>
        <v>39735705.059589177</v>
      </c>
      <c r="K5" s="112">
        <f>총전력량!$AF29*라인별전력적용비율!K5</f>
        <v>1518937.9518883778</v>
      </c>
      <c r="L5" s="112"/>
      <c r="M5" s="108">
        <f t="shared" si="0"/>
        <v>407631106.20676857</v>
      </c>
      <c r="O5" s="171"/>
      <c r="Q5" s="106" t="s">
        <v>216</v>
      </c>
      <c r="R5" s="106" t="s">
        <v>25</v>
      </c>
      <c r="S5" s="183" t="s">
        <v>259</v>
      </c>
      <c r="T5" s="106" t="s">
        <v>15</v>
      </c>
      <c r="U5" s="106">
        <f>ROUND(총전력량!$AR29*라인별전력적용비율!E5,0)</f>
        <v>227622</v>
      </c>
      <c r="V5" s="106">
        <f>ROUND(총전력량!$AR29*라인별전력적용비율!F5,0)</f>
        <v>51874</v>
      </c>
      <c r="W5" s="106">
        <f>ROUND(총전력량!$AR29*라인별전력적용비율!G5,0)</f>
        <v>1735714</v>
      </c>
      <c r="X5" s="106">
        <f>ROUND(총전력량!$AR29*라인별전력적용비율!H5,0)</f>
        <v>1682920</v>
      </c>
      <c r="Y5" s="106">
        <f>ROUND(총전력량!$AR29*라인별전력적용비율!I5,0)</f>
        <v>851942</v>
      </c>
      <c r="Z5" s="106">
        <f>ROUND(총전력량!$AR29*라인별전력적용비율!J5,0)</f>
        <v>493482</v>
      </c>
      <c r="AA5" s="106">
        <f>ROUND(총전력량!$AR29*라인별전력적용비율!K5,0)</f>
        <v>18864</v>
      </c>
      <c r="AC5" s="106">
        <f t="shared" si="1"/>
        <v>5062418</v>
      </c>
    </row>
    <row r="6" spans="1:31">
      <c r="A6" s="106" t="s">
        <v>213</v>
      </c>
      <c r="B6" s="106" t="s">
        <v>25</v>
      </c>
      <c r="C6" s="183" t="s">
        <v>259</v>
      </c>
      <c r="D6" s="106" t="s">
        <v>16</v>
      </c>
      <c r="E6" s="112">
        <f>총전력량!$AF30*라인별전력적용비율!E6</f>
        <v>23390386.378216591</v>
      </c>
      <c r="F6" s="112">
        <f>총전력량!$AF30*라인별전력적용비율!F6</f>
        <v>5184770.6173854126</v>
      </c>
      <c r="G6" s="112">
        <f>총전력량!$AF30*라인별전력적용비율!G6</f>
        <v>149653502.24480981</v>
      </c>
      <c r="H6" s="112">
        <f>총전력량!$AF30*라인별전력적용비율!H6</f>
        <v>137679100.85223114</v>
      </c>
      <c r="I6" s="112">
        <f>총전력량!$AF30*라인별전력적용비율!I6</f>
        <v>51946736.925114267</v>
      </c>
      <c r="J6" s="112">
        <f>총전력량!$AF30*라인별전력적용비율!J6</f>
        <v>40205703.706667736</v>
      </c>
      <c r="K6" s="112">
        <f>총전력량!$AF30*라인별전력적용비율!K6</f>
        <v>1341122.2346382702</v>
      </c>
      <c r="L6" s="112"/>
      <c r="M6" s="108">
        <f t="shared" si="0"/>
        <v>409401322.95906323</v>
      </c>
      <c r="O6" s="171"/>
      <c r="Q6" s="106" t="s">
        <v>216</v>
      </c>
      <c r="R6" s="106" t="s">
        <v>25</v>
      </c>
      <c r="S6" s="183" t="s">
        <v>259</v>
      </c>
      <c r="T6" s="106" t="s">
        <v>16</v>
      </c>
      <c r="U6" s="106">
        <f>ROUND(총전력량!$AR30*라인별전력적용비율!E6,0)</f>
        <v>294537</v>
      </c>
      <c r="V6" s="106">
        <f>ROUND(총전력량!$AR30*라인별전력적용비율!F6,0)</f>
        <v>65288</v>
      </c>
      <c r="W6" s="106">
        <f>ROUND(총전력량!$AR30*라인별전력적용비율!G6,0)</f>
        <v>1884471</v>
      </c>
      <c r="X6" s="106">
        <f>ROUND(총전력량!$AR30*라인별전력적용비율!H6,0)</f>
        <v>1733686</v>
      </c>
      <c r="Y6" s="106">
        <f>ROUND(총전력량!$AR30*라인별전력적용비율!I6,0)</f>
        <v>654125</v>
      </c>
      <c r="Z6" s="106">
        <f>ROUND(총전력량!$AR30*라인별전력적용비율!J6,0)</f>
        <v>506279</v>
      </c>
      <c r="AA6" s="106">
        <f>ROUND(총전력량!$AR30*라인별전력적용비율!K6,0)</f>
        <v>16888</v>
      </c>
      <c r="AC6" s="106">
        <f t="shared" si="1"/>
        <v>5155274</v>
      </c>
    </row>
    <row r="7" spans="1:31">
      <c r="A7" s="106" t="s">
        <v>213</v>
      </c>
      <c r="B7" s="106" t="s">
        <v>25</v>
      </c>
      <c r="C7" s="183" t="s">
        <v>259</v>
      </c>
      <c r="D7" s="106" t="s">
        <v>17</v>
      </c>
      <c r="E7" s="112">
        <f>총전력량!$AF31*라인별전력적용비율!E7</f>
        <v>34749317.106044091</v>
      </c>
      <c r="F7" s="112">
        <f>총전력량!$AF31*라인별전력적용비율!F7</f>
        <v>6523889.771178416</v>
      </c>
      <c r="G7" s="112">
        <f>총전력량!$AF31*라인별전력적용비율!G7</f>
        <v>191792458.97157967</v>
      </c>
      <c r="H7" s="112">
        <f>총전력량!$AF31*라인별전력적용비율!H7</f>
        <v>185220600.37246731</v>
      </c>
      <c r="I7" s="112">
        <f>총전력량!$AF31*라인별전력적용비율!I7</f>
        <v>85107152.521644577</v>
      </c>
      <c r="J7" s="112">
        <f>총전력량!$AF31*라인별전력적용비율!J7</f>
        <v>58580177.043288022</v>
      </c>
      <c r="K7" s="112">
        <f>총전력량!$AF31*라인별전력적용비율!K7</f>
        <v>2074008.1208981078</v>
      </c>
      <c r="L7" s="112"/>
      <c r="M7" s="108">
        <f t="shared" si="0"/>
        <v>564047603.9071002</v>
      </c>
      <c r="O7" s="171"/>
      <c r="Q7" s="106" t="s">
        <v>216</v>
      </c>
      <c r="R7" s="106" t="s">
        <v>25</v>
      </c>
      <c r="S7" s="183" t="s">
        <v>259</v>
      </c>
      <c r="T7" s="106" t="s">
        <v>17</v>
      </c>
      <c r="U7" s="106">
        <f>ROUND(총전력량!$AR31*라인별전력적용비율!E7,0)</f>
        <v>248347</v>
      </c>
      <c r="V7" s="106">
        <f>ROUND(총전력량!$AR31*라인별전력적용비율!F7,0)</f>
        <v>46625</v>
      </c>
      <c r="W7" s="106">
        <f>ROUND(총전력량!$AR31*라인별전력적용비율!G7,0)</f>
        <v>1370706</v>
      </c>
      <c r="X7" s="106">
        <f>ROUND(총전력량!$AR31*라인별전력적용비율!H7,0)</f>
        <v>1323738</v>
      </c>
      <c r="Y7" s="106">
        <f>ROUND(총전력량!$AR31*라인별전력적용비율!I7,0)</f>
        <v>608245</v>
      </c>
      <c r="Z7" s="106">
        <f>ROUND(총전력량!$AR31*라인별전력적용비율!J7,0)</f>
        <v>418662</v>
      </c>
      <c r="AA7" s="106">
        <f>ROUND(총전력량!$AR31*라인별전력적용비율!K7,0)</f>
        <v>14823</v>
      </c>
      <c r="AC7" s="106">
        <f t="shared" si="1"/>
        <v>4031146</v>
      </c>
    </row>
    <row r="8" spans="1:31">
      <c r="A8" s="106" t="s">
        <v>213</v>
      </c>
      <c r="B8" s="106" t="s">
        <v>25</v>
      </c>
      <c r="C8" s="183" t="s">
        <v>367</v>
      </c>
      <c r="D8" s="106" t="s">
        <v>18</v>
      </c>
      <c r="E8" s="112">
        <f>총전력량!$AF32*라인별전력적용비율!E8</f>
        <v>34884845.559166536</v>
      </c>
      <c r="F8" s="112">
        <f>총전력량!$AF32*라인별전력적용비율!F8</f>
        <v>7688017.7533967905</v>
      </c>
      <c r="G8" s="112">
        <f>총전력량!$AF32*라인별전력적용비율!G8</f>
        <v>224869813.20039696</v>
      </c>
      <c r="H8" s="112">
        <f>총전력량!$AF32*라인별전력적용비율!H8</f>
        <v>219074992.62304169</v>
      </c>
      <c r="I8" s="112">
        <f>총전력량!$AF32*라인별전력적용비율!I8</f>
        <v>81324375.503607869</v>
      </c>
      <c r="J8" s="112">
        <f>총전력량!$AF32*라인별전력적용비율!J8</f>
        <v>61180720.248413078</v>
      </c>
      <c r="K8" s="112">
        <f>총전력량!$AF32*라인별전력적용비율!K8</f>
        <v>1689706.7110358248</v>
      </c>
      <c r="L8" s="112"/>
      <c r="M8" s="108">
        <f t="shared" si="0"/>
        <v>630712471.59905875</v>
      </c>
      <c r="O8" s="171"/>
      <c r="Q8" s="106" t="s">
        <v>216</v>
      </c>
      <c r="R8" s="106" t="s">
        <v>25</v>
      </c>
      <c r="S8" s="183" t="s">
        <v>367</v>
      </c>
      <c r="T8" s="106" t="s">
        <v>18</v>
      </c>
      <c r="U8" s="106">
        <f>ROUND(총전력량!$AR32*라인별전력적용비율!E8,0)</f>
        <v>256786</v>
      </c>
      <c r="V8" s="106">
        <f>ROUND(총전력량!$AR32*라인별전력적용비율!F8,0)</f>
        <v>56591</v>
      </c>
      <c r="W8" s="106">
        <f>ROUND(총전력량!$AR32*라인별전력적용비율!G8,0)</f>
        <v>1655260</v>
      </c>
      <c r="X8" s="106">
        <f>ROUND(총전력량!$AR32*라인별전력적용비율!H8,0)</f>
        <v>1612605</v>
      </c>
      <c r="Y8" s="106">
        <f>ROUND(총전력량!$AR32*라인별전력적용비율!I8,0)</f>
        <v>598626</v>
      </c>
      <c r="Z8" s="106">
        <f>ROUND(총전력량!$AR32*라인별전력적용비율!J8,0)</f>
        <v>450350</v>
      </c>
      <c r="AA8" s="106">
        <f>ROUND(총전력량!$AR32*라인별전력적용비율!K8,0)</f>
        <v>12438</v>
      </c>
      <c r="AC8" s="106">
        <f t="shared" si="1"/>
        <v>4642656</v>
      </c>
    </row>
    <row r="9" spans="1:31">
      <c r="A9" s="106" t="s">
        <v>213</v>
      </c>
      <c r="B9" s="106" t="s">
        <v>25</v>
      </c>
      <c r="C9" s="183" t="s">
        <v>367</v>
      </c>
      <c r="D9" s="106" t="s">
        <v>19</v>
      </c>
      <c r="E9" s="112">
        <f>총전력량!$AF33*라인별전력적용비율!E9</f>
        <v>33321811.695645683</v>
      </c>
      <c r="F9" s="112">
        <f>총전력량!$AF33*라인별전력적용비율!F9</f>
        <v>6196404.741387547</v>
      </c>
      <c r="G9" s="112">
        <f>총전력량!$AF33*라인별전력적용비율!G9</f>
        <v>206482028.1968593</v>
      </c>
      <c r="H9" s="112">
        <f>총전력량!$AF33*라인별전력적용비율!H9</f>
        <v>206167022.657749</v>
      </c>
      <c r="I9" s="112">
        <f>총전력량!$AF33*라인별전력적용비율!I9</f>
        <v>74615641.531551927</v>
      </c>
      <c r="J9" s="112">
        <f>총전력량!$AF33*라인별전력적용비율!J9</f>
        <v>53633613.20946312</v>
      </c>
      <c r="K9" s="112">
        <f>총전력량!$AF33*라인별전력적용비율!K9</f>
        <v>1576132.146173934</v>
      </c>
      <c r="L9" s="112"/>
      <c r="M9" s="108">
        <f t="shared" si="0"/>
        <v>581992654.1788305</v>
      </c>
      <c r="O9" s="171"/>
      <c r="Q9" s="106" t="s">
        <v>216</v>
      </c>
      <c r="R9" s="106" t="s">
        <v>25</v>
      </c>
      <c r="S9" s="183" t="s">
        <v>367</v>
      </c>
      <c r="T9" s="106" t="s">
        <v>19</v>
      </c>
      <c r="U9" s="106">
        <f>ROUND(총전력량!$AR33*라인별전력적용비율!E9,0)</f>
        <v>246443</v>
      </c>
      <c r="V9" s="106">
        <f>ROUND(총전력량!$AR33*라인별전력적용비율!F9,0)</f>
        <v>45828</v>
      </c>
      <c r="W9" s="106">
        <f>ROUND(총전력량!$AR33*라인별전력적용비율!G9,0)</f>
        <v>1527111</v>
      </c>
      <c r="X9" s="106">
        <f>ROUND(총전력량!$AR33*라인별전력적용비율!H9,0)</f>
        <v>1524781</v>
      </c>
      <c r="Y9" s="106">
        <f>ROUND(총전력량!$AR33*라인별전력적용비율!I9,0)</f>
        <v>551846</v>
      </c>
      <c r="Z9" s="106">
        <f>ROUND(총전력량!$AR33*라인별전력적용비율!J9,0)</f>
        <v>396666</v>
      </c>
      <c r="AA9" s="106">
        <f>ROUND(총전력량!$AR33*라인별전력적용비율!K9,0)</f>
        <v>11657</v>
      </c>
      <c r="AC9" s="106">
        <f t="shared" si="1"/>
        <v>4304332</v>
      </c>
    </row>
    <row r="10" spans="1:31">
      <c r="A10" s="106" t="s">
        <v>213</v>
      </c>
      <c r="B10" s="106" t="s">
        <v>25</v>
      </c>
      <c r="C10" s="183" t="s">
        <v>367</v>
      </c>
      <c r="D10" s="106" t="s">
        <v>20</v>
      </c>
      <c r="E10" s="112">
        <f>총전력량!$AF34*라인별전력적용비율!E10</f>
        <v>24525303.545768205</v>
      </c>
      <c r="F10" s="112">
        <f>총전력량!$AF34*라인별전력적용비율!F10</f>
        <v>5222503.534777645</v>
      </c>
      <c r="G10" s="112">
        <f>총전력량!$AF34*라인별전력적용비율!G10</f>
        <v>153811666.52986613</v>
      </c>
      <c r="H10" s="112">
        <f>총전력량!$AF34*라인별전력적용비율!H10</f>
        <v>148480306.7133652</v>
      </c>
      <c r="I10" s="112">
        <f>총전력량!$AF34*라인별전력적용비율!I10</f>
        <v>58984237.991336383</v>
      </c>
      <c r="J10" s="112">
        <f>총전력량!$AF34*라인별전력적용비율!J10</f>
        <v>45364799.731068984</v>
      </c>
      <c r="K10" s="112">
        <f>총전력량!$AF34*라인별전력적용비율!K10</f>
        <v>1444152.6354054068</v>
      </c>
      <c r="L10" s="112"/>
      <c r="M10" s="108">
        <f t="shared" si="0"/>
        <v>437832970.68158799</v>
      </c>
      <c r="O10" s="171"/>
      <c r="Q10" s="106" t="s">
        <v>216</v>
      </c>
      <c r="R10" s="106" t="s">
        <v>25</v>
      </c>
      <c r="S10" s="183" t="s">
        <v>367</v>
      </c>
      <c r="T10" s="106" t="s">
        <v>20</v>
      </c>
      <c r="U10" s="106">
        <f>ROUND(총전력량!$AR34*라인별전력적용비율!E10,0)</f>
        <v>235701</v>
      </c>
      <c r="V10" s="106">
        <f>ROUND(총전력량!$AR34*라인별전력적용비율!F10,0)</f>
        <v>50191</v>
      </c>
      <c r="W10" s="106">
        <f>ROUND(총전력량!$AR34*라인별전력적용비율!G10,0)</f>
        <v>1478212</v>
      </c>
      <c r="X10" s="106">
        <f>ROUND(총전력량!$AR34*라인별전력적용비율!H10,0)</f>
        <v>1426975</v>
      </c>
      <c r="Y10" s="106">
        <f>ROUND(총전력량!$AR34*라인별전력적용비율!I10,0)</f>
        <v>566870</v>
      </c>
      <c r="Z10" s="106">
        <f>ROUND(총전력량!$AR34*라인별전력적용비율!J10,0)</f>
        <v>435980</v>
      </c>
      <c r="AA10" s="106">
        <f>ROUND(총전력량!$AR34*라인별전력적용비율!K10,0)</f>
        <v>13879</v>
      </c>
      <c r="AC10" s="106">
        <f t="shared" si="1"/>
        <v>4207808</v>
      </c>
    </row>
    <row r="11" spans="1:31">
      <c r="A11" s="106" t="s">
        <v>213</v>
      </c>
      <c r="B11" s="106" t="s">
        <v>25</v>
      </c>
      <c r="C11" s="183" t="s">
        <v>368</v>
      </c>
      <c r="D11" s="106" t="s">
        <v>21</v>
      </c>
      <c r="E11" s="112">
        <f>총전력량!$AF35*라인별전력적용비율!E11</f>
        <v>34053593.996011481</v>
      </c>
      <c r="F11" s="112">
        <f>총전력량!$AF35*라인별전력적용비율!F11</f>
        <v>5187046.9924259987</v>
      </c>
      <c r="G11" s="112">
        <f>총전력량!$AF35*라인별전력적용비율!G11</f>
        <v>162208946.26050639</v>
      </c>
      <c r="H11" s="112">
        <f>총전력량!$AF35*라인별전력적용비율!H11</f>
        <v>147177362.8309072</v>
      </c>
      <c r="I11" s="112">
        <f>총전력량!$AF35*라인별전력적용비율!I11</f>
        <v>57873674.872233436</v>
      </c>
      <c r="J11" s="112">
        <f>총전력량!$AF35*라인별전력적용비율!J11</f>
        <v>44922623.207682602</v>
      </c>
      <c r="K11" s="112">
        <f>총전력량!$AF35*라인별전력적용비율!K11</f>
        <v>1332956.761137326</v>
      </c>
      <c r="L11" s="112"/>
      <c r="M11" s="108">
        <f t="shared" si="0"/>
        <v>452756204.9209044</v>
      </c>
      <c r="O11" s="171"/>
      <c r="Q11" s="106" t="s">
        <v>216</v>
      </c>
      <c r="R11" s="106" t="s">
        <v>25</v>
      </c>
      <c r="S11" s="183" t="s">
        <v>368</v>
      </c>
      <c r="T11" s="106" t="s">
        <v>21</v>
      </c>
      <c r="U11" s="106">
        <f>ROUND(총전력량!$AR35*라인별전력적용비율!E11,0)</f>
        <v>295336</v>
      </c>
      <c r="V11" s="106">
        <f>ROUND(총전력량!$AR35*라인별전력적용비율!F11,0)</f>
        <v>44986</v>
      </c>
      <c r="W11" s="106">
        <f>ROUND(총전력량!$AR35*라인별전력적용비율!G11,0)</f>
        <v>1406785</v>
      </c>
      <c r="X11" s="106">
        <f>ROUND(총전력량!$AR35*라인별전력적용비율!H11,0)</f>
        <v>1276421</v>
      </c>
      <c r="Y11" s="106">
        <f>ROUND(총전력량!$AR35*라인별전력적용비율!I11,0)</f>
        <v>501919</v>
      </c>
      <c r="Z11" s="106">
        <f>ROUND(총전력량!$AR35*라인별전력적용비율!J11,0)</f>
        <v>389599</v>
      </c>
      <c r="AA11" s="106">
        <f>ROUND(총전력량!$AR35*라인별전력적용비율!K11,0)</f>
        <v>11560</v>
      </c>
      <c r="AC11" s="106">
        <f t="shared" si="1"/>
        <v>3926606</v>
      </c>
    </row>
    <row r="12" spans="1:31">
      <c r="A12" s="106" t="s">
        <v>213</v>
      </c>
      <c r="B12" s="106" t="s">
        <v>25</v>
      </c>
      <c r="C12" s="183" t="s">
        <v>368</v>
      </c>
      <c r="D12" s="106" t="s">
        <v>22</v>
      </c>
      <c r="E12" s="112">
        <f>총전력량!$AF36*라인별전력적용비율!E12</f>
        <v>8283019.818596052</v>
      </c>
      <c r="F12" s="112">
        <f>총전력량!$AF36*라인별전력적용비율!F12</f>
        <v>895629.06452014099</v>
      </c>
      <c r="G12" s="112">
        <f>총전력량!$AF36*라인별전력적용비율!G12</f>
        <v>25794560.71189367</v>
      </c>
      <c r="H12" s="112">
        <f>총전력량!$AF36*라인별전력적용비율!H12</f>
        <v>46765455.081050478</v>
      </c>
      <c r="I12" s="112">
        <f>총전력량!$AF36*라인별전력적용비율!I12</f>
        <v>70291275.982843757</v>
      </c>
      <c r="J12" s="112">
        <f>총전력량!$AF36*라인별전력적용비율!J12</f>
        <v>54836931.034275383</v>
      </c>
      <c r="K12" s="112">
        <f>총전력량!$AF36*라인별전력적용비율!K12</f>
        <v>1928916.1057095029</v>
      </c>
      <c r="L12" s="112"/>
      <c r="M12" s="108">
        <f t="shared" si="0"/>
        <v>208795787.79888898</v>
      </c>
      <c r="O12" s="171"/>
      <c r="Q12" s="106" t="s">
        <v>216</v>
      </c>
      <c r="R12" s="106" t="s">
        <v>25</v>
      </c>
      <c r="S12" s="183" t="s">
        <v>368</v>
      </c>
      <c r="T12" s="106" t="s">
        <v>22</v>
      </c>
      <c r="U12" s="106">
        <f>ROUND(총전력량!$AR36*라인별전력적용비율!E12,0)</f>
        <v>187533</v>
      </c>
      <c r="V12" s="106">
        <f>ROUND(총전력량!$AR36*라인별전력적용비율!F12,0)</f>
        <v>20278</v>
      </c>
      <c r="W12" s="106">
        <f>ROUND(총전력량!$AR36*라인별전력적용비율!G12,0)</f>
        <v>584006</v>
      </c>
      <c r="X12" s="106">
        <f>ROUND(총전력량!$AR36*라인별전력적용비율!H12,0)</f>
        <v>1058800</v>
      </c>
      <c r="Y12" s="106">
        <f>ROUND(총전력량!$AR36*라인별전력적용비율!I12,0)</f>
        <v>1591440</v>
      </c>
      <c r="Z12" s="106">
        <f>ROUND(총전력량!$AR36*라인별전력적용비율!J12,0)</f>
        <v>1241544</v>
      </c>
      <c r="AA12" s="106">
        <f>ROUND(총전력량!$AR36*라인별전력적용비율!K12,0)</f>
        <v>43672</v>
      </c>
      <c r="AC12" s="106">
        <f t="shared" si="1"/>
        <v>4727273</v>
      </c>
    </row>
    <row r="13" spans="1:31">
      <c r="A13" s="106" t="s">
        <v>213</v>
      </c>
      <c r="B13" s="106" t="s">
        <v>25</v>
      </c>
      <c r="C13" s="183" t="s">
        <v>368</v>
      </c>
      <c r="D13" s="106" t="s">
        <v>23</v>
      </c>
      <c r="E13" s="112">
        <f>총전력량!$AF37*라인별전력적용비율!E13</f>
        <v>7822205.2471062019</v>
      </c>
      <c r="F13" s="112">
        <f>총전력량!$AF37*라인별전력적용비율!F13</f>
        <v>61152.332454250776</v>
      </c>
      <c r="G13" s="112">
        <f>총전력량!$AF37*라인별전력적용비율!G13</f>
        <v>19162693.108292043</v>
      </c>
      <c r="H13" s="112">
        <f>총전력량!$AF37*라인별전력적용비율!H13</f>
        <v>34460942.285812199</v>
      </c>
      <c r="I13" s="112">
        <f>총전력량!$AF37*라인별전력적용비율!I13</f>
        <v>78069642.042486697</v>
      </c>
      <c r="J13" s="112">
        <f>총전력량!$AF37*라인별전력적용비율!J13</f>
        <v>58017799.900341809</v>
      </c>
      <c r="K13" s="112">
        <f>총전력량!$AF37*라인별전력적용비율!K13</f>
        <v>1790802.0835097651</v>
      </c>
      <c r="L13" s="112"/>
      <c r="M13" s="108">
        <f t="shared" si="0"/>
        <v>199385237.00000298</v>
      </c>
      <c r="O13" s="171"/>
      <c r="Q13" s="106" t="s">
        <v>216</v>
      </c>
      <c r="R13" s="106" t="s">
        <v>25</v>
      </c>
      <c r="S13" s="183" t="s">
        <v>368</v>
      </c>
      <c r="T13" s="106" t="s">
        <v>23</v>
      </c>
      <c r="U13" s="106">
        <f>ROUND(총전력량!$AR37*라인별전력적용비율!E13,0)</f>
        <v>190829</v>
      </c>
      <c r="V13" s="106">
        <f>ROUND(총전력량!$AR37*라인별전력적용비율!F13,0)</f>
        <v>1492</v>
      </c>
      <c r="W13" s="106">
        <f>ROUND(총전력량!$AR37*라인별전력적용비율!G13,0)</f>
        <v>467489</v>
      </c>
      <c r="X13" s="106">
        <f>ROUND(총전력량!$AR37*라인별전력적용비율!H13,0)</f>
        <v>840701</v>
      </c>
      <c r="Y13" s="106">
        <f>ROUND(총전력량!$AR37*라인별전력적용비율!I13,0)</f>
        <v>1904569</v>
      </c>
      <c r="Z13" s="106">
        <f>ROUND(총전력량!$AR37*라인별전력적용비율!J13,0)</f>
        <v>1415389</v>
      </c>
      <c r="AA13" s="106">
        <f>ROUND(총전력량!$AR37*라인별전력적용비율!K13,0)</f>
        <v>43688</v>
      </c>
      <c r="AC13" s="106">
        <f t="shared" si="1"/>
        <v>4864157</v>
      </c>
    </row>
    <row r="14" spans="1:31">
      <c r="A14" s="106" t="s">
        <v>213</v>
      </c>
      <c r="B14" s="106" t="s">
        <v>26</v>
      </c>
      <c r="C14" s="183" t="s">
        <v>363</v>
      </c>
      <c r="D14" s="106" t="s">
        <v>9</v>
      </c>
      <c r="E14" s="112">
        <f>ROUND(총전력량!AF38*라인별전력적용비율!E14,0)</f>
        <v>16670189</v>
      </c>
      <c r="F14" s="112">
        <f>ROUND(총전력량!AF38*라인별전력적용비율!F14,0)</f>
        <v>353985</v>
      </c>
      <c r="G14" s="112">
        <f>ROUND(총전력량!AF38*라인별전력적용비율!G14,0)</f>
        <v>42697816</v>
      </c>
      <c r="H14" s="112">
        <f>ROUND(총전력량!AF38*라인별전력적용비율!H14,0)</f>
        <v>47939545</v>
      </c>
      <c r="I14" s="112">
        <f>ROUND(총전력량!AF38*라인별전력적용비율!I14,0)</f>
        <v>94537474</v>
      </c>
      <c r="J14" s="112">
        <f>ROUND(총전력량!AF38*라인별전력적용비율!J14,0)</f>
        <v>65164016</v>
      </c>
      <c r="K14" s="112">
        <f>ROUND(총전력량!AF38*라인별전력적용비율!K14,0)</f>
        <v>2245935</v>
      </c>
      <c r="L14" s="112">
        <v>1</v>
      </c>
      <c r="M14" s="108">
        <f>ROUND(SUM(E14:L14),0)</f>
        <v>269608961</v>
      </c>
      <c r="N14" s="306">
        <f>259989361+9619600</f>
        <v>269608961</v>
      </c>
      <c r="O14" s="306">
        <f>N14-M14</f>
        <v>0</v>
      </c>
      <c r="Q14" s="106" t="s">
        <v>216</v>
      </c>
      <c r="R14" s="106" t="s">
        <v>26</v>
      </c>
      <c r="S14" s="183" t="s">
        <v>363</v>
      </c>
      <c r="T14" s="106" t="s">
        <v>9</v>
      </c>
      <c r="U14" s="106">
        <f>ROUND(총전력량!$AR38*라인별전력적용비율!E14,0)</f>
        <v>636792</v>
      </c>
      <c r="V14" s="106">
        <f>ROUND(총전력량!$AR38*라인별전력적용비율!F14,0)</f>
        <v>13522</v>
      </c>
      <c r="W14" s="106">
        <f>ROUND(총전력량!$AR38*라인별전력적용비율!G14,0)</f>
        <v>1631032</v>
      </c>
      <c r="X14" s="106">
        <f>ROUND(총전력량!$AR38*라인별전력적용비율!H14,0)</f>
        <v>1831263</v>
      </c>
      <c r="Y14" s="106">
        <f>ROUND(총전력량!$AR38*라인별전력적용비율!I14,0)</f>
        <v>3611277</v>
      </c>
      <c r="Z14" s="106">
        <f>ROUND(총전력량!$AR38*라인별전력적용비율!J14,0)</f>
        <v>2489228</v>
      </c>
      <c r="AA14" s="106">
        <f>ROUND(총전력량!$AR38*라인별전력적용비율!K14,0)</f>
        <v>85793</v>
      </c>
      <c r="AC14" s="183">
        <f>SUM(U14:AB14)</f>
        <v>10298907</v>
      </c>
      <c r="AD14" s="306">
        <f>9931447+367460</f>
        <v>10298907</v>
      </c>
      <c r="AE14" s="173">
        <f>AD14-AC14</f>
        <v>0</v>
      </c>
    </row>
    <row r="15" spans="1:31">
      <c r="A15" s="106" t="s">
        <v>213</v>
      </c>
      <c r="B15" s="106" t="s">
        <v>26</v>
      </c>
      <c r="C15" s="183" t="s">
        <v>363</v>
      </c>
      <c r="D15" s="106" t="s">
        <v>13</v>
      </c>
      <c r="E15" s="112">
        <f>ROUND(IFERROR(총전력량!$AF39*라인별전력적용비율!E15,0),0)</f>
        <v>32141132</v>
      </c>
      <c r="F15" s="112">
        <f>ROUND(IFERROR(총전력량!$AF39*라인별전력적용비율!F15,0),0)</f>
        <v>219614</v>
      </c>
      <c r="G15" s="112">
        <f>ROUND(IFERROR(총전력량!$AF39*라인별전력적용비율!G15,0),0)</f>
        <v>75966844</v>
      </c>
      <c r="H15" s="112">
        <f>ROUND(IFERROR(총전력량!$AF39*라인별전력적용비율!H15,0),0)</f>
        <v>78591307</v>
      </c>
      <c r="I15" s="112">
        <f>ROUND(IFERROR(총전력량!$AF39*라인별전력적용비율!I15,0),0)</f>
        <v>80609885</v>
      </c>
      <c r="J15" s="112">
        <f>ROUND(IFERROR(총전력량!$AF39*라인별전력적용비율!J15,0),0)</f>
        <v>64136347</v>
      </c>
      <c r="K15" s="112">
        <f>ROUND(IFERROR(총전력량!$AF39*라인별전력적용비율!K15,0),0)</f>
        <v>1662790</v>
      </c>
      <c r="L15" s="112">
        <v>-3</v>
      </c>
      <c r="M15" s="171">
        <f t="shared" ref="M15:M25" si="2">ROUND(SUM(E15:L15),0)</f>
        <v>333327916</v>
      </c>
      <c r="N15" s="306">
        <f>321434836+11893080</f>
        <v>333327916</v>
      </c>
      <c r="O15" s="306">
        <f t="shared" ref="O15:O25" si="3">N15-M15</f>
        <v>0</v>
      </c>
      <c r="Q15" s="106" t="s">
        <v>216</v>
      </c>
      <c r="R15" s="106" t="s">
        <v>26</v>
      </c>
      <c r="S15" s="183" t="s">
        <v>363</v>
      </c>
      <c r="T15" s="106" t="s">
        <v>13</v>
      </c>
      <c r="U15" s="106">
        <f>ROUND(총전력량!$AR39*라인별전력적용비율!E15,0)</f>
        <v>925242</v>
      </c>
      <c r="V15" s="106">
        <f>ROUND(총전력량!$AR39*라인별전력적용비율!F15,0)</f>
        <v>6322</v>
      </c>
      <c r="W15" s="106">
        <f>ROUND(총전력량!$AR39*라인별전력적용비율!G15,0)</f>
        <v>2186846</v>
      </c>
      <c r="X15" s="106">
        <f>ROUND(총전력량!$AR39*라인별전력적용비율!H15,0)</f>
        <v>2262396</v>
      </c>
      <c r="Y15" s="106">
        <f>ROUND(총전력량!$AR39*라인별전력적용비율!I15,0)</f>
        <v>2320504</v>
      </c>
      <c r="Z15" s="106">
        <f>ROUND(총전력량!$AR39*라인별전력적용비율!J15,0)</f>
        <v>1846283</v>
      </c>
      <c r="AA15" s="106">
        <f>ROUND(총전력량!$AR39*라인별전력적용비율!K15,0)</f>
        <v>47866</v>
      </c>
      <c r="AB15" s="183">
        <v>-1</v>
      </c>
      <c r="AC15" s="106">
        <f>SUM(U15:AB15)</f>
        <v>9595458</v>
      </c>
      <c r="AD15" s="306">
        <f>9253098+342360</f>
        <v>9595458</v>
      </c>
      <c r="AE15" s="173">
        <f t="shared" ref="AE15:AE25" si="4">AD15-AC15</f>
        <v>0</v>
      </c>
    </row>
    <row r="16" spans="1:31">
      <c r="A16" s="106" t="s">
        <v>213</v>
      </c>
      <c r="B16" s="106" t="s">
        <v>26</v>
      </c>
      <c r="C16" s="183" t="s">
        <v>363</v>
      </c>
      <c r="D16" s="106" t="s">
        <v>14</v>
      </c>
      <c r="E16" s="112">
        <f>ROUND(IFERROR(총전력량!$AF40*라인별전력적용비율!E16,0),0)-167296</f>
        <v>17146451</v>
      </c>
      <c r="F16" s="112">
        <f>ROUND(IFERROR(총전력량!$AF40*라인별전력적용비율!F16,0),0)</f>
        <v>5881946</v>
      </c>
      <c r="G16" s="112">
        <f>ROUND(IFERROR(총전력량!$AF40*라인별전력적용비율!G16,0),0)-167296</f>
        <v>152418851</v>
      </c>
      <c r="H16" s="112">
        <f>ROUND(IFERROR(총전력량!$AF40*라인별전력적용비율!H16,0),0)-167296</f>
        <v>178226702</v>
      </c>
      <c r="I16" s="112">
        <f>ROUND(IFERROR(총전력량!$AF40*라인별전력적용비율!I16,0),0)-167296</f>
        <v>88195074</v>
      </c>
      <c r="J16" s="112">
        <f>ROUND(IFERROR(총전력량!$AF40*라인별전력적용비율!J16,0),0)-167296</f>
        <v>65150709</v>
      </c>
      <c r="K16" s="112">
        <f>ROUND(IFERROR(총전력량!$AF40*라인별전력적용비율!K16,0),0)</f>
        <v>2282151</v>
      </c>
      <c r="L16" s="112">
        <v>-4</v>
      </c>
      <c r="M16" s="171">
        <f t="shared" si="2"/>
        <v>509301880</v>
      </c>
      <c r="N16" s="306">
        <f>491130070+18171810</f>
        <v>509301880</v>
      </c>
      <c r="O16" s="306">
        <f t="shared" si="3"/>
        <v>0</v>
      </c>
      <c r="Q16" s="106" t="s">
        <v>216</v>
      </c>
      <c r="R16" s="106" t="s">
        <v>26</v>
      </c>
      <c r="S16" s="183" t="s">
        <v>363</v>
      </c>
      <c r="T16" s="106" t="s">
        <v>14</v>
      </c>
      <c r="U16" s="106">
        <f>ROUND(총전력량!$AR40*라인별전력적용비율!E16,0)</f>
        <v>369112</v>
      </c>
      <c r="V16" s="106">
        <f>ROUND(총전력량!$AR40*라인별전력적용비율!F16,0)</f>
        <v>125397</v>
      </c>
      <c r="W16" s="106">
        <f>ROUND(총전력량!$AR40*라인별전력적용비율!G16,0)</f>
        <v>3252985</v>
      </c>
      <c r="X16" s="106">
        <f>ROUND(총전력량!$AR40*라인별전력적용비율!H16,0)</f>
        <v>3803183</v>
      </c>
      <c r="Y16" s="106">
        <f>ROUND(총전력량!$AR40*라인별전력적용비율!I16,0)</f>
        <v>1883798</v>
      </c>
      <c r="Z16" s="106">
        <f>ROUND(총전력량!$AR40*라인별전력적용비율!J16,0)</f>
        <v>1392515</v>
      </c>
      <c r="AA16" s="106">
        <f>ROUND(총전력량!$AR40*라인별전력적용비율!K16,0)</f>
        <v>48653</v>
      </c>
      <c r="AB16" s="183">
        <v>-3</v>
      </c>
      <c r="AC16" s="183">
        <f t="shared" ref="AC16:AC25" si="5">SUM(U16:AB16)</f>
        <v>10875640</v>
      </c>
      <c r="AD16" s="306">
        <f>10487600+388040</f>
        <v>10875640</v>
      </c>
      <c r="AE16" s="173">
        <f t="shared" si="4"/>
        <v>0</v>
      </c>
    </row>
    <row r="17" spans="1:31">
      <c r="A17" s="106" t="s">
        <v>213</v>
      </c>
      <c r="B17" s="106" t="s">
        <v>26</v>
      </c>
      <c r="C17" s="183" t="s">
        <v>259</v>
      </c>
      <c r="D17" s="106" t="s">
        <v>15</v>
      </c>
      <c r="E17" s="112">
        <f>ROUND(IFERROR(총전력량!$AF41*라인별전력적용비율!E17,0),0)-90267</f>
        <v>27088939</v>
      </c>
      <c r="F17" s="112">
        <f>ROUND(IFERROR(총전력량!$AF41*라인별전력적용비율!F17,0),0)</f>
        <v>5347196</v>
      </c>
      <c r="G17" s="112">
        <f>ROUND(IFERROR(총전력량!$AF41*라인별전력적용비율!G17,0),0)-90267</f>
        <v>171273342</v>
      </c>
      <c r="H17" s="112">
        <f>ROUND(IFERROR(총전력량!$AF41*라인별전력적용비율!H17,0),0)-90267</f>
        <v>162967353</v>
      </c>
      <c r="I17" s="112">
        <f>ROUND(IFERROR(총전력량!$AF41*라인별전력적용비율!I17,0),0)-90267</f>
        <v>71191875</v>
      </c>
      <c r="J17" s="112">
        <f>ROUND(IFERROR(총전력량!$AF41*라인별전력적용비율!J17,0),0)-90267</f>
        <v>54466838</v>
      </c>
      <c r="K17" s="112">
        <f>ROUND(IFERROR(총전력량!$AF41*라인별전력적용비율!K17,0),0)</f>
        <v>1691379</v>
      </c>
      <c r="L17" s="112">
        <v>-3</v>
      </c>
      <c r="M17" s="171">
        <f t="shared" si="2"/>
        <v>494026919</v>
      </c>
      <c r="N17" s="306">
        <f>476400119+17626800</f>
        <v>494026919</v>
      </c>
      <c r="O17" s="306">
        <f t="shared" si="3"/>
        <v>0</v>
      </c>
      <c r="Q17" s="106" t="s">
        <v>216</v>
      </c>
      <c r="R17" s="106" t="s">
        <v>26</v>
      </c>
      <c r="S17" s="183" t="s">
        <v>259</v>
      </c>
      <c r="T17" s="106" t="s">
        <v>15</v>
      </c>
      <c r="U17" s="106">
        <f>ROUND(총전력량!$AR41*라인별전력적용비율!E17,0)</f>
        <v>595724</v>
      </c>
      <c r="V17" s="106">
        <f>ROUND(총전력량!$AR41*라인별전력적용비율!F17,0)</f>
        <v>117202</v>
      </c>
      <c r="W17" s="106">
        <f>ROUND(총전력량!$AR41*라인별전력적용비율!G17,0)</f>
        <v>3756009</v>
      </c>
      <c r="X17" s="106">
        <f>ROUND(총전력량!$AR41*라인별전력적용비율!H17,0)</f>
        <v>3573955</v>
      </c>
      <c r="Y17" s="106">
        <f>ROUND(총전력량!$AR41*라인별전력적용비율!I17,0)</f>
        <v>1562387</v>
      </c>
      <c r="Z17" s="106">
        <f>ROUND(총전력량!$AR41*라인별전력적용비율!J17,0)</f>
        <v>1195802</v>
      </c>
      <c r="AA17" s="106">
        <f>ROUND(총전력량!$AR41*라인별전력적용비율!K17,0)</f>
        <v>37072</v>
      </c>
      <c r="AB17" s="183">
        <v>-3</v>
      </c>
      <c r="AC17" s="183">
        <f t="shared" si="5"/>
        <v>10838148</v>
      </c>
      <c r="AD17" s="306">
        <f>10451448+386700</f>
        <v>10838148</v>
      </c>
      <c r="AE17" s="173">
        <f t="shared" si="4"/>
        <v>0</v>
      </c>
    </row>
    <row r="18" spans="1:31">
      <c r="A18" s="106" t="s">
        <v>213</v>
      </c>
      <c r="B18" s="106" t="s">
        <v>26</v>
      </c>
      <c r="C18" s="183" t="s">
        <v>259</v>
      </c>
      <c r="D18" s="106" t="s">
        <v>16</v>
      </c>
      <c r="E18" s="112">
        <f>ROUND(IFERROR(총전력량!$AF42*라인별전력적용비율!E18,0),0)</f>
        <v>39969726</v>
      </c>
      <c r="F18" s="112">
        <f>ROUND(IFERROR(총전력량!$AF42*라인별전력적용비율!F18,0),0)</f>
        <v>5778927</v>
      </c>
      <c r="G18" s="112">
        <f>ROUND(IFERROR(총전력량!$AF42*라인별전력적용비율!G18,0),0)</f>
        <v>170062642</v>
      </c>
      <c r="H18" s="112">
        <f>ROUND(IFERROR(총전력량!$AF42*라인별전력적용비율!H18,0),0)</f>
        <v>161248311</v>
      </c>
      <c r="I18" s="112">
        <f>ROUND(IFERROR(총전력량!$AF42*라인별전력적용비율!I18,0),0)</f>
        <v>72947017</v>
      </c>
      <c r="J18" s="112">
        <f>ROUND(IFERROR(총전력량!$AF42*라인별전력적용비율!J18,0),0)</f>
        <v>53179572</v>
      </c>
      <c r="K18" s="112">
        <f>ROUND(IFERROR(총전력량!$AF42*라인별전력적용비율!K18,0),0)</f>
        <v>1426762</v>
      </c>
      <c r="L18" s="112">
        <v>-1493796</v>
      </c>
      <c r="M18" s="171">
        <f t="shared" si="2"/>
        <v>503119161</v>
      </c>
      <c r="N18" s="306">
        <f>485167951+17951210</f>
        <v>503119161</v>
      </c>
      <c r="O18" s="306">
        <f t="shared" si="3"/>
        <v>0</v>
      </c>
      <c r="Q18" s="106" t="s">
        <v>216</v>
      </c>
      <c r="R18" s="106" t="s">
        <v>26</v>
      </c>
      <c r="S18" s="183" t="s">
        <v>259</v>
      </c>
      <c r="T18" s="106" t="s">
        <v>16</v>
      </c>
      <c r="U18" s="106">
        <f>ROUND(총전력량!$AR42*라인별전력적용비율!E18,0)</f>
        <v>788196</v>
      </c>
      <c r="V18" s="106">
        <f>ROUND(총전력량!$AR42*라인별전력적용비율!F18,0)</f>
        <v>113959</v>
      </c>
      <c r="W18" s="106">
        <f>ROUND(총전력량!$AR42*라인별전력적용비율!G18,0)</f>
        <v>3353604</v>
      </c>
      <c r="X18" s="106">
        <f>ROUND(총전력량!$AR42*라인별전력적용비율!H18,0)</f>
        <v>3179787</v>
      </c>
      <c r="Y18" s="106">
        <f>ROUND(총전력량!$AR42*라인별전력적용비율!I18,0)</f>
        <v>1438502</v>
      </c>
      <c r="Z18" s="106">
        <f>ROUND(총전력량!$AR42*라인별전력적용비율!J18,0)</f>
        <v>1048692</v>
      </c>
      <c r="AA18" s="106">
        <f>ROUND(총전력량!$AR42*라인별전력적용비율!K18,0)</f>
        <v>28135</v>
      </c>
      <c r="AB18" s="183">
        <v>2</v>
      </c>
      <c r="AC18" s="183">
        <f t="shared" si="5"/>
        <v>9950877</v>
      </c>
      <c r="AD18" s="306">
        <f>9595837+355040</f>
        <v>9950877</v>
      </c>
      <c r="AE18" s="173">
        <f t="shared" si="4"/>
        <v>0</v>
      </c>
    </row>
    <row r="19" spans="1:31">
      <c r="A19" s="106" t="s">
        <v>213</v>
      </c>
      <c r="B19" s="106" t="s">
        <v>26</v>
      </c>
      <c r="C19" s="183" t="s">
        <v>259</v>
      </c>
      <c r="D19" s="106" t="s">
        <v>17</v>
      </c>
      <c r="E19" s="112">
        <f>ROUND(IFERROR(총전력량!$AF43*라인별전력적용비율!E19,0),0)</f>
        <v>39262046</v>
      </c>
      <c r="F19" s="112">
        <f>ROUND(IFERROR(총전력량!$AF43*라인별전력적용비율!F19,0),0)</f>
        <v>7517335</v>
      </c>
      <c r="G19" s="112">
        <f>ROUND(IFERROR(총전력량!$AF43*라인별전력적용비율!G19,0),0)</f>
        <v>242974562</v>
      </c>
      <c r="H19" s="112">
        <f>ROUND(IFERROR(총전력량!$AF43*라인별전력적용비율!H19,0),0)</f>
        <v>208939769</v>
      </c>
      <c r="I19" s="112">
        <f>ROUND(IFERROR(총전력량!$AF43*라인별전력적용비율!I19,0),0)</f>
        <v>94149121</v>
      </c>
      <c r="J19" s="112">
        <f>ROUND(IFERROR(총전력량!$AF43*라인별전력적용비율!J19,0),0)</f>
        <v>71060131</v>
      </c>
      <c r="K19" s="112">
        <f>ROUND(IFERROR(총전력량!$AF43*라인별전력적용비율!K19,0),0)</f>
        <v>2037591</v>
      </c>
      <c r="L19" s="112"/>
      <c r="M19" s="171">
        <f t="shared" si="2"/>
        <v>665940555</v>
      </c>
      <c r="N19" s="306"/>
      <c r="O19" s="306">
        <f t="shared" si="3"/>
        <v>-665940555</v>
      </c>
      <c r="Q19" s="106" t="s">
        <v>216</v>
      </c>
      <c r="R19" s="106" t="s">
        <v>26</v>
      </c>
      <c r="S19" s="183" t="s">
        <v>259</v>
      </c>
      <c r="T19" s="106" t="s">
        <v>17</v>
      </c>
      <c r="U19" s="106">
        <f>ROUND(총전력량!$AR43*라인별전력적용비율!E19,0)</f>
        <v>629697</v>
      </c>
      <c r="V19" s="106">
        <f>ROUND(총전력량!$AR43*라인별전력적용비율!F19,0)</f>
        <v>120565</v>
      </c>
      <c r="W19" s="106">
        <f>ROUND(총전력량!$AR43*라인별전력적용비율!G19,0)</f>
        <v>3896900</v>
      </c>
      <c r="X19" s="106">
        <f>ROUND(총전력량!$AR43*라인별전력적용비율!H19,0)</f>
        <v>3351040</v>
      </c>
      <c r="Y19" s="106">
        <f>ROUND(총전력량!$AR43*라인별전력적용비율!I19,0)</f>
        <v>1509992</v>
      </c>
      <c r="Z19" s="106">
        <f>ROUND(총전력량!$AR43*라인별전력적용비율!J19,0)</f>
        <v>1139684</v>
      </c>
      <c r="AA19" s="106">
        <f>ROUND(총전력량!$AR43*라인별전력적용비율!K19,0)</f>
        <v>32680</v>
      </c>
      <c r="AC19" s="183">
        <f t="shared" si="5"/>
        <v>10680558</v>
      </c>
      <c r="AE19" s="173">
        <f t="shared" si="4"/>
        <v>-10680558</v>
      </c>
    </row>
    <row r="20" spans="1:31">
      <c r="A20" s="106" t="s">
        <v>213</v>
      </c>
      <c r="B20" s="106" t="s">
        <v>26</v>
      </c>
      <c r="C20" s="183" t="s">
        <v>367</v>
      </c>
      <c r="D20" s="106" t="s">
        <v>18</v>
      </c>
      <c r="E20" s="112">
        <f>ROUND(IFERROR(총전력량!$AF44*라인별전력적용비율!E20,0),0)</f>
        <v>0</v>
      </c>
      <c r="F20" s="112">
        <f>ROUND(IFERROR(총전력량!$AF44*라인별전력적용비율!F20,0),0)</f>
        <v>0</v>
      </c>
      <c r="G20" s="112">
        <f>ROUND(IFERROR(총전력량!$AF44*라인별전력적용비율!G20,0),0)</f>
        <v>0</v>
      </c>
      <c r="H20" s="112">
        <f>ROUND(IFERROR(총전력량!$AF44*라인별전력적용비율!H20,0),0)</f>
        <v>0</v>
      </c>
      <c r="I20" s="112">
        <f>ROUND(IFERROR(총전력량!$AF44*라인별전력적용비율!I20,0),0)</f>
        <v>0</v>
      </c>
      <c r="J20" s="112">
        <f>ROUND(IFERROR(총전력량!$AF44*라인별전력적용비율!J20,0),0)</f>
        <v>0</v>
      </c>
      <c r="K20" s="112">
        <f>ROUND(IFERROR(총전력량!$AF44*라인별전력적용비율!K20,0),0)</f>
        <v>0</v>
      </c>
      <c r="L20" s="112"/>
      <c r="M20" s="171">
        <f t="shared" si="2"/>
        <v>0</v>
      </c>
      <c r="N20" s="306"/>
      <c r="O20" s="306">
        <f t="shared" si="3"/>
        <v>0</v>
      </c>
      <c r="Q20" s="106" t="s">
        <v>216</v>
      </c>
      <c r="R20" s="106" t="s">
        <v>26</v>
      </c>
      <c r="S20" s="183" t="s">
        <v>367</v>
      </c>
      <c r="T20" s="106" t="s">
        <v>18</v>
      </c>
      <c r="U20" s="106" t="e">
        <f>ROUND(총전력량!$AR44*라인별전력적용비율!E20,0)</f>
        <v>#DIV/0!</v>
      </c>
      <c r="V20" s="106">
        <f>ROUND(총전력량!$AR44*라인별전력적용비율!F20,0)</f>
        <v>0</v>
      </c>
      <c r="W20" s="106">
        <f>ROUND(총전력량!$AR44*라인별전력적용비율!G20,0)</f>
        <v>0</v>
      </c>
      <c r="X20" s="106">
        <f>ROUND(총전력량!$AR44*라인별전력적용비율!H20,0)</f>
        <v>0</v>
      </c>
      <c r="Y20" s="106">
        <f>ROUND(총전력량!$AR44*라인별전력적용비율!I20,0)</f>
        <v>0</v>
      </c>
      <c r="Z20" s="106">
        <f>ROUND(총전력량!$AR44*라인별전력적용비율!J20,0)</f>
        <v>0</v>
      </c>
      <c r="AA20" s="106">
        <f>ROUND(총전력량!$AR44*라인별전력적용비율!K20,0)</f>
        <v>0</v>
      </c>
      <c r="AC20" s="183" t="e">
        <f t="shared" si="5"/>
        <v>#DIV/0!</v>
      </c>
      <c r="AE20" s="173" t="e">
        <f t="shared" si="4"/>
        <v>#DIV/0!</v>
      </c>
    </row>
    <row r="21" spans="1:31">
      <c r="A21" s="106" t="s">
        <v>213</v>
      </c>
      <c r="B21" s="106" t="s">
        <v>26</v>
      </c>
      <c r="C21" s="183" t="s">
        <v>367</v>
      </c>
      <c r="D21" s="106" t="s">
        <v>19</v>
      </c>
      <c r="E21" s="112">
        <f>ROUND(IFERROR(총전력량!$AF45*라인별전력적용비율!E21,0),0)</f>
        <v>0</v>
      </c>
      <c r="F21" s="112">
        <f>ROUND(IFERROR(총전력량!$AF45*라인별전력적용비율!F21,0),0)</f>
        <v>0</v>
      </c>
      <c r="G21" s="112">
        <f>ROUND(IFERROR(총전력량!$AF45*라인별전력적용비율!G21,0),0)</f>
        <v>0</v>
      </c>
      <c r="H21" s="112">
        <f>ROUND(IFERROR(총전력량!$AF45*라인별전력적용비율!H21,0),0)</f>
        <v>0</v>
      </c>
      <c r="I21" s="112">
        <f>ROUND(IFERROR(총전력량!$AF45*라인별전력적용비율!I21,0),0)</f>
        <v>0</v>
      </c>
      <c r="J21" s="112">
        <f>ROUND(IFERROR(총전력량!$AF45*라인별전력적용비율!J21,0),0)</f>
        <v>0</v>
      </c>
      <c r="K21" s="112">
        <f>ROUND(IFERROR(총전력량!$AF45*라인별전력적용비율!K21,0),0)</f>
        <v>0</v>
      </c>
      <c r="L21" s="112"/>
      <c r="M21" s="171">
        <f t="shared" si="2"/>
        <v>0</v>
      </c>
      <c r="N21" s="306"/>
      <c r="O21" s="306">
        <f t="shared" si="3"/>
        <v>0</v>
      </c>
      <c r="Q21" s="106" t="s">
        <v>216</v>
      </c>
      <c r="R21" s="106" t="s">
        <v>26</v>
      </c>
      <c r="S21" s="183" t="s">
        <v>367</v>
      </c>
      <c r="T21" s="106" t="s">
        <v>19</v>
      </c>
      <c r="U21" s="106" t="e">
        <f>ROUND(총전력량!$AR45*라인별전력적용비율!E21,0)</f>
        <v>#DIV/0!</v>
      </c>
      <c r="V21" s="106">
        <f>ROUND(총전력량!$AR45*라인별전력적용비율!F21,0)</f>
        <v>0</v>
      </c>
      <c r="W21" s="106">
        <f>ROUND(총전력량!$AR45*라인별전력적용비율!G21,0)</f>
        <v>0</v>
      </c>
      <c r="X21" s="106">
        <f>ROUND(총전력량!$AR45*라인별전력적용비율!H21,0)</f>
        <v>0</v>
      </c>
      <c r="Y21" s="106">
        <f>ROUND(총전력량!$AR45*라인별전력적용비율!I21,0)</f>
        <v>0</v>
      </c>
      <c r="Z21" s="106">
        <f>ROUND(총전력량!$AR45*라인별전력적용비율!J21,0)</f>
        <v>0</v>
      </c>
      <c r="AA21" s="106">
        <f>ROUND(총전력량!$AR45*라인별전력적용비율!K21,0)</f>
        <v>0</v>
      </c>
      <c r="AC21" s="183" t="e">
        <f t="shared" si="5"/>
        <v>#DIV/0!</v>
      </c>
      <c r="AE21" s="173" t="e">
        <f t="shared" si="4"/>
        <v>#DIV/0!</v>
      </c>
    </row>
    <row r="22" spans="1:31">
      <c r="A22" s="106" t="s">
        <v>213</v>
      </c>
      <c r="B22" s="106" t="s">
        <v>26</v>
      </c>
      <c r="C22" s="183" t="s">
        <v>367</v>
      </c>
      <c r="D22" s="106" t="s">
        <v>20</v>
      </c>
      <c r="E22" s="112">
        <f>ROUND(IFERROR(총전력량!$AF46*라인별전력적용비율!E22,0),0)</f>
        <v>0</v>
      </c>
      <c r="F22" s="112">
        <f>ROUND(IFERROR(총전력량!$AF46*라인별전력적용비율!F22,0),0)</f>
        <v>0</v>
      </c>
      <c r="G22" s="112">
        <f>ROUND(IFERROR(총전력량!$AF46*라인별전력적용비율!G22,0),0)</f>
        <v>0</v>
      </c>
      <c r="H22" s="112">
        <f>ROUND(IFERROR(총전력량!$AF46*라인별전력적용비율!H22,0),0)</f>
        <v>0</v>
      </c>
      <c r="I22" s="112">
        <f>ROUND(IFERROR(총전력량!$AF46*라인별전력적용비율!I22,0),0)</f>
        <v>0</v>
      </c>
      <c r="J22" s="112">
        <f>ROUND(IFERROR(총전력량!$AF46*라인별전력적용비율!J22,0),0)</f>
        <v>0</v>
      </c>
      <c r="K22" s="112">
        <f>ROUND(IFERROR(총전력량!$AF46*라인별전력적용비율!K22,0),0)</f>
        <v>0</v>
      </c>
      <c r="L22" s="112"/>
      <c r="M22" s="171">
        <f t="shared" si="2"/>
        <v>0</v>
      </c>
      <c r="N22" s="306"/>
      <c r="O22" s="306">
        <f t="shared" si="3"/>
        <v>0</v>
      </c>
      <c r="Q22" s="106" t="s">
        <v>216</v>
      </c>
      <c r="R22" s="106" t="s">
        <v>26</v>
      </c>
      <c r="S22" s="183" t="s">
        <v>367</v>
      </c>
      <c r="T22" s="106" t="s">
        <v>20</v>
      </c>
      <c r="U22" s="106" t="e">
        <f>ROUND(총전력량!$AR46*라인별전력적용비율!E22,0)</f>
        <v>#DIV/0!</v>
      </c>
      <c r="V22" s="106">
        <f>ROUND(총전력량!$AR46*라인별전력적용비율!F22,0)</f>
        <v>0</v>
      </c>
      <c r="W22" s="106">
        <f>ROUND(총전력량!$AR46*라인별전력적용비율!G22,0)</f>
        <v>0</v>
      </c>
      <c r="X22" s="106">
        <f>ROUND(총전력량!$AR46*라인별전력적용비율!H22,0)</f>
        <v>0</v>
      </c>
      <c r="Y22" s="106">
        <f>ROUND(총전력량!$AR46*라인별전력적용비율!I22,0)</f>
        <v>0</v>
      </c>
      <c r="Z22" s="106">
        <f>ROUND(총전력량!$AR46*라인별전력적용비율!J22,0)</f>
        <v>0</v>
      </c>
      <c r="AA22" s="106">
        <f>ROUND(총전력량!$AR46*라인별전력적용비율!K22,0)</f>
        <v>0</v>
      </c>
      <c r="AC22" s="183" t="e">
        <f t="shared" si="5"/>
        <v>#DIV/0!</v>
      </c>
      <c r="AE22" s="173" t="e">
        <f t="shared" si="4"/>
        <v>#DIV/0!</v>
      </c>
    </row>
    <row r="23" spans="1:31">
      <c r="A23" s="106" t="s">
        <v>213</v>
      </c>
      <c r="B23" s="106" t="s">
        <v>26</v>
      </c>
      <c r="C23" s="183" t="s">
        <v>368</v>
      </c>
      <c r="D23" s="106" t="s">
        <v>21</v>
      </c>
      <c r="E23" s="112">
        <f>ROUND(IFERROR(총전력량!$AF47*라인별전력적용비율!E23,0),0)</f>
        <v>0</v>
      </c>
      <c r="F23" s="112">
        <f>ROUND(IFERROR(총전력량!$AF47*라인별전력적용비율!F23,0),0)</f>
        <v>0</v>
      </c>
      <c r="G23" s="112">
        <f>ROUND(IFERROR(총전력량!$AF47*라인별전력적용비율!G23,0),0)</f>
        <v>0</v>
      </c>
      <c r="H23" s="112">
        <f>ROUND(IFERROR(총전력량!$AF47*라인별전력적용비율!H23,0),0)</f>
        <v>0</v>
      </c>
      <c r="I23" s="112">
        <f>ROUND(IFERROR(총전력량!$AF47*라인별전력적용비율!I23,0),0)</f>
        <v>0</v>
      </c>
      <c r="J23" s="112">
        <f>ROUND(IFERROR(총전력량!$AF47*라인별전력적용비율!J23,0),0)</f>
        <v>0</v>
      </c>
      <c r="K23" s="112">
        <f>ROUND(IFERROR(총전력량!$AF47*라인별전력적용비율!K23,0),0)</f>
        <v>0</v>
      </c>
      <c r="L23" s="112"/>
      <c r="M23" s="171">
        <f t="shared" si="2"/>
        <v>0</v>
      </c>
      <c r="N23" s="306"/>
      <c r="O23" s="306">
        <f t="shared" si="3"/>
        <v>0</v>
      </c>
      <c r="Q23" s="106" t="s">
        <v>216</v>
      </c>
      <c r="R23" s="106" t="s">
        <v>26</v>
      </c>
      <c r="S23" s="183" t="s">
        <v>368</v>
      </c>
      <c r="T23" s="106" t="s">
        <v>21</v>
      </c>
      <c r="U23" s="106" t="e">
        <f>ROUND(총전력량!$AR47*라인별전력적용비율!E23,0)</f>
        <v>#DIV/0!</v>
      </c>
      <c r="V23" s="106">
        <f>ROUND(총전력량!$AR47*라인별전력적용비율!F23,0)</f>
        <v>0</v>
      </c>
      <c r="W23" s="106">
        <f>ROUND(총전력량!$AR47*라인별전력적용비율!G23,0)</f>
        <v>0</v>
      </c>
      <c r="X23" s="106">
        <f>ROUND(총전력량!$AR47*라인별전력적용비율!H23,0)</f>
        <v>0</v>
      </c>
      <c r="Y23" s="106">
        <f>ROUND(총전력량!$AR47*라인별전력적용비율!I23,0)</f>
        <v>0</v>
      </c>
      <c r="Z23" s="106">
        <f>ROUND(총전력량!$AR47*라인별전력적용비율!J23,0)</f>
        <v>0</v>
      </c>
      <c r="AA23" s="106">
        <f>ROUND(총전력량!$AR47*라인별전력적용비율!K23,0)</f>
        <v>0</v>
      </c>
      <c r="AC23" s="183" t="e">
        <f t="shared" si="5"/>
        <v>#DIV/0!</v>
      </c>
      <c r="AE23" s="173" t="e">
        <f t="shared" si="4"/>
        <v>#DIV/0!</v>
      </c>
    </row>
    <row r="24" spans="1:31">
      <c r="A24" s="106" t="s">
        <v>213</v>
      </c>
      <c r="B24" s="106" t="s">
        <v>26</v>
      </c>
      <c r="C24" s="183" t="s">
        <v>368</v>
      </c>
      <c r="D24" s="106" t="s">
        <v>22</v>
      </c>
      <c r="E24" s="112">
        <f>ROUND(IFERROR(총전력량!$AF48*라인별전력적용비율!E24,0),0)</f>
        <v>0</v>
      </c>
      <c r="F24" s="112">
        <f>ROUND(IFERROR(총전력량!$AF48*라인별전력적용비율!F24,0),0)</f>
        <v>0</v>
      </c>
      <c r="G24" s="112">
        <f>ROUND(IFERROR(총전력량!$AF48*라인별전력적용비율!G24,0),0)</f>
        <v>0</v>
      </c>
      <c r="H24" s="112">
        <f>ROUND(IFERROR(총전력량!$AF48*라인별전력적용비율!H24,0),0)</f>
        <v>0</v>
      </c>
      <c r="I24" s="112">
        <f>ROUND(IFERROR(총전력량!$AF48*라인별전력적용비율!I24,0),0)</f>
        <v>0</v>
      </c>
      <c r="J24" s="112">
        <f>ROUND(IFERROR(총전력량!$AF48*라인별전력적용비율!J24,0),0)</f>
        <v>0</v>
      </c>
      <c r="K24" s="112">
        <f>ROUND(IFERROR(총전력량!$AF48*라인별전력적용비율!K24,0),0)</f>
        <v>0</v>
      </c>
      <c r="L24" s="112"/>
      <c r="M24" s="171">
        <f t="shared" si="2"/>
        <v>0</v>
      </c>
      <c r="N24" s="306"/>
      <c r="O24" s="306">
        <f t="shared" si="3"/>
        <v>0</v>
      </c>
      <c r="Q24" s="106" t="s">
        <v>216</v>
      </c>
      <c r="R24" s="106" t="s">
        <v>26</v>
      </c>
      <c r="S24" s="183" t="s">
        <v>368</v>
      </c>
      <c r="T24" s="106" t="s">
        <v>22</v>
      </c>
      <c r="U24" s="106" t="e">
        <f>ROUND(총전력량!$AR48*라인별전력적용비율!E24,0)</f>
        <v>#DIV/0!</v>
      </c>
      <c r="V24" s="106">
        <f>ROUND(총전력량!$AR48*라인별전력적용비율!F24,0)</f>
        <v>0</v>
      </c>
      <c r="W24" s="106">
        <f>ROUND(총전력량!$AR48*라인별전력적용비율!G24,0)</f>
        <v>0</v>
      </c>
      <c r="X24" s="106">
        <f>ROUND(총전력량!$AR48*라인별전력적용비율!H24,0)</f>
        <v>0</v>
      </c>
      <c r="Y24" s="106">
        <f>ROUND(총전력량!$AR48*라인별전력적용비율!I24,0)</f>
        <v>0</v>
      </c>
      <c r="Z24" s="106">
        <f>ROUND(총전력량!$AR48*라인별전력적용비율!J24,0)</f>
        <v>0</v>
      </c>
      <c r="AA24" s="106">
        <f>ROUND(총전력량!$AR48*라인별전력적용비율!K24,0)</f>
        <v>0</v>
      </c>
      <c r="AC24" s="183" t="e">
        <f t="shared" si="5"/>
        <v>#DIV/0!</v>
      </c>
      <c r="AE24" s="173" t="e">
        <f t="shared" si="4"/>
        <v>#DIV/0!</v>
      </c>
    </row>
    <row r="25" spans="1:31">
      <c r="A25" s="106" t="s">
        <v>213</v>
      </c>
      <c r="B25" s="106" t="s">
        <v>26</v>
      </c>
      <c r="C25" s="183" t="s">
        <v>368</v>
      </c>
      <c r="D25" s="106" t="s">
        <v>23</v>
      </c>
      <c r="E25" s="112">
        <f>ROUND(IFERROR(총전력량!$AF49*라인별전력적용비율!E25,0),0)</f>
        <v>0</v>
      </c>
      <c r="F25" s="112">
        <f>ROUND(IFERROR(총전력량!$AF49*라인별전력적용비율!F25,0),0)</f>
        <v>0</v>
      </c>
      <c r="G25" s="112">
        <f>ROUND(IFERROR(총전력량!$AF49*라인별전력적용비율!G25,0),0)</f>
        <v>0</v>
      </c>
      <c r="H25" s="112">
        <f>ROUND(IFERROR(총전력량!$AF49*라인별전력적용비율!H25,0),0)</f>
        <v>0</v>
      </c>
      <c r="I25" s="112">
        <f>ROUND(IFERROR(총전력량!$AF49*라인별전력적용비율!I25,0),0)</f>
        <v>0</v>
      </c>
      <c r="J25" s="112">
        <f>ROUND(IFERROR(총전력량!$AF49*라인별전력적용비율!J25,0),0)</f>
        <v>0</v>
      </c>
      <c r="K25" s="112">
        <f>ROUND(IFERROR(총전력량!$AF49*라인별전력적용비율!K25,0),0)</f>
        <v>0</v>
      </c>
      <c r="L25" s="112"/>
      <c r="M25" s="171">
        <f t="shared" si="2"/>
        <v>0</v>
      </c>
      <c r="N25" s="306"/>
      <c r="O25" s="306">
        <f t="shared" si="3"/>
        <v>0</v>
      </c>
      <c r="Q25" s="106" t="s">
        <v>216</v>
      </c>
      <c r="R25" s="106" t="s">
        <v>26</v>
      </c>
      <c r="S25" s="183" t="s">
        <v>368</v>
      </c>
      <c r="T25" s="106" t="s">
        <v>23</v>
      </c>
      <c r="U25" s="106" t="e">
        <f>ROUND(총전력량!$AR49*라인별전력적용비율!E25,0)</f>
        <v>#DIV/0!</v>
      </c>
      <c r="V25" s="106">
        <f>ROUND(총전력량!$AR49*라인별전력적용비율!F25,0)</f>
        <v>0</v>
      </c>
      <c r="W25" s="106">
        <f>ROUND(총전력량!$AR49*라인별전력적용비율!G25,0)</f>
        <v>0</v>
      </c>
      <c r="X25" s="106">
        <f>ROUND(총전력량!$AR49*라인별전력적용비율!H25,0)</f>
        <v>0</v>
      </c>
      <c r="Y25" s="106">
        <f>ROUND(총전력량!$AR49*라인별전력적용비율!I25,0)</f>
        <v>0</v>
      </c>
      <c r="Z25" s="106">
        <f>ROUND(총전력량!$AR49*라인별전력적용비율!J25,0)</f>
        <v>0</v>
      </c>
      <c r="AA25" s="106">
        <f>ROUND(총전력량!$AR49*라인별전력적용비율!K25,0)</f>
        <v>0</v>
      </c>
      <c r="AC25" s="183" t="e">
        <f t="shared" si="5"/>
        <v>#DIV/0!</v>
      </c>
      <c r="AE25" s="173" t="e">
        <f t="shared" si="4"/>
        <v>#DIV/0!</v>
      </c>
    </row>
    <row r="27" spans="1:31">
      <c r="M27" s="171"/>
    </row>
    <row r="28" spans="1:31">
      <c r="M28" s="171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T52"/>
  <sheetViews>
    <sheetView topLeftCell="A16" zoomScale="85" zoomScaleNormal="85" workbookViewId="0">
      <selection activeCell="M53" sqref="M53"/>
    </sheetView>
  </sheetViews>
  <sheetFormatPr defaultRowHeight="16.5"/>
  <cols>
    <col min="1" max="3" width="9" style="106"/>
    <col min="4" max="4" width="9" style="106" customWidth="1"/>
    <col min="5" max="5" width="9" style="106"/>
    <col min="6" max="6" width="9.25" style="106" bestFit="1" customWidth="1"/>
    <col min="7" max="7" width="9" style="106"/>
    <col min="8" max="12" width="9" style="109"/>
    <col min="13" max="13" width="9" style="106"/>
    <col min="14" max="14" width="9" style="106" customWidth="1"/>
    <col min="15" max="17" width="9" style="106"/>
    <col min="18" max="18" width="9.5" style="106" bestFit="1" customWidth="1"/>
    <col min="19" max="19" width="10.5" style="106" bestFit="1" customWidth="1"/>
    <col min="20" max="20" width="9" style="106"/>
    <col min="21" max="21" width="10.875" style="106" customWidth="1"/>
    <col min="22" max="22" width="10.875" style="305" customWidth="1"/>
    <col min="23" max="23" width="10.875" style="183" customWidth="1"/>
    <col min="24" max="25" width="10.875" style="106" customWidth="1"/>
    <col min="26" max="26" width="10.5" style="106" bestFit="1" customWidth="1"/>
    <col min="27" max="28" width="9.5" style="106" bestFit="1" customWidth="1"/>
    <col min="29" max="29" width="10.5" style="106" bestFit="1" customWidth="1"/>
    <col min="30" max="30" width="9" style="106"/>
    <col min="31" max="31" width="10.5" style="100" bestFit="1" customWidth="1"/>
    <col min="32" max="32" width="10.25" style="106" customWidth="1"/>
    <col min="33" max="33" width="9" style="106"/>
    <col min="34" max="34" width="10.75" style="106" bestFit="1" customWidth="1"/>
    <col min="35" max="35" width="9.625" style="106" bestFit="1" customWidth="1"/>
    <col min="36" max="36" width="9.625" style="183" customWidth="1"/>
    <col min="37" max="37" width="9" style="183"/>
    <col min="38" max="38" width="9.625" style="106" customWidth="1"/>
    <col min="39" max="40" width="9.125" style="106" customWidth="1"/>
    <col min="41" max="42" width="9" style="106"/>
    <col min="43" max="43" width="11.75" style="100" customWidth="1"/>
    <col min="44" max="44" width="9" style="106"/>
    <col min="45" max="45" width="10.5" style="106" bestFit="1" customWidth="1"/>
    <col min="46" max="46" width="10.375" style="106" customWidth="1"/>
    <col min="47" max="16384" width="9" style="106"/>
  </cols>
  <sheetData>
    <row r="1" spans="2:46" ht="33">
      <c r="B1" s="107" t="s">
        <v>1</v>
      </c>
      <c r="C1" s="107" t="s">
        <v>3</v>
      </c>
      <c r="D1" s="107" t="s">
        <v>155</v>
      </c>
      <c r="E1" s="107" t="s">
        <v>11</v>
      </c>
      <c r="F1" s="107" t="s">
        <v>12</v>
      </c>
      <c r="G1" s="107" t="s">
        <v>156</v>
      </c>
      <c r="H1" s="71" t="s">
        <v>92</v>
      </c>
      <c r="I1" s="71" t="s">
        <v>92</v>
      </c>
      <c r="J1" s="71" t="s">
        <v>92</v>
      </c>
      <c r="K1" s="71" t="s">
        <v>92</v>
      </c>
      <c r="L1" s="71" t="s">
        <v>92</v>
      </c>
      <c r="N1" s="107" t="s">
        <v>160</v>
      </c>
      <c r="O1" s="107" t="s">
        <v>161</v>
      </c>
      <c r="P1" s="110" t="s">
        <v>162</v>
      </c>
      <c r="R1" s="106" t="s">
        <v>217</v>
      </c>
      <c r="S1" s="4" t="s">
        <v>218</v>
      </c>
      <c r="T1" s="106" t="s">
        <v>219</v>
      </c>
      <c r="U1" s="106" t="s">
        <v>220</v>
      </c>
      <c r="V1" s="304" t="s">
        <v>467</v>
      </c>
      <c r="W1" s="4" t="s">
        <v>418</v>
      </c>
      <c r="X1" s="4" t="s">
        <v>236</v>
      </c>
      <c r="Y1" s="4" t="s">
        <v>237</v>
      </c>
      <c r="Z1" s="107" t="s">
        <v>172</v>
      </c>
      <c r="AA1" s="106" t="s">
        <v>221</v>
      </c>
      <c r="AB1" s="110" t="s">
        <v>222</v>
      </c>
      <c r="AC1" s="106" t="s">
        <v>223</v>
      </c>
      <c r="AD1" s="106" t="s">
        <v>224</v>
      </c>
      <c r="AE1" s="102" t="s">
        <v>225</v>
      </c>
      <c r="AF1" s="110" t="s">
        <v>226</v>
      </c>
      <c r="AH1" s="4" t="s">
        <v>227</v>
      </c>
      <c r="AI1" s="4" t="s">
        <v>228</v>
      </c>
      <c r="AJ1" s="4" t="s">
        <v>468</v>
      </c>
      <c r="AK1" s="4"/>
      <c r="AL1" s="4" t="s">
        <v>238</v>
      </c>
      <c r="AM1" s="4" t="s">
        <v>239</v>
      </c>
      <c r="AN1" s="4" t="s">
        <v>229</v>
      </c>
      <c r="AO1" s="4" t="s">
        <v>230</v>
      </c>
      <c r="AP1" s="4" t="s">
        <v>231</v>
      </c>
      <c r="AQ1" s="111" t="s">
        <v>232</v>
      </c>
      <c r="AR1" s="4" t="s">
        <v>233</v>
      </c>
      <c r="AS1" s="4" t="s">
        <v>234</v>
      </c>
      <c r="AT1" s="4" t="s">
        <v>235</v>
      </c>
    </row>
    <row r="2" spans="2:46">
      <c r="B2" s="107" t="s">
        <v>8</v>
      </c>
      <c r="C2" s="107" t="s">
        <v>9</v>
      </c>
      <c r="D2" s="108">
        <f>본전력량!D2-ESS전력량!D2</f>
        <v>3156048.0000000009</v>
      </c>
      <c r="E2" s="108">
        <f>본전력량!E2-ESS전력량!E2</f>
        <v>1967183.9999999953</v>
      </c>
      <c r="F2" s="108">
        <f>본전력량!F2-ESS전력량!F2</f>
        <v>1126080.0000000007</v>
      </c>
      <c r="G2" s="106">
        <f>SUM(D2:F2)</f>
        <v>6249311.9999999972</v>
      </c>
      <c r="H2" s="109">
        <v>14400</v>
      </c>
      <c r="I2" s="109">
        <f>전력요금표!$B$2</f>
        <v>8320</v>
      </c>
      <c r="J2" s="109">
        <v>-0.01</v>
      </c>
      <c r="K2" s="109">
        <v>3.6999999999999998E-2</v>
      </c>
      <c r="L2" s="109">
        <v>0.1</v>
      </c>
      <c r="N2" s="288">
        <v>11462</v>
      </c>
      <c r="O2" s="106">
        <v>97</v>
      </c>
      <c r="P2" s="106">
        <f>전력요금표!$B$2</f>
        <v>8320</v>
      </c>
      <c r="R2" s="106">
        <f>N2*I2</f>
        <v>95363840</v>
      </c>
      <c r="S2" s="106">
        <f>(SUMIFS(전력요금표!H:H,전력요금표!D:D,B:B,전력요금표!F:F,C:C,전력요금표!G:G,"경")*ROUNDDOWN(D2,0))+(SUMIFS(전력요금표!H:H,전력요금표!D:D,B:B,전력요금표!F:F,C:C,전력요금표!G:G,"중간")*ROUNDDOWN(E2,0))+(SUMIFS(전력요금표!H:H,전력요금표!D:D,B:B,전력요금표!F:F,C:C,전력요금표!G:G,"최대")*ROUNDDOWN(F2,0))</f>
        <v>601680657.60000002</v>
      </c>
      <c r="T2" s="106">
        <f>ROUNDDOWN(R2*J2,0)</f>
        <v>-953638</v>
      </c>
      <c r="U2" s="106">
        <f>ESS전력량!R2*-1</f>
        <v>0</v>
      </c>
      <c r="Z2" s="106">
        <f>SUM(R2:Y2)</f>
        <v>696090859.60000002</v>
      </c>
      <c r="AA2" s="106">
        <f t="shared" ref="AA2:AA49" si="0">ROUNDDOWN(Z2*K2,-1)</f>
        <v>25755360</v>
      </c>
      <c r="AB2" s="106">
        <f t="shared" ref="AB2:AB49" si="1">ROUND(Z2*L2,0)</f>
        <v>69609086</v>
      </c>
      <c r="AC2" s="106">
        <f t="shared" ref="AC2:AC49" si="2">ROUNDDOWN(SUM(Z2:AB2),-1)</f>
        <v>791455300</v>
      </c>
      <c r="AD2" s="106">
        <v>2500</v>
      </c>
      <c r="AE2" s="100">
        <f>SUM(AC2:AD2)</f>
        <v>791457800</v>
      </c>
      <c r="AF2" s="106">
        <f>SUM(Z2:AA2)</f>
        <v>721846219.60000002</v>
      </c>
      <c r="AH2" s="106">
        <f>ESS전력량!L2</f>
        <v>0</v>
      </c>
      <c r="AI2" s="106">
        <f>ESS전력량!M2*-1</f>
        <v>0</v>
      </c>
      <c r="AL2" s="106">
        <v>0</v>
      </c>
      <c r="AM2" s="106">
        <v>0</v>
      </c>
      <c r="AN2" s="106">
        <f t="shared" ref="AN2:AN49" si="3">SUM(AH2:AM2)</f>
        <v>0</v>
      </c>
      <c r="AO2" s="106">
        <f>ROUND(AN2*L2,0)</f>
        <v>0</v>
      </c>
      <c r="AP2" s="106">
        <f t="shared" ref="AP2:AP7" si="4">ROUNDDOWN(AN2*K2,-1)</f>
        <v>0</v>
      </c>
      <c r="AQ2" s="100">
        <f t="shared" ref="AQ2:AQ7" si="5">ROUNDDOWN(SUM(AN2:AP2),-1)</f>
        <v>0</v>
      </c>
      <c r="AS2" s="106">
        <f>AE2+AQ2</f>
        <v>791457800</v>
      </c>
      <c r="AT2" s="106">
        <f>AF2+AR2</f>
        <v>721846219.60000002</v>
      </c>
    </row>
    <row r="3" spans="2:46">
      <c r="B3" s="107" t="s">
        <v>8</v>
      </c>
      <c r="C3" s="107" t="s">
        <v>13</v>
      </c>
      <c r="D3" s="108">
        <f>본전력량!D3-ESS전력량!D3</f>
        <v>3269375.9999999995</v>
      </c>
      <c r="E3" s="108">
        <f>본전력량!E3-ESS전력량!E3</f>
        <v>1639440.0000000051</v>
      </c>
      <c r="F3" s="108">
        <f>본전력량!F3-ESS전력량!F3</f>
        <v>956592.00000000093</v>
      </c>
      <c r="G3" s="106">
        <f t="shared" ref="G3:G49" si="6">SUM(D3:F3)</f>
        <v>5865408.0000000056</v>
      </c>
      <c r="H3" s="109">
        <v>14400</v>
      </c>
      <c r="I3" s="109">
        <f>전력요금표!$B$2</f>
        <v>8320</v>
      </c>
      <c r="J3" s="109">
        <v>-0.01</v>
      </c>
      <c r="K3" s="109">
        <v>3.6999999999999998E-2</v>
      </c>
      <c r="L3" s="109">
        <v>0.1</v>
      </c>
      <c r="N3" s="288">
        <v>11462</v>
      </c>
      <c r="O3" s="106">
        <v>97</v>
      </c>
      <c r="P3" s="106">
        <f>전력요금표!$B$2</f>
        <v>8320</v>
      </c>
      <c r="R3" s="106">
        <f t="shared" ref="R3:R49" si="7">N3*I3</f>
        <v>95363840</v>
      </c>
      <c r="S3" s="106">
        <f>(SUMIFS(전력요금표!H:H,전력요금표!D:D,B:B,전력요금표!F:F,C:C,전력요금표!G:G,"경")*ROUNDDOWN(D3,0))+(SUMIFS(전력요금표!H:H,전력요금표!D:D,B:B,전력요금표!F:F,C:C,전력요금표!G:G,"중간")*ROUNDDOWN(E3,0))+(SUMIFS(전력요금표!H:H,전력요금표!D:D,B:B,전력요금표!F:F,C:C,전력요금표!G:G,"최대")*ROUNDDOWN(F3,0))</f>
        <v>544788360</v>
      </c>
      <c r="T3" s="106">
        <f t="shared" ref="T3:T49" si="8">ROUNDDOWN(R3*J3,0)</f>
        <v>-953638</v>
      </c>
      <c r="U3" s="106">
        <f>ESS전력량!R3*-1</f>
        <v>0</v>
      </c>
      <c r="Z3" s="106">
        <f t="shared" ref="Z3:Z37" si="9">SUM(R3:Y3)</f>
        <v>639198562</v>
      </c>
      <c r="AA3" s="106">
        <f t="shared" si="0"/>
        <v>23650340</v>
      </c>
      <c r="AB3" s="106">
        <f t="shared" si="1"/>
        <v>63919856</v>
      </c>
      <c r="AC3" s="106">
        <f t="shared" si="2"/>
        <v>726768750</v>
      </c>
      <c r="AD3" s="106">
        <v>2500</v>
      </c>
      <c r="AE3" s="100">
        <f t="shared" ref="AE3:AE49" si="10">SUM(AC3:AD3)</f>
        <v>726771250</v>
      </c>
      <c r="AF3" s="106">
        <f t="shared" ref="AF3:AF49" si="11">SUM(Z3:AA3)</f>
        <v>662848902</v>
      </c>
      <c r="AH3" s="106">
        <f>ESS전력량!L3</f>
        <v>0</v>
      </c>
      <c r="AI3" s="106">
        <f>ESS전력량!M3*-1</f>
        <v>0</v>
      </c>
      <c r="AL3" s="106">
        <v>0</v>
      </c>
      <c r="AM3" s="106">
        <v>0</v>
      </c>
      <c r="AN3" s="106">
        <f t="shared" si="3"/>
        <v>0</v>
      </c>
      <c r="AO3" s="106">
        <f t="shared" ref="AO3:AO49" si="12">ROUND(AN3*L3,0)</f>
        <v>0</v>
      </c>
      <c r="AP3" s="106">
        <f t="shared" si="4"/>
        <v>0</v>
      </c>
      <c r="AQ3" s="100">
        <f t="shared" si="5"/>
        <v>0</v>
      </c>
      <c r="AS3" s="106">
        <f t="shared" ref="AS3:AS49" si="13">AE3+AQ3</f>
        <v>726771250</v>
      </c>
      <c r="AT3" s="106">
        <f t="shared" ref="AT3:AT49" si="14">AF3+AR3</f>
        <v>662848902</v>
      </c>
    </row>
    <row r="4" spans="2:46">
      <c r="B4" s="107" t="s">
        <v>8</v>
      </c>
      <c r="C4" s="107" t="s">
        <v>14</v>
      </c>
      <c r="D4" s="108">
        <f>본전력량!D4-ESS전력량!D4</f>
        <v>3029327.9999999986</v>
      </c>
      <c r="E4" s="108">
        <f>본전력량!E4-ESS전력량!E4</f>
        <v>1849824.0000000005</v>
      </c>
      <c r="F4" s="108">
        <f>본전력량!F4-ESS전력량!F4</f>
        <v>998495.99999999884</v>
      </c>
      <c r="G4" s="106">
        <f t="shared" si="6"/>
        <v>5877647.9999999981</v>
      </c>
      <c r="H4" s="109">
        <v>14400</v>
      </c>
      <c r="I4" s="109">
        <f>전력요금표!$B$2</f>
        <v>8320</v>
      </c>
      <c r="J4" s="109">
        <v>-0.01</v>
      </c>
      <c r="K4" s="109">
        <v>3.6999999999999998E-2</v>
      </c>
      <c r="L4" s="109">
        <v>0.1</v>
      </c>
      <c r="N4" s="288">
        <v>11462</v>
      </c>
      <c r="O4" s="106">
        <v>97</v>
      </c>
      <c r="P4" s="106">
        <f>전력요금표!$B$2</f>
        <v>8320</v>
      </c>
      <c r="R4" s="106">
        <f t="shared" si="7"/>
        <v>95363840</v>
      </c>
      <c r="S4" s="106">
        <f>(SUMIFS(전력요금표!H:H,전력요금표!D:D,B:B,전력요금표!F:F,C:C,전력요금표!G:G,"경")*ROUNDDOWN(D4,0))+(SUMIFS(전력요금표!H:H,전력요금표!D:D,B:B,전력요금표!F:F,C:C,전력요금표!G:G,"중간")*ROUNDDOWN(E4,0))+(SUMIFS(전력요금표!H:H,전력요금표!D:D,B:B,전력요금표!F:F,C:C,전력요금표!G:G,"최대")*ROUNDDOWN(F4,0))</f>
        <v>424476970.69999999</v>
      </c>
      <c r="T4" s="106">
        <f t="shared" si="8"/>
        <v>-953638</v>
      </c>
      <c r="U4" s="106">
        <f>ESS전력량!R4*-1</f>
        <v>0</v>
      </c>
      <c r="Z4" s="106">
        <f t="shared" si="9"/>
        <v>518887172.69999999</v>
      </c>
      <c r="AA4" s="106">
        <f t="shared" si="0"/>
        <v>19198820</v>
      </c>
      <c r="AB4" s="106">
        <f t="shared" si="1"/>
        <v>51888717</v>
      </c>
      <c r="AC4" s="106">
        <f t="shared" si="2"/>
        <v>589974700</v>
      </c>
      <c r="AD4" s="106">
        <v>2500</v>
      </c>
      <c r="AE4" s="100">
        <f t="shared" si="10"/>
        <v>589977200</v>
      </c>
      <c r="AF4" s="106">
        <f t="shared" si="11"/>
        <v>538085992.70000005</v>
      </c>
      <c r="AH4" s="106">
        <f>ESS전력량!L4</f>
        <v>0</v>
      </c>
      <c r="AI4" s="106">
        <f>ESS전력량!M4*-1</f>
        <v>0</v>
      </c>
      <c r="AL4" s="106">
        <v>0</v>
      </c>
      <c r="AM4" s="106">
        <v>0</v>
      </c>
      <c r="AN4" s="106">
        <f t="shared" si="3"/>
        <v>0</v>
      </c>
      <c r="AO4" s="106">
        <f t="shared" si="12"/>
        <v>0</v>
      </c>
      <c r="AP4" s="106">
        <f t="shared" si="4"/>
        <v>0</v>
      </c>
      <c r="AQ4" s="100">
        <f t="shared" si="5"/>
        <v>0</v>
      </c>
      <c r="AS4" s="106">
        <f t="shared" si="13"/>
        <v>589977200</v>
      </c>
      <c r="AT4" s="106">
        <f t="shared" si="14"/>
        <v>538085992.70000005</v>
      </c>
    </row>
    <row r="5" spans="2:46">
      <c r="B5" s="107" t="s">
        <v>8</v>
      </c>
      <c r="C5" s="107" t="s">
        <v>15</v>
      </c>
      <c r="D5" s="108">
        <f>본전력량!D5-ESS전력량!D5</f>
        <v>2803248.0000000009</v>
      </c>
      <c r="E5" s="108">
        <f>본전력량!E5-ESS전력량!E5</f>
        <v>1765871.9999999951</v>
      </c>
      <c r="F5" s="108">
        <f>본전력량!F5-ESS전력량!F5</f>
        <v>965375.99999999953</v>
      </c>
      <c r="G5" s="106">
        <f t="shared" si="6"/>
        <v>5534495.9999999963</v>
      </c>
      <c r="H5" s="109">
        <v>14400</v>
      </c>
      <c r="I5" s="109">
        <f>전력요금표!$B$2</f>
        <v>8320</v>
      </c>
      <c r="J5" s="109">
        <v>-0.01</v>
      </c>
      <c r="K5" s="109">
        <v>3.6999999999999998E-2</v>
      </c>
      <c r="L5" s="109">
        <v>0.1</v>
      </c>
      <c r="N5" s="288">
        <v>11578</v>
      </c>
      <c r="O5" s="106">
        <v>97</v>
      </c>
      <c r="P5" s="106">
        <f>전력요금표!$B$2</f>
        <v>8320</v>
      </c>
      <c r="R5" s="106">
        <f t="shared" si="7"/>
        <v>96328960</v>
      </c>
      <c r="S5" s="106">
        <f>(SUMIFS(전력요금표!H:H,전력요금표!D:D,B:B,전력요금표!F:F,C:C,전력요금표!G:G,"경")*ROUNDDOWN(D5,0))+(SUMIFS(전력요금표!H:H,전력요금표!D:D,B:B,전력요금표!F:F,C:C,전력요금표!G:G,"중간")*ROUNDDOWN(E5,0))+(SUMIFS(전력요금표!H:H,전력요금표!D:D,B:B,전력요금표!F:F,C:C,전력요금표!G:G,"최대")*ROUNDDOWN(F5,0))</f>
        <v>401575348.80000001</v>
      </c>
      <c r="T5" s="106">
        <f t="shared" si="8"/>
        <v>-963289</v>
      </c>
      <c r="U5" s="106">
        <f>ESS전력량!R5*-1</f>
        <v>0</v>
      </c>
      <c r="Z5" s="106">
        <f t="shared" si="9"/>
        <v>496941019.80000001</v>
      </c>
      <c r="AA5" s="106">
        <f t="shared" si="0"/>
        <v>18386810</v>
      </c>
      <c r="AB5" s="106">
        <f t="shared" si="1"/>
        <v>49694102</v>
      </c>
      <c r="AC5" s="106">
        <f t="shared" si="2"/>
        <v>565021930</v>
      </c>
      <c r="AD5" s="106">
        <v>2500</v>
      </c>
      <c r="AE5" s="100">
        <f t="shared" si="10"/>
        <v>565024430</v>
      </c>
      <c r="AF5" s="106">
        <f t="shared" si="11"/>
        <v>515327829.80000001</v>
      </c>
      <c r="AH5" s="106">
        <f>ESS전력량!L5</f>
        <v>0</v>
      </c>
      <c r="AI5" s="106">
        <f>ESS전력량!M5*-1</f>
        <v>0</v>
      </c>
      <c r="AL5" s="106">
        <v>0</v>
      </c>
      <c r="AM5" s="106">
        <v>0</v>
      </c>
      <c r="AN5" s="106">
        <f t="shared" si="3"/>
        <v>0</v>
      </c>
      <c r="AO5" s="106">
        <f t="shared" si="12"/>
        <v>0</v>
      </c>
      <c r="AP5" s="106">
        <f t="shared" si="4"/>
        <v>0</v>
      </c>
      <c r="AQ5" s="100">
        <f t="shared" si="5"/>
        <v>0</v>
      </c>
      <c r="AS5" s="106">
        <f t="shared" si="13"/>
        <v>565024430</v>
      </c>
      <c r="AT5" s="106">
        <f t="shared" si="14"/>
        <v>515327829.80000001</v>
      </c>
    </row>
    <row r="6" spans="2:46">
      <c r="B6" s="107" t="s">
        <v>8</v>
      </c>
      <c r="C6" s="107" t="s">
        <v>16</v>
      </c>
      <c r="D6" s="108">
        <f>본전력량!D6-ESS전력량!D6</f>
        <v>3454416.0000000047</v>
      </c>
      <c r="E6" s="108">
        <f>본전력량!E6-ESS전력량!E6</f>
        <v>1824192.0000000042</v>
      </c>
      <c r="F6" s="108">
        <f>본전력량!F6-ESS전력량!F6</f>
        <v>1063872.0000000016</v>
      </c>
      <c r="G6" s="106">
        <f t="shared" si="6"/>
        <v>6342480.0000000112</v>
      </c>
      <c r="H6" s="109">
        <v>14400</v>
      </c>
      <c r="I6" s="109">
        <f>전력요금표!$B$2</f>
        <v>8320</v>
      </c>
      <c r="J6" s="109">
        <v>-0.01</v>
      </c>
      <c r="K6" s="109">
        <v>3.6999999999999998E-2</v>
      </c>
      <c r="L6" s="109">
        <v>0.1</v>
      </c>
      <c r="N6" s="288">
        <v>11462</v>
      </c>
      <c r="O6" s="106">
        <v>97</v>
      </c>
      <c r="P6" s="106">
        <f>전력요금표!$B$2</f>
        <v>8320</v>
      </c>
      <c r="R6" s="106">
        <f t="shared" si="7"/>
        <v>95363840</v>
      </c>
      <c r="S6" s="106">
        <f>(SUMIFS(전력요금표!H:H,전력요금표!D:D,B:B,전력요금표!F:F,C:C,전력요금표!G:G,"경")*ROUNDDOWN(D6,0))+(SUMIFS(전력요금표!H:H,전력요금표!D:D,B:B,전력요금표!F:F,C:C,전력요금표!G:G,"중간")*ROUNDDOWN(E6,0))+(SUMIFS(전력요금표!H:H,전력요금표!D:D,B:B,전력요금표!F:F,C:C,전력요금표!G:G,"최대")*ROUNDDOWN(F6,0))</f>
        <v>453455438.39999998</v>
      </c>
      <c r="T6" s="106">
        <f t="shared" si="8"/>
        <v>-953638</v>
      </c>
      <c r="U6" s="106">
        <f>ESS전력량!R6*-1</f>
        <v>0</v>
      </c>
      <c r="Z6" s="106">
        <f t="shared" si="9"/>
        <v>547865640.39999998</v>
      </c>
      <c r="AA6" s="106">
        <f t="shared" si="0"/>
        <v>20271020</v>
      </c>
      <c r="AB6" s="106">
        <f t="shared" si="1"/>
        <v>54786564</v>
      </c>
      <c r="AC6" s="106">
        <f t="shared" si="2"/>
        <v>622923220</v>
      </c>
      <c r="AD6" s="106">
        <v>2500</v>
      </c>
      <c r="AE6" s="100">
        <f t="shared" si="10"/>
        <v>622925720</v>
      </c>
      <c r="AF6" s="106">
        <f t="shared" si="11"/>
        <v>568136660.39999998</v>
      </c>
      <c r="AH6" s="106">
        <f>ESS전력량!L6</f>
        <v>0</v>
      </c>
      <c r="AI6" s="106">
        <f>ESS전력량!M6*-1</f>
        <v>0</v>
      </c>
      <c r="AL6" s="106">
        <v>0</v>
      </c>
      <c r="AM6" s="106">
        <v>0</v>
      </c>
      <c r="AN6" s="106">
        <f t="shared" si="3"/>
        <v>0</v>
      </c>
      <c r="AO6" s="106">
        <f t="shared" si="12"/>
        <v>0</v>
      </c>
      <c r="AP6" s="106">
        <f t="shared" si="4"/>
        <v>0</v>
      </c>
      <c r="AQ6" s="100">
        <f t="shared" si="5"/>
        <v>0</v>
      </c>
      <c r="AS6" s="106">
        <f t="shared" si="13"/>
        <v>622925720</v>
      </c>
      <c r="AT6" s="106">
        <f t="shared" si="14"/>
        <v>568136660.39999998</v>
      </c>
    </row>
    <row r="7" spans="2:46">
      <c r="B7" s="107" t="s">
        <v>8</v>
      </c>
      <c r="C7" s="107" t="s">
        <v>17</v>
      </c>
      <c r="D7" s="108">
        <f>본전력량!D7-ESS전력량!D7</f>
        <v>3072383.9999999953</v>
      </c>
      <c r="E7" s="108">
        <f>본전력량!E7-ESS전력량!E7</f>
        <v>1813679.9999999974</v>
      </c>
      <c r="F7" s="108">
        <f>본전력량!F7-ESS전력량!F7</f>
        <v>980495.99999999884</v>
      </c>
      <c r="G7" s="106">
        <f t="shared" si="6"/>
        <v>5866559.9999999916</v>
      </c>
      <c r="H7" s="109">
        <v>14400</v>
      </c>
      <c r="I7" s="109">
        <f>전력요금표!$B$2</f>
        <v>8320</v>
      </c>
      <c r="J7" s="109">
        <v>-0.01</v>
      </c>
      <c r="K7" s="109">
        <v>3.6999999999999998E-2</v>
      </c>
      <c r="L7" s="109">
        <v>0.1</v>
      </c>
      <c r="N7" s="288">
        <v>11462</v>
      </c>
      <c r="O7" s="106">
        <v>97</v>
      </c>
      <c r="P7" s="106">
        <f>전력요금표!$B$2</f>
        <v>8320</v>
      </c>
      <c r="R7" s="106">
        <f t="shared" si="7"/>
        <v>95363840</v>
      </c>
      <c r="S7" s="106">
        <f>(SUMIFS(전력요금표!H:H,전력요금표!D:D,B:B,전력요금표!F:F,C:C,전력요금표!G:G,"경")*ROUNDDOWN(D7,0))+(SUMIFS(전력요금표!H:H,전력요금표!D:D,B:B,전력요금표!F:F,C:C,전력요금표!G:G,"중간")*ROUNDDOWN(E7,0))+(SUMIFS(전력요금표!H:H,전력요금표!D:D,B:B,전력요금표!F:F,C:C,전력요금표!G:G,"최대")*ROUNDDOWN(F7,0))</f>
        <v>557424456.89999998</v>
      </c>
      <c r="T7" s="106">
        <f t="shared" si="8"/>
        <v>-953638</v>
      </c>
      <c r="U7" s="106">
        <f>ESS전력량!R7*-1</f>
        <v>0</v>
      </c>
      <c r="Z7" s="106">
        <f t="shared" si="9"/>
        <v>651834658.89999998</v>
      </c>
      <c r="AA7" s="106">
        <f t="shared" si="0"/>
        <v>24117880</v>
      </c>
      <c r="AB7" s="106">
        <f t="shared" si="1"/>
        <v>65183466</v>
      </c>
      <c r="AC7" s="106">
        <f t="shared" si="2"/>
        <v>741136000</v>
      </c>
      <c r="AD7" s="106">
        <v>2500</v>
      </c>
      <c r="AE7" s="100">
        <f t="shared" si="10"/>
        <v>741138500</v>
      </c>
      <c r="AF7" s="106">
        <f t="shared" si="11"/>
        <v>675952538.89999998</v>
      </c>
      <c r="AH7" s="106">
        <f>ESS전력량!L7</f>
        <v>0</v>
      </c>
      <c r="AI7" s="106">
        <f>ESS전력량!M7*-1</f>
        <v>0</v>
      </c>
      <c r="AL7" s="106">
        <v>0</v>
      </c>
      <c r="AM7" s="106">
        <v>0</v>
      </c>
      <c r="AN7" s="106">
        <f t="shared" si="3"/>
        <v>0</v>
      </c>
      <c r="AO7" s="106">
        <f t="shared" si="12"/>
        <v>0</v>
      </c>
      <c r="AP7" s="106">
        <f t="shared" si="4"/>
        <v>0</v>
      </c>
      <c r="AQ7" s="100">
        <f t="shared" si="5"/>
        <v>0</v>
      </c>
      <c r="AS7" s="106">
        <f t="shared" si="13"/>
        <v>741138500</v>
      </c>
      <c r="AT7" s="106">
        <f t="shared" si="14"/>
        <v>675952538.89999998</v>
      </c>
    </row>
    <row r="8" spans="2:46">
      <c r="B8" s="107" t="s">
        <v>8</v>
      </c>
      <c r="C8" s="107" t="s">
        <v>18</v>
      </c>
      <c r="D8" s="108">
        <f>본전력량!D8-ESS전력량!D8</f>
        <v>3281678.2400000081</v>
      </c>
      <c r="E8" s="108">
        <f>본전력량!E8-ESS전력량!E8</f>
        <v>2034958.1600000004</v>
      </c>
      <c r="F8" s="108">
        <f>본전력량!F8-ESS전력량!F8</f>
        <v>1010435.7600000009</v>
      </c>
      <c r="G8" s="106">
        <f t="shared" si="6"/>
        <v>6327072.1600000095</v>
      </c>
      <c r="H8" s="109">
        <v>14400</v>
      </c>
      <c r="I8" s="109">
        <f>전력요금표!$B$2</f>
        <v>8320</v>
      </c>
      <c r="J8" s="109">
        <v>-0.01</v>
      </c>
      <c r="K8" s="109">
        <v>3.6999999999999998E-2</v>
      </c>
      <c r="L8" s="109">
        <v>0.1</v>
      </c>
      <c r="N8" s="288">
        <v>11462</v>
      </c>
      <c r="O8" s="106">
        <v>97</v>
      </c>
      <c r="P8" s="106">
        <f>전력요금표!$B$2</f>
        <v>8320</v>
      </c>
      <c r="R8" s="106">
        <f t="shared" si="7"/>
        <v>95363840</v>
      </c>
      <c r="S8" s="106">
        <f>(SUMIFS(전력요금표!H:H,전력요금표!D:D,B:B,전력요금표!F:F,C:C,전력요금표!G:G,"경")*ROUNDDOWN(D8,0))+(SUMIFS(전력요금표!H:H,전력요금표!D:D,B:B,전력요금표!F:F,C:C,전력요금표!G:G,"중간")*ROUNDDOWN(E8,0))+(SUMIFS(전력요금표!H:H,전력요금표!D:D,B:B,전력요금표!F:F,C:C,전력요금표!G:G,"최대")*ROUNDDOWN(F8,0))</f>
        <v>599006686.29999995</v>
      </c>
      <c r="T8" s="106">
        <f t="shared" si="8"/>
        <v>-953638</v>
      </c>
      <c r="U8" s="106">
        <f>ESS전력량!R8*-1</f>
        <v>-60131055.483870968</v>
      </c>
      <c r="Z8" s="106">
        <f t="shared" si="9"/>
        <v>633285832.81612897</v>
      </c>
      <c r="AA8" s="106">
        <f t="shared" si="0"/>
        <v>23431570</v>
      </c>
      <c r="AB8" s="106">
        <f t="shared" si="1"/>
        <v>63328583</v>
      </c>
      <c r="AC8" s="106">
        <f t="shared" si="2"/>
        <v>720045980</v>
      </c>
      <c r="AD8" s="106">
        <v>2500</v>
      </c>
      <c r="AE8" s="100">
        <f t="shared" si="10"/>
        <v>720048480</v>
      </c>
      <c r="AF8" s="106">
        <f t="shared" si="11"/>
        <v>656717402.81612897</v>
      </c>
      <c r="AH8" s="106">
        <f>ESS전력량!L8</f>
        <v>10155646</v>
      </c>
      <c r="AI8" s="106">
        <f>ESS전력량!M8*-1</f>
        <v>-5940384</v>
      </c>
      <c r="AL8" s="106">
        <v>0</v>
      </c>
      <c r="AM8" s="106">
        <v>0</v>
      </c>
      <c r="AN8" s="106">
        <f t="shared" si="3"/>
        <v>4215262</v>
      </c>
      <c r="AO8" s="106">
        <f t="shared" si="12"/>
        <v>421526</v>
      </c>
      <c r="AP8" s="106">
        <f>ROUNDDOWN(AN8*K8,-1)</f>
        <v>155960</v>
      </c>
      <c r="AQ8" s="100">
        <f>ROUNDDOWN(SUM(AN8:AP8),-1)</f>
        <v>4792740</v>
      </c>
      <c r="AR8" s="106">
        <f>AN8+AP8</f>
        <v>4371222</v>
      </c>
      <c r="AS8" s="106">
        <f t="shared" si="13"/>
        <v>724841220</v>
      </c>
      <c r="AT8" s="106">
        <f t="shared" si="14"/>
        <v>661088624.81612897</v>
      </c>
    </row>
    <row r="9" spans="2:46">
      <c r="B9" s="107" t="s">
        <v>8</v>
      </c>
      <c r="C9" s="107" t="s">
        <v>19</v>
      </c>
      <c r="D9" s="108">
        <f>본전력량!D9-ESS전력량!D9</f>
        <v>2781534.3999999883</v>
      </c>
      <c r="E9" s="108">
        <f>본전력량!E9-ESS전력량!E9</f>
        <v>1698401.44</v>
      </c>
      <c r="F9" s="108">
        <f>본전력량!F9-ESS전력량!F9</f>
        <v>814607.99999999907</v>
      </c>
      <c r="G9" s="106">
        <f t="shared" si="6"/>
        <v>5294543.8399999877</v>
      </c>
      <c r="H9" s="109">
        <v>14400</v>
      </c>
      <c r="I9" s="109">
        <f>전력요금표!$B$2</f>
        <v>8320</v>
      </c>
      <c r="J9" s="109">
        <v>-0.01</v>
      </c>
      <c r="K9" s="109">
        <v>3.6999999999999998E-2</v>
      </c>
      <c r="L9" s="109">
        <v>0.1</v>
      </c>
      <c r="N9" s="288">
        <v>11462</v>
      </c>
      <c r="O9" s="106">
        <v>97</v>
      </c>
      <c r="P9" s="106">
        <f>전력요금표!$B$2</f>
        <v>8320</v>
      </c>
      <c r="R9" s="106">
        <f t="shared" si="7"/>
        <v>95363840</v>
      </c>
      <c r="S9" s="106">
        <f>(SUMIFS(전력요금표!H:H,전력요금표!D:D,B:B,전력요금표!F:F,C:C,전력요금표!G:G,"경")*ROUNDDOWN(D9,0))+(SUMIFS(전력요금표!H:H,전력요금표!D:D,B:B,전력요금표!F:F,C:C,전력요금표!G:G,"중간")*ROUNDDOWN(E9,0))+(SUMIFS(전력요금표!H:H,전력요금표!D:D,B:B,전력요금표!F:F,C:C,전력요금표!G:G,"최대")*ROUNDDOWN(F9,0))</f>
        <v>496841164.09999996</v>
      </c>
      <c r="T9" s="106">
        <f t="shared" si="8"/>
        <v>-953638</v>
      </c>
      <c r="U9" s="106">
        <f>ESS전력량!R9*-1</f>
        <v>-80600831.999999985</v>
      </c>
      <c r="Z9" s="106">
        <f t="shared" si="9"/>
        <v>510650534.0999999</v>
      </c>
      <c r="AA9" s="106">
        <f t="shared" si="0"/>
        <v>18894060</v>
      </c>
      <c r="AB9" s="106">
        <f t="shared" si="1"/>
        <v>51065053</v>
      </c>
      <c r="AC9" s="106">
        <f t="shared" si="2"/>
        <v>580609640</v>
      </c>
      <c r="AD9" s="106">
        <v>2500</v>
      </c>
      <c r="AE9" s="100">
        <f t="shared" si="10"/>
        <v>580612140</v>
      </c>
      <c r="AF9" s="106">
        <f t="shared" si="11"/>
        <v>529544594.0999999</v>
      </c>
      <c r="AH9" s="106">
        <f>ESS전력량!L9</f>
        <v>13390533</v>
      </c>
      <c r="AI9" s="106">
        <f>ESS전력량!M9*-1</f>
        <v>-7982065</v>
      </c>
      <c r="AL9" s="106">
        <v>0</v>
      </c>
      <c r="AM9" s="106">
        <v>0</v>
      </c>
      <c r="AN9" s="106">
        <f t="shared" si="3"/>
        <v>5408468</v>
      </c>
      <c r="AO9" s="106">
        <f t="shared" si="12"/>
        <v>540847</v>
      </c>
      <c r="AP9" s="106">
        <f t="shared" ref="AP9:AP49" si="15">ROUNDDOWN(AN9*K9,-1)</f>
        <v>200110</v>
      </c>
      <c r="AQ9" s="100">
        <f t="shared" ref="AQ9:AQ49" si="16">ROUNDDOWN(SUM(AN9:AP9),-1)</f>
        <v>6149420</v>
      </c>
      <c r="AR9" s="106">
        <f t="shared" ref="AR9:AR49" si="17">AN9+AP9</f>
        <v>5608578</v>
      </c>
      <c r="AS9" s="106">
        <f t="shared" si="13"/>
        <v>586761560</v>
      </c>
      <c r="AT9" s="106">
        <f t="shared" si="14"/>
        <v>535153172.0999999</v>
      </c>
    </row>
    <row r="10" spans="2:46">
      <c r="B10" s="107" t="s">
        <v>8</v>
      </c>
      <c r="C10" s="107" t="s">
        <v>20</v>
      </c>
      <c r="D10" s="108">
        <f>본전력량!D10-ESS전력량!D10</f>
        <v>3224743.7600000016</v>
      </c>
      <c r="E10" s="108">
        <f>본전력량!E10-ESS전력량!E10</f>
        <v>1714057.5999999992</v>
      </c>
      <c r="F10" s="108">
        <f>본전력량!F10-ESS전력량!F10</f>
        <v>660510.63999999838</v>
      </c>
      <c r="G10" s="106">
        <f t="shared" si="6"/>
        <v>5599312</v>
      </c>
      <c r="H10" s="109">
        <v>14400</v>
      </c>
      <c r="I10" s="109">
        <f>전력요금표!$B$2</f>
        <v>8320</v>
      </c>
      <c r="J10" s="109">
        <v>-0.01</v>
      </c>
      <c r="K10" s="109">
        <v>3.6999999999999998E-2</v>
      </c>
      <c r="L10" s="109">
        <v>0.1</v>
      </c>
      <c r="N10" s="288">
        <v>11462</v>
      </c>
      <c r="O10" s="106">
        <v>97</v>
      </c>
      <c r="P10" s="106">
        <f>전력요금표!$B$2</f>
        <v>8320</v>
      </c>
      <c r="R10" s="106">
        <f t="shared" si="7"/>
        <v>95363840</v>
      </c>
      <c r="S10" s="106">
        <f>(SUMIFS(전력요금표!H:H,전력요금표!D:D,B:B,전력요금표!F:F,C:C,전력요금표!G:G,"경")*ROUNDDOWN(D10,0))+(SUMIFS(전력요금표!H:H,전력요금표!D:D,B:B,전력요금표!F:F,C:C,전력요금표!G:G,"중간")*ROUNDDOWN(E10,0))+(SUMIFS(전력요금표!H:H,전력요금표!D:D,B:B,전력요금표!F:F,C:C,전력요금표!G:G,"최대")*ROUNDDOWN(F10,0))</f>
        <v>387826705.5</v>
      </c>
      <c r="T10" s="106">
        <f t="shared" si="8"/>
        <v>-953638</v>
      </c>
      <c r="U10" s="106">
        <f>ESS전력량!R10*-1</f>
        <v>-88508160</v>
      </c>
      <c r="Z10" s="106">
        <f t="shared" si="9"/>
        <v>393728747.5</v>
      </c>
      <c r="AA10" s="106">
        <f t="shared" si="0"/>
        <v>14567960</v>
      </c>
      <c r="AB10" s="106">
        <f t="shared" si="1"/>
        <v>39372875</v>
      </c>
      <c r="AC10" s="106">
        <f t="shared" si="2"/>
        <v>447669580</v>
      </c>
      <c r="AD10" s="106">
        <v>2500</v>
      </c>
      <c r="AE10" s="100">
        <f t="shared" si="10"/>
        <v>447672080</v>
      </c>
      <c r="AF10" s="106">
        <f t="shared" si="11"/>
        <v>408296707.5</v>
      </c>
      <c r="AH10" s="106">
        <f>ESS전력량!L10</f>
        <v>12092774</v>
      </c>
      <c r="AI10" s="106">
        <f>ESS전력량!M10*-1</f>
        <v>-7221820</v>
      </c>
      <c r="AL10" s="106">
        <v>0</v>
      </c>
      <c r="AM10" s="106">
        <v>0</v>
      </c>
      <c r="AN10" s="106">
        <f t="shared" si="3"/>
        <v>4870954</v>
      </c>
      <c r="AO10" s="106">
        <f t="shared" si="12"/>
        <v>487095</v>
      </c>
      <c r="AP10" s="106">
        <f t="shared" si="15"/>
        <v>180220</v>
      </c>
      <c r="AQ10" s="100">
        <f t="shared" si="16"/>
        <v>5538260</v>
      </c>
      <c r="AR10" s="106">
        <f t="shared" si="17"/>
        <v>5051174</v>
      </c>
      <c r="AS10" s="106">
        <f t="shared" si="13"/>
        <v>453210340</v>
      </c>
      <c r="AT10" s="106">
        <f t="shared" si="14"/>
        <v>413347881.5</v>
      </c>
    </row>
    <row r="11" spans="2:46">
      <c r="B11" s="107" t="s">
        <v>8</v>
      </c>
      <c r="C11" s="107" t="s">
        <v>21</v>
      </c>
      <c r="D11" s="108">
        <f>본전력량!D11-ESS전력량!D11</f>
        <v>3213481.9200000088</v>
      </c>
      <c r="E11" s="108">
        <f>본전력량!E11-ESS전력량!E11</f>
        <v>1859502.7200000007</v>
      </c>
      <c r="F11" s="108">
        <f>본전력량!F11-ESS전력량!F11</f>
        <v>820603.92000000016</v>
      </c>
      <c r="G11" s="106">
        <f t="shared" si="6"/>
        <v>5893588.5600000098</v>
      </c>
      <c r="H11" s="109">
        <v>14400</v>
      </c>
      <c r="I11" s="109">
        <f>전력요금표!$B$2</f>
        <v>8320</v>
      </c>
      <c r="J11" s="109">
        <v>-0.01</v>
      </c>
      <c r="K11" s="109">
        <v>3.6999999999999998E-2</v>
      </c>
      <c r="L11" s="109">
        <v>0.1</v>
      </c>
      <c r="N11" s="288">
        <v>11462</v>
      </c>
      <c r="O11" s="106">
        <v>97</v>
      </c>
      <c r="P11" s="106">
        <f>전력요금표!$B$2</f>
        <v>8320</v>
      </c>
      <c r="R11" s="106">
        <f t="shared" si="7"/>
        <v>95363840</v>
      </c>
      <c r="S11" s="106">
        <f>(SUMIFS(전력요금표!H:H,전력요금표!D:D,B:B,전력요금표!F:F,C:C,전력요금표!G:G,"경")*ROUNDDOWN(D11,0))+(SUMIFS(전력요금표!H:H,전력요금표!D:D,B:B,전력요금표!F:F,C:C,전력요금표!G:G,"중간")*ROUNDDOWN(E11,0))+(SUMIFS(전력요금표!H:H,전력요금표!D:D,B:B,전력요금표!F:F,C:C,전력요금표!G:G,"최대")*ROUNDDOWN(F11,0))</f>
        <v>416125049.19999993</v>
      </c>
      <c r="T11" s="106">
        <f t="shared" si="8"/>
        <v>-953638</v>
      </c>
      <c r="U11" s="106">
        <f>ESS전력량!R11*-1</f>
        <v>-88687871.999999985</v>
      </c>
      <c r="Z11" s="106">
        <f t="shared" si="9"/>
        <v>421847379.19999993</v>
      </c>
      <c r="AA11" s="106">
        <f t="shared" si="0"/>
        <v>15608350</v>
      </c>
      <c r="AB11" s="106">
        <f t="shared" si="1"/>
        <v>42184738</v>
      </c>
      <c r="AC11" s="106">
        <f t="shared" si="2"/>
        <v>479640460</v>
      </c>
      <c r="AD11" s="106">
        <v>2500</v>
      </c>
      <c r="AE11" s="100">
        <f t="shared" si="10"/>
        <v>479642960</v>
      </c>
      <c r="AF11" s="106">
        <f t="shared" si="11"/>
        <v>437455729.19999993</v>
      </c>
      <c r="AH11" s="106">
        <f>ESS전력량!L11</f>
        <v>13732966</v>
      </c>
      <c r="AI11" s="106">
        <f>ESS전력량!M11*-1</f>
        <v>-8197085</v>
      </c>
      <c r="AL11" s="106">
        <v>0</v>
      </c>
      <c r="AM11" s="106">
        <v>0</v>
      </c>
      <c r="AN11" s="106">
        <f t="shared" si="3"/>
        <v>5535881</v>
      </c>
      <c r="AO11" s="106">
        <f t="shared" si="12"/>
        <v>553588</v>
      </c>
      <c r="AP11" s="106">
        <f t="shared" si="15"/>
        <v>204820</v>
      </c>
      <c r="AQ11" s="100">
        <f t="shared" si="16"/>
        <v>6294280</v>
      </c>
      <c r="AR11" s="106">
        <f t="shared" si="17"/>
        <v>5740701</v>
      </c>
      <c r="AS11" s="106">
        <f t="shared" si="13"/>
        <v>485937240</v>
      </c>
      <c r="AT11" s="106">
        <f t="shared" si="14"/>
        <v>443196430.19999993</v>
      </c>
    </row>
    <row r="12" spans="2:46">
      <c r="B12" s="107" t="s">
        <v>8</v>
      </c>
      <c r="C12" s="107" t="s">
        <v>22</v>
      </c>
      <c r="D12" s="108">
        <f>본전력량!D12-ESS전력량!D12</f>
        <v>2873924.639999989</v>
      </c>
      <c r="E12" s="108">
        <f>본전력량!E12-ESS전력량!E12</f>
        <v>1875377.4399999995</v>
      </c>
      <c r="F12" s="108">
        <f>본전력량!F12-ESS전력량!F12</f>
        <v>923851.92000000121</v>
      </c>
      <c r="G12" s="106">
        <f t="shared" si="6"/>
        <v>5673153.9999999898</v>
      </c>
      <c r="H12" s="109">
        <v>14400</v>
      </c>
      <c r="I12" s="109">
        <f>전력요금표!$B$2</f>
        <v>8320</v>
      </c>
      <c r="J12" s="109">
        <v>-0.01</v>
      </c>
      <c r="K12" s="109">
        <v>3.6999999999999998E-2</v>
      </c>
      <c r="L12" s="109">
        <v>0.1</v>
      </c>
      <c r="N12" s="288">
        <v>11462</v>
      </c>
      <c r="O12" s="106">
        <v>97</v>
      </c>
      <c r="P12" s="106">
        <f>전력요금표!$B$2</f>
        <v>8320</v>
      </c>
      <c r="R12" s="106">
        <f t="shared" si="7"/>
        <v>95363840</v>
      </c>
      <c r="S12" s="106">
        <f>(SUMIFS(전력요금표!H:H,전력요금표!D:D,B:B,전력요금표!F:F,C:C,전력요금표!G:G,"경")*ROUNDDOWN(D12,0))+(SUMIFS(전력요금표!H:H,전력요금표!D:D,B:B,전력요금표!F:F,C:C,전력요금표!G:G,"중간")*ROUNDDOWN(E12,0))+(SUMIFS(전력요금표!H:H,전력요금표!D:D,B:B,전력요금표!F:F,C:C,전력요금표!G:G,"최대")*ROUNDDOWN(F12,0))</f>
        <v>540141734.5</v>
      </c>
      <c r="T12" s="106">
        <f t="shared" si="8"/>
        <v>-953638</v>
      </c>
      <c r="U12" s="106">
        <f>ESS전력량!R12*-1</f>
        <v>-88598016</v>
      </c>
      <c r="Z12" s="106">
        <f t="shared" si="9"/>
        <v>545953920.5</v>
      </c>
      <c r="AA12" s="106">
        <f t="shared" si="0"/>
        <v>20200290</v>
      </c>
      <c r="AB12" s="106">
        <f t="shared" si="1"/>
        <v>54595392</v>
      </c>
      <c r="AC12" s="106">
        <f t="shared" si="2"/>
        <v>620749600</v>
      </c>
      <c r="AD12" s="106">
        <v>2500</v>
      </c>
      <c r="AE12" s="100">
        <f t="shared" si="10"/>
        <v>620752100</v>
      </c>
      <c r="AF12" s="106">
        <f t="shared" si="11"/>
        <v>566154210.5</v>
      </c>
      <c r="AH12" s="106">
        <f>ESS전력량!L12</f>
        <v>16007909</v>
      </c>
      <c r="AI12" s="106">
        <f>ESS전력량!M12*-1</f>
        <v>-9547194</v>
      </c>
      <c r="AL12" s="106">
        <v>0</v>
      </c>
      <c r="AM12" s="106">
        <v>0</v>
      </c>
      <c r="AN12" s="106">
        <f t="shared" si="3"/>
        <v>6460715</v>
      </c>
      <c r="AO12" s="106">
        <f t="shared" si="12"/>
        <v>646072</v>
      </c>
      <c r="AP12" s="106">
        <f t="shared" si="15"/>
        <v>239040</v>
      </c>
      <c r="AQ12" s="100">
        <f t="shared" si="16"/>
        <v>7345820</v>
      </c>
      <c r="AR12" s="106">
        <f t="shared" si="17"/>
        <v>6699755</v>
      </c>
      <c r="AS12" s="106">
        <f t="shared" si="13"/>
        <v>628097920</v>
      </c>
      <c r="AT12" s="106">
        <f t="shared" si="14"/>
        <v>572853965.5</v>
      </c>
    </row>
    <row r="13" spans="2:46">
      <c r="B13" s="107" t="s">
        <v>8</v>
      </c>
      <c r="C13" s="107" t="s">
        <v>23</v>
      </c>
      <c r="D13" s="108">
        <f>본전력량!D13-ESS전력량!D13</f>
        <v>2948913.7600000096</v>
      </c>
      <c r="E13" s="108">
        <f>본전력량!E13-ESS전력량!E13</f>
        <v>1651474.8000000035</v>
      </c>
      <c r="F13" s="108">
        <f>본전력량!F13-ESS전력량!F13</f>
        <v>752491.91999999993</v>
      </c>
      <c r="G13" s="106">
        <f t="shared" si="6"/>
        <v>5352880.4800000135</v>
      </c>
      <c r="H13" s="109">
        <v>14400</v>
      </c>
      <c r="I13" s="109">
        <f>전력요금표!$B$2</f>
        <v>8320</v>
      </c>
      <c r="J13" s="109">
        <v>-0.01</v>
      </c>
      <c r="K13" s="109">
        <v>3.6999999999999998E-2</v>
      </c>
      <c r="L13" s="109">
        <v>0.1</v>
      </c>
      <c r="N13" s="288">
        <v>11434</v>
      </c>
      <c r="O13" s="106">
        <v>97</v>
      </c>
      <c r="P13" s="106">
        <f>전력요금표!$B$2</f>
        <v>8320</v>
      </c>
      <c r="R13" s="106">
        <f t="shared" si="7"/>
        <v>95130880</v>
      </c>
      <c r="S13" s="106">
        <f>(SUMIFS(전력요금표!H:H,전력요금표!D:D,B:B,전력요금표!F:F,C:C,전력요금표!G:G,"경")*ROUNDDOWN(D13,0))+(SUMIFS(전력요금표!H:H,전력요금표!D:D,B:B,전력요금표!F:F,C:C,전력요금표!G:G,"중간")*ROUNDDOWN(E13,0))+(SUMIFS(전력요금표!H:H,전력요금표!D:D,B:B,전력요금표!F:F,C:C,전력요금표!G:G,"최대")*ROUNDDOWN(F13,0))</f>
        <v>491857620.80000001</v>
      </c>
      <c r="T13" s="106">
        <f t="shared" si="8"/>
        <v>-951308</v>
      </c>
      <c r="U13" s="106">
        <f>ESS전력량!R13*-1</f>
        <v>-83805696</v>
      </c>
      <c r="Z13" s="106">
        <f t="shared" si="9"/>
        <v>502231496.79999995</v>
      </c>
      <c r="AA13" s="106">
        <f t="shared" si="0"/>
        <v>18582560</v>
      </c>
      <c r="AB13" s="106">
        <f t="shared" si="1"/>
        <v>50223150</v>
      </c>
      <c r="AC13" s="106">
        <f t="shared" si="2"/>
        <v>571037200</v>
      </c>
      <c r="AD13" s="106">
        <v>2500</v>
      </c>
      <c r="AE13" s="100">
        <f t="shared" si="10"/>
        <v>571039700</v>
      </c>
      <c r="AF13" s="106">
        <f t="shared" si="11"/>
        <v>520814056.79999995</v>
      </c>
      <c r="AH13" s="106">
        <f>ESS전력량!L13</f>
        <v>14590674</v>
      </c>
      <c r="AI13" s="106">
        <f>ESS전력량!M13*-1</f>
        <v>-8698032</v>
      </c>
      <c r="AL13" s="106">
        <v>0</v>
      </c>
      <c r="AM13" s="106">
        <v>0</v>
      </c>
      <c r="AN13" s="106">
        <f t="shared" si="3"/>
        <v>5892642</v>
      </c>
      <c r="AO13" s="106">
        <f t="shared" si="12"/>
        <v>589264</v>
      </c>
      <c r="AP13" s="106">
        <f t="shared" si="15"/>
        <v>218020</v>
      </c>
      <c r="AQ13" s="100">
        <f t="shared" si="16"/>
        <v>6699920</v>
      </c>
      <c r="AR13" s="106">
        <f t="shared" si="17"/>
        <v>6110662</v>
      </c>
      <c r="AS13" s="106">
        <f t="shared" si="13"/>
        <v>577739620</v>
      </c>
      <c r="AT13" s="106">
        <f t="shared" si="14"/>
        <v>526924718.79999995</v>
      </c>
    </row>
    <row r="14" spans="2:46">
      <c r="B14" s="107" t="s">
        <v>24</v>
      </c>
      <c r="C14" s="107" t="s">
        <v>9</v>
      </c>
      <c r="D14" s="108">
        <f>본전력량!D14-ESS전력량!D14</f>
        <v>2761896.1599999983</v>
      </c>
      <c r="E14" s="108">
        <f>본전력량!E14-ESS전력량!E14</f>
        <v>1873344.079999995</v>
      </c>
      <c r="F14" s="108">
        <f>본전력량!F14-ESS전력량!F14</f>
        <v>900955.91999999911</v>
      </c>
      <c r="G14" s="106">
        <f t="shared" si="6"/>
        <v>5536196.1599999918</v>
      </c>
      <c r="H14" s="109">
        <v>14400</v>
      </c>
      <c r="I14" s="109">
        <f>전력요금표!$B$2</f>
        <v>8320</v>
      </c>
      <c r="J14" s="109">
        <v>-0.01</v>
      </c>
      <c r="K14" s="109">
        <v>3.6999999999999998E-2</v>
      </c>
      <c r="L14" s="109">
        <v>0.1</v>
      </c>
      <c r="N14" s="288">
        <v>11434</v>
      </c>
      <c r="O14" s="106">
        <v>97</v>
      </c>
      <c r="P14" s="106">
        <f>전력요금표!$B$2</f>
        <v>8320</v>
      </c>
      <c r="R14" s="106">
        <f t="shared" si="7"/>
        <v>95130880</v>
      </c>
      <c r="S14" s="106">
        <f>(SUMIFS(전력요금표!H:H,전력요금표!D:D,B:B,전력요금표!F:F,C:C,전력요금표!G:G,"경")*ROUNDDOWN(D14,0))+(SUMIFS(전력요금표!H:H,전력요금표!D:D,B:B,전력요금표!F:F,C:C,전력요금표!G:G,"중간")*ROUNDDOWN(E14,0))+(SUMIFS(전력요금표!H:H,전력요금표!D:D,B:B,전력요금표!F:F,C:C,전력요금표!G:G,"최대")*ROUNDDOWN(F14,0))</f>
        <v>529034000.89999998</v>
      </c>
      <c r="T14" s="106">
        <f t="shared" si="8"/>
        <v>-951308</v>
      </c>
      <c r="U14" s="106">
        <f>ESS전력량!R14*-1</f>
        <v>-86231808</v>
      </c>
      <c r="Z14" s="106">
        <f t="shared" si="9"/>
        <v>536981764.89999998</v>
      </c>
      <c r="AA14" s="106">
        <f t="shared" si="0"/>
        <v>19868320</v>
      </c>
      <c r="AB14" s="106">
        <f t="shared" si="1"/>
        <v>53698176</v>
      </c>
      <c r="AC14" s="106">
        <f t="shared" si="2"/>
        <v>610548260</v>
      </c>
      <c r="AD14" s="106">
        <v>2500</v>
      </c>
      <c r="AE14" s="100">
        <f t="shared" si="10"/>
        <v>610550760</v>
      </c>
      <c r="AF14" s="106">
        <f t="shared" si="11"/>
        <v>556850084.89999998</v>
      </c>
      <c r="AH14" s="106">
        <f>ESS전력량!L14</f>
        <v>15646120</v>
      </c>
      <c r="AI14" s="106">
        <f>ESS전력량!M14*-1</f>
        <v>-9329007</v>
      </c>
      <c r="AL14" s="106">
        <v>0</v>
      </c>
      <c r="AM14" s="106">
        <v>0</v>
      </c>
      <c r="AN14" s="106">
        <f t="shared" si="3"/>
        <v>6317113</v>
      </c>
      <c r="AO14" s="106">
        <f t="shared" si="12"/>
        <v>631711</v>
      </c>
      <c r="AP14" s="106">
        <f t="shared" si="15"/>
        <v>233730</v>
      </c>
      <c r="AQ14" s="100">
        <f t="shared" si="16"/>
        <v>7182550</v>
      </c>
      <c r="AR14" s="106">
        <f t="shared" si="17"/>
        <v>6550843</v>
      </c>
      <c r="AS14" s="106">
        <f t="shared" si="13"/>
        <v>617733310</v>
      </c>
      <c r="AT14" s="106">
        <f t="shared" si="14"/>
        <v>563400927.89999998</v>
      </c>
    </row>
    <row r="15" spans="2:46">
      <c r="B15" s="107" t="s">
        <v>24</v>
      </c>
      <c r="C15" s="107" t="s">
        <v>13</v>
      </c>
      <c r="D15" s="108">
        <f>본전력량!D15-ESS전력량!D15</f>
        <v>2881514.879999999</v>
      </c>
      <c r="E15" s="108">
        <f>본전력량!E15-ESS전력량!E15</f>
        <v>1522860.3200000026</v>
      </c>
      <c r="F15" s="108">
        <f>본전력량!F15-ESS전력량!F15</f>
        <v>681787.91999999876</v>
      </c>
      <c r="G15" s="106">
        <f t="shared" si="6"/>
        <v>5086163.12</v>
      </c>
      <c r="H15" s="109">
        <v>14400</v>
      </c>
      <c r="I15" s="109">
        <f>전력요금표!$B$2</f>
        <v>8320</v>
      </c>
      <c r="J15" s="109">
        <v>-0.01</v>
      </c>
      <c r="K15" s="109">
        <v>3.6999999999999998E-2</v>
      </c>
      <c r="L15" s="109">
        <v>0.1</v>
      </c>
      <c r="N15" s="288">
        <v>11362</v>
      </c>
      <c r="O15" s="106">
        <v>97</v>
      </c>
      <c r="P15" s="106">
        <f>전력요금표!$B$2</f>
        <v>8320</v>
      </c>
      <c r="R15" s="106">
        <f t="shared" si="7"/>
        <v>94531840</v>
      </c>
      <c r="S15" s="106">
        <f>(SUMIFS(전력요금표!H:H,전력요금표!D:D,B:B,전력요금표!F:F,C:C,전력요금표!G:G,"경")*ROUNDDOWN(D15,0))+(SUMIFS(전력요금표!H:H,전력요금표!D:D,B:B,전력요금표!F:F,C:C,전력요금표!G:G,"중간")*ROUNDDOWN(E15,0))+(SUMIFS(전력요금표!H:H,전력요금표!D:D,B:B,전력요금표!F:F,C:C,전력요금표!G:G,"최대")*ROUNDDOWN(F15,0))</f>
        <v>461773738.29999995</v>
      </c>
      <c r="T15" s="106">
        <f t="shared" si="8"/>
        <v>-945318</v>
      </c>
      <c r="U15" s="106">
        <f>ESS전력량!R15*-1</f>
        <v>-87130368</v>
      </c>
      <c r="Z15" s="106">
        <f t="shared" si="9"/>
        <v>468229892.29999995</v>
      </c>
      <c r="AA15" s="106">
        <f t="shared" si="0"/>
        <v>17324500</v>
      </c>
      <c r="AB15" s="106">
        <f t="shared" si="1"/>
        <v>46822989</v>
      </c>
      <c r="AC15" s="106">
        <f t="shared" si="2"/>
        <v>532377380</v>
      </c>
      <c r="AD15" s="106">
        <v>2500</v>
      </c>
      <c r="AE15" s="100">
        <f t="shared" si="10"/>
        <v>532379880</v>
      </c>
      <c r="AF15" s="106">
        <f t="shared" si="11"/>
        <v>485554392.29999995</v>
      </c>
      <c r="AH15" s="106">
        <f>ESS전력량!L15</f>
        <v>12778795</v>
      </c>
      <c r="AI15" s="106">
        <f>ESS전력량!M15*-1</f>
        <v>-7618833</v>
      </c>
      <c r="AL15" s="106">
        <v>0</v>
      </c>
      <c r="AM15" s="106">
        <v>0</v>
      </c>
      <c r="AN15" s="106">
        <f t="shared" si="3"/>
        <v>5159962</v>
      </c>
      <c r="AO15" s="106">
        <f t="shared" si="12"/>
        <v>515996</v>
      </c>
      <c r="AP15" s="106">
        <f t="shared" si="15"/>
        <v>190910</v>
      </c>
      <c r="AQ15" s="100">
        <f t="shared" si="16"/>
        <v>5866860</v>
      </c>
      <c r="AR15" s="106">
        <f t="shared" si="17"/>
        <v>5350872</v>
      </c>
      <c r="AS15" s="106">
        <f t="shared" si="13"/>
        <v>538246740</v>
      </c>
      <c r="AT15" s="106">
        <f t="shared" si="14"/>
        <v>490905264.29999995</v>
      </c>
    </row>
    <row r="16" spans="2:46">
      <c r="B16" s="107" t="s">
        <v>24</v>
      </c>
      <c r="C16" s="107" t="s">
        <v>14</v>
      </c>
      <c r="D16" s="108">
        <f>본전력량!D16-ESS전력량!D16</f>
        <v>2994467.9200000004</v>
      </c>
      <c r="E16" s="108">
        <f>본전력량!E16-ESS전력량!E16</f>
        <v>1811297.440000002</v>
      </c>
      <c r="F16" s="108">
        <f>본전력량!F16-ESS전력량!F16</f>
        <v>754093.28000000503</v>
      </c>
      <c r="G16" s="106">
        <f t="shared" si="6"/>
        <v>5559858.6400000071</v>
      </c>
      <c r="H16" s="109">
        <v>14400</v>
      </c>
      <c r="I16" s="109">
        <f>전력요금표!$B$2</f>
        <v>8320</v>
      </c>
      <c r="J16" s="109">
        <v>-0.01</v>
      </c>
      <c r="K16" s="109">
        <v>3.6999999999999998E-2</v>
      </c>
      <c r="L16" s="109">
        <v>0.1</v>
      </c>
      <c r="N16" s="288">
        <v>11362</v>
      </c>
      <c r="O16" s="106">
        <v>97</v>
      </c>
      <c r="P16" s="106">
        <f>전력요금표!$B$2</f>
        <v>8320</v>
      </c>
      <c r="R16" s="106">
        <f t="shared" si="7"/>
        <v>94531840</v>
      </c>
      <c r="S16" s="106">
        <f>(SUMIFS(전력요금표!H:H,전력요금표!D:D,B:B,전력요금표!F:F,C:C,전력요금표!G:G,"경")*ROUNDDOWN(D16,0))+(SUMIFS(전력요금표!H:H,전력요금표!D:D,B:B,전력요금표!F:F,C:C,전력요금표!G:G,"중간")*ROUNDDOWN(E16,0))+(SUMIFS(전력요금표!H:H,전력요금표!D:D,B:B,전력요금표!F:F,C:C,전력요금표!G:G,"최대")*ROUNDDOWN(F16,0))</f>
        <v>392779907.79999995</v>
      </c>
      <c r="T16" s="106">
        <f t="shared" si="8"/>
        <v>-945318</v>
      </c>
      <c r="U16" s="106">
        <f>ESS전력량!R16*-1</f>
        <v>-88238591.999999985</v>
      </c>
      <c r="Z16" s="106">
        <f t="shared" si="9"/>
        <v>398127837.79999995</v>
      </c>
      <c r="AA16" s="106">
        <f t="shared" si="0"/>
        <v>14730720</v>
      </c>
      <c r="AB16" s="106">
        <f t="shared" si="1"/>
        <v>39812784</v>
      </c>
      <c r="AC16" s="106">
        <f t="shared" si="2"/>
        <v>452671340</v>
      </c>
      <c r="AD16" s="106">
        <v>2500</v>
      </c>
      <c r="AE16" s="100">
        <f t="shared" si="10"/>
        <v>452673840</v>
      </c>
      <c r="AF16" s="106">
        <f t="shared" si="11"/>
        <v>412858557.79999995</v>
      </c>
      <c r="AH16" s="106">
        <f>ESS전력량!L16</f>
        <v>13606699</v>
      </c>
      <c r="AI16" s="106">
        <f>ESS전력량!M16*-1</f>
        <v>-8124043</v>
      </c>
      <c r="AL16" s="106">
        <v>0</v>
      </c>
      <c r="AM16" s="106">
        <v>0</v>
      </c>
      <c r="AN16" s="106">
        <f t="shared" si="3"/>
        <v>5482656</v>
      </c>
      <c r="AO16" s="106">
        <f t="shared" si="12"/>
        <v>548266</v>
      </c>
      <c r="AP16" s="106">
        <f t="shared" si="15"/>
        <v>202850</v>
      </c>
      <c r="AQ16" s="100">
        <f t="shared" si="16"/>
        <v>6233770</v>
      </c>
      <c r="AR16" s="106">
        <f t="shared" si="17"/>
        <v>5685506</v>
      </c>
      <c r="AS16" s="106">
        <f t="shared" si="13"/>
        <v>458907610</v>
      </c>
      <c r="AT16" s="106">
        <f t="shared" si="14"/>
        <v>418544063.79999995</v>
      </c>
    </row>
    <row r="17" spans="2:46">
      <c r="B17" s="107" t="s">
        <v>24</v>
      </c>
      <c r="C17" s="107" t="s">
        <v>15</v>
      </c>
      <c r="D17" s="108">
        <f>본전력량!D17-ESS전력량!D17</f>
        <v>2761886.3999999934</v>
      </c>
      <c r="E17" s="108">
        <f>본전력량!E17-ESS전력량!E17</f>
        <v>1971966.72</v>
      </c>
      <c r="F17" s="108">
        <f>본전력량!F17-ESS전력량!F17</f>
        <v>946747.92</v>
      </c>
      <c r="G17" s="106">
        <f t="shared" si="6"/>
        <v>5680601.0399999935</v>
      </c>
      <c r="H17" s="109">
        <v>14400</v>
      </c>
      <c r="I17" s="109">
        <f>전력요금표!$B$2</f>
        <v>8320</v>
      </c>
      <c r="J17" s="109">
        <v>-0.01</v>
      </c>
      <c r="K17" s="109">
        <v>3.6999999999999998E-2</v>
      </c>
      <c r="L17" s="109">
        <v>0.1</v>
      </c>
      <c r="N17" s="288">
        <v>11362</v>
      </c>
      <c r="O17" s="106">
        <v>97</v>
      </c>
      <c r="P17" s="106">
        <f>전력요금표!$B$2</f>
        <v>8320</v>
      </c>
      <c r="R17" s="106">
        <f t="shared" si="7"/>
        <v>94531840</v>
      </c>
      <c r="S17" s="106">
        <f>(SUMIFS(전력요금표!H:H,전력요금표!D:D,B:B,전력요금표!F:F,C:C,전력요금표!G:G,"경")*ROUNDDOWN(D17,0))+(SUMIFS(전력요금표!H:H,전력요금표!D:D,B:B,전력요금표!F:F,C:C,전력요금표!G:G,"중간")*ROUNDDOWN(E17,0))+(SUMIFS(전력요금표!H:H,전력요금표!D:D,B:B,전력요금표!F:F,C:C,전력요금표!G:G,"최대")*ROUNDDOWN(F17,0))</f>
        <v>413417779.29999995</v>
      </c>
      <c r="T17" s="106">
        <f t="shared" si="8"/>
        <v>-945318</v>
      </c>
      <c r="U17" s="106">
        <f>ESS전력량!R17*-1</f>
        <v>-88238591.999999985</v>
      </c>
      <c r="Z17" s="106">
        <f t="shared" si="9"/>
        <v>418765709.29999995</v>
      </c>
      <c r="AA17" s="106">
        <f t="shared" si="0"/>
        <v>15494330</v>
      </c>
      <c r="AB17" s="106">
        <f t="shared" si="1"/>
        <v>41876571</v>
      </c>
      <c r="AC17" s="106">
        <f t="shared" si="2"/>
        <v>476136610</v>
      </c>
      <c r="AD17" s="106">
        <v>2500</v>
      </c>
      <c r="AE17" s="100">
        <f t="shared" si="10"/>
        <v>476139110</v>
      </c>
      <c r="AF17" s="106">
        <f t="shared" si="11"/>
        <v>434260039.29999995</v>
      </c>
      <c r="AH17" s="106">
        <f>ESS전력량!L17</f>
        <v>14153716</v>
      </c>
      <c r="AI17" s="106">
        <f>ESS전력량!M17*-1</f>
        <v>-8449535</v>
      </c>
      <c r="AL17" s="106">
        <v>0</v>
      </c>
      <c r="AM17" s="106">
        <v>0</v>
      </c>
      <c r="AN17" s="106">
        <f t="shared" si="3"/>
        <v>5704181</v>
      </c>
      <c r="AO17" s="106">
        <f t="shared" si="12"/>
        <v>570418</v>
      </c>
      <c r="AP17" s="106">
        <f t="shared" si="15"/>
        <v>211050</v>
      </c>
      <c r="AQ17" s="100">
        <f t="shared" si="16"/>
        <v>6485640</v>
      </c>
      <c r="AR17" s="106">
        <f t="shared" si="17"/>
        <v>5915231</v>
      </c>
      <c r="AS17" s="106">
        <f t="shared" si="13"/>
        <v>482624750</v>
      </c>
      <c r="AT17" s="106">
        <f t="shared" si="14"/>
        <v>440175270.29999995</v>
      </c>
    </row>
    <row r="18" spans="2:46">
      <c r="B18" s="107" t="s">
        <v>24</v>
      </c>
      <c r="C18" s="107" t="s">
        <v>16</v>
      </c>
      <c r="D18" s="108">
        <f>본전력량!D18-ESS전력량!D18</f>
        <v>2588318.3199999989</v>
      </c>
      <c r="E18" s="108">
        <f>본전력량!E18-ESS전력량!E18</f>
        <v>1713210.9599999932</v>
      </c>
      <c r="F18" s="108">
        <f>본전력량!F18-ESS전력량!F18</f>
        <v>818011.91999999923</v>
      </c>
      <c r="G18" s="106">
        <f t="shared" si="6"/>
        <v>5119541.1999999909</v>
      </c>
      <c r="H18" s="109">
        <v>14400</v>
      </c>
      <c r="I18" s="109">
        <f>전력요금표!$B$2</f>
        <v>8320</v>
      </c>
      <c r="J18" s="109">
        <v>-0.01</v>
      </c>
      <c r="K18" s="109">
        <v>3.6999999999999998E-2</v>
      </c>
      <c r="L18" s="109">
        <v>0.1</v>
      </c>
      <c r="N18" s="288">
        <v>11362</v>
      </c>
      <c r="O18" s="106">
        <v>97</v>
      </c>
      <c r="P18" s="106">
        <f>전력요금표!$B$2</f>
        <v>8320</v>
      </c>
      <c r="R18" s="106">
        <f t="shared" si="7"/>
        <v>94531840</v>
      </c>
      <c r="S18" s="106">
        <f>(SUMIFS(전력요금표!H:H,전력요금표!D:D,B:B,전력요금표!F:F,C:C,전력요금표!G:G,"경")*ROUNDDOWN(D18,0))+(SUMIFS(전력요금표!H:H,전력요금표!D:D,B:B,전력요금표!F:F,C:C,전력요금표!G:G,"중간")*ROUNDDOWN(E18,0))+(SUMIFS(전력요금표!H:H,전력요금표!D:D,B:B,전력요금표!F:F,C:C,전력요금표!G:G,"최대")*ROUNDDOWN(F18,0))</f>
        <v>369271548.10000002</v>
      </c>
      <c r="T18" s="106">
        <f t="shared" si="8"/>
        <v>-945318</v>
      </c>
      <c r="U18" s="106">
        <f>ESS전력량!R18*-1</f>
        <v>-87969024</v>
      </c>
      <c r="Z18" s="106">
        <f t="shared" si="9"/>
        <v>374889046.10000002</v>
      </c>
      <c r="AA18" s="106">
        <f t="shared" si="0"/>
        <v>13870890</v>
      </c>
      <c r="AB18" s="106">
        <f t="shared" si="1"/>
        <v>37488905</v>
      </c>
      <c r="AC18" s="106">
        <f t="shared" si="2"/>
        <v>426248840</v>
      </c>
      <c r="AD18" s="106">
        <v>2500</v>
      </c>
      <c r="AE18" s="100">
        <f t="shared" si="10"/>
        <v>426251340</v>
      </c>
      <c r="AF18" s="106">
        <f t="shared" si="11"/>
        <v>388759936.10000002</v>
      </c>
      <c r="AH18" s="106">
        <f>ESS전력량!L18</f>
        <v>14095677</v>
      </c>
      <c r="AI18" s="106">
        <f>ESS전력량!M18*-1</f>
        <v>-8422069</v>
      </c>
      <c r="AL18" s="106">
        <v>0</v>
      </c>
      <c r="AM18" s="106">
        <v>0</v>
      </c>
      <c r="AN18" s="106">
        <f t="shared" si="3"/>
        <v>5673608</v>
      </c>
      <c r="AO18" s="106">
        <f t="shared" si="12"/>
        <v>567361</v>
      </c>
      <c r="AP18" s="106">
        <f t="shared" si="15"/>
        <v>209920</v>
      </c>
      <c r="AQ18" s="100">
        <f t="shared" si="16"/>
        <v>6450880</v>
      </c>
      <c r="AR18" s="106">
        <f t="shared" si="17"/>
        <v>5883528</v>
      </c>
      <c r="AS18" s="106">
        <f t="shared" si="13"/>
        <v>432702220</v>
      </c>
      <c r="AT18" s="106">
        <f t="shared" si="14"/>
        <v>394643464.10000002</v>
      </c>
    </row>
    <row r="19" spans="2:46">
      <c r="B19" s="107" t="s">
        <v>24</v>
      </c>
      <c r="C19" s="107" t="s">
        <v>17</v>
      </c>
      <c r="D19" s="108">
        <f>본전력량!D19-ESS전력량!D19</f>
        <v>1580795.3600000092</v>
      </c>
      <c r="E19" s="108">
        <f>본전력량!E19-ESS전력량!E19</f>
        <v>960776.24000000628</v>
      </c>
      <c r="F19" s="108">
        <f>본전력량!F19-ESS전력량!F19</f>
        <v>333901.28000000084</v>
      </c>
      <c r="G19" s="106">
        <f t="shared" si="6"/>
        <v>2875472.8800000162</v>
      </c>
      <c r="H19" s="109">
        <v>14400</v>
      </c>
      <c r="I19" s="109">
        <f>전력요금표!$B$2</f>
        <v>8320</v>
      </c>
      <c r="J19" s="109">
        <v>-0.01</v>
      </c>
      <c r="K19" s="109">
        <v>3.6999999999999998E-2</v>
      </c>
      <c r="L19" s="109">
        <v>0.1</v>
      </c>
      <c r="N19" s="288">
        <v>11362</v>
      </c>
      <c r="O19" s="106">
        <v>97</v>
      </c>
      <c r="P19" s="106">
        <f>전력요금표!$B$2</f>
        <v>8320</v>
      </c>
      <c r="R19" s="106">
        <f t="shared" si="7"/>
        <v>94531840</v>
      </c>
      <c r="S19" s="106">
        <f>(SUMIFS(전력요금표!H:H,전력요금표!D:D,B:B,전력요금표!F:F,C:C,전력요금표!G:G,"경")*ROUNDDOWN(D19,0))+(SUMIFS(전력요금표!H:H,전력요금표!D:D,B:B,전력요금표!F:F,C:C,전력요금표!G:G,"중간")*ROUNDDOWN(E19,0))+(SUMIFS(전력요금표!H:H,전력요금표!D:D,B:B,전력요금표!F:F,C:C,전력요금표!G:G,"최대")*ROUNDDOWN(F19,0))</f>
        <v>257215664.59999999</v>
      </c>
      <c r="T19" s="106">
        <f t="shared" si="8"/>
        <v>-945318</v>
      </c>
      <c r="U19" s="106">
        <f>ESS전력량!R19*-1</f>
        <v>-87399936</v>
      </c>
      <c r="Z19" s="106">
        <f t="shared" si="9"/>
        <v>263402250.60000002</v>
      </c>
      <c r="AA19" s="106">
        <f t="shared" si="0"/>
        <v>9745880</v>
      </c>
      <c r="AB19" s="106">
        <f t="shared" si="1"/>
        <v>26340225</v>
      </c>
      <c r="AC19" s="106">
        <f t="shared" si="2"/>
        <v>299488350</v>
      </c>
      <c r="AD19" s="106">
        <v>2500</v>
      </c>
      <c r="AE19" s="100">
        <f t="shared" si="10"/>
        <v>299490850</v>
      </c>
      <c r="AF19" s="106">
        <f t="shared" si="11"/>
        <v>273148130.60000002</v>
      </c>
      <c r="AH19" s="106">
        <f>ESS전력량!L19</f>
        <v>13011812</v>
      </c>
      <c r="AI19" s="106">
        <f>ESS전력량!M19*-1</f>
        <v>-7756509</v>
      </c>
      <c r="AL19" s="106">
        <v>0</v>
      </c>
      <c r="AM19" s="106">
        <v>0</v>
      </c>
      <c r="AN19" s="106">
        <f t="shared" si="3"/>
        <v>5255303</v>
      </c>
      <c r="AO19" s="106">
        <f t="shared" si="12"/>
        <v>525530</v>
      </c>
      <c r="AP19" s="106">
        <f t="shared" si="15"/>
        <v>194440</v>
      </c>
      <c r="AQ19" s="100">
        <f t="shared" si="16"/>
        <v>5975270</v>
      </c>
      <c r="AR19" s="106">
        <f t="shared" si="17"/>
        <v>5449743</v>
      </c>
      <c r="AS19" s="106">
        <f t="shared" si="13"/>
        <v>305466120</v>
      </c>
      <c r="AT19" s="106">
        <f t="shared" si="14"/>
        <v>278597873.60000002</v>
      </c>
    </row>
    <row r="20" spans="2:46">
      <c r="B20" s="107" t="s">
        <v>24</v>
      </c>
      <c r="C20" s="107" t="s">
        <v>18</v>
      </c>
      <c r="D20" s="108">
        <f>본전력량!D20-ESS전력량!D20</f>
        <v>3121578.6399999913</v>
      </c>
      <c r="E20" s="108">
        <f>본전력량!E20-ESS전력량!E20</f>
        <v>2068620.3199999975</v>
      </c>
      <c r="F20" s="108">
        <f>본전력량!F20-ESS전력량!F20</f>
        <v>968635.91999999981</v>
      </c>
      <c r="G20" s="106">
        <f t="shared" si="6"/>
        <v>6158834.8799999887</v>
      </c>
      <c r="H20" s="109">
        <v>14400</v>
      </c>
      <c r="I20" s="109">
        <f>전력요금표!$B$2</f>
        <v>8320</v>
      </c>
      <c r="J20" s="109">
        <v>-0.01</v>
      </c>
      <c r="K20" s="109">
        <v>3.6999999999999998E-2</v>
      </c>
      <c r="L20" s="109">
        <v>0.1</v>
      </c>
      <c r="N20" s="288">
        <v>11419</v>
      </c>
      <c r="O20" s="106">
        <v>97</v>
      </c>
      <c r="P20" s="106">
        <f>전력요금표!$B$2</f>
        <v>8320</v>
      </c>
      <c r="R20" s="106">
        <f t="shared" si="7"/>
        <v>95006080</v>
      </c>
      <c r="S20" s="106">
        <f>(SUMIFS(전력요금표!H:H,전력요금표!D:D,B:B,전력요금표!F:F,C:C,전력요금표!G:G,"경")*ROUNDDOWN(D20,0))+(SUMIFS(전력요금표!H:H,전력요금표!D:D,B:B,전력요금표!F:F,C:C,전력요금표!G:G,"중간")*ROUNDDOWN(E20,0))+(SUMIFS(전력요금표!H:H,전력요금표!D:D,B:B,전력요금표!F:F,C:C,전력요금표!G:G,"최대")*ROUNDDOWN(F20,0))</f>
        <v>585706254.29999995</v>
      </c>
      <c r="T20" s="106">
        <f t="shared" si="8"/>
        <v>-950060</v>
      </c>
      <c r="U20" s="106">
        <f>ESS전력량!R20*-1</f>
        <v>-87310080</v>
      </c>
      <c r="Z20" s="106">
        <f t="shared" si="9"/>
        <v>592452194.29999995</v>
      </c>
      <c r="AA20" s="106">
        <f t="shared" si="0"/>
        <v>21920730</v>
      </c>
      <c r="AB20" s="106">
        <f t="shared" si="1"/>
        <v>59245219</v>
      </c>
      <c r="AC20" s="106">
        <f t="shared" si="2"/>
        <v>673618140</v>
      </c>
      <c r="AD20" s="106">
        <v>2500</v>
      </c>
      <c r="AE20" s="100">
        <f t="shared" si="10"/>
        <v>673620640</v>
      </c>
      <c r="AF20" s="106">
        <f t="shared" si="11"/>
        <v>614372924.29999995</v>
      </c>
      <c r="AH20" s="106">
        <f>ESS전력량!L20</f>
        <v>14545187</v>
      </c>
      <c r="AI20" s="106">
        <f>ESS전력량!M20*-1</f>
        <v>-8677986</v>
      </c>
      <c r="AL20" s="106">
        <v>0</v>
      </c>
      <c r="AM20" s="106">
        <v>0</v>
      </c>
      <c r="AN20" s="106">
        <f t="shared" si="3"/>
        <v>5867201</v>
      </c>
      <c r="AO20" s="106">
        <f t="shared" si="12"/>
        <v>586720</v>
      </c>
      <c r="AP20" s="106">
        <f t="shared" si="15"/>
        <v>217080</v>
      </c>
      <c r="AQ20" s="100">
        <f t="shared" si="16"/>
        <v>6671000</v>
      </c>
      <c r="AR20" s="106">
        <f t="shared" si="17"/>
        <v>6084281</v>
      </c>
      <c r="AS20" s="106">
        <f t="shared" si="13"/>
        <v>680291640</v>
      </c>
      <c r="AT20" s="106">
        <f t="shared" si="14"/>
        <v>620457205.29999995</v>
      </c>
    </row>
    <row r="21" spans="2:46">
      <c r="B21" s="107" t="s">
        <v>24</v>
      </c>
      <c r="C21" s="107" t="s">
        <v>19</v>
      </c>
      <c r="D21" s="108">
        <f>본전력량!D21-ESS전력량!D21</f>
        <v>2955502.8800000055</v>
      </c>
      <c r="E21" s="108">
        <f>본전력량!E21-ESS전력량!E21</f>
        <v>1812173.6800000046</v>
      </c>
      <c r="F21" s="108">
        <f>본전력량!F21-ESS전력량!F21</f>
        <v>809371.92000000051</v>
      </c>
      <c r="G21" s="106">
        <f t="shared" si="6"/>
        <v>5577048.4800000107</v>
      </c>
      <c r="H21" s="109">
        <v>14400</v>
      </c>
      <c r="I21" s="109">
        <f>전력요금표!$B$2</f>
        <v>8320</v>
      </c>
      <c r="J21" s="109">
        <v>-0.01</v>
      </c>
      <c r="K21" s="109">
        <v>3.6999999999999998E-2</v>
      </c>
      <c r="L21" s="109">
        <v>0.1</v>
      </c>
      <c r="N21" s="288">
        <v>11362</v>
      </c>
      <c r="O21" s="106">
        <v>97</v>
      </c>
      <c r="P21" s="106">
        <f>전력요금표!$B$2</f>
        <v>8320</v>
      </c>
      <c r="R21" s="106">
        <f t="shared" si="7"/>
        <v>94531840</v>
      </c>
      <c r="S21" s="106">
        <f>(SUMIFS(전력요금표!H:H,전력요금표!D:D,B:B,전력요금표!F:F,C:C,전력요금표!G:G,"경")*ROUNDDOWN(D21,0))+(SUMIFS(전력요금표!H:H,전력요금표!D:D,B:B,전력요금표!F:F,C:C,전력요금표!G:G,"중간")*ROUNDDOWN(E21,0))+(SUMIFS(전력요금표!H:H,전력요금표!D:D,B:B,전력요금표!F:F,C:C,전력요금표!G:G,"최대")*ROUNDDOWN(F21,0))</f>
        <v>518001317.30000007</v>
      </c>
      <c r="T21" s="106">
        <f t="shared" si="8"/>
        <v>-945318</v>
      </c>
      <c r="U21" s="106">
        <f>ESS전력량!R21*-1</f>
        <v>-82637568</v>
      </c>
      <c r="Z21" s="106">
        <f t="shared" si="9"/>
        <v>528950271.30000007</v>
      </c>
      <c r="AA21" s="106">
        <f t="shared" si="0"/>
        <v>19571160</v>
      </c>
      <c r="AB21" s="106">
        <f t="shared" si="1"/>
        <v>52895027</v>
      </c>
      <c r="AC21" s="106">
        <f t="shared" si="2"/>
        <v>601416450</v>
      </c>
      <c r="AD21" s="106">
        <v>2500</v>
      </c>
      <c r="AE21" s="100">
        <f t="shared" si="10"/>
        <v>601418950</v>
      </c>
      <c r="AF21" s="106">
        <f t="shared" si="11"/>
        <v>548521431.30000007</v>
      </c>
      <c r="AH21" s="106">
        <f>ESS전력량!L21</f>
        <v>13463187</v>
      </c>
      <c r="AI21" s="106">
        <f>ESS전력량!M21*-1</f>
        <v>-8029963</v>
      </c>
      <c r="AL21" s="106">
        <v>0</v>
      </c>
      <c r="AM21" s="106">
        <v>0</v>
      </c>
      <c r="AN21" s="106">
        <f t="shared" si="3"/>
        <v>5433224</v>
      </c>
      <c r="AO21" s="106">
        <f t="shared" si="12"/>
        <v>543322</v>
      </c>
      <c r="AP21" s="106">
        <f t="shared" si="15"/>
        <v>201020</v>
      </c>
      <c r="AQ21" s="100">
        <f t="shared" si="16"/>
        <v>6177560</v>
      </c>
      <c r="AR21" s="106">
        <f t="shared" si="17"/>
        <v>5634244</v>
      </c>
      <c r="AS21" s="106">
        <f t="shared" si="13"/>
        <v>607596510</v>
      </c>
      <c r="AT21" s="106">
        <f t="shared" si="14"/>
        <v>554155675.30000007</v>
      </c>
    </row>
    <row r="22" spans="2:46">
      <c r="B22" s="107" t="s">
        <v>24</v>
      </c>
      <c r="C22" s="107" t="s">
        <v>20</v>
      </c>
      <c r="D22" s="108">
        <f>본전력량!D22-ESS전력량!D22</f>
        <v>3284257.9999999902</v>
      </c>
      <c r="E22" s="108">
        <f>본전력량!E22-ESS전력량!E22</f>
        <v>1658917.8399999968</v>
      </c>
      <c r="F22" s="108">
        <f>본전력량!F22-ESS전력량!F22</f>
        <v>829549.27999999537</v>
      </c>
      <c r="G22" s="106">
        <f t="shared" si="6"/>
        <v>5772725.1199999824</v>
      </c>
      <c r="H22" s="109">
        <v>14400</v>
      </c>
      <c r="I22" s="109">
        <f>전력요금표!$B$2</f>
        <v>8320</v>
      </c>
      <c r="J22" s="109">
        <v>-0.01</v>
      </c>
      <c r="K22" s="109">
        <v>3.6999999999999998E-2</v>
      </c>
      <c r="L22" s="109">
        <v>0.1</v>
      </c>
      <c r="N22" s="288">
        <v>11362</v>
      </c>
      <c r="O22" s="106">
        <v>97</v>
      </c>
      <c r="P22" s="106">
        <f>전력요금표!$B$2</f>
        <v>8320</v>
      </c>
      <c r="R22" s="106">
        <f t="shared" si="7"/>
        <v>94531840</v>
      </c>
      <c r="S22" s="106">
        <f>(SUMIFS(전력요금표!H:H,전력요금표!D:D,B:B,전력요금표!F:F,C:C,전력요금표!G:G,"경")*ROUNDDOWN(D22,0))+(SUMIFS(전력요금표!H:H,전력요금표!D:D,B:B,전력요금표!F:F,C:C,전력요금표!G:G,"중간")*ROUNDDOWN(E22,0))+(SUMIFS(전력요금표!H:H,전력요금표!D:D,B:B,전력요금표!F:F,C:C,전력요금표!G:G,"최대")*ROUNDDOWN(F22,0))</f>
        <v>405307399.59999996</v>
      </c>
      <c r="T22" s="106">
        <f t="shared" si="8"/>
        <v>-945318</v>
      </c>
      <c r="U22" s="106">
        <f>ESS전력량!R22*-1</f>
        <v>-86201856</v>
      </c>
      <c r="Z22" s="106">
        <f t="shared" si="9"/>
        <v>412692065.59999996</v>
      </c>
      <c r="AA22" s="106">
        <f t="shared" si="0"/>
        <v>15269600</v>
      </c>
      <c r="AB22" s="106">
        <f t="shared" si="1"/>
        <v>41269207</v>
      </c>
      <c r="AC22" s="106">
        <f t="shared" si="2"/>
        <v>469230870</v>
      </c>
      <c r="AD22" s="106">
        <v>2500</v>
      </c>
      <c r="AE22" s="100">
        <f t="shared" si="10"/>
        <v>469233370</v>
      </c>
      <c r="AF22" s="106">
        <f t="shared" si="11"/>
        <v>427961665.59999996</v>
      </c>
      <c r="AH22" s="106">
        <f>ESS전력량!L22</f>
        <v>11708517</v>
      </c>
      <c r="AI22" s="106">
        <f>ESS전력량!M22*-1</f>
        <v>-6997443</v>
      </c>
      <c r="AL22" s="106">
        <v>0</v>
      </c>
      <c r="AM22" s="106">
        <v>0</v>
      </c>
      <c r="AN22" s="106">
        <f t="shared" si="3"/>
        <v>4711074</v>
      </c>
      <c r="AO22" s="106">
        <f t="shared" si="12"/>
        <v>471107</v>
      </c>
      <c r="AP22" s="106">
        <f t="shared" si="15"/>
        <v>174300</v>
      </c>
      <c r="AQ22" s="100">
        <f t="shared" si="16"/>
        <v>5356480</v>
      </c>
      <c r="AR22" s="106">
        <f t="shared" si="17"/>
        <v>4885374</v>
      </c>
      <c r="AS22" s="106">
        <f t="shared" si="13"/>
        <v>474589850</v>
      </c>
      <c r="AT22" s="106">
        <f t="shared" si="14"/>
        <v>432847039.59999996</v>
      </c>
    </row>
    <row r="23" spans="2:46">
      <c r="B23" s="107" t="s">
        <v>24</v>
      </c>
      <c r="C23" s="107" t="s">
        <v>21</v>
      </c>
      <c r="D23" s="108">
        <f>본전력량!D23-ESS전력량!D23</f>
        <v>3086457.360000011</v>
      </c>
      <c r="E23" s="108">
        <f>본전력량!E23-ESS전력량!E23</f>
        <v>1794064.4000000015</v>
      </c>
      <c r="F23" s="108">
        <f>본전력량!F23-ESS전력량!F23</f>
        <v>892171.92000000051</v>
      </c>
      <c r="G23" s="106">
        <f t="shared" si="6"/>
        <v>5772693.6800000137</v>
      </c>
      <c r="H23" s="109">
        <v>14400</v>
      </c>
      <c r="I23" s="109">
        <f>전력요금표!$B$2</f>
        <v>8320</v>
      </c>
      <c r="J23" s="109">
        <v>-0.01</v>
      </c>
      <c r="K23" s="109">
        <v>3.6999999999999998E-2</v>
      </c>
      <c r="L23" s="109">
        <v>0.1</v>
      </c>
      <c r="N23" s="288">
        <v>11362</v>
      </c>
      <c r="O23" s="106">
        <v>97</v>
      </c>
      <c r="P23" s="106">
        <f>전력요금표!$B$2</f>
        <v>8320</v>
      </c>
      <c r="R23" s="106">
        <f t="shared" si="7"/>
        <v>94531840</v>
      </c>
      <c r="S23" s="106">
        <f>(SUMIFS(전력요금표!H:H,전력요금표!D:D,B:B,전력요금표!F:F,C:C,전력요금표!G:G,"경")*ROUNDDOWN(D23,0))+(SUMIFS(전력요금표!H:H,전력요금표!D:D,B:B,전력요금표!F:F,C:C,전력요금표!G:G,"중간")*ROUNDDOWN(E23,0))+(SUMIFS(전력요금표!H:H,전력요금표!D:D,B:B,전력요금표!F:F,C:C,전력요금표!G:G,"최대")*ROUNDDOWN(F23,0))</f>
        <v>411677958.40000004</v>
      </c>
      <c r="T23" s="106">
        <f t="shared" si="8"/>
        <v>-945318</v>
      </c>
      <c r="U23" s="106">
        <f>ESS전력량!R23*-1</f>
        <v>-84344831.999999985</v>
      </c>
      <c r="Z23" s="106">
        <f t="shared" si="9"/>
        <v>420919648.40000004</v>
      </c>
      <c r="AA23" s="106">
        <f t="shared" si="0"/>
        <v>15574020</v>
      </c>
      <c r="AB23" s="106">
        <f t="shared" si="1"/>
        <v>42091965</v>
      </c>
      <c r="AC23" s="106">
        <f t="shared" si="2"/>
        <v>478585630</v>
      </c>
      <c r="AD23" s="106">
        <v>2500</v>
      </c>
      <c r="AE23" s="100">
        <f t="shared" si="10"/>
        <v>478588130</v>
      </c>
      <c r="AF23" s="106">
        <f t="shared" si="11"/>
        <v>436493668.40000004</v>
      </c>
      <c r="AH23" s="106">
        <f>ESS전력량!L23</f>
        <v>13005336</v>
      </c>
      <c r="AI23" s="106">
        <f>ESS전력량!M23*-1</f>
        <v>-7771118</v>
      </c>
      <c r="AL23" s="106">
        <v>0</v>
      </c>
      <c r="AM23" s="106">
        <v>0</v>
      </c>
      <c r="AN23" s="106">
        <f t="shared" si="3"/>
        <v>5234218</v>
      </c>
      <c r="AO23" s="106">
        <f t="shared" si="12"/>
        <v>523422</v>
      </c>
      <c r="AP23" s="106">
        <f t="shared" si="15"/>
        <v>193660</v>
      </c>
      <c r="AQ23" s="100">
        <f t="shared" si="16"/>
        <v>5951300</v>
      </c>
      <c r="AR23" s="106">
        <f t="shared" si="17"/>
        <v>5427878</v>
      </c>
      <c r="AS23" s="106">
        <f t="shared" si="13"/>
        <v>484539430</v>
      </c>
      <c r="AT23" s="106">
        <f t="shared" si="14"/>
        <v>441921546.40000004</v>
      </c>
    </row>
    <row r="24" spans="2:46">
      <c r="B24" s="107" t="s">
        <v>24</v>
      </c>
      <c r="C24" s="107" t="s">
        <v>22</v>
      </c>
      <c r="D24" s="108">
        <f>본전력량!D24-ESS전력량!D24</f>
        <v>2890622.0799999912</v>
      </c>
      <c r="E24" s="108">
        <f>본전력량!E24-ESS전력량!E24</f>
        <v>2063021.6799999925</v>
      </c>
      <c r="F24" s="108">
        <f>본전력량!F24-ESS전력량!F24</f>
        <v>965450.56000000262</v>
      </c>
      <c r="G24" s="106">
        <f t="shared" si="6"/>
        <v>5919094.3199999863</v>
      </c>
      <c r="H24" s="109">
        <v>14400</v>
      </c>
      <c r="I24" s="109">
        <f>전력요금표!$B$2</f>
        <v>8320</v>
      </c>
      <c r="J24" s="109">
        <v>-0.01</v>
      </c>
      <c r="K24" s="109">
        <v>3.6999999999999998E-2</v>
      </c>
      <c r="L24" s="109">
        <v>0.1</v>
      </c>
      <c r="N24" s="288">
        <v>11362</v>
      </c>
      <c r="O24" s="106">
        <v>97</v>
      </c>
      <c r="P24" s="106">
        <f>전력요금표!$B$2</f>
        <v>8320</v>
      </c>
      <c r="R24" s="106">
        <f t="shared" si="7"/>
        <v>94531840</v>
      </c>
      <c r="S24" s="106">
        <f>(SUMIFS(전력요금표!H:H,전력요금표!D:D,B:B,전력요금표!F:F,C:C,전력요금표!G:G,"경")*ROUNDDOWN(D24,0))+(SUMIFS(전력요금표!H:H,전력요금표!D:D,B:B,전력요금표!F:F,C:C,전력요금표!G:G,"중간")*ROUNDDOWN(E24,0))+(SUMIFS(전력요금표!H:H,전력요금표!D:D,B:B,전력요금표!F:F,C:C,전력요금표!G:G,"최대")*ROUNDDOWN(F24,0))</f>
        <v>568620656.4000001</v>
      </c>
      <c r="T24" s="106">
        <f t="shared" si="8"/>
        <v>-945318</v>
      </c>
      <c r="U24" s="106">
        <f>ESS전력량!R24*-1</f>
        <v>-83476224</v>
      </c>
      <c r="Z24" s="106">
        <f t="shared" si="9"/>
        <v>578730954.4000001</v>
      </c>
      <c r="AA24" s="106">
        <f t="shared" si="0"/>
        <v>21413040</v>
      </c>
      <c r="AB24" s="106">
        <f t="shared" si="1"/>
        <v>57873095</v>
      </c>
      <c r="AC24" s="106">
        <f t="shared" si="2"/>
        <v>658017080</v>
      </c>
      <c r="AD24" s="106">
        <v>2500</v>
      </c>
      <c r="AE24" s="100">
        <f t="shared" si="10"/>
        <v>658019580</v>
      </c>
      <c r="AF24" s="106">
        <f t="shared" si="11"/>
        <v>600143994.4000001</v>
      </c>
      <c r="AH24" s="106">
        <f>ESS전력량!L24</f>
        <v>15058141</v>
      </c>
      <c r="AI24" s="106">
        <f>ESS전력량!M24*-1</f>
        <v>-8985920</v>
      </c>
      <c r="AL24" s="106">
        <v>0</v>
      </c>
      <c r="AM24" s="106">
        <v>0</v>
      </c>
      <c r="AN24" s="106">
        <f t="shared" si="3"/>
        <v>6072221</v>
      </c>
      <c r="AO24" s="106">
        <f t="shared" si="12"/>
        <v>607222</v>
      </c>
      <c r="AP24" s="106">
        <f t="shared" si="15"/>
        <v>224670</v>
      </c>
      <c r="AQ24" s="100">
        <f t="shared" si="16"/>
        <v>6904110</v>
      </c>
      <c r="AR24" s="106">
        <f t="shared" si="17"/>
        <v>6296891</v>
      </c>
      <c r="AS24" s="106">
        <f t="shared" si="13"/>
        <v>664923690</v>
      </c>
      <c r="AT24" s="106">
        <f t="shared" si="14"/>
        <v>606440885.4000001</v>
      </c>
    </row>
    <row r="25" spans="2:46">
      <c r="B25" s="107" t="s">
        <v>24</v>
      </c>
      <c r="C25" s="107" t="s">
        <v>23</v>
      </c>
      <c r="D25" s="108">
        <f>본전력량!D25-ESS전력량!D25</f>
        <v>3220378.8000000054</v>
      </c>
      <c r="E25" s="108">
        <f>본전력량!E25-ESS전력량!E25</f>
        <v>1855391.0400000047</v>
      </c>
      <c r="F25" s="108">
        <f>본전력량!F25-ESS전력량!F25</f>
        <v>913610.55999999749</v>
      </c>
      <c r="G25" s="106">
        <f t="shared" si="6"/>
        <v>5989380.4000000078</v>
      </c>
      <c r="H25" s="109">
        <v>14400</v>
      </c>
      <c r="I25" s="109">
        <f>전력요금표!$B$2</f>
        <v>8320</v>
      </c>
      <c r="J25" s="109">
        <v>-0.01</v>
      </c>
      <c r="K25" s="109">
        <v>3.6999999999999998E-2</v>
      </c>
      <c r="L25" s="109">
        <v>0.1</v>
      </c>
      <c r="N25" s="288">
        <v>11246</v>
      </c>
      <c r="O25" s="106">
        <v>97</v>
      </c>
      <c r="P25" s="106">
        <f>전력요금표!$B$2</f>
        <v>8320</v>
      </c>
      <c r="R25" s="106">
        <f t="shared" si="7"/>
        <v>93566720</v>
      </c>
      <c r="S25" s="106">
        <f>(SUMIFS(전력요금표!H:H,전력요금표!D:D,B:B,전력요금표!F:F,C:C,전력요금표!G:G,"경")*ROUNDDOWN(D25,0))+(SUMIFS(전력요금표!H:H,전력요금표!D:D,B:B,전력요금표!F:F,C:C,전력요금표!G:G,"중간")*ROUNDDOWN(E25,0))+(SUMIFS(전력요금표!H:H,전력요금표!D:D,B:B,전력요금표!F:F,C:C,전력요금표!G:G,"최대")*ROUNDDOWN(F25,0))</f>
        <v>558113336</v>
      </c>
      <c r="T25" s="106">
        <f t="shared" si="8"/>
        <v>-935667</v>
      </c>
      <c r="U25" s="106">
        <f>ESS전력량!R25*-1</f>
        <v>-67242240</v>
      </c>
      <c r="Z25" s="106">
        <f t="shared" si="9"/>
        <v>583502149</v>
      </c>
      <c r="AA25" s="106">
        <f t="shared" si="0"/>
        <v>21589570</v>
      </c>
      <c r="AB25" s="106">
        <f t="shared" si="1"/>
        <v>58350215</v>
      </c>
      <c r="AC25" s="106">
        <f t="shared" si="2"/>
        <v>663441930</v>
      </c>
      <c r="AD25" s="106">
        <v>2500</v>
      </c>
      <c r="AE25" s="100">
        <f t="shared" si="10"/>
        <v>663444430</v>
      </c>
      <c r="AF25" s="106">
        <f t="shared" si="11"/>
        <v>605091719</v>
      </c>
      <c r="AH25" s="106">
        <f>ESS전력량!L25</f>
        <v>11630901</v>
      </c>
      <c r="AI25" s="106">
        <f>ESS전력량!M25*-1</f>
        <v>-6930689</v>
      </c>
      <c r="AL25" s="106">
        <v>0</v>
      </c>
      <c r="AM25" s="106">
        <v>0</v>
      </c>
      <c r="AN25" s="106">
        <f t="shared" si="3"/>
        <v>4700212</v>
      </c>
      <c r="AO25" s="106">
        <f t="shared" si="12"/>
        <v>470021</v>
      </c>
      <c r="AP25" s="106">
        <f t="shared" si="15"/>
        <v>173900</v>
      </c>
      <c r="AQ25" s="100">
        <f t="shared" si="16"/>
        <v>5344130</v>
      </c>
      <c r="AR25" s="106">
        <f t="shared" si="17"/>
        <v>4874112</v>
      </c>
      <c r="AS25" s="106">
        <f t="shared" si="13"/>
        <v>668788560</v>
      </c>
      <c r="AT25" s="106">
        <f t="shared" si="14"/>
        <v>609965831</v>
      </c>
    </row>
    <row r="26" spans="2:46">
      <c r="B26" s="107" t="s">
        <v>25</v>
      </c>
      <c r="C26" s="107" t="s">
        <v>9</v>
      </c>
      <c r="D26" s="108">
        <f>본전력량!D26-ESS전력량!D26</f>
        <v>3092955.760000004</v>
      </c>
      <c r="E26" s="108">
        <f>본전력량!E26-ESS전력량!E26</f>
        <v>1609312.4000000025</v>
      </c>
      <c r="F26" s="108">
        <f>본전력량!F26-ESS전력량!F26</f>
        <v>907567.67999999959</v>
      </c>
      <c r="G26" s="106">
        <f t="shared" si="6"/>
        <v>5609835.8400000064</v>
      </c>
      <c r="H26" s="109">
        <v>14400</v>
      </c>
      <c r="I26" s="109">
        <f>전력요금표!$B$2</f>
        <v>8320</v>
      </c>
      <c r="J26" s="109">
        <v>-0.01</v>
      </c>
      <c r="K26" s="109">
        <v>3.6999999999999998E-2</v>
      </c>
      <c r="L26" s="109">
        <v>0.1</v>
      </c>
      <c r="N26" s="288">
        <v>11419</v>
      </c>
      <c r="O26" s="106">
        <v>97</v>
      </c>
      <c r="P26" s="106">
        <f>전력요금표!$B$2</f>
        <v>8320</v>
      </c>
      <c r="R26" s="106">
        <f t="shared" si="7"/>
        <v>95006080</v>
      </c>
      <c r="S26" s="106">
        <f>(SUMIFS(전력요금표!H:H,전력요금표!D:D,B:B,전력요금표!F:F,C:C,전력요금표!G:G,"경")*ROUNDDOWN(D26,0))+(SUMIFS(전력요금표!H:H,전력요금표!D:D,B:B,전력요금표!F:F,C:C,전력요금표!G:G,"중간")*ROUNDDOWN(E26,0))+(SUMIFS(전력요금표!H:H,전력요금표!D:D,B:B,전력요금표!F:F,C:C,전력요금표!G:G,"최대")*ROUNDDOWN(F26,0))</f>
        <v>522193749.79999995</v>
      </c>
      <c r="T26" s="106">
        <f t="shared" si="8"/>
        <v>-950060</v>
      </c>
      <c r="U26" s="106">
        <f>ESS전력량!R26*-1</f>
        <v>-34474752</v>
      </c>
      <c r="Z26" s="106">
        <f t="shared" si="9"/>
        <v>581775017.79999995</v>
      </c>
      <c r="AA26" s="106">
        <f t="shared" si="0"/>
        <v>21525670</v>
      </c>
      <c r="AB26" s="106">
        <f t="shared" si="1"/>
        <v>58177502</v>
      </c>
      <c r="AC26" s="106">
        <f t="shared" si="2"/>
        <v>661478180</v>
      </c>
      <c r="AD26" s="106">
        <v>2500</v>
      </c>
      <c r="AE26" s="100">
        <f t="shared" si="10"/>
        <v>661480680</v>
      </c>
      <c r="AF26" s="99">
        <f t="shared" si="11"/>
        <v>603300687.79999995</v>
      </c>
      <c r="AH26" s="106">
        <f>ESS전력량!L26</f>
        <v>6135699</v>
      </c>
      <c r="AI26" s="106">
        <f>ESS전력량!M26*-1</f>
        <v>-3620779</v>
      </c>
      <c r="AL26" s="106">
        <v>0</v>
      </c>
      <c r="AM26" s="106">
        <v>0</v>
      </c>
      <c r="AN26" s="106">
        <f t="shared" si="3"/>
        <v>2514920</v>
      </c>
      <c r="AO26" s="106">
        <f t="shared" si="12"/>
        <v>251492</v>
      </c>
      <c r="AP26" s="106">
        <f t="shared" si="15"/>
        <v>93050</v>
      </c>
      <c r="AQ26" s="100">
        <f t="shared" si="16"/>
        <v>2859460</v>
      </c>
      <c r="AR26" s="99">
        <f t="shared" si="17"/>
        <v>2607970</v>
      </c>
      <c r="AS26" s="106">
        <f t="shared" si="13"/>
        <v>664340140</v>
      </c>
      <c r="AT26" s="106">
        <f t="shared" si="14"/>
        <v>605908657.79999995</v>
      </c>
    </row>
    <row r="27" spans="2:46">
      <c r="B27" s="107" t="s">
        <v>25</v>
      </c>
      <c r="C27" s="107" t="s">
        <v>13</v>
      </c>
      <c r="D27" s="108">
        <f>본전력량!D27-ESS전력량!D27</f>
        <v>2906989.6800000053</v>
      </c>
      <c r="E27" s="108">
        <f>본전력량!E27-ESS전력량!E27</f>
        <v>1907519.0400000033</v>
      </c>
      <c r="F27" s="108">
        <f>본전력량!F27-ESS전력량!F27</f>
        <v>856891.92000000319</v>
      </c>
      <c r="G27" s="106">
        <f t="shared" si="6"/>
        <v>5671400.6400000118</v>
      </c>
      <c r="H27" s="109">
        <v>14400</v>
      </c>
      <c r="I27" s="109">
        <f>전력요금표!$B$2</f>
        <v>8320</v>
      </c>
      <c r="J27" s="109">
        <v>-0.01</v>
      </c>
      <c r="K27" s="109">
        <v>3.6999999999999998E-2</v>
      </c>
      <c r="L27" s="109">
        <v>0.1</v>
      </c>
      <c r="N27" s="288">
        <v>11419</v>
      </c>
      <c r="O27" s="106">
        <v>97</v>
      </c>
      <c r="P27" s="106">
        <f>전력요금표!$B$2</f>
        <v>8320</v>
      </c>
      <c r="R27" s="106">
        <f t="shared" si="7"/>
        <v>95006080</v>
      </c>
      <c r="S27" s="106">
        <f>(SUMIFS(전력요금표!H:H,전력요금표!D:D,B:B,전력요금표!F:F,C:C,전력요금표!G:G,"경")*ROUNDDOWN(D27,0))+(SUMIFS(전력요금표!H:H,전력요금표!D:D,B:B,전력요금표!F:F,C:C,전력요금표!G:G,"중간")*ROUNDDOWN(E27,0))+(SUMIFS(전력요금표!H:H,전력요금표!D:D,B:B,전력요금표!F:F,C:C,전력요금표!G:G,"최대")*ROUNDDOWN(F27,0))</f>
        <v>534575810.40000004</v>
      </c>
      <c r="T27" s="106">
        <f t="shared" si="8"/>
        <v>-950060</v>
      </c>
      <c r="U27" s="106">
        <f>ESS전력량!R27*-1</f>
        <v>-81679104</v>
      </c>
      <c r="Z27" s="106">
        <f t="shared" si="9"/>
        <v>546952726.4000001</v>
      </c>
      <c r="AA27" s="106">
        <f t="shared" si="0"/>
        <v>20237250</v>
      </c>
      <c r="AB27" s="106">
        <f t="shared" si="1"/>
        <v>54695273</v>
      </c>
      <c r="AC27" s="106">
        <f t="shared" si="2"/>
        <v>621885240</v>
      </c>
      <c r="AD27" s="106">
        <v>2500</v>
      </c>
      <c r="AE27" s="100">
        <f t="shared" si="10"/>
        <v>621887740</v>
      </c>
      <c r="AF27" s="106">
        <f t="shared" si="11"/>
        <v>567189976.4000001</v>
      </c>
      <c r="AH27" s="106">
        <f>ESS전력량!L27</f>
        <v>14138753</v>
      </c>
      <c r="AI27" s="106">
        <f>ESS전력량!M27*-1</f>
        <v>-8437101</v>
      </c>
      <c r="AL27" s="106">
        <v>0</v>
      </c>
      <c r="AM27" s="106">
        <v>0</v>
      </c>
      <c r="AN27" s="106">
        <f t="shared" si="3"/>
        <v>5701652</v>
      </c>
      <c r="AO27" s="106">
        <f t="shared" si="12"/>
        <v>570165</v>
      </c>
      <c r="AP27" s="106">
        <f t="shared" si="15"/>
        <v>210960</v>
      </c>
      <c r="AQ27" s="100">
        <f t="shared" si="16"/>
        <v>6482770</v>
      </c>
      <c r="AR27" s="106">
        <f t="shared" si="17"/>
        <v>5912612</v>
      </c>
      <c r="AS27" s="106">
        <f t="shared" si="13"/>
        <v>628370510</v>
      </c>
      <c r="AT27" s="106">
        <f t="shared" si="14"/>
        <v>573102588.4000001</v>
      </c>
    </row>
    <row r="28" spans="2:46">
      <c r="B28" s="107" t="s">
        <v>25</v>
      </c>
      <c r="C28" s="107" t="s">
        <v>14</v>
      </c>
      <c r="D28" s="108">
        <f>본전력량!D28-ESS전력량!D28</f>
        <v>2833822.2399999877</v>
      </c>
      <c r="E28" s="108">
        <f>본전력량!E28-ESS전력량!E28</f>
        <v>1793021.6799999925</v>
      </c>
      <c r="F28" s="108">
        <f>본전력량!F28-ESS전력량!F28</f>
        <v>846397.2799999963</v>
      </c>
      <c r="G28" s="106">
        <f t="shared" si="6"/>
        <v>5473241.1999999769</v>
      </c>
      <c r="H28" s="109">
        <v>14400</v>
      </c>
      <c r="I28" s="109">
        <f>전력요금표!$B$2</f>
        <v>8320</v>
      </c>
      <c r="J28" s="109">
        <v>-0.01</v>
      </c>
      <c r="K28" s="109">
        <v>3.6999999999999998E-2</v>
      </c>
      <c r="L28" s="109">
        <v>0.1</v>
      </c>
      <c r="N28" s="288">
        <v>11419</v>
      </c>
      <c r="O28" s="106">
        <v>97</v>
      </c>
      <c r="P28" s="106">
        <f>전력요금표!$B$2</f>
        <v>8320</v>
      </c>
      <c r="R28" s="106">
        <f t="shared" si="7"/>
        <v>95006080</v>
      </c>
      <c r="S28" s="106">
        <f>(SUMIFS(전력요금표!H:H,전력요금표!D:D,B:B,전력요금표!F:F,C:C,전력요금표!G:G,"경")*ROUNDDOWN(D28,0))+(SUMIFS(전력요금표!H:H,전력요금표!D:D,B:B,전력요금표!F:F,C:C,전력요금표!G:G,"중간")*ROUNDDOWN(E28,0))+(SUMIFS(전력요금표!H:H,전력요금표!D:D,B:B,전력요금표!F:F,C:C,전력요금표!G:G,"최대")*ROUNDDOWN(F28,0))</f>
        <v>392420056.89999998</v>
      </c>
      <c r="T28" s="106">
        <f t="shared" si="8"/>
        <v>-950060</v>
      </c>
      <c r="U28" s="106">
        <f>ESS전력량!R28*-1</f>
        <v>-85303296</v>
      </c>
      <c r="Z28" s="106">
        <f t="shared" si="9"/>
        <v>401172780.89999998</v>
      </c>
      <c r="AA28" s="106">
        <f t="shared" si="0"/>
        <v>14843390</v>
      </c>
      <c r="AB28" s="106">
        <f t="shared" si="1"/>
        <v>40117278</v>
      </c>
      <c r="AC28" s="106">
        <f t="shared" si="2"/>
        <v>456133440</v>
      </c>
      <c r="AD28" s="106">
        <v>2500</v>
      </c>
      <c r="AE28" s="100">
        <f t="shared" si="10"/>
        <v>456135940</v>
      </c>
      <c r="AF28" s="106">
        <f t="shared" si="11"/>
        <v>416016170.89999998</v>
      </c>
      <c r="AH28" s="106">
        <f>ESS전력량!L28</f>
        <v>13655732</v>
      </c>
      <c r="AI28" s="106">
        <f>ESS전력량!M28*-1</f>
        <v>-8160867</v>
      </c>
      <c r="AL28" s="106">
        <v>0</v>
      </c>
      <c r="AM28" s="106">
        <v>0</v>
      </c>
      <c r="AN28" s="106">
        <f t="shared" si="3"/>
        <v>5494865</v>
      </c>
      <c r="AO28" s="106">
        <f t="shared" si="12"/>
        <v>549487</v>
      </c>
      <c r="AP28" s="106">
        <f t="shared" si="15"/>
        <v>203310</v>
      </c>
      <c r="AQ28" s="100">
        <f t="shared" si="16"/>
        <v>6247660</v>
      </c>
      <c r="AR28" s="106">
        <f t="shared" si="17"/>
        <v>5698175</v>
      </c>
      <c r="AS28" s="106">
        <f t="shared" si="13"/>
        <v>462383600</v>
      </c>
      <c r="AT28" s="106">
        <f t="shared" si="14"/>
        <v>421714345.89999998</v>
      </c>
    </row>
    <row r="29" spans="2:46">
      <c r="B29" s="107" t="s">
        <v>25</v>
      </c>
      <c r="C29" s="107" t="s">
        <v>15</v>
      </c>
      <c r="D29" s="108">
        <f>본전력량!D29-ESS전력량!D29</f>
        <v>2797826.7199999969</v>
      </c>
      <c r="E29" s="108">
        <f>본전력량!E29-ESS전력량!E29</f>
        <v>1682337.7599999984</v>
      </c>
      <c r="F29" s="108">
        <f>본전력량!F29-ESS전력량!F29</f>
        <v>840619.92000000167</v>
      </c>
      <c r="G29" s="106">
        <f t="shared" si="6"/>
        <v>5320784.3999999966</v>
      </c>
      <c r="H29" s="109">
        <v>14400</v>
      </c>
      <c r="I29" s="109">
        <f>전력요금표!$B$2</f>
        <v>8320</v>
      </c>
      <c r="J29" s="109">
        <v>-0.01</v>
      </c>
      <c r="K29" s="109">
        <v>3.6999999999999998E-2</v>
      </c>
      <c r="L29" s="109">
        <v>0.1</v>
      </c>
      <c r="N29" s="288">
        <v>11419</v>
      </c>
      <c r="O29" s="106">
        <v>97</v>
      </c>
      <c r="P29" s="106">
        <f>전력요금표!$B$2</f>
        <v>8320</v>
      </c>
      <c r="R29" s="106">
        <f t="shared" si="7"/>
        <v>95006080</v>
      </c>
      <c r="S29" s="106">
        <f>(SUMIFS(전력요금표!H:H,전력요금표!D:D,B:B,전력요금표!F:F,C:C,전력요금표!G:G,"경")*ROUNDDOWN(D29,0))+(SUMIFS(전력요금표!H:H,전력요금표!D:D,B:B,전력요금표!F:F,C:C,전력요금표!G:G,"중간")*ROUNDDOWN(E29,0))+(SUMIFS(전력요금표!H:H,전력요금표!D:D,B:B,전력요금표!F:F,C:C,전력요금표!G:G,"최대")*ROUNDDOWN(F29,0))</f>
        <v>381069383.49999994</v>
      </c>
      <c r="T29" s="106">
        <f t="shared" si="8"/>
        <v>-950060</v>
      </c>
      <c r="U29" s="106">
        <f>ESS전력량!R29*-1</f>
        <v>-82038528</v>
      </c>
      <c r="Z29" s="106">
        <f t="shared" si="9"/>
        <v>393086875.49999994</v>
      </c>
      <c r="AA29" s="106">
        <f t="shared" si="0"/>
        <v>14544210</v>
      </c>
      <c r="AB29" s="106">
        <f t="shared" si="1"/>
        <v>39308688</v>
      </c>
      <c r="AC29" s="106">
        <f t="shared" si="2"/>
        <v>446939770</v>
      </c>
      <c r="AD29" s="106">
        <v>2500</v>
      </c>
      <c r="AE29" s="100">
        <f t="shared" si="10"/>
        <v>446942270</v>
      </c>
      <c r="AF29" s="106">
        <f t="shared" si="11"/>
        <v>407631085.49999994</v>
      </c>
      <c r="AH29" s="106">
        <f>ESS전력량!L29</f>
        <v>12126405</v>
      </c>
      <c r="AI29" s="106">
        <f>ESS전력량!M29*-1</f>
        <v>-7244608</v>
      </c>
      <c r="AL29" s="106">
        <v>0</v>
      </c>
      <c r="AM29" s="106">
        <v>0</v>
      </c>
      <c r="AN29" s="106">
        <f t="shared" si="3"/>
        <v>4881797</v>
      </c>
      <c r="AO29" s="106">
        <f t="shared" si="12"/>
        <v>488180</v>
      </c>
      <c r="AP29" s="106">
        <f t="shared" si="15"/>
        <v>180620</v>
      </c>
      <c r="AQ29" s="100">
        <f t="shared" si="16"/>
        <v>5550590</v>
      </c>
      <c r="AR29" s="106">
        <f t="shared" si="17"/>
        <v>5062417</v>
      </c>
      <c r="AS29" s="106">
        <f t="shared" si="13"/>
        <v>452492860</v>
      </c>
      <c r="AT29" s="106">
        <f t="shared" si="14"/>
        <v>412693502.49999994</v>
      </c>
    </row>
    <row r="30" spans="2:46">
      <c r="B30" s="107" t="s">
        <v>25</v>
      </c>
      <c r="C30" s="107" t="s">
        <v>16</v>
      </c>
      <c r="D30" s="108">
        <f>본전력량!D30-ESS전력량!D30</f>
        <v>2828165.1200000052</v>
      </c>
      <c r="E30" s="108">
        <f>본전력량!E30-ESS전력량!E30</f>
        <v>1734920.2400000093</v>
      </c>
      <c r="F30" s="108">
        <f>본전력량!F30-ESS전력량!F30</f>
        <v>784765.28</v>
      </c>
      <c r="G30" s="106">
        <f t="shared" si="6"/>
        <v>5347850.6400000146</v>
      </c>
      <c r="H30" s="109">
        <v>14400</v>
      </c>
      <c r="I30" s="109">
        <f>전력요금표!$B$2</f>
        <v>8320</v>
      </c>
      <c r="J30" s="109">
        <v>-0.01</v>
      </c>
      <c r="K30" s="109">
        <v>3.6999999999999998E-2</v>
      </c>
      <c r="L30" s="109">
        <v>0.1</v>
      </c>
      <c r="N30" s="288">
        <v>11419</v>
      </c>
      <c r="O30" s="106">
        <v>97</v>
      </c>
      <c r="P30" s="106">
        <f>전력요금표!$B$2</f>
        <v>8320</v>
      </c>
      <c r="R30" s="106">
        <f t="shared" si="7"/>
        <v>95006080</v>
      </c>
      <c r="S30" s="106">
        <f>(SUMIFS(전력요금표!H:H,전력요금표!D:D,B:B,전력요금표!F:F,C:C,전력요금표!G:G,"경")*ROUNDDOWN(D30,0))+(SUMIFS(전력요금표!H:H,전력요금표!D:D,B:B,전력요금표!F:F,C:C,전력요금표!G:G,"중간")*ROUNDDOWN(E30,0))+(SUMIFS(전력요금표!H:H,전력요금표!D:D,B:B,전력요금표!F:F,C:C,전력요금표!G:G,"최대")*ROUNDDOWN(F30,0))</f>
        <v>380799583</v>
      </c>
      <c r="T30" s="106">
        <f t="shared" si="8"/>
        <v>-950060</v>
      </c>
      <c r="U30" s="106">
        <f>ESS전력량!R30*-1</f>
        <v>-80061696</v>
      </c>
      <c r="Z30" s="106">
        <f t="shared" si="9"/>
        <v>394793907</v>
      </c>
      <c r="AA30" s="106">
        <f t="shared" si="0"/>
        <v>14607370</v>
      </c>
      <c r="AB30" s="106">
        <f t="shared" si="1"/>
        <v>39479391</v>
      </c>
      <c r="AC30" s="106">
        <f t="shared" si="2"/>
        <v>448880660</v>
      </c>
      <c r="AD30" s="106">
        <v>2500</v>
      </c>
      <c r="AE30" s="100">
        <f t="shared" si="10"/>
        <v>448883160</v>
      </c>
      <c r="AF30" s="106">
        <f t="shared" si="11"/>
        <v>409401277</v>
      </c>
      <c r="AH30" s="106">
        <f>ESS전력량!L30</f>
        <v>12338676</v>
      </c>
      <c r="AI30" s="106">
        <f>ESS전력량!M30*-1</f>
        <v>-7367333</v>
      </c>
      <c r="AL30" s="106">
        <v>0</v>
      </c>
      <c r="AM30" s="106">
        <v>0</v>
      </c>
      <c r="AN30" s="106">
        <f t="shared" si="3"/>
        <v>4971343</v>
      </c>
      <c r="AO30" s="106">
        <f t="shared" si="12"/>
        <v>497134</v>
      </c>
      <c r="AP30" s="106">
        <f t="shared" si="15"/>
        <v>183930</v>
      </c>
      <c r="AQ30" s="100">
        <f t="shared" si="16"/>
        <v>5652400</v>
      </c>
      <c r="AR30" s="106">
        <f t="shared" si="17"/>
        <v>5155273</v>
      </c>
      <c r="AS30" s="106">
        <f t="shared" si="13"/>
        <v>454535560</v>
      </c>
      <c r="AT30" s="106">
        <f t="shared" si="14"/>
        <v>414556550</v>
      </c>
    </row>
    <row r="31" spans="2:46">
      <c r="B31" s="107" t="s">
        <v>25</v>
      </c>
      <c r="C31" s="107" t="s">
        <v>17</v>
      </c>
      <c r="D31" s="108">
        <f>본전력량!D31-ESS전력량!D31</f>
        <v>2928362.7199999895</v>
      </c>
      <c r="E31" s="108">
        <f>본전력량!E31-ESS전력량!E31</f>
        <v>1722541.3599999913</v>
      </c>
      <c r="F31" s="108">
        <f>본전력량!F31-ESS전력량!F31</f>
        <v>856425.20000000019</v>
      </c>
      <c r="G31" s="106">
        <f t="shared" si="6"/>
        <v>5507329.2799999807</v>
      </c>
      <c r="H31" s="109">
        <v>14400</v>
      </c>
      <c r="I31" s="109">
        <f>전력요금표!$B$2</f>
        <v>8320</v>
      </c>
      <c r="J31" s="109">
        <v>-0.01</v>
      </c>
      <c r="K31" s="109">
        <v>3.6999999999999998E-2</v>
      </c>
      <c r="L31" s="109">
        <v>0.1</v>
      </c>
      <c r="N31" s="288">
        <v>11419</v>
      </c>
      <c r="O31" s="106">
        <v>97</v>
      </c>
      <c r="P31" s="106">
        <f>전력요금표!$B$2</f>
        <v>8320</v>
      </c>
      <c r="R31" s="106">
        <f t="shared" si="7"/>
        <v>95006080</v>
      </c>
      <c r="S31" s="106">
        <f>(SUMIFS(전력요금표!H:H,전력요금표!D:D,B:B,전력요금표!F:F,C:C,전력요금표!G:G,"경")*ROUNDDOWN(D31,0))+(SUMIFS(전력요금표!H:H,전력요금표!D:D,B:B,전력요금표!F:F,C:C,전력요금표!G:G,"중간")*ROUNDDOWN(E31,0))+(SUMIFS(전력요금표!H:H,전력요금표!D:D,B:B,전력요금표!F:F,C:C,전력요금표!G:G,"최대")*ROUNDDOWN(F31,0))</f>
        <v>515700894.70000005</v>
      </c>
      <c r="T31" s="106">
        <f t="shared" si="8"/>
        <v>-950060</v>
      </c>
      <c r="U31" s="106">
        <f>ESS전력량!R31*-1</f>
        <v>-65834495.999999993</v>
      </c>
      <c r="Z31" s="106">
        <f t="shared" si="9"/>
        <v>543922418.70000005</v>
      </c>
      <c r="AA31" s="106">
        <f t="shared" si="0"/>
        <v>20125120</v>
      </c>
      <c r="AB31" s="106">
        <f t="shared" si="1"/>
        <v>54392242</v>
      </c>
      <c r="AC31" s="106">
        <f t="shared" si="2"/>
        <v>618439780</v>
      </c>
      <c r="AD31" s="106">
        <v>2500</v>
      </c>
      <c r="AE31" s="100">
        <f t="shared" si="10"/>
        <v>618442280</v>
      </c>
      <c r="AF31" s="106">
        <f t="shared" si="11"/>
        <v>564047538.70000005</v>
      </c>
      <c r="AH31" s="106">
        <f>ESS전력량!L31</f>
        <v>9554212</v>
      </c>
      <c r="AI31" s="106">
        <f>ESS전력량!M31*-1</f>
        <v>-5666897</v>
      </c>
      <c r="AL31" s="106">
        <v>0</v>
      </c>
      <c r="AM31" s="106">
        <v>0</v>
      </c>
      <c r="AN31" s="106">
        <f t="shared" si="3"/>
        <v>3887315</v>
      </c>
      <c r="AO31" s="106">
        <f t="shared" si="12"/>
        <v>388732</v>
      </c>
      <c r="AP31" s="106">
        <f t="shared" si="15"/>
        <v>143830</v>
      </c>
      <c r="AQ31" s="100">
        <f t="shared" si="16"/>
        <v>4419870</v>
      </c>
      <c r="AR31" s="106">
        <f t="shared" si="17"/>
        <v>4031145</v>
      </c>
      <c r="AS31" s="106">
        <f t="shared" si="13"/>
        <v>622862150</v>
      </c>
      <c r="AT31" s="106">
        <f t="shared" si="14"/>
        <v>568078683.70000005</v>
      </c>
    </row>
    <row r="32" spans="2:46">
      <c r="B32" s="107" t="s">
        <v>25</v>
      </c>
      <c r="C32" s="107" t="s">
        <v>18</v>
      </c>
      <c r="D32" s="108">
        <f>본전력량!D32-ESS전력량!D32</f>
        <v>2974011.360000012</v>
      </c>
      <c r="E32" s="108">
        <f>본전력량!E32-ESS전력량!E32</f>
        <v>1989564.3200000005</v>
      </c>
      <c r="F32" s="108">
        <f>본전력량!F32-ESS전력량!F32</f>
        <v>1028378.5600000011</v>
      </c>
      <c r="G32" s="106">
        <f t="shared" si="6"/>
        <v>5991954.2400000142</v>
      </c>
      <c r="H32" s="109">
        <v>14400</v>
      </c>
      <c r="I32" s="109">
        <f>전력요금표!$B$2</f>
        <v>8320</v>
      </c>
      <c r="J32" s="109">
        <v>-0.01</v>
      </c>
      <c r="K32" s="109">
        <v>3.6999999999999998E-2</v>
      </c>
      <c r="L32" s="109">
        <v>0.1</v>
      </c>
      <c r="N32" s="288">
        <v>11448</v>
      </c>
      <c r="O32" s="106">
        <v>97</v>
      </c>
      <c r="P32" s="106">
        <f>전력요금표!$B$2</f>
        <v>8320</v>
      </c>
      <c r="R32" s="106">
        <f t="shared" si="7"/>
        <v>95247360</v>
      </c>
      <c r="S32" s="106">
        <f>(SUMIFS(전력요금표!H:H,전력요금표!D:D,B:B,전력요금표!F:F,C:C,전력요금표!G:G,"경")*ROUNDDOWN(D32,0))+(SUMIFS(전력요금표!H:H,전력요금표!D:D,B:B,전력요금표!F:F,C:C,전력요금표!G:G,"중간")*ROUNDDOWN(E32,0))+(SUMIFS(전력요금표!H:H,전력요금표!D:D,B:B,전력요금표!F:F,C:C,전력요금표!G:G,"최대")*ROUNDDOWN(F32,0))</f>
        <v>580227528.89999998</v>
      </c>
      <c r="T32" s="106">
        <f t="shared" si="8"/>
        <v>-952473</v>
      </c>
      <c r="U32" s="106">
        <f>ESS전력량!R32*-1</f>
        <v>-66313728</v>
      </c>
      <c r="Z32" s="106">
        <f t="shared" si="9"/>
        <v>608208687.89999998</v>
      </c>
      <c r="AA32" s="106">
        <f t="shared" si="0"/>
        <v>22503720</v>
      </c>
      <c r="AB32" s="106">
        <f t="shared" si="1"/>
        <v>60820869</v>
      </c>
      <c r="AC32" s="106">
        <f t="shared" si="2"/>
        <v>691533270</v>
      </c>
      <c r="AD32" s="106">
        <v>2500</v>
      </c>
      <c r="AE32" s="100">
        <f t="shared" si="10"/>
        <v>691535770</v>
      </c>
      <c r="AF32" s="106">
        <f t="shared" si="11"/>
        <v>630712407.89999998</v>
      </c>
      <c r="AH32" s="106">
        <f>ESS전력량!L32</f>
        <v>11064850</v>
      </c>
      <c r="AI32" s="106">
        <f>ESS전력량!M32*-1</f>
        <v>-6587834</v>
      </c>
      <c r="AL32" s="106">
        <v>0</v>
      </c>
      <c r="AM32" s="106">
        <v>0</v>
      </c>
      <c r="AN32" s="106">
        <f t="shared" si="3"/>
        <v>4477016</v>
      </c>
      <c r="AO32" s="106">
        <f t="shared" si="12"/>
        <v>447702</v>
      </c>
      <c r="AP32" s="106">
        <f t="shared" si="15"/>
        <v>165640</v>
      </c>
      <c r="AQ32" s="100">
        <f t="shared" si="16"/>
        <v>5090350</v>
      </c>
      <c r="AR32" s="106">
        <f t="shared" si="17"/>
        <v>4642656</v>
      </c>
      <c r="AS32" s="106">
        <f t="shared" si="13"/>
        <v>696626120</v>
      </c>
      <c r="AT32" s="106">
        <f t="shared" si="14"/>
        <v>635355063.89999998</v>
      </c>
    </row>
    <row r="33" spans="2:46">
      <c r="B33" s="107" t="s">
        <v>25</v>
      </c>
      <c r="C33" s="107" t="s">
        <v>19</v>
      </c>
      <c r="D33" s="108">
        <f>본전력량!D33-ESS전력량!D33</f>
        <v>2924059.2799999882</v>
      </c>
      <c r="E33" s="108">
        <f>본전력량!E33-ESS전력량!E33</f>
        <v>1843945.6000000052</v>
      </c>
      <c r="F33" s="108">
        <f>본전력량!F33-ESS전력량!F33</f>
        <v>879626.56000000215</v>
      </c>
      <c r="G33" s="106">
        <f t="shared" si="6"/>
        <v>5647631.4399999958</v>
      </c>
      <c r="H33" s="109">
        <v>14400</v>
      </c>
      <c r="I33" s="109">
        <f>전력요금표!$B$2</f>
        <v>8320</v>
      </c>
      <c r="J33" s="109">
        <v>-0.01</v>
      </c>
      <c r="K33" s="109">
        <v>3.6999999999999998E-2</v>
      </c>
      <c r="L33" s="109">
        <v>0.1</v>
      </c>
      <c r="N33" s="288">
        <v>11448</v>
      </c>
      <c r="O33" s="106">
        <v>97</v>
      </c>
      <c r="P33" s="106">
        <f>전력요금표!$B$2</f>
        <v>8320</v>
      </c>
      <c r="R33" s="106">
        <f t="shared" si="7"/>
        <v>95247360</v>
      </c>
      <c r="S33" s="106">
        <f>(SUMIFS(전력요금표!H:H,전력요금표!D:D,B:B,전력요금표!F:F,C:C,전력요금표!G:G,"경")*ROUNDDOWN(D33,0))+(SUMIFS(전력요금표!H:H,전력요금표!D:D,B:B,전력요금표!F:F,C:C,전력요금표!G:G,"중간")*ROUNDDOWN(E33,0))+(SUMIFS(전력요금표!H:H,전력요금표!D:D,B:B,전력요금표!F:F,C:C,전력요금표!G:G,"최대")*ROUNDDOWN(F33,0))</f>
        <v>533126243.5</v>
      </c>
      <c r="T33" s="106">
        <f t="shared" si="8"/>
        <v>-952473</v>
      </c>
      <c r="U33" s="106">
        <f>ESS전력량!R33*-1</f>
        <v>-66193920</v>
      </c>
      <c r="Z33" s="106">
        <f t="shared" si="9"/>
        <v>561227210.5</v>
      </c>
      <c r="AA33" s="106">
        <f t="shared" si="0"/>
        <v>20765400</v>
      </c>
      <c r="AB33" s="106">
        <f t="shared" si="1"/>
        <v>56122721</v>
      </c>
      <c r="AC33" s="106">
        <f t="shared" si="2"/>
        <v>638115330</v>
      </c>
      <c r="AD33" s="106">
        <v>2500</v>
      </c>
      <c r="AE33" s="100">
        <f t="shared" si="10"/>
        <v>638117830</v>
      </c>
      <c r="AF33" s="106">
        <f t="shared" si="11"/>
        <v>581992610.5</v>
      </c>
      <c r="AH33" s="106">
        <f>ESS전력량!L33</f>
        <v>10243661</v>
      </c>
      <c r="AI33" s="106">
        <f>ESS전력량!M33*-1</f>
        <v>-6092898</v>
      </c>
      <c r="AL33" s="106">
        <v>0</v>
      </c>
      <c r="AM33" s="106">
        <v>0</v>
      </c>
      <c r="AN33" s="106">
        <f t="shared" si="3"/>
        <v>4150763</v>
      </c>
      <c r="AO33" s="106">
        <f t="shared" si="12"/>
        <v>415076</v>
      </c>
      <c r="AP33" s="106">
        <f t="shared" si="15"/>
        <v>153570</v>
      </c>
      <c r="AQ33" s="100">
        <f t="shared" si="16"/>
        <v>4719400</v>
      </c>
      <c r="AR33" s="106">
        <f t="shared" si="17"/>
        <v>4304333</v>
      </c>
      <c r="AS33" s="106">
        <f t="shared" si="13"/>
        <v>642837230</v>
      </c>
      <c r="AT33" s="106">
        <f t="shared" si="14"/>
        <v>586296943.5</v>
      </c>
    </row>
    <row r="34" spans="2:46">
      <c r="B34" s="107" t="s">
        <v>25</v>
      </c>
      <c r="C34" s="107" t="s">
        <v>20</v>
      </c>
      <c r="D34" s="108">
        <f>본전력량!D34-ESS전력량!D34</f>
        <v>2794754.1600000132</v>
      </c>
      <c r="E34" s="108">
        <f>본전력량!E34-ESS전력량!E34</f>
        <v>1729264.4000000015</v>
      </c>
      <c r="F34" s="108">
        <f>본전력량!F34-ESS전력량!F34</f>
        <v>892137.20000000042</v>
      </c>
      <c r="G34" s="106">
        <f t="shared" si="6"/>
        <v>5416155.7600000147</v>
      </c>
      <c r="H34" s="109">
        <v>14400</v>
      </c>
      <c r="I34" s="109">
        <f>전력요금표!$B$2</f>
        <v>8320</v>
      </c>
      <c r="J34" s="109">
        <v>-0.01</v>
      </c>
      <c r="K34" s="109">
        <v>3.6999999999999998E-2</v>
      </c>
      <c r="L34" s="109">
        <v>0.1</v>
      </c>
      <c r="N34" s="288">
        <v>11448</v>
      </c>
      <c r="O34" s="106">
        <v>97</v>
      </c>
      <c r="P34" s="106">
        <f>전력요금표!$B$2</f>
        <v>8320</v>
      </c>
      <c r="R34" s="106">
        <f t="shared" si="7"/>
        <v>95247360</v>
      </c>
      <c r="S34" s="106">
        <f>(SUMIFS(전력요금표!H:H,전력요금표!D:D,B:B,전력요금표!F:F,C:C,전력요금표!G:G,"경")*ROUNDDOWN(D34,0))+(SUMIFS(전력요금표!H:H,전력요금표!D:D,B:B,전력요금표!F:F,C:C,전력요금표!G:G,"중간")*ROUNDDOWN(E34,0))+(SUMIFS(전력요금표!H:H,전력요금표!D:D,B:B,전력요금표!F:F,C:C,전력요금표!G:G,"최대")*ROUNDDOWN(F34,0))</f>
        <v>390216423.89999998</v>
      </c>
      <c r="T34" s="106">
        <f t="shared" si="8"/>
        <v>-952473</v>
      </c>
      <c r="U34" s="106">
        <f>ESS전력량!R34*-1</f>
        <v>-62300160</v>
      </c>
      <c r="Z34" s="106">
        <f t="shared" si="9"/>
        <v>422211150.89999998</v>
      </c>
      <c r="AA34" s="106">
        <f t="shared" si="0"/>
        <v>15621810</v>
      </c>
      <c r="AB34" s="106">
        <f t="shared" si="1"/>
        <v>42221115</v>
      </c>
      <c r="AC34" s="106">
        <f t="shared" si="2"/>
        <v>480054070</v>
      </c>
      <c r="AD34" s="106">
        <v>2500</v>
      </c>
      <c r="AE34" s="100">
        <f t="shared" si="10"/>
        <v>480056570</v>
      </c>
      <c r="AF34" s="106">
        <f t="shared" si="11"/>
        <v>437832960.89999998</v>
      </c>
      <c r="AH34" s="106">
        <f>ESS전력량!L34</f>
        <v>10058245</v>
      </c>
      <c r="AI34" s="106">
        <f>ESS전력량!M34*-1</f>
        <v>-6000568</v>
      </c>
      <c r="AL34" s="106">
        <v>0</v>
      </c>
      <c r="AM34" s="106">
        <v>0</v>
      </c>
      <c r="AN34" s="106">
        <f t="shared" si="3"/>
        <v>4057677</v>
      </c>
      <c r="AO34" s="106">
        <f t="shared" si="12"/>
        <v>405768</v>
      </c>
      <c r="AP34" s="106">
        <f t="shared" si="15"/>
        <v>150130</v>
      </c>
      <c r="AQ34" s="100">
        <f t="shared" si="16"/>
        <v>4613570</v>
      </c>
      <c r="AR34" s="106">
        <f t="shared" si="17"/>
        <v>4207807</v>
      </c>
      <c r="AS34" s="106">
        <f t="shared" si="13"/>
        <v>484670140</v>
      </c>
      <c r="AT34" s="106">
        <f t="shared" si="14"/>
        <v>442040767.89999998</v>
      </c>
    </row>
    <row r="35" spans="2:46">
      <c r="B35" s="107" t="s">
        <v>25</v>
      </c>
      <c r="C35" s="107" t="s">
        <v>21</v>
      </c>
      <c r="D35" s="108">
        <f>본전력량!D35-ESS전력량!D35</f>
        <v>3340868.3999999929</v>
      </c>
      <c r="E35" s="108">
        <f>본전력량!E35-ESS전력량!E35</f>
        <v>1692147.1199999896</v>
      </c>
      <c r="F35" s="108">
        <f>본전력량!F35-ESS전력량!F35</f>
        <v>804170.55999999878</v>
      </c>
      <c r="G35" s="106">
        <f t="shared" si="6"/>
        <v>5837186.0799999814</v>
      </c>
      <c r="H35" s="109">
        <v>14400</v>
      </c>
      <c r="I35" s="109">
        <f>전력요금표!$B$2</f>
        <v>8320</v>
      </c>
      <c r="J35" s="109">
        <v>-0.01</v>
      </c>
      <c r="K35" s="109">
        <v>3.6999999999999998E-2</v>
      </c>
      <c r="L35" s="109">
        <v>0.1</v>
      </c>
      <c r="N35" s="288">
        <v>11448</v>
      </c>
      <c r="O35" s="106">
        <v>97</v>
      </c>
      <c r="P35" s="106">
        <f>전력요금표!$B$2</f>
        <v>8320</v>
      </c>
      <c r="R35" s="106">
        <f t="shared" si="7"/>
        <v>95247360</v>
      </c>
      <c r="S35" s="106">
        <f>(SUMIFS(전력요금표!H:H,전력요금표!D:D,B:B,전력요금표!F:F,C:C,전력요금표!G:G,"경")*ROUNDDOWN(D35,0))+(SUMIFS(전력요금표!H:H,전력요금표!D:D,B:B,전력요금표!F:F,C:C,전력요금표!G:G,"중간")*ROUNDDOWN(E35,0))+(SUMIFS(전력요금표!H:H,전력요금표!D:D,B:B,전력요금표!F:F,C:C,전력요금표!G:G,"최대")*ROUNDDOWN(F35,0))</f>
        <v>408321230</v>
      </c>
      <c r="T35" s="106">
        <f t="shared" si="8"/>
        <v>-952473</v>
      </c>
      <c r="U35" s="106">
        <f>ESS전력량!R35*-1</f>
        <v>-66014208</v>
      </c>
      <c r="Z35" s="106">
        <f t="shared" si="9"/>
        <v>436601909</v>
      </c>
      <c r="AA35" s="106">
        <f t="shared" si="0"/>
        <v>16154270</v>
      </c>
      <c r="AB35" s="106">
        <f t="shared" si="1"/>
        <v>43660191</v>
      </c>
      <c r="AC35" s="106">
        <f t="shared" si="2"/>
        <v>496416370</v>
      </c>
      <c r="AD35" s="106">
        <v>2500</v>
      </c>
      <c r="AE35" s="100">
        <f t="shared" si="10"/>
        <v>496418870</v>
      </c>
      <c r="AF35" s="106">
        <f t="shared" si="11"/>
        <v>452756179</v>
      </c>
      <c r="AH35" s="106">
        <f>ESS전력량!L35</f>
        <v>9387395</v>
      </c>
      <c r="AI35" s="106">
        <f>ESS전력량!M35*-1</f>
        <v>-5600889</v>
      </c>
      <c r="AL35" s="106">
        <v>0</v>
      </c>
      <c r="AM35" s="106">
        <v>0</v>
      </c>
      <c r="AN35" s="106">
        <f t="shared" si="3"/>
        <v>3786506</v>
      </c>
      <c r="AO35" s="106">
        <f t="shared" si="12"/>
        <v>378651</v>
      </c>
      <c r="AP35" s="106">
        <f t="shared" si="15"/>
        <v>140100</v>
      </c>
      <c r="AQ35" s="100">
        <f t="shared" si="16"/>
        <v>4305250</v>
      </c>
      <c r="AR35" s="106">
        <f t="shared" si="17"/>
        <v>3926606</v>
      </c>
      <c r="AS35" s="106">
        <f t="shared" si="13"/>
        <v>500724120</v>
      </c>
      <c r="AT35" s="106">
        <f t="shared" si="14"/>
        <v>456682785</v>
      </c>
    </row>
    <row r="36" spans="2:46">
      <c r="B36" s="107" t="s">
        <v>25</v>
      </c>
      <c r="C36" s="107" t="s">
        <v>22</v>
      </c>
      <c r="D36" s="108">
        <f>본전력량!D36-ESS전력량!D36</f>
        <v>1075611.6000000031</v>
      </c>
      <c r="E36" s="108">
        <f>본전력량!E36-ESS전력량!E36</f>
        <v>601151.04000001261</v>
      </c>
      <c r="F36" s="108">
        <f>본전력량!F36-ESS전력량!F36</f>
        <v>227721.19999999582</v>
      </c>
      <c r="G36" s="106">
        <f t="shared" si="6"/>
        <v>1904483.8400000115</v>
      </c>
      <c r="H36" s="109">
        <v>14400</v>
      </c>
      <c r="I36" s="109">
        <f>전력요금표!$B$2</f>
        <v>8320</v>
      </c>
      <c r="J36" s="109">
        <v>-0.01</v>
      </c>
      <c r="K36" s="109">
        <v>3.6999999999999998E-2</v>
      </c>
      <c r="L36" s="109">
        <v>0.1</v>
      </c>
      <c r="N36" s="288">
        <v>11448</v>
      </c>
      <c r="O36" s="106">
        <v>97</v>
      </c>
      <c r="P36" s="106">
        <f>전력요금표!$B$2</f>
        <v>8320</v>
      </c>
      <c r="R36" s="106">
        <f t="shared" si="7"/>
        <v>95247360</v>
      </c>
      <c r="S36" s="106">
        <f>(SUMIFS(전력요금표!H:H,전력요금표!D:D,B:B,전력요금표!F:F,C:C,전력요금표!G:G,"경")*ROUNDDOWN(D36,0))+(SUMIFS(전력요금표!H:H,전력요금표!D:D,B:B,전력요금표!F:F,C:C,전력요금표!G:G,"중간")*ROUNDDOWN(E36,0))+(SUMIFS(전력요금표!H:H,전력요금표!D:D,B:B,전력요금표!F:F,C:C,전력요금표!G:G,"최대")*ROUNDDOWN(F36,0))</f>
        <v>171477834</v>
      </c>
      <c r="T36" s="106">
        <f t="shared" si="8"/>
        <v>-952473</v>
      </c>
      <c r="U36" s="106">
        <f>ESS전력량!R36*-1</f>
        <v>-64426751.999999993</v>
      </c>
      <c r="Z36" s="106">
        <f t="shared" si="9"/>
        <v>201345969</v>
      </c>
      <c r="AA36" s="106">
        <f t="shared" si="0"/>
        <v>7449800</v>
      </c>
      <c r="AB36" s="106">
        <f t="shared" si="1"/>
        <v>20134597</v>
      </c>
      <c r="AC36" s="106">
        <f t="shared" si="2"/>
        <v>228930360</v>
      </c>
      <c r="AD36" s="106">
        <v>2500</v>
      </c>
      <c r="AE36" s="100">
        <f t="shared" si="10"/>
        <v>228932860</v>
      </c>
      <c r="AF36" s="106">
        <f t="shared" si="11"/>
        <v>208795769</v>
      </c>
      <c r="AH36" s="106">
        <f>ESS전력량!L36</f>
        <v>11272402</v>
      </c>
      <c r="AI36" s="106">
        <f>ESS전력량!M36*-1</f>
        <v>-6713790</v>
      </c>
      <c r="AL36" s="106">
        <v>0</v>
      </c>
      <c r="AM36" s="106">
        <v>0</v>
      </c>
      <c r="AN36" s="106">
        <f t="shared" si="3"/>
        <v>4558612</v>
      </c>
      <c r="AO36" s="106">
        <f t="shared" si="12"/>
        <v>455861</v>
      </c>
      <c r="AP36" s="106">
        <f t="shared" si="15"/>
        <v>168660</v>
      </c>
      <c r="AQ36" s="100">
        <f t="shared" si="16"/>
        <v>5183130</v>
      </c>
      <c r="AR36" s="106">
        <f t="shared" si="17"/>
        <v>4727272</v>
      </c>
      <c r="AS36" s="106">
        <f t="shared" si="13"/>
        <v>234115990</v>
      </c>
      <c r="AT36" s="106">
        <f t="shared" si="14"/>
        <v>213523041</v>
      </c>
    </row>
    <row r="37" spans="2:46">
      <c r="B37" s="107" t="s">
        <v>25</v>
      </c>
      <c r="C37" s="107" t="s">
        <v>23</v>
      </c>
      <c r="D37" s="108">
        <f>본전력량!D37-ESS전력량!D37</f>
        <v>983047.68000000762</v>
      </c>
      <c r="E37" s="108">
        <f>본전력량!E37-ESS전력량!E37</f>
        <v>576365.67999999586</v>
      </c>
      <c r="F37" s="108">
        <f>본전력량!F37-ESS전력량!F37</f>
        <v>207129.20000000473</v>
      </c>
      <c r="G37" s="106">
        <f t="shared" si="6"/>
        <v>1766542.5600000084</v>
      </c>
      <c r="H37" s="109">
        <v>14400</v>
      </c>
      <c r="I37" s="109">
        <f>전력요금표!$B$2</f>
        <v>8320</v>
      </c>
      <c r="J37" s="109">
        <v>-0.01</v>
      </c>
      <c r="K37" s="109">
        <v>3.6999999999999998E-2</v>
      </c>
      <c r="L37" s="109">
        <v>0.1</v>
      </c>
      <c r="N37" s="288">
        <v>11448</v>
      </c>
      <c r="O37" s="106">
        <v>97</v>
      </c>
      <c r="P37" s="106">
        <f>전력요금표!$B$2</f>
        <v>8320</v>
      </c>
      <c r="R37" s="106">
        <f t="shared" si="7"/>
        <v>95247360</v>
      </c>
      <c r="S37" s="106">
        <f>(SUMIFS(전력요금표!H:H,전력요금표!D:D,B:B,전력요금표!F:F,C:C,전력요금표!G:G,"경")*ROUNDDOWN(D37,0))+(SUMIFS(전력요금표!H:H,전력요금표!D:D,B:B,전력요금표!F:F,C:C,전력요금표!G:G,"중간")*ROUNDDOWN(E37,0))+(SUMIFS(전력요금표!H:H,전력요금표!D:D,B:B,전력요금표!F:F,C:C,전력요금표!G:G,"최대")*ROUNDDOWN(F37,0))</f>
        <v>159497728</v>
      </c>
      <c r="T37" s="106">
        <f t="shared" si="8"/>
        <v>-952473</v>
      </c>
      <c r="U37" s="106">
        <f>ESS전력량!R37*-1</f>
        <v>-61521408</v>
      </c>
      <c r="Z37" s="106">
        <f t="shared" si="9"/>
        <v>192271207</v>
      </c>
      <c r="AA37" s="106">
        <f t="shared" si="0"/>
        <v>7114030</v>
      </c>
      <c r="AB37" s="106">
        <f t="shared" si="1"/>
        <v>19227121</v>
      </c>
      <c r="AC37" s="106">
        <f t="shared" si="2"/>
        <v>218612350</v>
      </c>
      <c r="AD37" s="106">
        <v>2500</v>
      </c>
      <c r="AE37" s="100">
        <f t="shared" si="10"/>
        <v>218614850</v>
      </c>
      <c r="AF37" s="106">
        <f t="shared" si="11"/>
        <v>199385237</v>
      </c>
      <c r="AH37" s="106">
        <f>ESS전력량!L37</f>
        <v>11599602</v>
      </c>
      <c r="AI37" s="106">
        <f>ESS전력량!M37*-1</f>
        <v>-6908996</v>
      </c>
      <c r="AL37" s="106">
        <v>0</v>
      </c>
      <c r="AM37" s="106">
        <v>0</v>
      </c>
      <c r="AN37" s="106">
        <f t="shared" si="3"/>
        <v>4690606</v>
      </c>
      <c r="AO37" s="106">
        <f t="shared" si="12"/>
        <v>469061</v>
      </c>
      <c r="AP37" s="106">
        <f t="shared" si="15"/>
        <v>173550</v>
      </c>
      <c r="AQ37" s="100">
        <f t="shared" si="16"/>
        <v>5333210</v>
      </c>
      <c r="AR37" s="106">
        <f t="shared" si="17"/>
        <v>4864156</v>
      </c>
      <c r="AS37" s="106">
        <f t="shared" si="13"/>
        <v>223948060</v>
      </c>
      <c r="AT37" s="106">
        <f t="shared" si="14"/>
        <v>204249393</v>
      </c>
    </row>
    <row r="38" spans="2:46">
      <c r="B38" s="107" t="s">
        <v>26</v>
      </c>
      <c r="C38" s="107" t="s">
        <v>9</v>
      </c>
      <c r="D38" s="108">
        <f>본전력량!D38-ESS전력량!D38+신설본전력량!D38</f>
        <v>1078444.2399999921</v>
      </c>
      <c r="E38" s="171">
        <f>본전력량!E38-ESS전력량!E38+신설본전력량!E38</f>
        <v>710172.3199999932</v>
      </c>
      <c r="F38" s="171">
        <f>본전력량!F38-ESS전력량!F38+신설본전력량!F38</f>
        <v>259065.19999999739</v>
      </c>
      <c r="G38" s="106">
        <f t="shared" si="6"/>
        <v>2047681.7599999825</v>
      </c>
      <c r="H38" s="109">
        <v>14400</v>
      </c>
      <c r="I38" s="109">
        <f>전력요금표!$B$2</f>
        <v>8320</v>
      </c>
      <c r="J38" s="109">
        <v>-0.01</v>
      </c>
      <c r="K38" s="109">
        <v>3.6999999999999998E-2</v>
      </c>
      <c r="L38" s="109">
        <v>0.1</v>
      </c>
      <c r="N38" s="288">
        <f>ROUND(PEAK적용값!$J$3,0)</f>
        <v>11448</v>
      </c>
      <c r="O38" s="106">
        <v>97</v>
      </c>
      <c r="P38" s="106">
        <f>전력요금표!$B$2</f>
        <v>8320</v>
      </c>
      <c r="R38" s="106">
        <f t="shared" si="7"/>
        <v>95247360</v>
      </c>
      <c r="S38" s="106">
        <f>(SUMIFS(전력요금표!H:H,전력요금표!D:D,B:B,전력요금표!F:F,C:C,전력요금표!G:G,"경")*ROUNDDOWN(D38,0))+(SUMIFS(전력요금표!H:H,전력요금표!D:D,B:B,전력요금표!F:F,C:C,전력요금표!G:G,"중간")*ROUNDDOWN(E38,0))+(SUMIFS(전력요금표!H:H,전력요금표!D:D,B:B,전력요금표!F:F,C:C,전력요금표!G:G,"최대")*ROUNDDOWN(F38,0))</f>
        <v>188786734.30000001</v>
      </c>
      <c r="T38" s="106">
        <f t="shared" si="8"/>
        <v>-952473</v>
      </c>
      <c r="U38" s="106">
        <f>ESS전력량!R38*-1</f>
        <v>-17563520</v>
      </c>
      <c r="V38" s="305">
        <v>-2</v>
      </c>
      <c r="W38" s="171">
        <f>전력변동요금!G15</f>
        <v>-10238405</v>
      </c>
      <c r="X38" s="108">
        <f>전력변동요금!H15</f>
        <v>10852709.299999999</v>
      </c>
      <c r="Y38" s="108">
        <f>전력변동요금!I15</f>
        <v>-6143043</v>
      </c>
      <c r="Z38" s="106">
        <f>ROUND(SUM(R38:Y38),0)</f>
        <v>259989361</v>
      </c>
      <c r="AA38" s="106">
        <f t="shared" si="0"/>
        <v>9619600</v>
      </c>
      <c r="AB38" s="106">
        <f t="shared" si="1"/>
        <v>25998936</v>
      </c>
      <c r="AC38" s="106">
        <f t="shared" si="2"/>
        <v>295607890</v>
      </c>
      <c r="AD38" s="106">
        <v>2500</v>
      </c>
      <c r="AE38" s="100">
        <f t="shared" si="10"/>
        <v>295610390</v>
      </c>
      <c r="AF38" s="106">
        <f t="shared" si="11"/>
        <v>269608961</v>
      </c>
      <c r="AH38" s="106">
        <f>(ESS전력량!L38-2)</f>
        <v>10373640</v>
      </c>
      <c r="AK38" s="183">
        <v>-818875</v>
      </c>
      <c r="AL38" s="108">
        <f>ROUND(전력변동요금!R15,0)+4</f>
        <v>868007</v>
      </c>
      <c r="AM38" s="108">
        <f>ROUND(전력변동요금!S15,0)-3</f>
        <v>-491325</v>
      </c>
      <c r="AN38" s="106">
        <f t="shared" si="3"/>
        <v>9931447</v>
      </c>
      <c r="AO38" s="106">
        <f t="shared" si="12"/>
        <v>993145</v>
      </c>
      <c r="AP38" s="106">
        <f t="shared" si="15"/>
        <v>367460</v>
      </c>
      <c r="AQ38" s="100">
        <f t="shared" si="16"/>
        <v>11292050</v>
      </c>
      <c r="AR38" s="106">
        <f t="shared" si="17"/>
        <v>10298907</v>
      </c>
      <c r="AS38" s="106">
        <f t="shared" si="13"/>
        <v>306902440</v>
      </c>
      <c r="AT38" s="106">
        <f t="shared" si="14"/>
        <v>279907868</v>
      </c>
    </row>
    <row r="39" spans="2:46">
      <c r="B39" s="107" t="s">
        <v>26</v>
      </c>
      <c r="C39" s="107" t="s">
        <v>13</v>
      </c>
      <c r="D39" s="171">
        <f>ROUND(본전력량!D39-ESS전력량!D39+신설본전력량!D39,0)</f>
        <v>1604853</v>
      </c>
      <c r="E39" s="171">
        <f>ROUND(본전력량!E39-ESS전력량!E39+신설본전력량!E39,0)</f>
        <v>843703</v>
      </c>
      <c r="F39" s="171">
        <f>ROUND(본전력량!F39-ESS전력량!F39+신설본전력량!F39,0)</f>
        <v>357915</v>
      </c>
      <c r="G39" s="106">
        <f t="shared" si="6"/>
        <v>2806471</v>
      </c>
      <c r="H39" s="109">
        <v>14400</v>
      </c>
      <c r="I39" s="109">
        <f>전력요금표!$B$2</f>
        <v>8320</v>
      </c>
      <c r="J39" s="109">
        <v>-0.01</v>
      </c>
      <c r="K39" s="109">
        <v>3.6999999999999998E-2</v>
      </c>
      <c r="L39" s="109">
        <v>0.1</v>
      </c>
      <c r="N39" s="288">
        <f>ROUND(PEAK적용값!$J$3,0)</f>
        <v>11448</v>
      </c>
      <c r="O39" s="106">
        <v>97</v>
      </c>
      <c r="P39" s="106">
        <f>전력요금표!$B$2</f>
        <v>8320</v>
      </c>
      <c r="R39" s="106">
        <f t="shared" si="7"/>
        <v>95247360</v>
      </c>
      <c r="S39" s="106">
        <f>ROUNDDOWN((SUMIFS(전력요금표!H:H,전력요금표!D:D,B:B,전력요금표!F:F,C:C,전력요금표!G:G,"경")*ROUND(D39,0))+(SUMIFS(전력요금표!H:H,전력요금표!D:D,B:B,전력요금표!F:F,C:C,전력요금표!G:G,"중간")*ROUND(E39,0))+(SUMIFS(전력요금표!H:H,전력요금표!D:D,B:B,전력요금표!F:F,C:C,전력요금표!G:G,"최대")*ROUND(F39,0)),0)</f>
        <v>253063022</v>
      </c>
      <c r="T39" s="106">
        <f t="shared" si="8"/>
        <v>-952473</v>
      </c>
      <c r="U39" s="106">
        <f>ESS전력량!R39*-1</f>
        <v>-18345600</v>
      </c>
      <c r="W39" s="171">
        <f>전력변동요금!G16</f>
        <v>-14032350</v>
      </c>
      <c r="X39" s="171">
        <f>전력변동요금!H16</f>
        <v>14874291</v>
      </c>
      <c r="Y39" s="171">
        <f>전력변동요금!I16</f>
        <v>-8419410</v>
      </c>
      <c r="Z39" s="183">
        <f t="shared" ref="Z39:Z49" si="18">ROUND(SUM(R39:Y39),0)</f>
        <v>321434840</v>
      </c>
      <c r="AA39" s="106">
        <f t="shared" si="0"/>
        <v>11893080</v>
      </c>
      <c r="AB39" s="106">
        <f t="shared" si="1"/>
        <v>32143484</v>
      </c>
      <c r="AC39" s="106">
        <f t="shared" si="2"/>
        <v>365471400</v>
      </c>
      <c r="AD39" s="106">
        <v>2500</v>
      </c>
      <c r="AE39" s="100">
        <f t="shared" si="10"/>
        <v>365473900</v>
      </c>
      <c r="AF39" s="106">
        <f t="shared" si="11"/>
        <v>333327920</v>
      </c>
      <c r="AH39" s="106">
        <f>ESS전력량!L39</f>
        <v>9665338</v>
      </c>
      <c r="AK39" s="183">
        <f>전력변동요금!Q16</f>
        <v>-763405</v>
      </c>
      <c r="AL39" s="108">
        <f>ROUND(전력변동요금!R16,0)</f>
        <v>809210</v>
      </c>
      <c r="AM39" s="108">
        <f>ROUND(전력변동요금!S16,0)</f>
        <v>-458044</v>
      </c>
      <c r="AN39" s="106">
        <f t="shared" si="3"/>
        <v>9253099</v>
      </c>
      <c r="AO39" s="106">
        <f t="shared" si="12"/>
        <v>925310</v>
      </c>
      <c r="AP39" s="106">
        <f t="shared" si="15"/>
        <v>342360</v>
      </c>
      <c r="AQ39" s="100">
        <f t="shared" si="16"/>
        <v>10520760</v>
      </c>
      <c r="AR39" s="106">
        <f t="shared" si="17"/>
        <v>9595459</v>
      </c>
      <c r="AS39" s="106">
        <f t="shared" si="13"/>
        <v>375994660</v>
      </c>
      <c r="AT39" s="106">
        <f t="shared" si="14"/>
        <v>342923379</v>
      </c>
    </row>
    <row r="40" spans="2:46">
      <c r="B40" s="107" t="s">
        <v>26</v>
      </c>
      <c r="C40" s="107" t="s">
        <v>14</v>
      </c>
      <c r="D40" s="171">
        <f>ROUND(본전력량!D40-ESS전력량!D40+신설본전력량!D40,0)</f>
        <v>2944057</v>
      </c>
      <c r="E40" s="171">
        <f>ROUND(본전력량!E40-ESS전력량!E40+신설본전력량!E40,0)</f>
        <v>2005487</v>
      </c>
      <c r="F40" s="171">
        <f>ROUND(본전력량!F40-ESS전력량!F40+신설본전력량!F40,0)</f>
        <v>963129</v>
      </c>
      <c r="G40" s="106">
        <f t="shared" si="6"/>
        <v>5912673</v>
      </c>
      <c r="H40" s="109">
        <v>14400</v>
      </c>
      <c r="I40" s="109">
        <f>전력요금표!$B$2</f>
        <v>8320</v>
      </c>
      <c r="J40" s="109">
        <v>-0.01</v>
      </c>
      <c r="K40" s="109">
        <v>3.6999999999999998E-2</v>
      </c>
      <c r="L40" s="109">
        <v>0.1</v>
      </c>
      <c r="N40" s="288">
        <v>12008</v>
      </c>
      <c r="O40" s="106">
        <v>97</v>
      </c>
      <c r="P40" s="106">
        <f>전력요금표!$B$2</f>
        <v>8320</v>
      </c>
      <c r="R40" s="106">
        <f t="shared" si="7"/>
        <v>99906560</v>
      </c>
      <c r="S40" s="183">
        <f>ROUNDDOWN((SUMIFS(전력요금표!H:H,전력요금표!D:D,B:B,전력요금표!F:F,C:C,전력요금표!G:G,"경")*ROUND(D40,0))+(SUMIFS(전력요금표!H:H,전력요금표!D:D,B:B,전력요금표!F:F,C:C,전력요금표!G:G,"중간")*ROUND(E40,0))+(SUMIFS(전력요금표!H:H,전력요금표!D:D,B:B,전력요금표!F:F,C:C,전력요금표!G:G,"최대")*ROUND(F40,0)),0)</f>
        <v>428062875</v>
      </c>
      <c r="T40" s="106">
        <f t="shared" si="8"/>
        <v>-999065</v>
      </c>
      <c r="U40" s="106">
        <f>ESS전력량!R40*-1</f>
        <v>-19069440</v>
      </c>
      <c r="W40" s="171">
        <f>전력변동요금!G17</f>
        <v>-29563365</v>
      </c>
      <c r="X40" s="171">
        <f>전력변동요금!H17</f>
        <v>31337166.899999999</v>
      </c>
      <c r="Y40" s="171">
        <f>전력변동요금!I17</f>
        <v>-17738019</v>
      </c>
      <c r="Z40" s="183">
        <f t="shared" si="18"/>
        <v>491936713</v>
      </c>
      <c r="AA40" s="106">
        <f t="shared" si="0"/>
        <v>18201650</v>
      </c>
      <c r="AB40" s="106">
        <f t="shared" si="1"/>
        <v>49193671</v>
      </c>
      <c r="AC40" s="106">
        <f t="shared" si="2"/>
        <v>559332030</v>
      </c>
      <c r="AD40" s="106">
        <v>2500</v>
      </c>
      <c r="AE40" s="100">
        <f t="shared" si="10"/>
        <v>559334530</v>
      </c>
      <c r="AF40" s="106">
        <f t="shared" si="11"/>
        <v>510138363</v>
      </c>
      <c r="AH40" s="106">
        <f>ESS전력량!L40</f>
        <v>11016928</v>
      </c>
      <c r="AK40" s="183">
        <f>전력변동요금!Q17</f>
        <v>-980232</v>
      </c>
      <c r="AL40" s="108">
        <f>ROUND(전력변동요금!R17,0)</f>
        <v>1039046</v>
      </c>
      <c r="AM40" s="108">
        <f>ROUND(전력변동요금!S17,0)</f>
        <v>-588139</v>
      </c>
      <c r="AN40" s="106">
        <f t="shared" si="3"/>
        <v>10487603</v>
      </c>
      <c r="AO40" s="106">
        <f t="shared" si="12"/>
        <v>1048760</v>
      </c>
      <c r="AP40" s="106">
        <f t="shared" si="15"/>
        <v>388040</v>
      </c>
      <c r="AQ40" s="100">
        <f t="shared" si="16"/>
        <v>11924400</v>
      </c>
      <c r="AR40" s="106">
        <f t="shared" si="17"/>
        <v>10875643</v>
      </c>
      <c r="AS40" s="106">
        <f t="shared" si="13"/>
        <v>571258930</v>
      </c>
      <c r="AT40" s="106">
        <f t="shared" si="14"/>
        <v>521014006</v>
      </c>
    </row>
    <row r="41" spans="2:46">
      <c r="B41" s="107" t="s">
        <v>26</v>
      </c>
      <c r="C41" s="107" t="s">
        <v>15</v>
      </c>
      <c r="D41" s="171">
        <f>ROUND(본전력량!D41-ESS전력량!D41+신설본전력량!D41,0)</f>
        <v>2876094</v>
      </c>
      <c r="E41" s="171">
        <f>ROUND(본전력량!E41-ESS전력량!E41+신설본전력량!E41,0)</f>
        <v>1935647</v>
      </c>
      <c r="F41" s="171">
        <f>ROUND(본전력량!F41-ESS전력량!F41+신설본전력량!F41,0)</f>
        <v>947961</v>
      </c>
      <c r="G41" s="106">
        <f t="shared" si="6"/>
        <v>5759702</v>
      </c>
      <c r="H41" s="109">
        <v>14400</v>
      </c>
      <c r="I41" s="109">
        <f>전력요금표!$B$2</f>
        <v>8320</v>
      </c>
      <c r="J41" s="172">
        <v>-0.01</v>
      </c>
      <c r="K41" s="109">
        <v>3.6999999999999998E-2</v>
      </c>
      <c r="L41" s="109">
        <v>0.1</v>
      </c>
      <c r="N41" s="288">
        <f>ROUND(PEAK적용값!$J$3,0)</f>
        <v>11448</v>
      </c>
      <c r="O41" s="106">
        <v>97</v>
      </c>
      <c r="P41" s="106">
        <f>전력요금표!$B$2</f>
        <v>8320</v>
      </c>
      <c r="R41" s="106">
        <f t="shared" si="7"/>
        <v>95247360</v>
      </c>
      <c r="S41" s="183">
        <f>ROUNDDOWN((SUMIFS(전력요금표!H:H,전력요금표!D:D,B:B,전력요금표!F:F,C:C,전력요금표!G:G,"경")*ROUND(D41,0))+(SUMIFS(전력요금표!H:H,전력요금표!D:D,B:B,전력요금표!F:F,C:C,전력요금표!G:G,"중간")*ROUND(E41,0))+(SUMIFS(전력요금표!H:H,전력요금표!D:D,B:B,전력요금표!F:F,C:C,전력요금표!G:G,"최대")*ROUND(F41,0)),0)</f>
        <v>417102864</v>
      </c>
      <c r="T41" s="106">
        <f t="shared" si="8"/>
        <v>-952473</v>
      </c>
      <c r="U41" s="106">
        <f>ESS전력량!R41*-1</f>
        <v>-19011200</v>
      </c>
      <c r="W41" s="171">
        <f>전력변동요금!G18</f>
        <v>-28798510</v>
      </c>
      <c r="X41" s="171">
        <f>전력변동요금!H18</f>
        <v>30526420.599999998</v>
      </c>
      <c r="Y41" s="171">
        <f>전력변동요금!I18</f>
        <v>-17279106</v>
      </c>
      <c r="Z41" s="183">
        <f t="shared" si="18"/>
        <v>476835356</v>
      </c>
      <c r="AA41" s="106">
        <f t="shared" si="0"/>
        <v>17642900</v>
      </c>
      <c r="AB41" s="106">
        <f t="shared" si="1"/>
        <v>47683536</v>
      </c>
      <c r="AC41" s="106">
        <f t="shared" si="2"/>
        <v>542161790</v>
      </c>
      <c r="AD41" s="106">
        <v>2500</v>
      </c>
      <c r="AE41" s="100">
        <f t="shared" si="10"/>
        <v>542164290</v>
      </c>
      <c r="AF41" s="106">
        <f t="shared" si="11"/>
        <v>494478256</v>
      </c>
      <c r="AH41" s="106">
        <f>ESS전력량!L41</f>
        <v>10978948</v>
      </c>
      <c r="AK41" s="183">
        <f>전력변동요금!Q18</f>
        <v>-976847</v>
      </c>
      <c r="AL41" s="108">
        <f>ROUND(전력변동요금!R18,0)</f>
        <v>1035458</v>
      </c>
      <c r="AM41" s="108">
        <f>ROUND(전력변동요금!S18,0)</f>
        <v>-586108</v>
      </c>
      <c r="AN41" s="106">
        <f t="shared" si="3"/>
        <v>10451451</v>
      </c>
      <c r="AO41" s="106">
        <f t="shared" si="12"/>
        <v>1045145</v>
      </c>
      <c r="AP41" s="106">
        <f t="shared" si="15"/>
        <v>386700</v>
      </c>
      <c r="AQ41" s="100">
        <f t="shared" si="16"/>
        <v>11883290</v>
      </c>
      <c r="AR41" s="106">
        <f t="shared" si="17"/>
        <v>10838151</v>
      </c>
      <c r="AS41" s="106">
        <f t="shared" si="13"/>
        <v>554047580</v>
      </c>
      <c r="AT41" s="106">
        <f t="shared" si="14"/>
        <v>505316407</v>
      </c>
    </row>
    <row r="42" spans="2:46">
      <c r="B42" s="107" t="s">
        <v>26</v>
      </c>
      <c r="C42" s="107" t="s">
        <v>16</v>
      </c>
      <c r="D42" s="171">
        <f>ROUND(본전력량!D42-ESS전력량!D42+신설본전력량!D42,0)</f>
        <v>3364687</v>
      </c>
      <c r="E42" s="171">
        <f>ROUND(본전력량!E42-ESS전력량!E42+신설본전력량!E42,0)</f>
        <v>1854706</v>
      </c>
      <c r="F42" s="171">
        <f>ROUND(본전력량!F42-ESS전력량!F42+신설본전력량!F42,0)</f>
        <v>838827</v>
      </c>
      <c r="G42" s="106">
        <f t="shared" si="6"/>
        <v>6058220</v>
      </c>
      <c r="H42" s="109">
        <v>14400</v>
      </c>
      <c r="I42" s="109">
        <f>전력요금표!$B$2</f>
        <v>8320</v>
      </c>
      <c r="J42" s="109">
        <v>-0.01</v>
      </c>
      <c r="K42" s="109">
        <v>3.6999999999999998E-2</v>
      </c>
      <c r="L42" s="109">
        <v>0.1</v>
      </c>
      <c r="N42" s="288">
        <v>11608</v>
      </c>
      <c r="O42" s="106">
        <v>97</v>
      </c>
      <c r="P42" s="106">
        <f>전력요금표!$B$2</f>
        <v>8320</v>
      </c>
      <c r="R42" s="106">
        <f t="shared" si="7"/>
        <v>96578560</v>
      </c>
      <c r="S42" s="183">
        <f>ROUNDDOWN((SUMIFS(전력요금표!H:H,전력요금표!D:D,B:B,전력요금표!F:F,C:C,전력요금표!G:G,"경")*ROUND(D42,0))+(SUMIFS(전력요금표!H:H,전력요금표!D:D,B:B,전력요금표!F:F,C:C,전력요금표!G:G,"중간")*ROUND(E42,0))+(SUMIFS(전력요금표!H:H,전력요금표!D:D,B:B,전력요금표!F:F,C:C,전력요금표!G:G,"최대")*ROUND(F42,0)),0)</f>
        <v>426222623</v>
      </c>
      <c r="T42" s="106">
        <f t="shared" si="8"/>
        <v>-965785</v>
      </c>
      <c r="U42" s="106">
        <f>ESS전력량!R42*-1</f>
        <v>-18869760</v>
      </c>
      <c r="W42" s="171">
        <f>전력변동요금!G19</f>
        <v>-30291095</v>
      </c>
      <c r="X42" s="171">
        <f>전력변동요금!H19</f>
        <v>32108560.699999999</v>
      </c>
      <c r="Y42" s="171">
        <f>전력변동요금!I19</f>
        <v>-18174657</v>
      </c>
      <c r="Z42" s="183">
        <f t="shared" si="18"/>
        <v>486608447</v>
      </c>
      <c r="AA42" s="106">
        <f t="shared" si="0"/>
        <v>18004510</v>
      </c>
      <c r="AB42" s="106">
        <f t="shared" si="1"/>
        <v>48660845</v>
      </c>
      <c r="AC42" s="106">
        <f t="shared" si="2"/>
        <v>553273800</v>
      </c>
      <c r="AD42" s="106">
        <v>2500</v>
      </c>
      <c r="AE42" s="100">
        <f t="shared" si="10"/>
        <v>553276300</v>
      </c>
      <c r="AF42" s="106">
        <f t="shared" si="11"/>
        <v>504612957</v>
      </c>
      <c r="AH42" s="106">
        <f>ESS전력량!L42</f>
        <v>10080164</v>
      </c>
      <c r="AK42" s="183">
        <f>전력변동요금!Q19</f>
        <v>-896904</v>
      </c>
      <c r="AL42" s="108">
        <f>ROUND(전력변동요금!R19,0)</f>
        <v>950719</v>
      </c>
      <c r="AM42" s="108">
        <f>ROUND(전력변동요금!S19,0)</f>
        <v>-538143</v>
      </c>
      <c r="AN42" s="106">
        <f t="shared" si="3"/>
        <v>9595836</v>
      </c>
      <c r="AO42" s="106">
        <f t="shared" si="12"/>
        <v>959584</v>
      </c>
      <c r="AP42" s="106">
        <f t="shared" si="15"/>
        <v>355040</v>
      </c>
      <c r="AQ42" s="100">
        <f t="shared" si="16"/>
        <v>10910460</v>
      </c>
      <c r="AR42" s="106">
        <f t="shared" si="17"/>
        <v>9950876</v>
      </c>
      <c r="AS42" s="106">
        <f t="shared" si="13"/>
        <v>564186760</v>
      </c>
      <c r="AT42" s="106">
        <f t="shared" si="14"/>
        <v>514563833</v>
      </c>
    </row>
    <row r="43" spans="2:46">
      <c r="B43" s="107" t="s">
        <v>26</v>
      </c>
      <c r="C43" s="107" t="s">
        <v>17</v>
      </c>
      <c r="D43" s="171">
        <f>ROUND(본전력량!D43-ESS전력량!D43+신설본전력량!D43,0)</f>
        <v>3102452</v>
      </c>
      <c r="E43" s="171">
        <f>ROUND(본전력량!E43-ESS전력량!E43+신설본전력량!E43,0)</f>
        <v>2018391</v>
      </c>
      <c r="F43" s="171">
        <f>ROUND(본전력량!F43-ESS전력량!F43+신설본전력량!F43,0)</f>
        <v>967017</v>
      </c>
      <c r="G43" s="106">
        <f t="shared" si="6"/>
        <v>6087860</v>
      </c>
      <c r="H43" s="109">
        <v>14400</v>
      </c>
      <c r="I43" s="109">
        <f>전력요금표!$B$2</f>
        <v>8320</v>
      </c>
      <c r="J43" s="109">
        <v>-0.01</v>
      </c>
      <c r="K43" s="109">
        <v>3.6999999999999998E-2</v>
      </c>
      <c r="L43" s="109">
        <v>0.1</v>
      </c>
      <c r="N43" s="288">
        <v>11950</v>
      </c>
      <c r="O43" s="106">
        <v>97</v>
      </c>
      <c r="P43" s="106">
        <f>전력요금표!$B$2</f>
        <v>8320</v>
      </c>
      <c r="R43" s="106">
        <f t="shared" si="7"/>
        <v>99424000</v>
      </c>
      <c r="S43" s="183">
        <f>ROUNDDOWN((SUMIFS(전력요금표!H:H,전력요금표!D:D,B:B,전력요금표!F:F,C:C,전력요금표!G:G,"경")*ROUND(D43,0))+(SUMIFS(전력요금표!H:H,전력요금표!D:D,B:B,전력요금표!F:F,C:C,전력요금표!G:G,"중간")*ROUND(E43,0))+(SUMIFS(전력요금표!H:H,전력요금표!D:D,B:B,전력요금표!F:F,C:C,전력요금표!G:G,"최대")*ROUND(F43,0)),0)</f>
        <v>578849124</v>
      </c>
      <c r="T43" s="106">
        <f t="shared" si="8"/>
        <v>-994240</v>
      </c>
      <c r="U43" s="106">
        <f>ESS전력량!R43*-1</f>
        <v>-18661760</v>
      </c>
      <c r="W43" s="171">
        <f>전력변동요금!G20</f>
        <v>-30439295</v>
      </c>
      <c r="X43" s="171">
        <f>전력변동요금!H20</f>
        <v>32265652.699999999</v>
      </c>
      <c r="Y43" s="171">
        <f>전력변동요금!I20</f>
        <v>-18263577</v>
      </c>
      <c r="Z43" s="183">
        <f t="shared" si="18"/>
        <v>642179905</v>
      </c>
      <c r="AA43" s="106">
        <f t="shared" si="0"/>
        <v>23760650</v>
      </c>
      <c r="AB43" s="106">
        <f t="shared" si="1"/>
        <v>64217991</v>
      </c>
      <c r="AC43" s="106">
        <f t="shared" si="2"/>
        <v>730158540</v>
      </c>
      <c r="AD43" s="106">
        <v>2500</v>
      </c>
      <c r="AE43" s="100">
        <f t="shared" si="10"/>
        <v>730161040</v>
      </c>
      <c r="AF43" s="106">
        <f t="shared" si="11"/>
        <v>665940555</v>
      </c>
      <c r="AH43" s="106">
        <f>ESS전력량!L43</f>
        <v>10817694</v>
      </c>
      <c r="AK43" s="183">
        <f>전력변동요금!Q20</f>
        <v>-959660</v>
      </c>
      <c r="AL43" s="108">
        <f>ROUND(전력변동요금!R20,0)</f>
        <v>1017240</v>
      </c>
      <c r="AM43" s="108">
        <f>ROUND(전력변동요금!S20,0)</f>
        <v>-575796</v>
      </c>
      <c r="AN43" s="106">
        <f t="shared" si="3"/>
        <v>10299478</v>
      </c>
      <c r="AO43" s="106">
        <f t="shared" si="12"/>
        <v>1029948</v>
      </c>
      <c r="AP43" s="106">
        <f t="shared" si="15"/>
        <v>381080</v>
      </c>
      <c r="AQ43" s="100">
        <f t="shared" si="16"/>
        <v>11710500</v>
      </c>
      <c r="AR43" s="106">
        <f t="shared" si="17"/>
        <v>10680558</v>
      </c>
      <c r="AS43" s="106">
        <f t="shared" si="13"/>
        <v>741871540</v>
      </c>
      <c r="AT43" s="106">
        <f t="shared" si="14"/>
        <v>676621113</v>
      </c>
    </row>
    <row r="44" spans="2:46">
      <c r="B44" s="107" t="s">
        <v>26</v>
      </c>
      <c r="C44" s="107" t="s">
        <v>18</v>
      </c>
      <c r="D44" s="171">
        <f>ROUND(본전력량!D44-ESS전력량!D44+신설본전력량!D44,0)</f>
        <v>0</v>
      </c>
      <c r="E44" s="171">
        <f>ROUND(본전력량!E44-ESS전력량!E44+신설본전력량!E44,0)</f>
        <v>0</v>
      </c>
      <c r="F44" s="171">
        <f>ROUND(본전력량!F44-ESS전력량!F44+신설본전력량!F44,0)</f>
        <v>0</v>
      </c>
      <c r="G44" s="106">
        <f t="shared" si="6"/>
        <v>0</v>
      </c>
      <c r="H44" s="109">
        <v>14400</v>
      </c>
      <c r="I44" s="109">
        <f>전력요금표!$B$2</f>
        <v>8320</v>
      </c>
      <c r="J44" s="109">
        <v>-0.01</v>
      </c>
      <c r="K44" s="109">
        <v>3.6999999999999998E-2</v>
      </c>
      <c r="L44" s="109">
        <v>0.1</v>
      </c>
      <c r="N44" s="288">
        <f>ROUND(PEAK적용값!$J$3,0)</f>
        <v>11448</v>
      </c>
      <c r="O44" s="106">
        <v>97</v>
      </c>
      <c r="P44" s="106">
        <f>전력요금표!$B$2</f>
        <v>8320</v>
      </c>
      <c r="R44" s="106">
        <f t="shared" si="7"/>
        <v>95247360</v>
      </c>
      <c r="S44" s="183">
        <f>ROUNDDOWN((SUMIFS(전력요금표!H:H,전력요금표!D:D,B:B,전력요금표!F:F,C:C,전력요금표!G:G,"경")*ROUND(D44,0))+(SUMIFS(전력요금표!H:H,전력요금표!D:D,B:B,전력요금표!F:F,C:C,전력요금표!G:G,"중간")*ROUND(E44,0))+(SUMIFS(전력요금표!H:H,전력요금표!D:D,B:B,전력요금표!F:F,C:C,전력요금표!G:G,"최대")*ROUND(F44,0)),0)</f>
        <v>0</v>
      </c>
      <c r="T44" s="106">
        <f t="shared" si="8"/>
        <v>-952473</v>
      </c>
      <c r="U44" s="106" t="e">
        <f>ESS전력량!R44*-1</f>
        <v>#DIV/0!</v>
      </c>
      <c r="W44" s="171">
        <f>전력변동요금!G21</f>
        <v>0</v>
      </c>
      <c r="X44" s="171">
        <f>전력변동요금!H21</f>
        <v>0</v>
      </c>
      <c r="Y44" s="171">
        <f>전력변동요금!I21</f>
        <v>0</v>
      </c>
      <c r="Z44" s="183" t="e">
        <f t="shared" si="18"/>
        <v>#DIV/0!</v>
      </c>
      <c r="AA44" s="106" t="e">
        <f t="shared" si="0"/>
        <v>#DIV/0!</v>
      </c>
      <c r="AB44" s="106" t="e">
        <f t="shared" si="1"/>
        <v>#DIV/0!</v>
      </c>
      <c r="AC44" s="106" t="e">
        <f t="shared" si="2"/>
        <v>#DIV/0!</v>
      </c>
      <c r="AD44" s="106">
        <v>2500</v>
      </c>
      <c r="AE44" s="100" t="e">
        <f t="shared" si="10"/>
        <v>#DIV/0!</v>
      </c>
      <c r="AF44" s="106" t="e">
        <f t="shared" si="11"/>
        <v>#DIV/0!</v>
      </c>
      <c r="AH44" s="106">
        <f>ESS전력량!L44</f>
        <v>0</v>
      </c>
      <c r="AK44" s="183">
        <f>전력변동요금!Q21</f>
        <v>0</v>
      </c>
      <c r="AL44" s="108">
        <f>ROUND(전력변동요금!R21,0)</f>
        <v>0</v>
      </c>
      <c r="AM44" s="108">
        <f>ROUND(전력변동요금!S21,0)</f>
        <v>0</v>
      </c>
      <c r="AN44" s="106">
        <f t="shared" si="3"/>
        <v>0</v>
      </c>
      <c r="AO44" s="106">
        <f t="shared" si="12"/>
        <v>0</v>
      </c>
      <c r="AP44" s="106">
        <f t="shared" si="15"/>
        <v>0</v>
      </c>
      <c r="AQ44" s="100">
        <f t="shared" si="16"/>
        <v>0</v>
      </c>
      <c r="AR44" s="106">
        <f t="shared" si="17"/>
        <v>0</v>
      </c>
      <c r="AS44" s="106" t="e">
        <f t="shared" si="13"/>
        <v>#DIV/0!</v>
      </c>
      <c r="AT44" s="106" t="e">
        <f t="shared" si="14"/>
        <v>#DIV/0!</v>
      </c>
    </row>
    <row r="45" spans="2:46">
      <c r="B45" s="107" t="s">
        <v>26</v>
      </c>
      <c r="C45" s="107" t="s">
        <v>19</v>
      </c>
      <c r="D45" s="171">
        <f>ROUND(본전력량!D45-ESS전력량!D45+신설본전력량!D45,0)</f>
        <v>0</v>
      </c>
      <c r="E45" s="171">
        <f>ROUND(본전력량!E45-ESS전력량!E45+신설본전력량!E45,0)</f>
        <v>0</v>
      </c>
      <c r="F45" s="171">
        <f>ROUND(본전력량!F45-ESS전력량!F45+신설본전력량!F45,0)</f>
        <v>0</v>
      </c>
      <c r="G45" s="106">
        <f t="shared" si="6"/>
        <v>0</v>
      </c>
      <c r="H45" s="109">
        <v>14400</v>
      </c>
      <c r="I45" s="109">
        <f>전력요금표!$B$2</f>
        <v>8320</v>
      </c>
      <c r="J45" s="109">
        <v>-0.01</v>
      </c>
      <c r="K45" s="109">
        <v>3.6999999999999998E-2</v>
      </c>
      <c r="L45" s="109">
        <v>0.1</v>
      </c>
      <c r="N45" s="288">
        <f>ROUND(PEAK적용값!$J$3,0)</f>
        <v>11448</v>
      </c>
      <c r="O45" s="106">
        <v>97</v>
      </c>
      <c r="P45" s="106">
        <f>전력요금표!$B$2</f>
        <v>8320</v>
      </c>
      <c r="R45" s="106">
        <f t="shared" si="7"/>
        <v>95247360</v>
      </c>
      <c r="S45" s="183">
        <f>ROUNDDOWN((SUMIFS(전력요금표!H:H,전력요금표!D:D,B:B,전력요금표!F:F,C:C,전력요금표!G:G,"경")*ROUND(D45,0))+(SUMIFS(전력요금표!H:H,전력요금표!D:D,B:B,전력요금표!F:F,C:C,전력요금표!G:G,"중간")*ROUND(E45,0))+(SUMIFS(전력요금표!H:H,전력요금표!D:D,B:B,전력요금표!F:F,C:C,전력요금표!G:G,"최대")*ROUND(F45,0)),0)</f>
        <v>0</v>
      </c>
      <c r="T45" s="106">
        <f t="shared" si="8"/>
        <v>-952473</v>
      </c>
      <c r="U45" s="106" t="e">
        <f>ESS전력량!R45*-1</f>
        <v>#DIV/0!</v>
      </c>
      <c r="W45" s="171">
        <f>전력변동요금!G22</f>
        <v>0</v>
      </c>
      <c r="X45" s="171">
        <f>전력변동요금!H22</f>
        <v>0</v>
      </c>
      <c r="Y45" s="171">
        <f>전력변동요금!I22</f>
        <v>0</v>
      </c>
      <c r="Z45" s="183" t="e">
        <f t="shared" si="18"/>
        <v>#DIV/0!</v>
      </c>
      <c r="AA45" s="106" t="e">
        <f t="shared" si="0"/>
        <v>#DIV/0!</v>
      </c>
      <c r="AB45" s="106" t="e">
        <f t="shared" si="1"/>
        <v>#DIV/0!</v>
      </c>
      <c r="AC45" s="106" t="e">
        <f t="shared" si="2"/>
        <v>#DIV/0!</v>
      </c>
      <c r="AD45" s="106">
        <v>2500</v>
      </c>
      <c r="AE45" s="100" t="e">
        <f t="shared" si="10"/>
        <v>#DIV/0!</v>
      </c>
      <c r="AF45" s="106" t="e">
        <f t="shared" si="11"/>
        <v>#DIV/0!</v>
      </c>
      <c r="AH45" s="106">
        <f>ESS전력량!L45</f>
        <v>0</v>
      </c>
      <c r="AK45" s="183">
        <f>전력변동요금!Q22</f>
        <v>0</v>
      </c>
      <c r="AL45" s="108">
        <f>ROUND(전력변동요금!R22,0)</f>
        <v>0</v>
      </c>
      <c r="AM45" s="108">
        <f>ROUND(전력변동요금!S22,0)</f>
        <v>0</v>
      </c>
      <c r="AN45" s="106">
        <f t="shared" si="3"/>
        <v>0</v>
      </c>
      <c r="AO45" s="106">
        <f t="shared" si="12"/>
        <v>0</v>
      </c>
      <c r="AP45" s="106">
        <f t="shared" si="15"/>
        <v>0</v>
      </c>
      <c r="AQ45" s="100">
        <f t="shared" si="16"/>
        <v>0</v>
      </c>
      <c r="AR45" s="106">
        <f t="shared" si="17"/>
        <v>0</v>
      </c>
      <c r="AS45" s="106" t="e">
        <f t="shared" si="13"/>
        <v>#DIV/0!</v>
      </c>
      <c r="AT45" s="106" t="e">
        <f t="shared" si="14"/>
        <v>#DIV/0!</v>
      </c>
    </row>
    <row r="46" spans="2:46">
      <c r="B46" s="107" t="s">
        <v>26</v>
      </c>
      <c r="C46" s="107" t="s">
        <v>20</v>
      </c>
      <c r="D46" s="171">
        <f>ROUND(본전력량!D46-ESS전력량!D46+신설본전력량!D46,0)</f>
        <v>0</v>
      </c>
      <c r="E46" s="171">
        <f>ROUND(본전력량!E46-ESS전력량!E46+신설본전력량!E46,0)</f>
        <v>0</v>
      </c>
      <c r="F46" s="171">
        <f>ROUND(본전력량!F46-ESS전력량!F46+신설본전력량!F46,0)</f>
        <v>0</v>
      </c>
      <c r="G46" s="106">
        <f t="shared" si="6"/>
        <v>0</v>
      </c>
      <c r="H46" s="109">
        <v>14400</v>
      </c>
      <c r="I46" s="109">
        <f>전력요금표!$B$2</f>
        <v>8320</v>
      </c>
      <c r="J46" s="109">
        <v>-0.01</v>
      </c>
      <c r="K46" s="109">
        <v>3.6999999999999998E-2</v>
      </c>
      <c r="L46" s="109">
        <v>0.1</v>
      </c>
      <c r="N46" s="288">
        <f>ROUND(PEAK적용값!$J$3,0)</f>
        <v>11448</v>
      </c>
      <c r="O46" s="106">
        <v>97</v>
      </c>
      <c r="P46" s="106">
        <f>전력요금표!$B$2</f>
        <v>8320</v>
      </c>
      <c r="R46" s="106">
        <f t="shared" si="7"/>
        <v>95247360</v>
      </c>
      <c r="S46" s="183">
        <f>ROUNDDOWN((SUMIFS(전력요금표!H:H,전력요금표!D:D,B:B,전력요금표!F:F,C:C,전력요금표!G:G,"경")*ROUND(D46,0))+(SUMIFS(전력요금표!H:H,전력요금표!D:D,B:B,전력요금표!F:F,C:C,전력요금표!G:G,"중간")*ROUND(E46,0))+(SUMIFS(전력요금표!H:H,전력요금표!D:D,B:B,전력요금표!F:F,C:C,전력요금표!G:G,"최대")*ROUND(F46,0)),0)</f>
        <v>0</v>
      </c>
      <c r="T46" s="106">
        <f t="shared" si="8"/>
        <v>-952473</v>
      </c>
      <c r="U46" s="106" t="e">
        <f>ESS전력량!R46*-1</f>
        <v>#DIV/0!</v>
      </c>
      <c r="W46" s="171">
        <f>전력변동요금!G23</f>
        <v>0</v>
      </c>
      <c r="X46" s="171">
        <f>전력변동요금!H23</f>
        <v>0</v>
      </c>
      <c r="Y46" s="171">
        <f>전력변동요금!I23</f>
        <v>0</v>
      </c>
      <c r="Z46" s="183" t="e">
        <f t="shared" si="18"/>
        <v>#DIV/0!</v>
      </c>
      <c r="AA46" s="106" t="e">
        <f t="shared" si="0"/>
        <v>#DIV/0!</v>
      </c>
      <c r="AB46" s="106" t="e">
        <f t="shared" si="1"/>
        <v>#DIV/0!</v>
      </c>
      <c r="AC46" s="106" t="e">
        <f t="shared" si="2"/>
        <v>#DIV/0!</v>
      </c>
      <c r="AD46" s="106">
        <v>2500</v>
      </c>
      <c r="AE46" s="100" t="e">
        <f t="shared" si="10"/>
        <v>#DIV/0!</v>
      </c>
      <c r="AF46" s="106" t="e">
        <f t="shared" si="11"/>
        <v>#DIV/0!</v>
      </c>
      <c r="AH46" s="106">
        <f>ESS전력량!L46</f>
        <v>0</v>
      </c>
      <c r="AK46" s="183">
        <f>전력변동요금!Q23</f>
        <v>0</v>
      </c>
      <c r="AL46" s="108">
        <f>ROUND(전력변동요금!R23,0)</f>
        <v>0</v>
      </c>
      <c r="AM46" s="108">
        <f>ROUND(전력변동요금!S23,0)</f>
        <v>0</v>
      </c>
      <c r="AN46" s="106">
        <f t="shared" si="3"/>
        <v>0</v>
      </c>
      <c r="AO46" s="106">
        <f t="shared" si="12"/>
        <v>0</v>
      </c>
      <c r="AP46" s="106">
        <f t="shared" si="15"/>
        <v>0</v>
      </c>
      <c r="AQ46" s="100">
        <f t="shared" si="16"/>
        <v>0</v>
      </c>
      <c r="AR46" s="106">
        <f t="shared" si="17"/>
        <v>0</v>
      </c>
      <c r="AS46" s="106" t="e">
        <f t="shared" si="13"/>
        <v>#DIV/0!</v>
      </c>
      <c r="AT46" s="106" t="e">
        <f t="shared" si="14"/>
        <v>#DIV/0!</v>
      </c>
    </row>
    <row r="47" spans="2:46">
      <c r="B47" s="107" t="s">
        <v>26</v>
      </c>
      <c r="C47" s="107" t="s">
        <v>21</v>
      </c>
      <c r="D47" s="171">
        <f>ROUND(본전력량!D47-ESS전력량!D47+신설본전력량!D47,0)</f>
        <v>0</v>
      </c>
      <c r="E47" s="171">
        <f>ROUND(본전력량!E47-ESS전력량!E47+신설본전력량!E47,0)</f>
        <v>0</v>
      </c>
      <c r="F47" s="171">
        <f>ROUND(본전력량!F47-ESS전력량!F47+신설본전력량!F47,0)</f>
        <v>0</v>
      </c>
      <c r="G47" s="106">
        <f t="shared" si="6"/>
        <v>0</v>
      </c>
      <c r="H47" s="109">
        <v>14400</v>
      </c>
      <c r="I47" s="109">
        <f>전력요금표!$B$2</f>
        <v>8320</v>
      </c>
      <c r="J47" s="109">
        <v>-0.01</v>
      </c>
      <c r="K47" s="109">
        <v>3.6999999999999998E-2</v>
      </c>
      <c r="L47" s="109">
        <v>0.1</v>
      </c>
      <c r="N47" s="288">
        <f>ROUND(PEAK적용값!$J$3,0)</f>
        <v>11448</v>
      </c>
      <c r="O47" s="106">
        <v>97</v>
      </c>
      <c r="P47" s="106">
        <f>전력요금표!$B$2</f>
        <v>8320</v>
      </c>
      <c r="R47" s="106">
        <f t="shared" si="7"/>
        <v>95247360</v>
      </c>
      <c r="S47" s="183">
        <f>ROUNDDOWN((SUMIFS(전력요금표!H:H,전력요금표!D:D,B:B,전력요금표!F:F,C:C,전력요금표!G:G,"경")*ROUND(D47,0))+(SUMIFS(전력요금표!H:H,전력요금표!D:D,B:B,전력요금표!F:F,C:C,전력요금표!G:G,"중간")*ROUND(E47,0))+(SUMIFS(전력요금표!H:H,전력요금표!D:D,B:B,전력요금표!F:F,C:C,전력요금표!G:G,"최대")*ROUND(F47,0)),0)</f>
        <v>0</v>
      </c>
      <c r="T47" s="106">
        <f t="shared" si="8"/>
        <v>-952473</v>
      </c>
      <c r="U47" s="106" t="e">
        <f>ESS전력량!R47*-1</f>
        <v>#DIV/0!</v>
      </c>
      <c r="W47" s="171">
        <f>전력변동요금!G24</f>
        <v>0</v>
      </c>
      <c r="X47" s="171">
        <f>전력변동요금!H24</f>
        <v>0</v>
      </c>
      <c r="Y47" s="171">
        <f>전력변동요금!I24</f>
        <v>0</v>
      </c>
      <c r="Z47" s="183" t="e">
        <f t="shared" si="18"/>
        <v>#DIV/0!</v>
      </c>
      <c r="AA47" s="106" t="e">
        <f t="shared" si="0"/>
        <v>#DIV/0!</v>
      </c>
      <c r="AB47" s="106" t="e">
        <f t="shared" si="1"/>
        <v>#DIV/0!</v>
      </c>
      <c r="AC47" s="106" t="e">
        <f t="shared" si="2"/>
        <v>#DIV/0!</v>
      </c>
      <c r="AD47" s="106">
        <v>2500</v>
      </c>
      <c r="AE47" s="100" t="e">
        <f t="shared" si="10"/>
        <v>#DIV/0!</v>
      </c>
      <c r="AF47" s="106" t="e">
        <f t="shared" si="11"/>
        <v>#DIV/0!</v>
      </c>
      <c r="AH47" s="106">
        <f>ESS전력량!L47</f>
        <v>0</v>
      </c>
      <c r="AK47" s="183">
        <f>전력변동요금!Q24</f>
        <v>0</v>
      </c>
      <c r="AL47" s="108">
        <f>ROUND(전력변동요금!R24,0)</f>
        <v>0</v>
      </c>
      <c r="AM47" s="108">
        <f>ROUND(전력변동요금!S24,0)</f>
        <v>0</v>
      </c>
      <c r="AN47" s="106">
        <f t="shared" si="3"/>
        <v>0</v>
      </c>
      <c r="AO47" s="106">
        <f t="shared" si="12"/>
        <v>0</v>
      </c>
      <c r="AP47" s="106">
        <f t="shared" si="15"/>
        <v>0</v>
      </c>
      <c r="AQ47" s="100">
        <f t="shared" si="16"/>
        <v>0</v>
      </c>
      <c r="AR47" s="106">
        <f t="shared" si="17"/>
        <v>0</v>
      </c>
      <c r="AS47" s="106" t="e">
        <f t="shared" si="13"/>
        <v>#DIV/0!</v>
      </c>
      <c r="AT47" s="106" t="e">
        <f t="shared" si="14"/>
        <v>#DIV/0!</v>
      </c>
    </row>
    <row r="48" spans="2:46">
      <c r="B48" s="107" t="s">
        <v>26</v>
      </c>
      <c r="C48" s="107" t="s">
        <v>22</v>
      </c>
      <c r="D48" s="171">
        <f>ROUND(본전력량!D48-ESS전력량!D48+신설본전력량!D48,0)</f>
        <v>0</v>
      </c>
      <c r="E48" s="171">
        <f>ROUND(본전력량!E48-ESS전력량!E48+신설본전력량!E48,0)</f>
        <v>0</v>
      </c>
      <c r="F48" s="171">
        <f>ROUND(본전력량!F48-ESS전력량!F48+신설본전력량!F48,0)</f>
        <v>0</v>
      </c>
      <c r="G48" s="106">
        <f t="shared" si="6"/>
        <v>0</v>
      </c>
      <c r="H48" s="109">
        <v>14400</v>
      </c>
      <c r="I48" s="109">
        <f>전력요금표!$B$2</f>
        <v>8320</v>
      </c>
      <c r="J48" s="109">
        <v>-0.01</v>
      </c>
      <c r="K48" s="109">
        <v>3.6999999999999998E-2</v>
      </c>
      <c r="L48" s="109">
        <v>0.1</v>
      </c>
      <c r="N48" s="288">
        <f>ROUND(PEAK적용값!$J$3,0)</f>
        <v>11448</v>
      </c>
      <c r="O48" s="106">
        <v>97</v>
      </c>
      <c r="P48" s="106">
        <f>전력요금표!$B$2</f>
        <v>8320</v>
      </c>
      <c r="R48" s="106">
        <f t="shared" si="7"/>
        <v>95247360</v>
      </c>
      <c r="S48" s="183">
        <f>ROUNDDOWN((SUMIFS(전력요금표!H:H,전력요금표!D:D,B:B,전력요금표!F:F,C:C,전력요금표!G:G,"경")*ROUND(D48,0))+(SUMIFS(전력요금표!H:H,전력요금표!D:D,B:B,전력요금표!F:F,C:C,전력요금표!G:G,"중간")*ROUND(E48,0))+(SUMIFS(전력요금표!H:H,전력요금표!D:D,B:B,전력요금표!F:F,C:C,전력요금표!G:G,"최대")*ROUND(F48,0)),0)</f>
        <v>0</v>
      </c>
      <c r="T48" s="106">
        <f t="shared" si="8"/>
        <v>-952473</v>
      </c>
      <c r="U48" s="106" t="e">
        <f>ESS전력량!R48*-1</f>
        <v>#DIV/0!</v>
      </c>
      <c r="W48" s="171">
        <f>전력변동요금!G25</f>
        <v>0</v>
      </c>
      <c r="X48" s="171">
        <f>전력변동요금!H25</f>
        <v>0</v>
      </c>
      <c r="Y48" s="171">
        <f>전력변동요금!I25</f>
        <v>0</v>
      </c>
      <c r="Z48" s="183" t="e">
        <f t="shared" si="18"/>
        <v>#DIV/0!</v>
      </c>
      <c r="AA48" s="106" t="e">
        <f t="shared" si="0"/>
        <v>#DIV/0!</v>
      </c>
      <c r="AB48" s="106" t="e">
        <f t="shared" si="1"/>
        <v>#DIV/0!</v>
      </c>
      <c r="AC48" s="106" t="e">
        <f t="shared" si="2"/>
        <v>#DIV/0!</v>
      </c>
      <c r="AD48" s="106">
        <v>2500</v>
      </c>
      <c r="AE48" s="100" t="e">
        <f t="shared" si="10"/>
        <v>#DIV/0!</v>
      </c>
      <c r="AF48" s="106" t="e">
        <f t="shared" si="11"/>
        <v>#DIV/0!</v>
      </c>
      <c r="AH48" s="106">
        <f>ESS전력량!L48</f>
        <v>0</v>
      </c>
      <c r="AK48" s="183">
        <f>전력변동요금!Q25</f>
        <v>0</v>
      </c>
      <c r="AL48" s="108">
        <f>ROUND(전력변동요금!R25,0)</f>
        <v>0</v>
      </c>
      <c r="AM48" s="108">
        <f>ROUND(전력변동요금!S25,0)</f>
        <v>0</v>
      </c>
      <c r="AN48" s="106">
        <f t="shared" si="3"/>
        <v>0</v>
      </c>
      <c r="AO48" s="106">
        <f t="shared" si="12"/>
        <v>0</v>
      </c>
      <c r="AP48" s="106">
        <f t="shared" si="15"/>
        <v>0</v>
      </c>
      <c r="AQ48" s="100">
        <f t="shared" si="16"/>
        <v>0</v>
      </c>
      <c r="AR48" s="106">
        <f t="shared" si="17"/>
        <v>0</v>
      </c>
      <c r="AS48" s="106" t="e">
        <f t="shared" si="13"/>
        <v>#DIV/0!</v>
      </c>
      <c r="AT48" s="106" t="e">
        <f t="shared" si="14"/>
        <v>#DIV/0!</v>
      </c>
    </row>
    <row r="49" spans="2:46">
      <c r="B49" s="107" t="s">
        <v>26</v>
      </c>
      <c r="C49" s="107" t="s">
        <v>23</v>
      </c>
      <c r="D49" s="171">
        <f>ROUND(본전력량!D49-ESS전력량!D49+신설본전력량!D49,0)</f>
        <v>0</v>
      </c>
      <c r="E49" s="171">
        <f>ROUND(본전력량!E49-ESS전력량!E49+신설본전력량!E49,0)</f>
        <v>0</v>
      </c>
      <c r="F49" s="171">
        <f>ROUND(본전력량!F49-ESS전력량!F49+신설본전력량!F49,0)</f>
        <v>0</v>
      </c>
      <c r="G49" s="106">
        <f t="shared" si="6"/>
        <v>0</v>
      </c>
      <c r="H49" s="109">
        <v>14400</v>
      </c>
      <c r="I49" s="109">
        <f>전력요금표!$B$2</f>
        <v>8320</v>
      </c>
      <c r="J49" s="109">
        <v>-0.01</v>
      </c>
      <c r="K49" s="109">
        <v>3.6999999999999998E-2</v>
      </c>
      <c r="L49" s="109">
        <v>0.1</v>
      </c>
      <c r="N49" s="288">
        <f>ROUND(PEAK적용값!$J$3,0)</f>
        <v>11448</v>
      </c>
      <c r="O49" s="106">
        <v>97</v>
      </c>
      <c r="P49" s="106">
        <f>전력요금표!$B$2</f>
        <v>8320</v>
      </c>
      <c r="R49" s="106">
        <f t="shared" si="7"/>
        <v>95247360</v>
      </c>
      <c r="S49" s="183">
        <f>ROUNDDOWN((SUMIFS(전력요금표!H:H,전력요금표!D:D,B:B,전력요금표!F:F,C:C,전력요금표!G:G,"경")*ROUND(D49,0))+(SUMIFS(전력요금표!H:H,전력요금표!D:D,B:B,전력요금표!F:F,C:C,전력요금표!G:G,"중간")*ROUND(E49,0))+(SUMIFS(전력요금표!H:H,전력요금표!D:D,B:B,전력요금표!F:F,C:C,전력요금표!G:G,"최대")*ROUND(F49,0)),0)</f>
        <v>0</v>
      </c>
      <c r="T49" s="106">
        <f t="shared" si="8"/>
        <v>-952473</v>
      </c>
      <c r="U49" s="106" t="e">
        <f>ESS전력량!R49*-1</f>
        <v>#DIV/0!</v>
      </c>
      <c r="W49" s="171">
        <f>전력변동요금!G26</f>
        <v>0</v>
      </c>
      <c r="X49" s="171">
        <f>전력변동요금!H26</f>
        <v>0</v>
      </c>
      <c r="Y49" s="171">
        <f>전력변동요금!I26</f>
        <v>0</v>
      </c>
      <c r="Z49" s="183" t="e">
        <f t="shared" si="18"/>
        <v>#DIV/0!</v>
      </c>
      <c r="AA49" s="106" t="e">
        <f t="shared" si="0"/>
        <v>#DIV/0!</v>
      </c>
      <c r="AB49" s="106" t="e">
        <f t="shared" si="1"/>
        <v>#DIV/0!</v>
      </c>
      <c r="AC49" s="106" t="e">
        <f t="shared" si="2"/>
        <v>#DIV/0!</v>
      </c>
      <c r="AD49" s="106">
        <v>2500</v>
      </c>
      <c r="AE49" s="100" t="e">
        <f t="shared" si="10"/>
        <v>#DIV/0!</v>
      </c>
      <c r="AF49" s="106" t="e">
        <f t="shared" si="11"/>
        <v>#DIV/0!</v>
      </c>
      <c r="AH49" s="106">
        <f>ESS전력량!L49</f>
        <v>0</v>
      </c>
      <c r="AK49" s="183">
        <f>전력변동요금!Q26</f>
        <v>0</v>
      </c>
      <c r="AL49" s="108">
        <f>ROUND(전력변동요금!R26,0)</f>
        <v>0</v>
      </c>
      <c r="AM49" s="108">
        <f>ROUND(전력변동요금!S26,0)</f>
        <v>0</v>
      </c>
      <c r="AN49" s="106">
        <f t="shared" si="3"/>
        <v>0</v>
      </c>
      <c r="AO49" s="106">
        <f t="shared" si="12"/>
        <v>0</v>
      </c>
      <c r="AP49" s="106">
        <f t="shared" si="15"/>
        <v>0</v>
      </c>
      <c r="AQ49" s="100">
        <f t="shared" si="16"/>
        <v>0</v>
      </c>
      <c r="AR49" s="106">
        <f t="shared" si="17"/>
        <v>0</v>
      </c>
      <c r="AS49" s="106" t="e">
        <f t="shared" si="13"/>
        <v>#DIV/0!</v>
      </c>
      <c r="AT49" s="106" t="e">
        <f t="shared" si="14"/>
        <v>#DIV/0!</v>
      </c>
    </row>
    <row r="51" spans="2:46">
      <c r="D51" s="171"/>
    </row>
    <row r="52" spans="2:46">
      <c r="D52" s="17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B1:AT99"/>
  <sheetViews>
    <sheetView workbookViewId="0">
      <selection activeCell="J103" sqref="J103"/>
    </sheetView>
  </sheetViews>
  <sheetFormatPr defaultRowHeight="16.5"/>
  <cols>
    <col min="1" max="4" width="9" style="2"/>
    <col min="5" max="5" width="9" style="158"/>
    <col min="6" max="8" width="9" style="2"/>
    <col min="9" max="9" width="9" style="245"/>
    <col min="10" max="16384" width="9" style="2"/>
  </cols>
  <sheetData>
    <row r="1" spans="2:9" ht="33">
      <c r="B1" s="2" t="s">
        <v>0</v>
      </c>
      <c r="D1" s="2" t="s">
        <v>2</v>
      </c>
      <c r="E1" s="158" t="s">
        <v>362</v>
      </c>
      <c r="F1" s="2" t="s">
        <v>4</v>
      </c>
      <c r="G1" s="2" t="s">
        <v>5</v>
      </c>
      <c r="H1" s="2" t="s">
        <v>6</v>
      </c>
      <c r="I1" s="243" t="s">
        <v>422</v>
      </c>
    </row>
    <row r="2" spans="2:9" hidden="1">
      <c r="B2" s="3">
        <v>8320</v>
      </c>
      <c r="D2" s="5" t="s">
        <v>24</v>
      </c>
      <c r="E2" s="158" t="s">
        <v>363</v>
      </c>
      <c r="F2" s="5" t="s">
        <v>9</v>
      </c>
      <c r="G2" s="5" t="s">
        <v>27</v>
      </c>
      <c r="H2" s="5">
        <v>14.2881</v>
      </c>
      <c r="I2" s="244">
        <v>42.55</v>
      </c>
    </row>
    <row r="3" spans="2:9" hidden="1">
      <c r="D3" s="5" t="s">
        <v>24</v>
      </c>
      <c r="E3" s="158" t="s">
        <v>363</v>
      </c>
      <c r="F3" s="5" t="s">
        <v>9</v>
      </c>
      <c r="G3" s="5" t="s">
        <v>28</v>
      </c>
      <c r="H3" s="5">
        <v>14.193899999999999</v>
      </c>
      <c r="I3" s="244">
        <v>42.55</v>
      </c>
    </row>
    <row r="4" spans="2:9" hidden="1">
      <c r="D4" s="5" t="s">
        <v>24</v>
      </c>
      <c r="E4" s="158" t="s">
        <v>363</v>
      </c>
      <c r="F4" s="5" t="s">
        <v>13</v>
      </c>
      <c r="G4" s="5" t="s">
        <v>27</v>
      </c>
      <c r="H4" s="5">
        <v>14.2881</v>
      </c>
      <c r="I4" s="244">
        <v>42.459000000000003</v>
      </c>
    </row>
    <row r="5" spans="2:9" hidden="1">
      <c r="D5" s="5" t="s">
        <v>24</v>
      </c>
      <c r="E5" s="158" t="s">
        <v>363</v>
      </c>
      <c r="F5" s="5" t="s">
        <v>13</v>
      </c>
      <c r="G5" s="5" t="s">
        <v>28</v>
      </c>
      <c r="H5" s="5">
        <v>14.193899999999999</v>
      </c>
      <c r="I5" s="244">
        <v>42.459000000000003</v>
      </c>
    </row>
    <row r="6" spans="2:9" hidden="1">
      <c r="D6" s="5" t="s">
        <v>24</v>
      </c>
      <c r="E6" s="158" t="s">
        <v>363</v>
      </c>
      <c r="F6" s="5" t="s">
        <v>14</v>
      </c>
      <c r="G6" s="5" t="s">
        <v>27</v>
      </c>
      <c r="H6" s="5">
        <v>14.2881</v>
      </c>
      <c r="I6" s="244">
        <v>42.475999999999999</v>
      </c>
    </row>
    <row r="7" spans="2:9" hidden="1">
      <c r="D7" s="5" t="s">
        <v>24</v>
      </c>
      <c r="E7" s="158" t="s">
        <v>363</v>
      </c>
      <c r="F7" s="5" t="s">
        <v>14</v>
      </c>
      <c r="G7" s="5" t="s">
        <v>28</v>
      </c>
      <c r="H7" s="5">
        <v>14.193899999999999</v>
      </c>
      <c r="I7" s="244">
        <v>42.475999999999999</v>
      </c>
    </row>
    <row r="8" spans="2:9" hidden="1">
      <c r="D8" s="5" t="s">
        <v>24</v>
      </c>
      <c r="E8" s="158" t="s">
        <v>364</v>
      </c>
      <c r="F8" s="5" t="s">
        <v>15</v>
      </c>
      <c r="G8" s="5" t="s">
        <v>27</v>
      </c>
      <c r="H8" s="5">
        <v>13.7218</v>
      </c>
      <c r="I8" s="244">
        <v>42.279000000000003</v>
      </c>
    </row>
    <row r="9" spans="2:9" hidden="1">
      <c r="D9" s="5" t="s">
        <v>24</v>
      </c>
      <c r="E9" s="158" t="s">
        <v>364</v>
      </c>
      <c r="F9" s="5" t="s">
        <v>15</v>
      </c>
      <c r="G9" s="5" t="s">
        <v>28</v>
      </c>
      <c r="H9" s="5">
        <v>13.627599999999999</v>
      </c>
      <c r="I9" s="244">
        <v>42.279000000000003</v>
      </c>
    </row>
    <row r="10" spans="2:9" hidden="1">
      <c r="D10" s="5" t="s">
        <v>24</v>
      </c>
      <c r="E10" s="158" t="s">
        <v>364</v>
      </c>
      <c r="F10" s="5" t="s">
        <v>16</v>
      </c>
      <c r="G10" s="5" t="s">
        <v>27</v>
      </c>
      <c r="H10" s="5">
        <v>13.7218</v>
      </c>
      <c r="I10" s="244">
        <v>42.597999999999999</v>
      </c>
    </row>
    <row r="11" spans="2:9" hidden="1">
      <c r="D11" s="5" t="s">
        <v>24</v>
      </c>
      <c r="E11" s="158" t="s">
        <v>364</v>
      </c>
      <c r="F11" s="5" t="s">
        <v>16</v>
      </c>
      <c r="G11" s="5" t="s">
        <v>28</v>
      </c>
      <c r="H11" s="5">
        <v>13.627599999999999</v>
      </c>
      <c r="I11" s="244">
        <v>42.597999999999999</v>
      </c>
    </row>
    <row r="12" spans="2:9" hidden="1">
      <c r="D12" s="5" t="s">
        <v>24</v>
      </c>
      <c r="E12" s="158" t="s">
        <v>364</v>
      </c>
      <c r="F12" s="5" t="s">
        <v>17</v>
      </c>
      <c r="G12" s="5" t="s">
        <v>27</v>
      </c>
      <c r="H12" s="5">
        <v>13.6503</v>
      </c>
      <c r="I12" s="244">
        <v>42.859000000000002</v>
      </c>
    </row>
    <row r="13" spans="2:9" hidden="1">
      <c r="D13" s="5" t="s">
        <v>24</v>
      </c>
      <c r="E13" s="158" t="s">
        <v>364</v>
      </c>
      <c r="F13" s="5" t="s">
        <v>17</v>
      </c>
      <c r="G13" s="5" t="s">
        <v>28</v>
      </c>
      <c r="H13" s="5">
        <v>13.556100000000001</v>
      </c>
      <c r="I13" s="244">
        <v>42.859000000000002</v>
      </c>
    </row>
    <row r="14" spans="2:9" hidden="1">
      <c r="D14" s="5" t="s">
        <v>24</v>
      </c>
      <c r="E14" s="158" t="s">
        <v>365</v>
      </c>
      <c r="F14" s="5" t="s">
        <v>18</v>
      </c>
      <c r="G14" s="5" t="s">
        <v>27</v>
      </c>
      <c r="H14" s="5">
        <v>13.6503</v>
      </c>
      <c r="I14" s="244">
        <v>42.582000000000001</v>
      </c>
    </row>
    <row r="15" spans="2:9" hidden="1">
      <c r="D15" s="5" t="s">
        <v>24</v>
      </c>
      <c r="E15" s="158" t="s">
        <v>365</v>
      </c>
      <c r="F15" s="5" t="s">
        <v>18</v>
      </c>
      <c r="G15" s="5" t="s">
        <v>28</v>
      </c>
      <c r="H15" s="5">
        <v>13.556100000000001</v>
      </c>
      <c r="I15" s="244">
        <v>42.582000000000001</v>
      </c>
    </row>
    <row r="16" spans="2:9" hidden="1">
      <c r="D16" s="5" t="s">
        <v>24</v>
      </c>
      <c r="E16" s="158" t="s">
        <v>365</v>
      </c>
      <c r="F16" s="5" t="s">
        <v>19</v>
      </c>
      <c r="G16" s="5" t="s">
        <v>27</v>
      </c>
      <c r="H16" s="5">
        <v>14.370799999999999</v>
      </c>
      <c r="I16" s="244">
        <v>42.654000000000003</v>
      </c>
    </row>
    <row r="17" spans="4:22" hidden="1">
      <c r="D17" s="5" t="s">
        <v>24</v>
      </c>
      <c r="E17" s="158" t="s">
        <v>365</v>
      </c>
      <c r="F17" s="5" t="s">
        <v>19</v>
      </c>
      <c r="G17" s="5" t="s">
        <v>28</v>
      </c>
      <c r="H17" s="5">
        <v>14.2766</v>
      </c>
      <c r="I17" s="244">
        <v>42.654000000000003</v>
      </c>
    </row>
    <row r="18" spans="4:22" hidden="1">
      <c r="D18" s="5" t="s">
        <v>24</v>
      </c>
      <c r="E18" s="158" t="s">
        <v>365</v>
      </c>
      <c r="F18" s="5" t="s">
        <v>20</v>
      </c>
      <c r="G18" s="5" t="s">
        <v>27</v>
      </c>
      <c r="H18" s="5">
        <v>14.370799999999999</v>
      </c>
      <c r="I18" s="244">
        <v>42.375</v>
      </c>
    </row>
    <row r="19" spans="4:22" hidden="1">
      <c r="D19" s="5" t="s">
        <v>24</v>
      </c>
      <c r="E19" s="158" t="s">
        <v>365</v>
      </c>
      <c r="F19" s="5" t="s">
        <v>20</v>
      </c>
      <c r="G19" s="5" t="s">
        <v>28</v>
      </c>
      <c r="H19" s="5">
        <v>14.2766</v>
      </c>
      <c r="I19" s="244">
        <v>42.375</v>
      </c>
    </row>
    <row r="20" spans="4:22" hidden="1">
      <c r="D20" s="5" t="s">
        <v>24</v>
      </c>
      <c r="E20" s="158" t="s">
        <v>366</v>
      </c>
      <c r="F20" s="5" t="s">
        <v>21</v>
      </c>
      <c r="G20" s="5" t="s">
        <v>27</v>
      </c>
      <c r="H20" s="5">
        <v>14.4435</v>
      </c>
      <c r="I20" s="244">
        <v>42.582999999999998</v>
      </c>
    </row>
    <row r="21" spans="4:22" hidden="1">
      <c r="D21" s="5" t="s">
        <v>24</v>
      </c>
      <c r="E21" s="158" t="s">
        <v>366</v>
      </c>
      <c r="F21" s="5" t="s">
        <v>21</v>
      </c>
      <c r="G21" s="5" t="s">
        <v>28</v>
      </c>
      <c r="H21" s="5">
        <v>14.349299999999999</v>
      </c>
      <c r="I21" s="244">
        <v>42.582999999999998</v>
      </c>
    </row>
    <row r="22" spans="4:22" hidden="1">
      <c r="D22" s="5" t="s">
        <v>24</v>
      </c>
      <c r="E22" s="158" t="s">
        <v>366</v>
      </c>
      <c r="F22" s="5" t="s">
        <v>22</v>
      </c>
      <c r="G22" s="5" t="s">
        <v>27</v>
      </c>
      <c r="H22" s="5">
        <v>14.4435</v>
      </c>
      <c r="I22" s="244">
        <v>42.354999999999997</v>
      </c>
    </row>
    <row r="23" spans="4:22" hidden="1">
      <c r="D23" s="5" t="s">
        <v>24</v>
      </c>
      <c r="E23" s="158" t="s">
        <v>366</v>
      </c>
      <c r="F23" s="5" t="s">
        <v>22</v>
      </c>
      <c r="G23" s="5" t="s">
        <v>28</v>
      </c>
      <c r="H23" s="5">
        <v>14.349299999999999</v>
      </c>
      <c r="I23" s="244">
        <v>42.354999999999997</v>
      </c>
    </row>
    <row r="24" spans="4:22" hidden="1">
      <c r="D24" s="5" t="s">
        <v>24</v>
      </c>
      <c r="E24" s="158" t="s">
        <v>366</v>
      </c>
      <c r="F24" s="5" t="s">
        <v>23</v>
      </c>
      <c r="G24" s="5" t="s">
        <v>27</v>
      </c>
      <c r="H24" s="5">
        <v>15.0097</v>
      </c>
      <c r="I24" s="244">
        <v>42.429000000000002</v>
      </c>
    </row>
    <row r="25" spans="4:22" hidden="1">
      <c r="D25" s="5" t="s">
        <v>24</v>
      </c>
      <c r="E25" s="158" t="s">
        <v>366</v>
      </c>
      <c r="F25" s="5" t="s">
        <v>23</v>
      </c>
      <c r="G25" s="5" t="s">
        <v>28</v>
      </c>
      <c r="H25" s="5">
        <v>14.9155</v>
      </c>
      <c r="I25" s="244">
        <v>42.429000000000002</v>
      </c>
    </row>
    <row r="26" spans="4:22" hidden="1">
      <c r="D26" s="5" t="s">
        <v>25</v>
      </c>
      <c r="E26" s="158" t="s">
        <v>363</v>
      </c>
      <c r="F26" s="5" t="s">
        <v>9</v>
      </c>
      <c r="G26" s="5" t="s">
        <v>27</v>
      </c>
      <c r="H26" s="5">
        <v>15.0097</v>
      </c>
      <c r="I26" s="244">
        <v>42.421999999999997</v>
      </c>
    </row>
    <row r="27" spans="4:22" hidden="1">
      <c r="D27" s="5" t="s">
        <v>25</v>
      </c>
      <c r="E27" s="158" t="s">
        <v>363</v>
      </c>
      <c r="F27" s="5" t="s">
        <v>9</v>
      </c>
      <c r="G27" s="5" t="s">
        <v>28</v>
      </c>
      <c r="H27" s="5">
        <v>14.9155</v>
      </c>
      <c r="I27" s="244">
        <v>42.421999999999997</v>
      </c>
    </row>
    <row r="28" spans="4:22" hidden="1">
      <c r="D28" s="5" t="s">
        <v>25</v>
      </c>
      <c r="E28" s="158" t="s">
        <v>363</v>
      </c>
      <c r="F28" s="5" t="s">
        <v>13</v>
      </c>
      <c r="G28" s="5" t="s">
        <v>27</v>
      </c>
      <c r="H28" s="5">
        <v>15.0097</v>
      </c>
      <c r="I28" s="244">
        <v>42.76</v>
      </c>
    </row>
    <row r="29" spans="4:22" hidden="1">
      <c r="D29" s="5" t="s">
        <v>25</v>
      </c>
      <c r="E29" s="158" t="s">
        <v>363</v>
      </c>
      <c r="F29" s="5" t="s">
        <v>13</v>
      </c>
      <c r="G29" s="5" t="s">
        <v>28</v>
      </c>
      <c r="H29" s="5">
        <v>14.9155</v>
      </c>
      <c r="I29" s="244">
        <v>42.76</v>
      </c>
    </row>
    <row r="30" spans="4:22" hidden="1">
      <c r="D30" s="5" t="s">
        <v>25</v>
      </c>
      <c r="E30" s="158" t="s">
        <v>363</v>
      </c>
      <c r="F30" s="5" t="s">
        <v>14</v>
      </c>
      <c r="G30" s="5" t="s">
        <v>27</v>
      </c>
      <c r="H30" s="5">
        <v>15.0097</v>
      </c>
      <c r="I30" s="244">
        <v>42.427999999999997</v>
      </c>
    </row>
    <row r="31" spans="4:22" hidden="1">
      <c r="D31" s="5" t="s">
        <v>25</v>
      </c>
      <c r="E31" s="158" t="s">
        <v>363</v>
      </c>
      <c r="F31" s="5" t="s">
        <v>14</v>
      </c>
      <c r="G31" s="5" t="s">
        <v>28</v>
      </c>
      <c r="H31" s="5">
        <v>14.9155</v>
      </c>
      <c r="I31" s="244">
        <v>42.427999999999997</v>
      </c>
    </row>
    <row r="32" spans="4:22" hidden="1">
      <c r="D32" s="5" t="s">
        <v>25</v>
      </c>
      <c r="E32" s="158" t="s">
        <v>364</v>
      </c>
      <c r="F32" s="5" t="s">
        <v>15</v>
      </c>
      <c r="G32" s="5" t="s">
        <v>27</v>
      </c>
      <c r="H32" s="5">
        <v>14.4435</v>
      </c>
      <c r="I32" s="244">
        <v>42.698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4:28" hidden="1">
      <c r="D33" s="5" t="s">
        <v>25</v>
      </c>
      <c r="E33" s="158" t="s">
        <v>364</v>
      </c>
      <c r="F33" s="5" t="s">
        <v>15</v>
      </c>
      <c r="G33" s="5" t="s">
        <v>28</v>
      </c>
      <c r="H33" s="5">
        <v>14.349299999999999</v>
      </c>
      <c r="I33" s="244">
        <v>42.698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4:28" hidden="1">
      <c r="D34" s="5" t="s">
        <v>25</v>
      </c>
      <c r="E34" s="158" t="s">
        <v>364</v>
      </c>
      <c r="F34" s="5" t="s">
        <v>16</v>
      </c>
      <c r="G34" s="5" t="s">
        <v>27</v>
      </c>
      <c r="H34" s="5">
        <v>14.4435</v>
      </c>
      <c r="I34" s="244">
        <v>42.948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4:28" hidden="1">
      <c r="D35" s="5" t="s">
        <v>25</v>
      </c>
      <c r="E35" s="158" t="s">
        <v>364</v>
      </c>
      <c r="F35" s="5" t="s">
        <v>16</v>
      </c>
      <c r="G35" s="5" t="s">
        <v>28</v>
      </c>
      <c r="H35" s="5">
        <v>14.349299999999999</v>
      </c>
      <c r="I35" s="244">
        <v>42.948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4:28" hidden="1">
      <c r="D36" s="5" t="s">
        <v>25</v>
      </c>
      <c r="E36" s="158" t="s">
        <v>364</v>
      </c>
      <c r="F36" s="5" t="s">
        <v>17</v>
      </c>
      <c r="G36" s="5" t="s">
        <v>27</v>
      </c>
      <c r="H36" s="5">
        <v>14.370799999999999</v>
      </c>
      <c r="I36" s="244">
        <v>42.43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4:28" hidden="1">
      <c r="D37" s="5" t="s">
        <v>25</v>
      </c>
      <c r="E37" s="158" t="s">
        <v>364</v>
      </c>
      <c r="F37" s="5" t="s">
        <v>17</v>
      </c>
      <c r="G37" s="5" t="s">
        <v>28</v>
      </c>
      <c r="H37" s="5">
        <v>14.2766</v>
      </c>
      <c r="I37" s="244">
        <v>42.43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4:28" hidden="1">
      <c r="D38" s="5" t="s">
        <v>25</v>
      </c>
      <c r="E38" s="158" t="s">
        <v>365</v>
      </c>
      <c r="F38" s="5" t="s">
        <v>18</v>
      </c>
      <c r="G38" s="5" t="s">
        <v>27</v>
      </c>
      <c r="H38" s="5">
        <v>12.144</v>
      </c>
      <c r="I38" s="244">
        <v>42.317</v>
      </c>
      <c r="J38" s="5" t="s">
        <v>29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4:28" hidden="1">
      <c r="D39" s="5" t="s">
        <v>25</v>
      </c>
      <c r="E39" s="158" t="s">
        <v>365</v>
      </c>
      <c r="F39" s="5" t="s">
        <v>18</v>
      </c>
      <c r="G39" s="5" t="s">
        <v>28</v>
      </c>
      <c r="H39" s="5">
        <v>12.0167</v>
      </c>
      <c r="I39" s="244">
        <v>42.317</v>
      </c>
      <c r="J39" s="5" t="s">
        <v>30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4:28" hidden="1">
      <c r="D40" s="5" t="s">
        <v>25</v>
      </c>
      <c r="E40" s="158" t="s">
        <v>365</v>
      </c>
      <c r="F40" s="5" t="s">
        <v>19</v>
      </c>
      <c r="G40" s="5" t="s">
        <v>27</v>
      </c>
      <c r="H40" s="5">
        <v>12.452500000000001</v>
      </c>
      <c r="I40" s="244">
        <v>42.497999999999998</v>
      </c>
      <c r="J40" s="5" t="s">
        <v>29</v>
      </c>
      <c r="K40" s="5"/>
      <c r="L40" s="5"/>
      <c r="M40" s="5" t="s">
        <v>31</v>
      </c>
      <c r="N40" s="5"/>
      <c r="O40" s="5"/>
      <c r="P40" s="5"/>
      <c r="Q40" s="5"/>
      <c r="R40" s="5"/>
      <c r="S40" s="5"/>
      <c r="T40" s="5"/>
      <c r="U40" s="5"/>
      <c r="V40" s="5"/>
    </row>
    <row r="41" spans="4:28" hidden="1">
      <c r="D41" s="5" t="s">
        <v>25</v>
      </c>
      <c r="E41" s="158" t="s">
        <v>365</v>
      </c>
      <c r="F41" s="5" t="s">
        <v>19</v>
      </c>
      <c r="G41" s="5" t="s">
        <v>28</v>
      </c>
      <c r="H41" s="5">
        <v>12.325200000000001</v>
      </c>
      <c r="I41" s="244">
        <v>42.497999999999998</v>
      </c>
      <c r="J41" s="5" t="s">
        <v>30</v>
      </c>
      <c r="K41" s="5"/>
      <c r="L41" s="5"/>
      <c r="M41" s="5" t="s">
        <v>32</v>
      </c>
      <c r="N41" s="5"/>
      <c r="O41" s="5"/>
      <c r="P41" s="5"/>
      <c r="Q41" s="5"/>
      <c r="R41" s="5"/>
      <c r="S41" s="5"/>
      <c r="T41" s="5"/>
      <c r="U41" s="5"/>
      <c r="V41" s="5"/>
    </row>
    <row r="42" spans="4:28" hidden="1">
      <c r="D42" s="5" t="s">
        <v>25</v>
      </c>
      <c r="E42" s="158" t="s">
        <v>365</v>
      </c>
      <c r="F42" s="5" t="s">
        <v>20</v>
      </c>
      <c r="G42" s="5" t="s">
        <v>27</v>
      </c>
      <c r="H42" s="5">
        <v>11.3223</v>
      </c>
      <c r="I42" s="244">
        <v>42.618000000000002</v>
      </c>
      <c r="J42" s="5" t="s">
        <v>29</v>
      </c>
      <c r="K42" s="5"/>
      <c r="L42" s="5"/>
      <c r="M42" s="5" t="s">
        <v>31</v>
      </c>
      <c r="N42" s="5"/>
      <c r="O42" s="5"/>
      <c r="P42" s="5" t="s">
        <v>33</v>
      </c>
      <c r="Q42" s="5"/>
      <c r="R42" s="5"/>
      <c r="S42" s="5"/>
      <c r="T42" s="5"/>
      <c r="U42" s="5"/>
      <c r="V42" s="5"/>
    </row>
    <row r="43" spans="4:28" hidden="1">
      <c r="D43" s="5" t="s">
        <v>25</v>
      </c>
      <c r="E43" s="158" t="s">
        <v>365</v>
      </c>
      <c r="F43" s="5" t="s">
        <v>20</v>
      </c>
      <c r="G43" s="5" t="s">
        <v>28</v>
      </c>
      <c r="H43" s="5">
        <v>11.186299999999999</v>
      </c>
      <c r="I43" s="244">
        <v>42.618000000000002</v>
      </c>
      <c r="J43" s="5" t="s">
        <v>30</v>
      </c>
      <c r="K43" s="5"/>
      <c r="L43" s="5"/>
      <c r="M43" s="5" t="s">
        <v>32</v>
      </c>
      <c r="N43" s="5"/>
      <c r="O43" s="5"/>
      <c r="P43" s="5" t="s">
        <v>34</v>
      </c>
      <c r="Q43" s="5"/>
      <c r="R43" s="5"/>
      <c r="S43" s="5"/>
      <c r="T43" s="5"/>
      <c r="U43" s="5"/>
      <c r="V43" s="5"/>
    </row>
    <row r="44" spans="4:28" hidden="1">
      <c r="D44" s="5" t="s">
        <v>25</v>
      </c>
      <c r="E44" s="158" t="s">
        <v>366</v>
      </c>
      <c r="F44" s="5" t="s">
        <v>21</v>
      </c>
      <c r="G44" s="5" t="s">
        <v>27</v>
      </c>
      <c r="H44" s="5">
        <v>10.425800000000001</v>
      </c>
      <c r="I44" s="244">
        <v>42.680999999999997</v>
      </c>
      <c r="J44" s="5" t="s">
        <v>35</v>
      </c>
      <c r="K44" s="5"/>
      <c r="L44" s="5"/>
      <c r="M44" s="5" t="s">
        <v>36</v>
      </c>
      <c r="N44" s="5"/>
      <c r="O44" s="5"/>
      <c r="P44" s="5" t="s">
        <v>37</v>
      </c>
      <c r="Q44" s="5"/>
      <c r="R44" s="5"/>
      <c r="S44" s="5" t="s">
        <v>38</v>
      </c>
      <c r="T44" s="5"/>
      <c r="U44" s="5"/>
      <c r="V44" s="5"/>
    </row>
    <row r="45" spans="4:28" hidden="1">
      <c r="D45" s="5" t="s">
        <v>25</v>
      </c>
      <c r="E45" s="158" t="s">
        <v>366</v>
      </c>
      <c r="F45" s="5" t="s">
        <v>21</v>
      </c>
      <c r="G45" s="5" t="s">
        <v>28</v>
      </c>
      <c r="H45" s="5">
        <v>10.2898</v>
      </c>
      <c r="I45" s="244">
        <v>42.680999999999997</v>
      </c>
      <c r="J45" s="5" t="s">
        <v>39</v>
      </c>
      <c r="K45" s="5"/>
      <c r="L45" s="5"/>
      <c r="M45" s="5" t="s">
        <v>40</v>
      </c>
      <c r="N45" s="5"/>
      <c r="O45" s="5"/>
      <c r="P45" s="5" t="s">
        <v>41</v>
      </c>
      <c r="Q45" s="5"/>
      <c r="R45" s="5"/>
      <c r="S45" s="5" t="s">
        <v>42</v>
      </c>
      <c r="T45" s="5"/>
      <c r="U45" s="5"/>
      <c r="V45" s="5"/>
    </row>
    <row r="46" spans="4:28" hidden="1">
      <c r="D46" s="5" t="s">
        <v>25</v>
      </c>
      <c r="E46" s="158" t="s">
        <v>366</v>
      </c>
      <c r="F46" s="5" t="s">
        <v>22</v>
      </c>
      <c r="G46" s="5" t="s">
        <v>27</v>
      </c>
      <c r="H46" s="5">
        <v>10.3566</v>
      </c>
      <c r="I46" s="244">
        <v>42.482999999999997</v>
      </c>
      <c r="J46" s="5" t="s">
        <v>35</v>
      </c>
      <c r="K46" s="5"/>
      <c r="L46" s="5"/>
      <c r="M46" s="5" t="s">
        <v>36</v>
      </c>
      <c r="N46" s="5"/>
      <c r="O46" s="5"/>
      <c r="P46" s="5" t="s">
        <v>37</v>
      </c>
      <c r="Q46" s="5"/>
      <c r="R46" s="5"/>
      <c r="S46" s="5" t="s">
        <v>38</v>
      </c>
      <c r="T46" s="5"/>
      <c r="U46" s="5"/>
      <c r="V46" s="5" t="s">
        <v>43</v>
      </c>
    </row>
    <row r="47" spans="4:28" hidden="1">
      <c r="D47" s="5" t="s">
        <v>25</v>
      </c>
      <c r="E47" s="158" t="s">
        <v>366</v>
      </c>
      <c r="F47" s="5" t="s">
        <v>22</v>
      </c>
      <c r="G47" s="5" t="s">
        <v>28</v>
      </c>
      <c r="H47" s="5">
        <v>10.220599999999999</v>
      </c>
      <c r="I47" s="244">
        <v>42.482999999999997</v>
      </c>
      <c r="J47" s="5" t="s">
        <v>39</v>
      </c>
      <c r="K47" s="5"/>
      <c r="L47" s="5"/>
      <c r="M47" s="5" t="s">
        <v>40</v>
      </c>
      <c r="N47" s="5"/>
      <c r="O47" s="5"/>
      <c r="P47" s="5" t="s">
        <v>41</v>
      </c>
      <c r="Q47" s="5"/>
      <c r="R47" s="5"/>
      <c r="S47" s="5" t="s">
        <v>42</v>
      </c>
      <c r="T47" s="5"/>
      <c r="U47" s="5"/>
      <c r="V47" s="5" t="s">
        <v>44</v>
      </c>
    </row>
    <row r="48" spans="4:28" hidden="1">
      <c r="D48" s="5" t="s">
        <v>25</v>
      </c>
      <c r="E48" s="158" t="s">
        <v>366</v>
      </c>
      <c r="F48" s="5" t="s">
        <v>23</v>
      </c>
      <c r="G48" s="5" t="s">
        <v>27</v>
      </c>
      <c r="H48" s="5">
        <v>11.9085</v>
      </c>
      <c r="I48" s="244">
        <v>42.348999999999997</v>
      </c>
      <c r="J48" s="5" t="s">
        <v>45</v>
      </c>
      <c r="K48" s="5"/>
      <c r="L48" s="5"/>
      <c r="M48" s="5" t="s">
        <v>46</v>
      </c>
      <c r="N48" s="5"/>
      <c r="O48" s="5"/>
      <c r="P48" s="5" t="s">
        <v>47</v>
      </c>
      <c r="Q48" s="5"/>
      <c r="R48" s="5"/>
      <c r="S48" s="5" t="s">
        <v>48</v>
      </c>
      <c r="T48" s="5"/>
      <c r="U48" s="5"/>
      <c r="V48" s="5" t="s">
        <v>49</v>
      </c>
      <c r="W48" s="5"/>
      <c r="X48" s="5"/>
      <c r="Y48" s="5" t="s">
        <v>50</v>
      </c>
      <c r="Z48" s="5"/>
      <c r="AA48" s="5"/>
      <c r="AB48" s="5"/>
    </row>
    <row r="49" spans="4:40" hidden="1">
      <c r="D49" s="5" t="s">
        <v>25</v>
      </c>
      <c r="E49" s="158" t="s">
        <v>366</v>
      </c>
      <c r="F49" s="5" t="s">
        <v>23</v>
      </c>
      <c r="G49" s="5" t="s">
        <v>28</v>
      </c>
      <c r="H49" s="5">
        <v>11.772500000000001</v>
      </c>
      <c r="I49" s="244">
        <v>42.348999999999997</v>
      </c>
      <c r="J49" s="5" t="s">
        <v>51</v>
      </c>
      <c r="K49" s="5"/>
      <c r="L49" s="5"/>
      <c r="M49" s="5" t="s">
        <v>52</v>
      </c>
      <c r="N49" s="5"/>
      <c r="O49" s="5"/>
      <c r="P49" s="5" t="s">
        <v>53</v>
      </c>
      <c r="Q49" s="5"/>
      <c r="R49" s="5"/>
      <c r="S49" s="5" t="s">
        <v>54</v>
      </c>
      <c r="T49" s="5"/>
      <c r="U49" s="5"/>
      <c r="V49" s="5" t="s">
        <v>55</v>
      </c>
      <c r="W49" s="5"/>
      <c r="X49" s="5"/>
      <c r="Y49" s="5" t="s">
        <v>56</v>
      </c>
      <c r="Z49" s="5"/>
      <c r="AA49" s="5"/>
      <c r="AB49" s="5"/>
    </row>
    <row r="50" spans="4:40">
      <c r="D50" s="5" t="s">
        <v>26</v>
      </c>
      <c r="E50" s="158" t="s">
        <v>363</v>
      </c>
      <c r="F50" s="5" t="s">
        <v>9</v>
      </c>
      <c r="G50" s="5" t="s">
        <v>27</v>
      </c>
      <c r="H50" s="5">
        <v>12.44</v>
      </c>
      <c r="I50" s="244">
        <v>42.564</v>
      </c>
      <c r="J50" s="5" t="s">
        <v>45</v>
      </c>
      <c r="K50" s="5"/>
      <c r="L50" s="5"/>
      <c r="M50" s="5" t="s">
        <v>46</v>
      </c>
      <c r="N50" s="5"/>
      <c r="O50" s="5"/>
      <c r="P50" s="5" t="s">
        <v>47</v>
      </c>
      <c r="Q50" s="5"/>
      <c r="R50" s="5"/>
      <c r="S50" s="5" t="s">
        <v>48</v>
      </c>
      <c r="T50" s="5"/>
      <c r="U50" s="5"/>
      <c r="V50" s="5" t="s">
        <v>49</v>
      </c>
      <c r="W50" s="5"/>
      <c r="X50" s="5"/>
      <c r="Y50" s="5" t="s">
        <v>50</v>
      </c>
      <c r="Z50" s="5"/>
      <c r="AA50" s="5"/>
      <c r="AB50" s="5" t="s">
        <v>57</v>
      </c>
    </row>
    <row r="51" spans="4:40">
      <c r="D51" s="5" t="s">
        <v>26</v>
      </c>
      <c r="E51" s="158" t="s">
        <v>363</v>
      </c>
      <c r="F51" s="5" t="s">
        <v>9</v>
      </c>
      <c r="G51" s="5" t="s">
        <v>28</v>
      </c>
      <c r="H51" s="5">
        <v>12.304</v>
      </c>
      <c r="I51" s="244">
        <v>42.564</v>
      </c>
      <c r="J51" s="5" t="s">
        <v>51</v>
      </c>
      <c r="K51" s="5"/>
      <c r="L51" s="5"/>
      <c r="M51" s="5" t="s">
        <v>52</v>
      </c>
      <c r="N51" s="5"/>
      <c r="O51" s="5"/>
      <c r="P51" s="5" t="s">
        <v>53</v>
      </c>
      <c r="Q51" s="5"/>
      <c r="R51" s="5"/>
      <c r="S51" s="5" t="s">
        <v>54</v>
      </c>
      <c r="T51" s="5"/>
      <c r="U51" s="5"/>
      <c r="V51" s="5" t="s">
        <v>55</v>
      </c>
      <c r="W51" s="5"/>
      <c r="X51" s="5"/>
      <c r="Y51" s="5" t="s">
        <v>56</v>
      </c>
      <c r="Z51" s="5"/>
      <c r="AA51" s="5"/>
      <c r="AB51" s="5" t="s">
        <v>58</v>
      </c>
    </row>
    <row r="52" spans="4:40">
      <c r="D52" s="5" t="s">
        <v>26</v>
      </c>
      <c r="E52" s="158" t="s">
        <v>363</v>
      </c>
      <c r="F52" s="5" t="s">
        <v>59</v>
      </c>
      <c r="G52" s="5" t="s">
        <v>27</v>
      </c>
      <c r="H52" s="5">
        <v>13.249499999999999</v>
      </c>
      <c r="I52" s="244">
        <v>42.512</v>
      </c>
      <c r="J52" s="5" t="s">
        <v>45</v>
      </c>
      <c r="K52" s="5"/>
      <c r="L52" s="5"/>
      <c r="M52" s="5" t="s">
        <v>46</v>
      </c>
      <c r="N52" s="5"/>
      <c r="O52" s="5"/>
      <c r="P52" s="5" t="s">
        <v>47</v>
      </c>
      <c r="Q52" s="5"/>
      <c r="R52" s="5"/>
      <c r="S52" s="5" t="s">
        <v>48</v>
      </c>
      <c r="T52" s="5"/>
      <c r="U52" s="5"/>
      <c r="V52" s="5" t="s">
        <v>49</v>
      </c>
      <c r="W52" s="5"/>
      <c r="X52" s="5"/>
      <c r="Y52" s="5" t="s">
        <v>50</v>
      </c>
      <c r="Z52" s="5"/>
      <c r="AA52" s="5"/>
      <c r="AB52" s="5" t="s">
        <v>57</v>
      </c>
      <c r="AC52" s="5"/>
      <c r="AD52" s="5"/>
      <c r="AE52" s="5" t="s">
        <v>60</v>
      </c>
    </row>
    <row r="53" spans="4:40">
      <c r="D53" s="5" t="s">
        <v>26</v>
      </c>
      <c r="E53" s="158" t="s">
        <v>363</v>
      </c>
      <c r="F53" s="5" t="s">
        <v>59</v>
      </c>
      <c r="G53" s="5" t="s">
        <v>28</v>
      </c>
      <c r="H53" s="5">
        <v>13.1135</v>
      </c>
      <c r="I53" s="244">
        <v>42.512</v>
      </c>
      <c r="J53" s="5" t="s">
        <v>51</v>
      </c>
      <c r="K53" s="5"/>
      <c r="L53" s="5"/>
      <c r="M53" s="5" t="s">
        <v>52</v>
      </c>
      <c r="N53" s="5"/>
      <c r="O53" s="5"/>
      <c r="P53" s="5" t="s">
        <v>53</v>
      </c>
      <c r="Q53" s="5"/>
      <c r="R53" s="5"/>
      <c r="S53" s="5" t="s">
        <v>54</v>
      </c>
      <c r="T53" s="5"/>
      <c r="U53" s="5"/>
      <c r="V53" s="5" t="s">
        <v>55</v>
      </c>
      <c r="W53" s="5"/>
      <c r="X53" s="5"/>
      <c r="Y53" s="5" t="s">
        <v>56</v>
      </c>
      <c r="Z53" s="5"/>
      <c r="AA53" s="5"/>
      <c r="AB53" s="5" t="s">
        <v>58</v>
      </c>
      <c r="AC53" s="5"/>
      <c r="AD53" s="5"/>
      <c r="AE53" s="5" t="s">
        <v>61</v>
      </c>
    </row>
    <row r="54" spans="4:40">
      <c r="D54" s="183" t="s">
        <v>26</v>
      </c>
      <c r="E54" s="183" t="s">
        <v>257</v>
      </c>
      <c r="F54" s="183" t="s">
        <v>424</v>
      </c>
      <c r="G54" s="183" t="s">
        <v>27</v>
      </c>
      <c r="H54" s="2">
        <v>14.304</v>
      </c>
      <c r="I54" s="244">
        <v>42.637</v>
      </c>
      <c r="J54" s="183" t="s">
        <v>45</v>
      </c>
      <c r="K54" s="183"/>
      <c r="L54" s="183"/>
      <c r="M54" s="183" t="s">
        <v>46</v>
      </c>
      <c r="N54" s="183"/>
      <c r="O54" s="183"/>
      <c r="P54" s="183" t="s">
        <v>47</v>
      </c>
      <c r="Q54" s="183"/>
      <c r="R54" s="183"/>
      <c r="S54" s="183" t="s">
        <v>48</v>
      </c>
      <c r="T54" s="183"/>
      <c r="U54" s="183"/>
      <c r="V54" s="183" t="s">
        <v>49</v>
      </c>
      <c r="W54" s="183"/>
      <c r="X54" s="183"/>
      <c r="Y54" s="183" t="s">
        <v>50</v>
      </c>
      <c r="Z54" s="183"/>
      <c r="AA54" s="183"/>
      <c r="AB54" s="183" t="s">
        <v>57</v>
      </c>
      <c r="AC54" s="183"/>
      <c r="AD54" s="183"/>
      <c r="AE54" s="183" t="s">
        <v>60</v>
      </c>
      <c r="AF54" s="183"/>
      <c r="AG54" s="183"/>
      <c r="AH54" s="2" t="s">
        <v>425</v>
      </c>
    </row>
    <row r="55" spans="4:40">
      <c r="D55" s="183" t="s">
        <v>26</v>
      </c>
      <c r="E55" s="183" t="s">
        <v>257</v>
      </c>
      <c r="F55" s="183" t="s">
        <v>424</v>
      </c>
      <c r="G55" s="183" t="s">
        <v>28</v>
      </c>
      <c r="H55" s="2">
        <v>14.167999999999999</v>
      </c>
      <c r="I55" s="244">
        <v>42.637</v>
      </c>
      <c r="J55" s="183" t="s">
        <v>51</v>
      </c>
      <c r="K55" s="183"/>
      <c r="L55" s="183"/>
      <c r="M55" s="183" t="s">
        <v>52</v>
      </c>
      <c r="N55" s="183"/>
      <c r="O55" s="183"/>
      <c r="P55" s="183" t="s">
        <v>53</v>
      </c>
      <c r="Q55" s="183"/>
      <c r="R55" s="183"/>
      <c r="S55" s="183" t="s">
        <v>54</v>
      </c>
      <c r="T55" s="183"/>
      <c r="U55" s="183"/>
      <c r="V55" s="183" t="s">
        <v>55</v>
      </c>
      <c r="W55" s="183"/>
      <c r="X55" s="183"/>
      <c r="Y55" s="183" t="s">
        <v>56</v>
      </c>
      <c r="Z55" s="183"/>
      <c r="AA55" s="183"/>
      <c r="AB55" s="183" t="s">
        <v>58</v>
      </c>
      <c r="AC55" s="183"/>
      <c r="AD55" s="183"/>
      <c r="AE55" s="183" t="s">
        <v>61</v>
      </c>
      <c r="AF55" s="183"/>
      <c r="AG55" s="183"/>
      <c r="AH55" s="183" t="s">
        <v>426</v>
      </c>
    </row>
    <row r="56" spans="4:40">
      <c r="D56" s="183" t="s">
        <v>26</v>
      </c>
      <c r="E56" s="183" t="s">
        <v>259</v>
      </c>
      <c r="F56" s="183" t="s">
        <v>446</v>
      </c>
      <c r="G56" s="183" t="s">
        <v>27</v>
      </c>
      <c r="H56" s="183">
        <v>13.7812</v>
      </c>
      <c r="I56" s="244">
        <v>42.671999999999997</v>
      </c>
      <c r="J56" s="183" t="s">
        <v>45</v>
      </c>
      <c r="K56" s="183"/>
      <c r="L56" s="183"/>
      <c r="M56" s="183" t="s">
        <v>46</v>
      </c>
      <c r="N56" s="183"/>
      <c r="O56" s="183"/>
      <c r="P56" s="183" t="s">
        <v>47</v>
      </c>
      <c r="Q56" s="183"/>
      <c r="R56" s="183"/>
      <c r="S56" s="183" t="s">
        <v>48</v>
      </c>
      <c r="T56" s="183"/>
      <c r="U56" s="183"/>
      <c r="V56" s="183" t="s">
        <v>49</v>
      </c>
      <c r="W56" s="183"/>
      <c r="X56" s="183"/>
      <c r="Y56" s="183" t="s">
        <v>50</v>
      </c>
      <c r="Z56" s="183"/>
      <c r="AA56" s="183"/>
      <c r="AB56" s="183" t="s">
        <v>57</v>
      </c>
      <c r="AC56" s="183"/>
      <c r="AD56" s="183"/>
      <c r="AE56" s="183" t="s">
        <v>60</v>
      </c>
      <c r="AF56" s="183"/>
      <c r="AG56" s="183"/>
      <c r="AH56" s="183" t="s">
        <v>425</v>
      </c>
      <c r="AI56" s="183"/>
      <c r="AJ56" s="183"/>
      <c r="AK56" s="183" t="s">
        <v>447</v>
      </c>
    </row>
    <row r="57" spans="4:40">
      <c r="D57" s="183" t="s">
        <v>26</v>
      </c>
      <c r="E57" s="183" t="s">
        <v>259</v>
      </c>
      <c r="F57" s="183" t="s">
        <v>446</v>
      </c>
      <c r="G57" s="183" t="s">
        <v>28</v>
      </c>
      <c r="H57" s="183">
        <v>13.645200000000001</v>
      </c>
      <c r="I57" s="244">
        <v>42.671999999999997</v>
      </c>
      <c r="J57" s="183" t="s">
        <v>51</v>
      </c>
      <c r="K57" s="183"/>
      <c r="L57" s="183"/>
      <c r="M57" s="183" t="s">
        <v>52</v>
      </c>
      <c r="N57" s="183"/>
      <c r="O57" s="183"/>
      <c r="P57" s="183" t="s">
        <v>53</v>
      </c>
      <c r="Q57" s="183"/>
      <c r="R57" s="183"/>
      <c r="S57" s="183" t="s">
        <v>54</v>
      </c>
      <c r="T57" s="183"/>
      <c r="U57" s="183"/>
      <c r="V57" s="183" t="s">
        <v>55</v>
      </c>
      <c r="W57" s="183"/>
      <c r="X57" s="183"/>
      <c r="Y57" s="183" t="s">
        <v>56</v>
      </c>
      <c r="Z57" s="183"/>
      <c r="AA57" s="183"/>
      <c r="AB57" s="183" t="s">
        <v>58</v>
      </c>
      <c r="AC57" s="183"/>
      <c r="AD57" s="183"/>
      <c r="AE57" s="183" t="s">
        <v>61</v>
      </c>
      <c r="AF57" s="183"/>
      <c r="AG57" s="183"/>
      <c r="AH57" s="183" t="s">
        <v>426</v>
      </c>
      <c r="AI57" s="183"/>
      <c r="AJ57" s="183"/>
      <c r="AK57" s="183" t="s">
        <v>448</v>
      </c>
    </row>
    <row r="58" spans="4:40" s="183" customFormat="1">
      <c r="D58" s="183" t="s">
        <v>26</v>
      </c>
      <c r="E58" s="183" t="s">
        <v>259</v>
      </c>
      <c r="F58" s="183" t="s">
        <v>452</v>
      </c>
      <c r="G58" s="183" t="s">
        <v>27</v>
      </c>
      <c r="H58" s="183">
        <v>12.2852</v>
      </c>
      <c r="I58" s="244">
        <v>42.536999999999999</v>
      </c>
      <c r="J58" s="183" t="s">
        <v>45</v>
      </c>
      <c r="M58" s="183" t="s">
        <v>46</v>
      </c>
      <c r="P58" s="183" t="s">
        <v>47</v>
      </c>
      <c r="S58" s="183" t="s">
        <v>48</v>
      </c>
      <c r="V58" s="183" t="s">
        <v>49</v>
      </c>
      <c r="Y58" s="183" t="s">
        <v>50</v>
      </c>
      <c r="AB58" s="183" t="s">
        <v>57</v>
      </c>
      <c r="AE58" s="183" t="s">
        <v>60</v>
      </c>
      <c r="AH58" s="183" t="s">
        <v>425</v>
      </c>
      <c r="AK58" s="183" t="s">
        <v>447</v>
      </c>
      <c r="AN58" s="183" t="s">
        <v>453</v>
      </c>
    </row>
    <row r="59" spans="4:40" s="183" customFormat="1">
      <c r="D59" s="183" t="s">
        <v>26</v>
      </c>
      <c r="E59" s="183" t="s">
        <v>259</v>
      </c>
      <c r="F59" s="183" t="s">
        <v>452</v>
      </c>
      <c r="G59" s="183" t="s">
        <v>28</v>
      </c>
      <c r="H59" s="183">
        <v>12.1492</v>
      </c>
      <c r="I59" s="244">
        <v>42.536999999999999</v>
      </c>
      <c r="J59" s="183" t="s">
        <v>51</v>
      </c>
      <c r="M59" s="183" t="s">
        <v>52</v>
      </c>
      <c r="P59" s="183" t="s">
        <v>53</v>
      </c>
      <c r="S59" s="183" t="s">
        <v>54</v>
      </c>
      <c r="V59" s="183" t="s">
        <v>55</v>
      </c>
      <c r="Y59" s="183" t="s">
        <v>56</v>
      </c>
      <c r="AB59" s="183" t="s">
        <v>58</v>
      </c>
      <c r="AE59" s="183" t="s">
        <v>61</v>
      </c>
      <c r="AH59" s="183" t="s">
        <v>426</v>
      </c>
      <c r="AK59" s="183" t="s">
        <v>448</v>
      </c>
      <c r="AN59" s="183" t="s">
        <v>454</v>
      </c>
    </row>
    <row r="60" spans="4:40" hidden="1"/>
    <row r="61" spans="4:40" hidden="1"/>
    <row r="62" spans="4:40" hidden="1"/>
    <row r="63" spans="4:40" hidden="1"/>
    <row r="64" spans="4:4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4:46" hidden="1"/>
    <row r="98" spans="4:46">
      <c r="D98" s="183" t="s">
        <v>26</v>
      </c>
      <c r="E98" s="183" t="s">
        <v>259</v>
      </c>
      <c r="F98" s="183" t="s">
        <v>458</v>
      </c>
      <c r="G98" s="183" t="s">
        <v>27</v>
      </c>
      <c r="H98" s="2">
        <v>12.7957</v>
      </c>
      <c r="I98" s="244">
        <v>42.295999999999999</v>
      </c>
      <c r="J98" s="183" t="s">
        <v>45</v>
      </c>
      <c r="K98" s="183"/>
      <c r="L98" s="183"/>
      <c r="M98" s="183" t="s">
        <v>46</v>
      </c>
      <c r="N98" s="183"/>
      <c r="O98" s="183"/>
      <c r="P98" s="183" t="s">
        <v>47</v>
      </c>
      <c r="Q98" s="183"/>
      <c r="R98" s="183"/>
      <c r="S98" s="183" t="s">
        <v>48</v>
      </c>
      <c r="T98" s="183"/>
      <c r="U98" s="183"/>
      <c r="V98" s="183" t="s">
        <v>49</v>
      </c>
      <c r="W98" s="183"/>
      <c r="X98" s="183"/>
      <c r="Y98" s="183" t="s">
        <v>50</v>
      </c>
      <c r="Z98" s="183"/>
      <c r="AA98" s="183"/>
      <c r="AB98" s="183" t="s">
        <v>57</v>
      </c>
      <c r="AC98" s="183"/>
      <c r="AD98" s="183"/>
      <c r="AE98" s="183" t="s">
        <v>60</v>
      </c>
      <c r="AF98" s="183"/>
      <c r="AG98" s="183"/>
      <c r="AH98" s="183" t="s">
        <v>425</v>
      </c>
      <c r="AI98" s="183"/>
      <c r="AJ98" s="183"/>
      <c r="AK98" s="183" t="s">
        <v>447</v>
      </c>
      <c r="AL98" s="183"/>
      <c r="AM98" s="183"/>
      <c r="AN98" s="183" t="s">
        <v>453</v>
      </c>
      <c r="AQ98" s="2" t="s">
        <v>459</v>
      </c>
      <c r="AT98" s="183" t="s">
        <v>476</v>
      </c>
    </row>
    <row r="99" spans="4:46">
      <c r="D99" s="183" t="s">
        <v>26</v>
      </c>
      <c r="E99" s="183" t="s">
        <v>259</v>
      </c>
      <c r="F99" s="183" t="s">
        <v>458</v>
      </c>
      <c r="G99" s="183" t="s">
        <v>28</v>
      </c>
      <c r="H99" s="2">
        <v>12.659700000000001</v>
      </c>
      <c r="I99" s="244">
        <v>42.295999999999999</v>
      </c>
      <c r="J99" s="183" t="s">
        <v>51</v>
      </c>
      <c r="K99" s="183"/>
      <c r="L99" s="183"/>
      <c r="M99" s="183" t="s">
        <v>52</v>
      </c>
      <c r="N99" s="183"/>
      <c r="O99" s="183"/>
      <c r="P99" s="183" t="s">
        <v>53</v>
      </c>
      <c r="Q99" s="183"/>
      <c r="R99" s="183"/>
      <c r="S99" s="183" t="s">
        <v>54</v>
      </c>
      <c r="T99" s="183"/>
      <c r="U99" s="183"/>
      <c r="V99" s="183" t="s">
        <v>55</v>
      </c>
      <c r="W99" s="183"/>
      <c r="X99" s="183"/>
      <c r="Y99" s="183" t="s">
        <v>56</v>
      </c>
      <c r="Z99" s="183"/>
      <c r="AA99" s="183"/>
      <c r="AB99" s="183" t="s">
        <v>58</v>
      </c>
      <c r="AC99" s="183"/>
      <c r="AD99" s="183"/>
      <c r="AE99" s="183" t="s">
        <v>61</v>
      </c>
      <c r="AF99" s="183"/>
      <c r="AG99" s="183"/>
      <c r="AH99" s="183" t="s">
        <v>426</v>
      </c>
      <c r="AI99" s="183"/>
      <c r="AJ99" s="183"/>
      <c r="AK99" s="183" t="s">
        <v>448</v>
      </c>
      <c r="AL99" s="183"/>
      <c r="AM99" s="183"/>
      <c r="AN99" s="183" t="s">
        <v>454</v>
      </c>
      <c r="AQ99" s="183" t="s">
        <v>460</v>
      </c>
      <c r="AT99" s="183" t="s">
        <v>477</v>
      </c>
    </row>
  </sheetData>
  <autoFilter ref="D1:I97">
    <filterColumn colId="0">
      <filters>
        <filter val="2021년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7"/>
  <sheetViews>
    <sheetView topLeftCell="A172" workbookViewId="0">
      <selection activeCell="H36" sqref="H36"/>
    </sheetView>
  </sheetViews>
  <sheetFormatPr defaultRowHeight="16.5"/>
  <cols>
    <col min="3" max="3" width="9" style="116"/>
  </cols>
  <sheetData>
    <row r="1" spans="2:7">
      <c r="B1" s="116" t="s">
        <v>62</v>
      </c>
      <c r="C1" s="116" t="s">
        <v>255</v>
      </c>
      <c r="D1" s="116" t="s">
        <v>3</v>
      </c>
      <c r="E1" s="116" t="s">
        <v>240</v>
      </c>
      <c r="F1" s="116" t="s">
        <v>241</v>
      </c>
      <c r="G1" s="116" t="s">
        <v>242</v>
      </c>
    </row>
    <row r="2" spans="2:7">
      <c r="B2" s="116" t="s">
        <v>8</v>
      </c>
      <c r="C2" s="116" t="s">
        <v>261</v>
      </c>
      <c r="D2" s="116" t="s">
        <v>18</v>
      </c>
      <c r="E2" s="116">
        <v>61458368.461838938</v>
      </c>
      <c r="F2" s="116"/>
      <c r="G2" s="116"/>
    </row>
    <row r="3" spans="2:7">
      <c r="B3" s="116" t="s">
        <v>8</v>
      </c>
      <c r="C3" s="116" t="s">
        <v>261</v>
      </c>
      <c r="D3" s="116" t="s">
        <v>19</v>
      </c>
      <c r="E3" s="116">
        <v>96163005.369512632</v>
      </c>
      <c r="F3" s="116"/>
      <c r="G3" s="116">
        <v>157621373.83135158</v>
      </c>
    </row>
    <row r="4" spans="2:7">
      <c r="B4" s="116" t="s">
        <v>8</v>
      </c>
      <c r="C4" s="116" t="s">
        <v>261</v>
      </c>
      <c r="D4" s="116" t="s">
        <v>20</v>
      </c>
      <c r="E4" s="116">
        <v>80411300.851317897</v>
      </c>
      <c r="F4" s="116"/>
      <c r="G4" s="116">
        <v>238032674.68266946</v>
      </c>
    </row>
    <row r="5" spans="2:7">
      <c r="B5" s="116" t="s">
        <v>8</v>
      </c>
      <c r="C5" s="116" t="s">
        <v>263</v>
      </c>
      <c r="D5" s="116" t="s">
        <v>21</v>
      </c>
      <c r="E5" s="116">
        <v>82369214.018832326</v>
      </c>
      <c r="F5" s="116"/>
      <c r="G5" s="116">
        <v>320401888.70150179</v>
      </c>
    </row>
    <row r="6" spans="2:7">
      <c r="B6" s="116" t="s">
        <v>8</v>
      </c>
      <c r="C6" s="116" t="s">
        <v>263</v>
      </c>
      <c r="D6" s="116" t="s">
        <v>22</v>
      </c>
      <c r="E6" s="116">
        <v>91927660.129653051</v>
      </c>
      <c r="F6" s="116"/>
      <c r="G6" s="116">
        <v>412329548.83115482</v>
      </c>
    </row>
    <row r="7" spans="2:7">
      <c r="B7" s="116" t="s">
        <v>8</v>
      </c>
      <c r="C7" s="116" t="s">
        <v>263</v>
      </c>
      <c r="D7" s="116" t="s">
        <v>23</v>
      </c>
      <c r="E7" s="116">
        <v>90576392.618969217</v>
      </c>
      <c r="F7" s="116"/>
      <c r="G7" s="116">
        <v>502905941.45012403</v>
      </c>
    </row>
    <row r="8" spans="2:7">
      <c r="B8" s="116" t="s">
        <v>24</v>
      </c>
      <c r="C8" s="116" t="s">
        <v>257</v>
      </c>
      <c r="D8" s="116" t="s">
        <v>9</v>
      </c>
      <c r="E8" s="116">
        <v>91927660.129653051</v>
      </c>
      <c r="F8" s="116"/>
      <c r="G8" s="116">
        <v>91927660.129653051</v>
      </c>
    </row>
    <row r="9" spans="2:7">
      <c r="B9" s="116" t="s">
        <v>24</v>
      </c>
      <c r="C9" s="116" t="s">
        <v>257</v>
      </c>
      <c r="D9" s="116" t="s">
        <v>13</v>
      </c>
      <c r="E9" s="116">
        <v>87148375.203054741</v>
      </c>
      <c r="F9" s="116"/>
      <c r="G9" s="116">
        <v>179076035.33270779</v>
      </c>
    </row>
    <row r="10" spans="2:7">
      <c r="B10" s="116" t="s">
        <v>24</v>
      </c>
      <c r="C10" s="116" t="s">
        <v>257</v>
      </c>
      <c r="D10" s="116" t="s">
        <v>14</v>
      </c>
      <c r="E10" s="116">
        <v>82158099.18181181</v>
      </c>
      <c r="F10" s="116"/>
      <c r="G10" s="116">
        <v>261234134.5145196</v>
      </c>
    </row>
    <row r="11" spans="2:7">
      <c r="B11" s="116" t="s">
        <v>24</v>
      </c>
      <c r="C11" s="116" t="s">
        <v>259</v>
      </c>
      <c r="D11" s="116" t="s">
        <v>15</v>
      </c>
      <c r="E11" s="116">
        <v>82951480.128996968</v>
      </c>
      <c r="F11" s="116"/>
      <c r="G11" s="116">
        <v>344185614.64351654</v>
      </c>
    </row>
    <row r="12" spans="2:7">
      <c r="B12" s="116" t="s">
        <v>24</v>
      </c>
      <c r="C12" s="116" t="s">
        <v>259</v>
      </c>
      <c r="D12" s="116" t="s">
        <v>16</v>
      </c>
      <c r="E12" s="116">
        <v>82951480.128996968</v>
      </c>
      <c r="F12" s="116"/>
      <c r="G12" s="116">
        <v>427137094.77251351</v>
      </c>
    </row>
    <row r="13" spans="2:7">
      <c r="B13" s="116" t="s">
        <v>24</v>
      </c>
      <c r="C13" s="116" t="s">
        <v>259</v>
      </c>
      <c r="D13" s="116" t="s">
        <v>17</v>
      </c>
      <c r="E13" s="116">
        <v>93308866.782540292</v>
      </c>
      <c r="F13" s="116"/>
      <c r="G13" s="116">
        <v>520445961.55505383</v>
      </c>
    </row>
    <row r="14" spans="2:7">
      <c r="B14" s="116" t="s">
        <v>24</v>
      </c>
      <c r="C14" s="116" t="s">
        <v>261</v>
      </c>
      <c r="D14" s="116" t="s">
        <v>18</v>
      </c>
      <c r="E14" s="116">
        <v>96237939.564841717</v>
      </c>
      <c r="F14" s="116"/>
      <c r="G14" s="116">
        <v>616683901.11989558</v>
      </c>
    </row>
    <row r="15" spans="2:7">
      <c r="B15" s="116" t="s">
        <v>24</v>
      </c>
      <c r="C15" s="116" t="s">
        <v>261</v>
      </c>
      <c r="D15" s="116" t="s">
        <v>19</v>
      </c>
      <c r="E15" s="116">
        <v>93706715.377502024</v>
      </c>
      <c r="F15" s="116"/>
      <c r="G15" s="116">
        <v>710390616.49739766</v>
      </c>
    </row>
    <row r="16" spans="2:7">
      <c r="B16" s="116" t="s">
        <v>24</v>
      </c>
      <c r="C16" s="116" t="s">
        <v>261</v>
      </c>
      <c r="D16" s="116" t="s">
        <v>20</v>
      </c>
      <c r="E16" s="116">
        <v>79233983.630010471</v>
      </c>
      <c r="F16" s="116"/>
      <c r="G16" s="116">
        <v>789624600.12740815</v>
      </c>
    </row>
    <row r="17" spans="2:7">
      <c r="B17" s="116" t="s">
        <v>24</v>
      </c>
      <c r="C17" s="116" t="s">
        <v>263</v>
      </c>
      <c r="D17" s="116" t="s">
        <v>21</v>
      </c>
      <c r="E17" s="116">
        <v>80738645.867612094</v>
      </c>
      <c r="F17" s="116"/>
      <c r="G17" s="116">
        <v>870363245.99502027</v>
      </c>
    </row>
    <row r="18" spans="2:7">
      <c r="B18" s="116" t="s">
        <v>24</v>
      </c>
      <c r="C18" s="116" t="s">
        <v>263</v>
      </c>
      <c r="D18" s="116" t="s">
        <v>22</v>
      </c>
      <c r="E18" s="116">
        <v>89719932.788909882</v>
      </c>
      <c r="F18" s="116"/>
      <c r="G18" s="116">
        <v>960083178.78393018</v>
      </c>
    </row>
    <row r="19" spans="2:7">
      <c r="B19" s="116" t="s">
        <v>24</v>
      </c>
      <c r="C19" s="116" t="s">
        <v>263</v>
      </c>
      <c r="D19" s="116" t="s">
        <v>23</v>
      </c>
      <c r="E19" s="116">
        <v>89170814.847689271</v>
      </c>
      <c r="F19" s="116"/>
      <c r="G19" s="116">
        <v>1049253993.6316195</v>
      </c>
    </row>
    <row r="20" spans="2:7">
      <c r="B20" s="116" t="s">
        <v>25</v>
      </c>
      <c r="C20" s="116" t="s">
        <v>257</v>
      </c>
      <c r="D20" s="116" t="s">
        <v>9</v>
      </c>
      <c r="E20" s="116">
        <v>87684966.508183554</v>
      </c>
      <c r="F20" s="116"/>
      <c r="G20" s="116">
        <v>87684966.508183554</v>
      </c>
    </row>
    <row r="21" spans="2:7">
      <c r="B21" s="116" t="s">
        <v>25</v>
      </c>
      <c r="C21" s="116" t="s">
        <v>257</v>
      </c>
      <c r="D21" s="116" t="s">
        <v>13</v>
      </c>
      <c r="E21" s="116">
        <v>88783202.390624762</v>
      </c>
      <c r="F21" s="116"/>
      <c r="G21" s="116">
        <v>176468168.8988083</v>
      </c>
    </row>
    <row r="22" spans="2:7">
      <c r="B22" s="116" t="s">
        <v>25</v>
      </c>
      <c r="C22" s="116" t="s">
        <v>257</v>
      </c>
      <c r="D22" s="116" t="s">
        <v>14</v>
      </c>
      <c r="E22" s="116">
        <v>81309183.729026437</v>
      </c>
      <c r="F22" s="116"/>
      <c r="G22" s="116">
        <v>257777352.62783474</v>
      </c>
    </row>
    <row r="23" spans="2:7">
      <c r="B23" s="116" t="s">
        <v>25</v>
      </c>
      <c r="C23" s="116" t="s">
        <v>259</v>
      </c>
      <c r="D23" s="116" t="s">
        <v>15</v>
      </c>
      <c r="E23" s="116">
        <v>80168108.006197751</v>
      </c>
      <c r="F23" s="116"/>
      <c r="G23" s="116">
        <v>337945460.63403249</v>
      </c>
    </row>
    <row r="24" spans="2:7">
      <c r="B24" s="116" t="s">
        <v>25</v>
      </c>
      <c r="C24" s="116" t="s">
        <v>259</v>
      </c>
      <c r="D24" s="116" t="s">
        <v>16</v>
      </c>
      <c r="E24" s="116">
        <v>80531694.520970702</v>
      </c>
      <c r="F24" s="116"/>
      <c r="G24" s="116">
        <v>418477155.15500319</v>
      </c>
    </row>
    <row r="25" spans="2:7">
      <c r="B25" s="116" t="s">
        <v>25</v>
      </c>
      <c r="C25" s="116" t="s">
        <v>259</v>
      </c>
      <c r="D25" s="116" t="s">
        <v>17</v>
      </c>
      <c r="E25" s="116">
        <v>93691643.019776657</v>
      </c>
      <c r="F25" s="116"/>
      <c r="G25" s="116">
        <v>512168798.17477983</v>
      </c>
    </row>
    <row r="26" spans="2:7">
      <c r="B26" s="116" t="s">
        <v>25</v>
      </c>
      <c r="C26" s="116" t="s">
        <v>261</v>
      </c>
      <c r="D26" s="116" t="s">
        <v>18</v>
      </c>
      <c r="E26" s="116">
        <v>93993497.284405008</v>
      </c>
      <c r="F26" s="116"/>
      <c r="G26" s="116">
        <v>606162295.45918489</v>
      </c>
    </row>
    <row r="27" spans="2:7">
      <c r="B27" s="116" t="s">
        <v>25</v>
      </c>
      <c r="C27" s="116" t="s">
        <v>261</v>
      </c>
      <c r="D27" s="116" t="s">
        <v>19</v>
      </c>
      <c r="E27" s="116">
        <v>90697852.311950475</v>
      </c>
      <c r="F27" s="116"/>
      <c r="G27" s="116">
        <v>696860147.77113533</v>
      </c>
    </row>
    <row r="28" spans="2:7">
      <c r="B28" s="116" t="s">
        <v>25</v>
      </c>
      <c r="C28" s="116" t="s">
        <v>261</v>
      </c>
      <c r="D28" s="116" t="s">
        <v>20</v>
      </c>
      <c r="E28" s="116">
        <v>78622451.260332763</v>
      </c>
      <c r="F28" s="116"/>
      <c r="G28" s="116">
        <v>775482599.03146815</v>
      </c>
    </row>
    <row r="29" spans="2:7">
      <c r="B29" s="116" t="s">
        <v>25</v>
      </c>
      <c r="C29" s="116" t="s">
        <v>263</v>
      </c>
      <c r="D29" s="116" t="s">
        <v>21</v>
      </c>
      <c r="E29" s="116">
        <v>77511645.910847336</v>
      </c>
      <c r="F29" s="116"/>
      <c r="G29" s="116">
        <v>852994244.94231546</v>
      </c>
    </row>
    <row r="30" spans="2:7">
      <c r="B30" s="116" t="s">
        <v>25</v>
      </c>
      <c r="C30" s="116" t="s">
        <v>263</v>
      </c>
      <c r="D30" s="116" t="s">
        <v>22</v>
      </c>
      <c r="E30" s="116">
        <v>86833497.595077351</v>
      </c>
      <c r="F30" s="116"/>
      <c r="G30" s="116">
        <v>939827742.53739285</v>
      </c>
    </row>
    <row r="31" spans="2:7">
      <c r="B31" s="116" t="s">
        <v>25</v>
      </c>
      <c r="C31" s="116" t="s">
        <v>263</v>
      </c>
      <c r="D31" s="116" t="s">
        <v>23</v>
      </c>
      <c r="E31" s="116">
        <v>87745492.237219498</v>
      </c>
      <c r="F31" s="116"/>
      <c r="G31" s="116">
        <v>1027573234.7746123</v>
      </c>
    </row>
    <row r="32" spans="2:7">
      <c r="B32" s="116" t="s">
        <v>26</v>
      </c>
      <c r="C32" s="116" t="s">
        <v>257</v>
      </c>
      <c r="D32" s="116" t="s">
        <v>9</v>
      </c>
      <c r="E32" s="116">
        <v>32280236.854854833</v>
      </c>
      <c r="F32" s="116"/>
      <c r="G32" s="116">
        <v>32280236.854854833</v>
      </c>
    </row>
    <row r="33" spans="2:7">
      <c r="B33" s="116" t="s">
        <v>26</v>
      </c>
      <c r="C33" s="116" t="s">
        <v>257</v>
      </c>
      <c r="D33" s="116" t="s">
        <v>13</v>
      </c>
      <c r="E33" s="116">
        <v>30481420.830717389</v>
      </c>
      <c r="F33" s="116"/>
      <c r="G33" s="116">
        <v>62761657.685572222</v>
      </c>
    </row>
    <row r="34" spans="2:7">
      <c r="B34" s="116" t="s">
        <v>26</v>
      </c>
      <c r="C34" s="116" t="s">
        <v>257</v>
      </c>
      <c r="D34" s="116" t="s">
        <v>14</v>
      </c>
      <c r="E34" s="116">
        <v>25517527.526836798</v>
      </c>
      <c r="F34" s="116"/>
      <c r="G34" s="116">
        <v>88279185.212409019</v>
      </c>
    </row>
    <row r="35" spans="2:7">
      <c r="B35" s="116" t="s">
        <v>26</v>
      </c>
      <c r="C35" s="116" t="s">
        <v>259</v>
      </c>
      <c r="D35" s="116" t="s">
        <v>15</v>
      </c>
      <c r="E35" s="116">
        <v>25517527.526836798</v>
      </c>
      <c r="F35" s="116"/>
      <c r="G35" s="116">
        <v>113796712.73924582</v>
      </c>
    </row>
    <row r="36" spans="2:7">
      <c r="B36" s="116" t="s">
        <v>26</v>
      </c>
      <c r="C36" s="116" t="s">
        <v>259</v>
      </c>
      <c r="D36" s="116" t="s">
        <v>16</v>
      </c>
      <c r="E36" s="116">
        <v>24691590.152112465</v>
      </c>
      <c r="F36" s="116"/>
      <c r="G36" s="116">
        <v>138488302.89135829</v>
      </c>
    </row>
    <row r="37" spans="2:7">
      <c r="B37" s="116" t="s">
        <v>26</v>
      </c>
      <c r="C37" s="116" t="s">
        <v>259</v>
      </c>
      <c r="D37" s="116" t="s">
        <v>17</v>
      </c>
      <c r="E37" s="116">
        <v>38129934.018283963</v>
      </c>
      <c r="F37" s="116"/>
      <c r="G37" s="116">
        <v>176618236.90964225</v>
      </c>
    </row>
    <row r="38" spans="2:7">
      <c r="B38" s="116" t="s">
        <v>26</v>
      </c>
      <c r="C38" s="116" t="s">
        <v>261</v>
      </c>
      <c r="D38" s="116" t="s">
        <v>18</v>
      </c>
      <c r="E38" s="116">
        <v>37951029.019384742</v>
      </c>
      <c r="F38" s="116"/>
      <c r="G38" s="116">
        <v>214569265.92902699</v>
      </c>
    </row>
    <row r="39" spans="2:7">
      <c r="B39" s="116" t="s">
        <v>26</v>
      </c>
      <c r="C39" s="116" t="s">
        <v>261</v>
      </c>
      <c r="D39" s="116" t="s">
        <v>19</v>
      </c>
      <c r="E39" s="116">
        <v>37257154.190651797</v>
      </c>
      <c r="F39" s="116"/>
      <c r="G39" s="116">
        <v>251826420.1196788</v>
      </c>
    </row>
    <row r="40" spans="2:7">
      <c r="B40" s="116" t="s">
        <v>26</v>
      </c>
      <c r="C40" s="116" t="s">
        <v>261</v>
      </c>
      <c r="D40" s="116" t="s">
        <v>20</v>
      </c>
      <c r="E40" s="116">
        <v>24014955.01574412</v>
      </c>
      <c r="F40" s="116"/>
      <c r="G40" s="116">
        <v>275841375.13542295</v>
      </c>
    </row>
    <row r="41" spans="2:7">
      <c r="B41" s="116" t="s">
        <v>26</v>
      </c>
      <c r="C41" s="116" t="s">
        <v>263</v>
      </c>
      <c r="D41" s="116" t="s">
        <v>21</v>
      </c>
      <c r="E41" s="116">
        <v>24624218.800737809</v>
      </c>
      <c r="F41" s="116"/>
      <c r="G41" s="116">
        <v>300465593.93616074</v>
      </c>
    </row>
    <row r="42" spans="2:7">
      <c r="B42" s="116" t="s">
        <v>26</v>
      </c>
      <c r="C42" s="116" t="s">
        <v>263</v>
      </c>
      <c r="D42" s="116" t="s">
        <v>22</v>
      </c>
      <c r="E42" s="116">
        <v>32530532.563430198</v>
      </c>
      <c r="F42" s="116"/>
      <c r="G42" s="116">
        <v>332996126.49959093</v>
      </c>
    </row>
    <row r="43" spans="2:7">
      <c r="B43" s="116" t="s">
        <v>26</v>
      </c>
      <c r="C43" s="116" t="s">
        <v>263</v>
      </c>
      <c r="D43" s="116" t="s">
        <v>23</v>
      </c>
      <c r="E43" s="116">
        <v>32899508.958965022</v>
      </c>
      <c r="F43" s="116"/>
      <c r="G43" s="116">
        <v>365895635.45855594</v>
      </c>
    </row>
    <row r="44" spans="2:7">
      <c r="B44" s="116" t="s">
        <v>243</v>
      </c>
      <c r="C44" s="116" t="s">
        <v>257</v>
      </c>
      <c r="D44" s="116" t="s">
        <v>9</v>
      </c>
      <c r="E44" s="116">
        <v>31283608.608352803</v>
      </c>
      <c r="F44" s="116"/>
      <c r="G44" s="116">
        <v>31283608.608352803</v>
      </c>
    </row>
    <row r="45" spans="2:7">
      <c r="B45" s="116" t="s">
        <v>243</v>
      </c>
      <c r="C45" s="116" t="s">
        <v>257</v>
      </c>
      <c r="D45" s="116" t="s">
        <v>13</v>
      </c>
      <c r="E45" s="116">
        <v>30036684.653275404</v>
      </c>
      <c r="F45" s="116"/>
      <c r="G45" s="116">
        <v>61320293.261628211</v>
      </c>
    </row>
    <row r="46" spans="2:7">
      <c r="B46" s="116" t="s">
        <v>243</v>
      </c>
      <c r="C46" s="116" t="s">
        <v>257</v>
      </c>
      <c r="D46" s="116" t="s">
        <v>14</v>
      </c>
      <c r="E46" s="116">
        <v>24624218.800737809</v>
      </c>
      <c r="F46" s="116"/>
      <c r="G46" s="116">
        <v>85944512.062366024</v>
      </c>
    </row>
    <row r="47" spans="2:7">
      <c r="B47" s="116" t="s">
        <v>243</v>
      </c>
      <c r="C47" s="116" t="s">
        <v>259</v>
      </c>
      <c r="D47" s="116" t="s">
        <v>15</v>
      </c>
      <c r="E47" s="116">
        <v>24731849.382923022</v>
      </c>
      <c r="F47" s="116"/>
      <c r="G47" s="116">
        <v>110676361.44528905</v>
      </c>
    </row>
    <row r="48" spans="2:7">
      <c r="B48" s="116" t="s">
        <v>243</v>
      </c>
      <c r="C48" s="116" t="s">
        <v>259</v>
      </c>
      <c r="D48" s="116" t="s">
        <v>16</v>
      </c>
      <c r="E48" s="116">
        <v>24319586.908240963</v>
      </c>
      <c r="F48" s="116"/>
      <c r="G48" s="116">
        <v>134995948.35353002</v>
      </c>
    </row>
    <row r="49" spans="2:7">
      <c r="B49" s="116" t="s">
        <v>243</v>
      </c>
      <c r="C49" s="116" t="s">
        <v>259</v>
      </c>
      <c r="D49" s="116" t="s">
        <v>17</v>
      </c>
      <c r="E49" s="116">
        <v>35598072.348101668</v>
      </c>
      <c r="F49" s="116"/>
      <c r="G49" s="116">
        <v>170594020.7016317</v>
      </c>
    </row>
    <row r="50" spans="2:7">
      <c r="B50" s="116" t="s">
        <v>243</v>
      </c>
      <c r="C50" s="116" t="s">
        <v>261</v>
      </c>
      <c r="D50" s="116" t="s">
        <v>18</v>
      </c>
      <c r="E50" s="116">
        <v>36288029.316066682</v>
      </c>
      <c r="F50" s="116"/>
      <c r="G50" s="116">
        <v>206882050.01769838</v>
      </c>
    </row>
    <row r="51" spans="2:7">
      <c r="B51" s="116" t="s">
        <v>243</v>
      </c>
      <c r="C51" s="116" t="s">
        <v>261</v>
      </c>
      <c r="D51" s="116" t="s">
        <v>19</v>
      </c>
      <c r="E51" s="116">
        <v>36424321.160293773</v>
      </c>
      <c r="F51" s="116"/>
      <c r="G51" s="116">
        <v>243306371.17799217</v>
      </c>
    </row>
    <row r="52" spans="2:7">
      <c r="B52" s="116" t="s">
        <v>243</v>
      </c>
      <c r="C52" s="116" t="s">
        <v>261</v>
      </c>
      <c r="D52" s="116" t="s">
        <v>20</v>
      </c>
      <c r="E52" s="116">
        <v>23964766.385103222</v>
      </c>
      <c r="F52" s="116"/>
      <c r="G52" s="116">
        <v>267271137.56309539</v>
      </c>
    </row>
    <row r="53" spans="2:7">
      <c r="B53" s="116" t="s">
        <v>243</v>
      </c>
      <c r="C53" s="116" t="s">
        <v>263</v>
      </c>
      <c r="D53" s="116" t="s">
        <v>21</v>
      </c>
      <c r="E53" s="116">
        <v>23772093.222982317</v>
      </c>
      <c r="F53" s="116"/>
      <c r="G53" s="116">
        <v>291043230.78607774</v>
      </c>
    </row>
    <row r="54" spans="2:7">
      <c r="B54" s="116" t="s">
        <v>243</v>
      </c>
      <c r="C54" s="116" t="s">
        <v>263</v>
      </c>
      <c r="D54" s="116" t="s">
        <v>22</v>
      </c>
      <c r="E54" s="116">
        <v>31799761.325240009</v>
      </c>
      <c r="F54" s="116"/>
      <c r="G54" s="116">
        <v>322842992.11131775</v>
      </c>
    </row>
    <row r="55" spans="2:7">
      <c r="B55" s="116" t="s">
        <v>243</v>
      </c>
      <c r="C55" s="116" t="s">
        <v>263</v>
      </c>
      <c r="D55" s="116" t="s">
        <v>23</v>
      </c>
      <c r="E55" s="116">
        <v>32048037.721698649</v>
      </c>
      <c r="F55" s="116"/>
      <c r="G55" s="116">
        <v>354891029.8330164</v>
      </c>
    </row>
    <row r="56" spans="2:7">
      <c r="B56" s="116" t="s">
        <v>244</v>
      </c>
      <c r="C56" s="116" t="s">
        <v>257</v>
      </c>
      <c r="D56" s="116" t="s">
        <v>9</v>
      </c>
      <c r="E56" s="116">
        <v>30333192.277756479</v>
      </c>
      <c r="F56" s="116"/>
      <c r="G56" s="116">
        <v>30333192.277756479</v>
      </c>
    </row>
    <row r="57" spans="2:7">
      <c r="B57" s="116" t="s">
        <v>244</v>
      </c>
      <c r="C57" s="116" t="s">
        <v>257</v>
      </c>
      <c r="D57" s="116" t="s">
        <v>13</v>
      </c>
      <c r="E57" s="116">
        <v>30581468.674215116</v>
      </c>
      <c r="F57" s="116"/>
      <c r="G57" s="116">
        <v>60914660.951971591</v>
      </c>
    </row>
    <row r="58" spans="2:7">
      <c r="B58" s="116" t="s">
        <v>244</v>
      </c>
      <c r="C58" s="116" t="s">
        <v>257</v>
      </c>
      <c r="D58" s="116" t="s">
        <v>14</v>
      </c>
      <c r="E58" s="116">
        <v>24366872.330760173</v>
      </c>
      <c r="F58" s="116"/>
      <c r="G58" s="116">
        <v>85281533.282731771</v>
      </c>
    </row>
    <row r="59" spans="2:7">
      <c r="B59" s="116" t="s">
        <v>244</v>
      </c>
      <c r="C59" s="116" t="s">
        <v>259</v>
      </c>
      <c r="D59" s="116" t="s">
        <v>15</v>
      </c>
      <c r="E59" s="116">
        <v>23876809.614750344</v>
      </c>
      <c r="F59" s="116"/>
      <c r="G59" s="116">
        <v>109158342.89748211</v>
      </c>
    </row>
    <row r="60" spans="2:7">
      <c r="B60" s="116" t="s">
        <v>244</v>
      </c>
      <c r="C60" s="116" t="s">
        <v>259</v>
      </c>
      <c r="D60" s="116" t="s">
        <v>16</v>
      </c>
      <c r="E60" s="116">
        <v>24262155.93899215</v>
      </c>
      <c r="F60" s="116"/>
      <c r="G60" s="116">
        <v>133420498.83647427</v>
      </c>
    </row>
    <row r="61" spans="2:7">
      <c r="B61" s="116" t="s">
        <v>244</v>
      </c>
      <c r="C61" s="116" t="s">
        <v>259</v>
      </c>
      <c r="D61" s="116" t="s">
        <v>17</v>
      </c>
      <c r="E61" s="116">
        <v>35613554.907333493</v>
      </c>
      <c r="F61" s="116"/>
      <c r="G61" s="116">
        <v>169034053.74380776</v>
      </c>
    </row>
    <row r="62" spans="2:7">
      <c r="B62" s="116" t="s">
        <v>244</v>
      </c>
      <c r="C62" s="116" t="s">
        <v>261</v>
      </c>
      <c r="D62" s="116" t="s">
        <v>18</v>
      </c>
      <c r="E62" s="116">
        <v>35487976.363637432</v>
      </c>
      <c r="F62" s="116"/>
      <c r="G62" s="116">
        <v>204522030.10744518</v>
      </c>
    </row>
    <row r="63" spans="2:7">
      <c r="B63" s="116" t="s">
        <v>244</v>
      </c>
      <c r="C63" s="116" t="s">
        <v>261</v>
      </c>
      <c r="D63" s="116" t="s">
        <v>19</v>
      </c>
      <c r="E63" s="116">
        <v>35631434.927209854</v>
      </c>
      <c r="F63" s="116"/>
      <c r="G63" s="116">
        <v>240153465.03465503</v>
      </c>
    </row>
    <row r="64" spans="2:7">
      <c r="B64" s="116" t="s">
        <v>244</v>
      </c>
      <c r="C64" s="116" t="s">
        <v>261</v>
      </c>
      <c r="D64" s="116" t="s">
        <v>20</v>
      </c>
      <c r="E64" s="116">
        <v>22960179.166902564</v>
      </c>
      <c r="F64" s="116"/>
      <c r="G64" s="116">
        <v>263113644.20155761</v>
      </c>
    </row>
    <row r="65" spans="2:7">
      <c r="B65" s="116" t="s">
        <v>244</v>
      </c>
      <c r="C65" s="116" t="s">
        <v>263</v>
      </c>
      <c r="D65" s="116" t="s">
        <v>21</v>
      </c>
      <c r="E65" s="116">
        <v>23250650.257739492</v>
      </c>
      <c r="F65" s="116"/>
      <c r="G65" s="116">
        <v>286364294.45929712</v>
      </c>
    </row>
    <row r="66" spans="2:7">
      <c r="B66" s="116" t="s">
        <v>244</v>
      </c>
      <c r="C66" s="116" t="s">
        <v>263</v>
      </c>
      <c r="D66" s="116" t="s">
        <v>22</v>
      </c>
      <c r="E66" s="116">
        <v>31103846.207263455</v>
      </c>
      <c r="F66" s="116"/>
      <c r="G66" s="116">
        <v>317468140.66656059</v>
      </c>
    </row>
    <row r="67" spans="2:7">
      <c r="B67" s="116" t="s">
        <v>244</v>
      </c>
      <c r="C67" s="116" t="s">
        <v>263</v>
      </c>
      <c r="D67" s="116" t="s">
        <v>23</v>
      </c>
      <c r="E67" s="116">
        <v>30750686.232743204</v>
      </c>
      <c r="F67" s="116"/>
      <c r="G67" s="116">
        <v>348218826.89930379</v>
      </c>
    </row>
    <row r="68" spans="2:7">
      <c r="B68" s="116" t="s">
        <v>245</v>
      </c>
      <c r="C68" s="116" t="s">
        <v>257</v>
      </c>
      <c r="D68" s="116" t="s">
        <v>9</v>
      </c>
      <c r="E68" s="116">
        <v>31103846.207263455</v>
      </c>
      <c r="F68" s="116"/>
      <c r="G68" s="116">
        <v>31103846.207263455</v>
      </c>
    </row>
    <row r="69" spans="2:7">
      <c r="B69" s="116" t="s">
        <v>245</v>
      </c>
      <c r="C69" s="116" t="s">
        <v>257</v>
      </c>
      <c r="D69" s="116" t="s">
        <v>13</v>
      </c>
      <c r="E69" s="116">
        <v>29075019.234034795</v>
      </c>
      <c r="F69" s="116"/>
      <c r="G69" s="116">
        <v>60178865.441298246</v>
      </c>
    </row>
    <row r="70" spans="2:7">
      <c r="B70" s="116" t="s">
        <v>245</v>
      </c>
      <c r="C70" s="116" t="s">
        <v>257</v>
      </c>
      <c r="D70" s="116" t="s">
        <v>14</v>
      </c>
      <c r="E70" s="116">
        <v>23352564.631745603</v>
      </c>
      <c r="F70" s="116"/>
      <c r="G70" s="116">
        <v>83531430.073043853</v>
      </c>
    </row>
    <row r="71" spans="2:7">
      <c r="B71" s="116" t="s">
        <v>245</v>
      </c>
      <c r="C71" s="116" t="s">
        <v>259</v>
      </c>
      <c r="D71" s="116" t="s">
        <v>15</v>
      </c>
      <c r="E71" s="116">
        <v>23541121.348576415</v>
      </c>
      <c r="F71" s="116"/>
      <c r="G71" s="116">
        <v>107072551.42162026</v>
      </c>
    </row>
    <row r="72" spans="2:7">
      <c r="B72" s="116" t="s">
        <v>245</v>
      </c>
      <c r="C72" s="116" t="s">
        <v>259</v>
      </c>
      <c r="D72" s="116" t="s">
        <v>16</v>
      </c>
      <c r="E72" s="116">
        <v>23541121.348576415</v>
      </c>
      <c r="F72" s="116"/>
      <c r="G72" s="116">
        <v>130613672.77019668</v>
      </c>
    </row>
    <row r="73" spans="2:7">
      <c r="B73" s="116" t="s">
        <v>245</v>
      </c>
      <c r="C73" s="116" t="s">
        <v>259</v>
      </c>
      <c r="D73" s="116" t="s">
        <v>17</v>
      </c>
      <c r="E73" s="116">
        <v>33541424.81962949</v>
      </c>
      <c r="F73" s="116"/>
      <c r="G73" s="116">
        <v>164155097.58982617</v>
      </c>
    </row>
    <row r="74" spans="2:7">
      <c r="B74" s="116" t="s">
        <v>245</v>
      </c>
      <c r="C74" s="116" t="s">
        <v>261</v>
      </c>
      <c r="D74" s="116" t="s">
        <v>18</v>
      </c>
      <c r="E74" s="116">
        <v>36002981.953812569</v>
      </c>
      <c r="F74" s="116"/>
      <c r="G74" s="116">
        <v>200158079.54363874</v>
      </c>
    </row>
    <row r="75" spans="2:7">
      <c r="B75" s="116" t="s">
        <v>245</v>
      </c>
      <c r="C75" s="116" t="s">
        <v>261</v>
      </c>
      <c r="D75" s="116" t="s">
        <v>19</v>
      </c>
      <c r="E75" s="116">
        <v>34395921.577141017</v>
      </c>
      <c r="F75" s="116"/>
      <c r="G75" s="116">
        <v>234554001.12077975</v>
      </c>
    </row>
    <row r="76" spans="2:7">
      <c r="B76" s="116" t="s">
        <v>245</v>
      </c>
      <c r="C76" s="116" t="s">
        <v>261</v>
      </c>
      <c r="D76" s="116" t="s">
        <v>20</v>
      </c>
      <c r="E76" s="116">
        <v>22195251.559502631</v>
      </c>
      <c r="F76" s="116"/>
      <c r="G76" s="116">
        <v>256749252.68028238</v>
      </c>
    </row>
    <row r="77" spans="2:7">
      <c r="B77" s="116" t="s">
        <v>245</v>
      </c>
      <c r="C77" s="116" t="s">
        <v>263</v>
      </c>
      <c r="D77" s="116" t="s">
        <v>21</v>
      </c>
      <c r="E77" s="116">
        <v>23047383.547853865</v>
      </c>
      <c r="F77" s="116"/>
      <c r="G77" s="116">
        <v>279796636.22813624</v>
      </c>
    </row>
    <row r="78" spans="2:7">
      <c r="B78" s="116" t="s">
        <v>245</v>
      </c>
      <c r="C78" s="116" t="s">
        <v>263</v>
      </c>
      <c r="D78" s="116" t="s">
        <v>22</v>
      </c>
      <c r="E78" s="116">
        <v>30107391.787512749</v>
      </c>
      <c r="F78" s="116"/>
      <c r="G78" s="116">
        <v>309904028.01564896</v>
      </c>
    </row>
    <row r="79" spans="2:7">
      <c r="B79" s="116" t="s">
        <v>245</v>
      </c>
      <c r="C79" s="116" t="s">
        <v>263</v>
      </c>
      <c r="D79" s="116" t="s">
        <v>23</v>
      </c>
      <c r="E79" s="116">
        <v>29870557.768098917</v>
      </c>
      <c r="F79" s="116"/>
      <c r="G79" s="116">
        <v>339774585.78374785</v>
      </c>
    </row>
    <row r="80" spans="2:7">
      <c r="B80" s="116" t="s">
        <v>246</v>
      </c>
      <c r="C80" s="116" t="s">
        <v>257</v>
      </c>
      <c r="D80" s="116" t="s">
        <v>9</v>
      </c>
      <c r="E80" s="116">
        <v>28705020.437870812</v>
      </c>
      <c r="F80" s="116"/>
      <c r="G80" s="116">
        <v>28705020.437870812</v>
      </c>
    </row>
    <row r="81" spans="2:7">
      <c r="B81" s="116" t="s">
        <v>246</v>
      </c>
      <c r="C81" s="116" t="s">
        <v>257</v>
      </c>
      <c r="D81" s="116" t="s">
        <v>13</v>
      </c>
      <c r="E81" s="116">
        <v>29287789.102984864</v>
      </c>
      <c r="F81" s="116"/>
      <c r="G81" s="116">
        <v>57992809.540855676</v>
      </c>
    </row>
    <row r="82" spans="2:7">
      <c r="B82" s="116" t="s">
        <v>246</v>
      </c>
      <c r="C82" s="116" t="s">
        <v>257</v>
      </c>
      <c r="D82" s="116" t="s">
        <v>14</v>
      </c>
      <c r="E82" s="116">
        <v>23047383.547853865</v>
      </c>
      <c r="F82" s="116"/>
      <c r="G82" s="116">
        <v>81040193.088709533</v>
      </c>
    </row>
    <row r="83" spans="2:7">
      <c r="B83" s="116" t="s">
        <v>246</v>
      </c>
      <c r="C83" s="116" t="s">
        <v>259</v>
      </c>
      <c r="D83" s="116" t="s">
        <v>15</v>
      </c>
      <c r="E83" s="116">
        <v>23331427.543970939</v>
      </c>
      <c r="F83" s="116"/>
      <c r="G83" s="116">
        <v>104371620.63268048</v>
      </c>
    </row>
    <row r="84" spans="2:7">
      <c r="B84" s="116" t="s">
        <v>246</v>
      </c>
      <c r="C84" s="116" t="s">
        <v>259</v>
      </c>
      <c r="D84" s="116" t="s">
        <v>16</v>
      </c>
      <c r="E84" s="116">
        <v>23146728.524440564</v>
      </c>
      <c r="F84" s="116"/>
      <c r="G84" s="116">
        <v>127518349.15712103</v>
      </c>
    </row>
    <row r="85" spans="2:7">
      <c r="B85" s="116" t="s">
        <v>246</v>
      </c>
      <c r="C85" s="116" t="s">
        <v>259</v>
      </c>
      <c r="D85" s="116" t="s">
        <v>17</v>
      </c>
      <c r="E85" s="116">
        <v>33337508.826218724</v>
      </c>
      <c r="F85" s="116"/>
      <c r="G85" s="116">
        <v>160855857.98333976</v>
      </c>
    </row>
    <row r="86" spans="2:7">
      <c r="B86" s="116" t="s">
        <v>246</v>
      </c>
      <c r="C86" s="116" t="s">
        <v>261</v>
      </c>
      <c r="D86" s="116" t="s">
        <v>18</v>
      </c>
      <c r="E86" s="116">
        <v>35290074.025834166</v>
      </c>
      <c r="F86" s="116"/>
      <c r="G86" s="116">
        <v>196145932.00917393</v>
      </c>
    </row>
    <row r="87" spans="2:7">
      <c r="B87" s="116" t="s">
        <v>246</v>
      </c>
      <c r="C87" s="116" t="s">
        <v>261</v>
      </c>
      <c r="D87" s="116" t="s">
        <v>19</v>
      </c>
      <c r="E87" s="116">
        <v>32982176.911214709</v>
      </c>
      <c r="F87" s="116"/>
      <c r="G87" s="116">
        <v>229128108.92038864</v>
      </c>
    </row>
    <row r="88" spans="2:7">
      <c r="B88" s="116" t="s">
        <v>246</v>
      </c>
      <c r="C88" s="116" t="s">
        <v>261</v>
      </c>
      <c r="D88" s="116" t="s">
        <v>20</v>
      </c>
      <c r="E88" s="116">
        <v>22884659.590783842</v>
      </c>
      <c r="F88" s="116"/>
      <c r="G88" s="116">
        <v>252012768.51117247</v>
      </c>
    </row>
    <row r="89" spans="2:7">
      <c r="B89" s="116" t="s">
        <v>246</v>
      </c>
      <c r="C89" s="116" t="s">
        <v>263</v>
      </c>
      <c r="D89" s="116" t="s">
        <v>21</v>
      </c>
      <c r="E89" s="116">
        <v>22049865.633256685</v>
      </c>
      <c r="F89" s="116"/>
      <c r="G89" s="116">
        <v>274062634.14442915</v>
      </c>
    </row>
    <row r="90" spans="2:7">
      <c r="B90" s="116" t="s">
        <v>246</v>
      </c>
      <c r="C90" s="116" t="s">
        <v>263</v>
      </c>
      <c r="D90" s="116" t="s">
        <v>22</v>
      </c>
      <c r="E90" s="116">
        <v>28961643.838621773</v>
      </c>
      <c r="F90" s="116"/>
      <c r="G90" s="116">
        <v>303024277.98305094</v>
      </c>
    </row>
    <row r="91" spans="2:7">
      <c r="B91" s="116" t="s">
        <v>246</v>
      </c>
      <c r="C91" s="116" t="s">
        <v>263</v>
      </c>
      <c r="D91" s="116" t="s">
        <v>23</v>
      </c>
      <c r="E91" s="116">
        <v>29872518.899589807</v>
      </c>
      <c r="F91" s="116"/>
      <c r="G91" s="116">
        <v>332896796.88264072</v>
      </c>
    </row>
    <row r="92" spans="2:7">
      <c r="B92" s="116" t="s">
        <v>247</v>
      </c>
      <c r="C92" s="116" t="s">
        <v>257</v>
      </c>
      <c r="D92" s="116" t="s">
        <v>9</v>
      </c>
      <c r="E92" s="116">
        <v>29533016.558814723</v>
      </c>
      <c r="F92" s="116"/>
      <c r="G92" s="116">
        <v>29533016.558814723</v>
      </c>
    </row>
    <row r="93" spans="2:7">
      <c r="B93" s="116" t="s">
        <v>247</v>
      </c>
      <c r="C93" s="116" t="s">
        <v>257</v>
      </c>
      <c r="D93" s="116" t="s">
        <v>13</v>
      </c>
      <c r="E93" s="116">
        <v>27015655.298625037</v>
      </c>
      <c r="F93" s="116"/>
      <c r="G93" s="116">
        <v>56548671.857439756</v>
      </c>
    </row>
    <row r="94" spans="2:7">
      <c r="B94" s="116" t="s">
        <v>247</v>
      </c>
      <c r="C94" s="116" t="s">
        <v>257</v>
      </c>
      <c r="D94" s="116" t="s">
        <v>14</v>
      </c>
      <c r="E94" s="116">
        <v>22884659.590783842</v>
      </c>
      <c r="F94" s="116"/>
      <c r="G94" s="116">
        <v>79433331.448223591</v>
      </c>
    </row>
    <row r="95" spans="2:7">
      <c r="B95" s="116" t="s">
        <v>247</v>
      </c>
      <c r="C95" s="116" t="s">
        <v>259</v>
      </c>
      <c r="D95" s="116" t="s">
        <v>15</v>
      </c>
      <c r="E95" s="116">
        <v>6509822.0531104989</v>
      </c>
      <c r="F95" s="116"/>
      <c r="G95" s="116">
        <v>85943153.501334086</v>
      </c>
    </row>
    <row r="96" spans="2:7">
      <c r="B96" s="116" t="s">
        <v>247</v>
      </c>
      <c r="C96" s="116" t="s">
        <v>259</v>
      </c>
      <c r="D96" s="116" t="s">
        <v>16</v>
      </c>
      <c r="E96" s="116">
        <v>6050292.6725702295</v>
      </c>
      <c r="F96" s="116"/>
      <c r="G96" s="116">
        <v>91993446.173904315</v>
      </c>
    </row>
    <row r="97" spans="2:7">
      <c r="B97" s="116" t="s">
        <v>247</v>
      </c>
      <c r="C97" s="116" t="s">
        <v>259</v>
      </c>
      <c r="D97" s="116" t="s">
        <v>17</v>
      </c>
      <c r="E97" s="116">
        <v>16815596.336334337</v>
      </c>
      <c r="F97" s="116"/>
      <c r="G97" s="116">
        <v>108809042.51023865</v>
      </c>
    </row>
    <row r="98" spans="2:7">
      <c r="B98" s="116" t="s">
        <v>247</v>
      </c>
      <c r="C98" s="116" t="s">
        <v>261</v>
      </c>
      <c r="D98" s="116" t="s">
        <v>18</v>
      </c>
      <c r="E98" s="116">
        <v>18398910.636653438</v>
      </c>
      <c r="F98" s="116"/>
      <c r="G98" s="116">
        <v>127207953.14689209</v>
      </c>
    </row>
    <row r="99" spans="2:7">
      <c r="B99" s="116" t="s">
        <v>247</v>
      </c>
      <c r="C99" s="116" t="s">
        <v>261</v>
      </c>
      <c r="D99" s="116" t="s">
        <v>19</v>
      </c>
      <c r="E99" s="116">
        <v>16735642.288080463</v>
      </c>
      <c r="F99" s="116"/>
      <c r="G99" s="116">
        <v>143943595.43497255</v>
      </c>
    </row>
    <row r="100" spans="2:7">
      <c r="B100" s="116" t="s">
        <v>247</v>
      </c>
      <c r="C100" s="116" t="s">
        <v>261</v>
      </c>
      <c r="D100" s="116" t="s">
        <v>20</v>
      </c>
      <c r="E100" s="116">
        <v>5726856.7660434395</v>
      </c>
      <c r="F100" s="116"/>
      <c r="G100" s="116">
        <v>149670452.20101601</v>
      </c>
    </row>
    <row r="101" spans="2:7">
      <c r="B101" s="116" t="s">
        <v>247</v>
      </c>
      <c r="C101" s="116" t="s">
        <v>263</v>
      </c>
      <c r="D101" s="116" t="s">
        <v>21</v>
      </c>
      <c r="E101" s="116">
        <v>6093560.8991022548</v>
      </c>
      <c r="F101" s="116"/>
      <c r="G101" s="116">
        <v>155764013.10011825</v>
      </c>
    </row>
    <row r="102" spans="2:7">
      <c r="B102" s="116" t="s">
        <v>247</v>
      </c>
      <c r="C102" s="116" t="s">
        <v>263</v>
      </c>
      <c r="D102" s="116" t="s">
        <v>22</v>
      </c>
      <c r="E102" s="116">
        <v>12652073.699910445</v>
      </c>
      <c r="F102" s="116"/>
      <c r="G102" s="116">
        <v>168416086.80002868</v>
      </c>
    </row>
    <row r="103" spans="2:7">
      <c r="B103" s="116" t="s">
        <v>247</v>
      </c>
      <c r="C103" s="116" t="s">
        <v>263</v>
      </c>
      <c r="D103" s="116" t="s">
        <v>23</v>
      </c>
      <c r="E103" s="116">
        <v>13211384.41173126</v>
      </c>
      <c r="F103" s="116"/>
      <c r="G103" s="116">
        <v>181627471.21175995</v>
      </c>
    </row>
    <row r="104" spans="2:7">
      <c r="B104" s="116" t="s">
        <v>248</v>
      </c>
      <c r="C104" s="116" t="s">
        <v>257</v>
      </c>
      <c r="D104" s="116" t="s">
        <v>9</v>
      </c>
      <c r="E104" s="116">
        <v>12319400.176007949</v>
      </c>
      <c r="F104" s="116"/>
      <c r="G104" s="116">
        <v>12319400.176007949</v>
      </c>
    </row>
    <row r="105" spans="2:7">
      <c r="B105" s="116" t="s">
        <v>248</v>
      </c>
      <c r="C105" s="116" t="s">
        <v>257</v>
      </c>
      <c r="D105" s="116" t="s">
        <v>13</v>
      </c>
      <c r="E105" s="116">
        <v>10747504.376529671</v>
      </c>
      <c r="F105" s="116"/>
      <c r="G105" s="116">
        <v>23066904.55253762</v>
      </c>
    </row>
    <row r="106" spans="2:7">
      <c r="B106" s="116" t="s">
        <v>248</v>
      </c>
      <c r="C106" s="116" t="s">
        <v>257</v>
      </c>
      <c r="D106" s="116" t="s">
        <v>14</v>
      </c>
      <c r="E106" s="116">
        <v>6365722.3324473742</v>
      </c>
      <c r="F106" s="116"/>
      <c r="G106" s="116">
        <v>29432626.884984992</v>
      </c>
    </row>
    <row r="107" spans="2:7">
      <c r="B107" s="116" t="s">
        <v>248</v>
      </c>
      <c r="C107" s="116" t="s">
        <v>259</v>
      </c>
      <c r="D107" s="116" t="s">
        <v>15</v>
      </c>
      <c r="E107" s="116">
        <v>6365722.3324473742</v>
      </c>
      <c r="F107" s="116"/>
      <c r="G107" s="116">
        <v>35798349.217432365</v>
      </c>
    </row>
    <row r="108" spans="2:7">
      <c r="B108" s="116" t="s">
        <v>248</v>
      </c>
      <c r="C108" s="116" t="s">
        <v>259</v>
      </c>
      <c r="D108" s="116" t="s">
        <v>16</v>
      </c>
      <c r="E108" s="116">
        <v>5371619.2987806043</v>
      </c>
      <c r="F108" s="116"/>
      <c r="G108" s="116">
        <v>41169968.51621297</v>
      </c>
    </row>
    <row r="109" spans="2:7">
      <c r="B109" s="116" t="s">
        <v>248</v>
      </c>
      <c r="C109" s="116" t="s">
        <v>259</v>
      </c>
      <c r="D109" s="116" t="s">
        <v>17</v>
      </c>
      <c r="E109" s="116">
        <v>17481067.969342526</v>
      </c>
      <c r="F109" s="116"/>
      <c r="G109" s="116">
        <v>58651036.4855555</v>
      </c>
    </row>
    <row r="110" spans="2:7">
      <c r="B110" s="116" t="s">
        <v>248</v>
      </c>
      <c r="C110" s="116" t="s">
        <v>261</v>
      </c>
      <c r="D110" s="116" t="s">
        <v>18</v>
      </c>
      <c r="E110" s="116">
        <v>17541241.671574771</v>
      </c>
      <c r="F110" s="116"/>
      <c r="G110" s="116">
        <v>76192278.157130271</v>
      </c>
    </row>
    <row r="111" spans="2:7">
      <c r="B111" s="116" t="s">
        <v>248</v>
      </c>
      <c r="C111" s="116" t="s">
        <v>261</v>
      </c>
      <c r="D111" s="116" t="s">
        <v>19</v>
      </c>
      <c r="E111" s="116">
        <v>17108802.631712276</v>
      </c>
      <c r="F111" s="116"/>
      <c r="G111" s="116">
        <v>93301080.788842544</v>
      </c>
    </row>
    <row r="112" spans="2:7">
      <c r="B112" s="116" t="s">
        <v>248</v>
      </c>
      <c r="C112" s="116" t="s">
        <v>261</v>
      </c>
      <c r="D112" s="116" t="s">
        <v>20</v>
      </c>
      <c r="E112" s="116">
        <v>5423447.9692407036</v>
      </c>
      <c r="F112" s="116"/>
      <c r="G112" s="116">
        <v>98724528.758083254</v>
      </c>
    </row>
    <row r="113" spans="2:7">
      <c r="B113" s="116" t="s">
        <v>248</v>
      </c>
      <c r="C113" s="116" t="s">
        <v>263</v>
      </c>
      <c r="D113" s="116" t="s">
        <v>21</v>
      </c>
      <c r="E113" s="116">
        <v>5955564.3976030657</v>
      </c>
      <c r="F113" s="116"/>
      <c r="G113" s="116">
        <v>104680093.15568632</v>
      </c>
    </row>
    <row r="114" spans="2:7">
      <c r="B114" s="116" t="s">
        <v>248</v>
      </c>
      <c r="C114" s="116" t="s">
        <v>263</v>
      </c>
      <c r="D114" s="116" t="s">
        <v>22</v>
      </c>
      <c r="E114" s="116">
        <v>12925087.461546062</v>
      </c>
      <c r="F114" s="116"/>
      <c r="G114" s="116">
        <v>117605180.61723238</v>
      </c>
    </row>
    <row r="115" spans="2:7">
      <c r="B115" s="116" t="s">
        <v>248</v>
      </c>
      <c r="C115" s="116" t="s">
        <v>263</v>
      </c>
      <c r="D115" s="116" t="s">
        <v>23</v>
      </c>
      <c r="E115" s="116">
        <v>13250932.16857597</v>
      </c>
      <c r="F115" s="116"/>
      <c r="G115" s="116">
        <v>130856112.78580835</v>
      </c>
    </row>
    <row r="116" spans="2:7">
      <c r="B116" s="116" t="s">
        <v>249</v>
      </c>
      <c r="C116" s="116" t="s">
        <v>257</v>
      </c>
      <c r="D116" s="116" t="s">
        <v>9</v>
      </c>
      <c r="E116" s="116">
        <v>10736092.647751337</v>
      </c>
      <c r="F116" s="116"/>
      <c r="G116" s="116">
        <v>10736092.647751337</v>
      </c>
    </row>
    <row r="117" spans="2:7">
      <c r="B117" s="116" t="s">
        <v>249</v>
      </c>
      <c r="C117" s="116" t="s">
        <v>257</v>
      </c>
      <c r="D117" s="116" t="s">
        <v>13</v>
      </c>
      <c r="E117" s="116">
        <v>12377838.758097379</v>
      </c>
      <c r="F117" s="116"/>
      <c r="G117" s="116">
        <v>23113931.405848715</v>
      </c>
    </row>
    <row r="118" spans="2:7">
      <c r="B118" s="116" t="s">
        <v>249</v>
      </c>
      <c r="C118" s="116" t="s">
        <v>257</v>
      </c>
      <c r="D118" s="116" t="s">
        <v>14</v>
      </c>
      <c r="E118" s="116">
        <v>6221622.6117842486</v>
      </c>
      <c r="F118" s="116"/>
      <c r="G118" s="116">
        <v>29335554.017632965</v>
      </c>
    </row>
    <row r="119" spans="2:7">
      <c r="B119" s="116" t="s">
        <v>249</v>
      </c>
      <c r="C119" s="116" t="s">
        <v>259</v>
      </c>
      <c r="D119" s="116" t="s">
        <v>15</v>
      </c>
      <c r="E119" s="116">
        <v>5515533.4441902675</v>
      </c>
      <c r="F119" s="116"/>
      <c r="G119" s="116">
        <v>34851087.461823232</v>
      </c>
    </row>
    <row r="120" spans="2:7">
      <c r="B120" s="116" t="s">
        <v>249</v>
      </c>
      <c r="C120" s="116" t="s">
        <v>259</v>
      </c>
      <c r="D120" s="116" t="s">
        <v>16</v>
      </c>
      <c r="E120" s="116">
        <v>5955564.3976030657</v>
      </c>
      <c r="F120" s="116"/>
      <c r="G120" s="116">
        <v>40806651.859426297</v>
      </c>
    </row>
    <row r="121" spans="2:7">
      <c r="B121" s="116" t="s">
        <v>249</v>
      </c>
      <c r="C121" s="116" t="s">
        <v>259</v>
      </c>
      <c r="D121" s="116" t="s">
        <v>17</v>
      </c>
      <c r="E121" s="116">
        <v>16379194.903878108</v>
      </c>
      <c r="F121" s="116"/>
      <c r="G121" s="116">
        <v>57185846.763304405</v>
      </c>
    </row>
    <row r="122" spans="2:7">
      <c r="B122" s="116" t="s">
        <v>249</v>
      </c>
      <c r="C122" s="116" t="s">
        <v>261</v>
      </c>
      <c r="D122" s="116" t="s">
        <v>18</v>
      </c>
      <c r="E122" s="116">
        <v>16461082.752950709</v>
      </c>
      <c r="F122" s="116"/>
      <c r="G122" s="116">
        <v>73646929.516255111</v>
      </c>
    </row>
    <row r="123" spans="2:7">
      <c r="B123" s="116" t="s">
        <v>249</v>
      </c>
      <c r="C123" s="116" t="s">
        <v>261</v>
      </c>
      <c r="D123" s="116" t="s">
        <v>19</v>
      </c>
      <c r="E123" s="116">
        <v>16760914.925231319</v>
      </c>
      <c r="F123" s="116"/>
      <c r="G123" s="116">
        <v>90407844.441486433</v>
      </c>
    </row>
    <row r="124" spans="2:7">
      <c r="B124" s="116" t="s">
        <v>249</v>
      </c>
      <c r="C124" s="116" t="s">
        <v>261</v>
      </c>
      <c r="D124" s="116" t="s">
        <v>20</v>
      </c>
      <c r="E124" s="116">
        <v>5916618.1896084733</v>
      </c>
      <c r="F124" s="116"/>
      <c r="G124" s="116">
        <v>96324462.631094903</v>
      </c>
    </row>
    <row r="125" spans="2:7">
      <c r="B125" s="116" t="s">
        <v>249</v>
      </c>
      <c r="C125" s="116" t="s">
        <v>263</v>
      </c>
      <c r="D125" s="116" t="s">
        <v>21</v>
      </c>
      <c r="E125" s="116">
        <v>5045729.6920403158</v>
      </c>
      <c r="F125" s="116"/>
      <c r="G125" s="116">
        <v>101370192.32313521</v>
      </c>
    </row>
    <row r="126" spans="2:7">
      <c r="B126" s="116" t="s">
        <v>249</v>
      </c>
      <c r="C126" s="116" t="s">
        <v>263</v>
      </c>
      <c r="D126" s="116" t="s">
        <v>22</v>
      </c>
      <c r="E126" s="116">
        <v>12657666.778679002</v>
      </c>
      <c r="F126" s="116"/>
      <c r="G126" s="116">
        <v>114027859.10181421</v>
      </c>
    </row>
    <row r="127" spans="2:7">
      <c r="B127" s="116" t="s">
        <v>249</v>
      </c>
      <c r="C127" s="116" t="s">
        <v>263</v>
      </c>
      <c r="D127" s="116" t="s">
        <v>23</v>
      </c>
      <c r="E127" s="116">
        <v>11802229.834513098</v>
      </c>
      <c r="F127" s="116"/>
      <c r="G127" s="116">
        <v>125830088.93632731</v>
      </c>
    </row>
    <row r="128" spans="2:7">
      <c r="B128" s="116" t="s">
        <v>250</v>
      </c>
      <c r="C128" s="116" t="s">
        <v>257</v>
      </c>
      <c r="D128" s="116" t="s">
        <v>9</v>
      </c>
      <c r="E128" s="116">
        <v>12657666.778679002</v>
      </c>
      <c r="F128" s="116"/>
      <c r="G128" s="116">
        <v>12657666.778679002</v>
      </c>
    </row>
    <row r="129" spans="2:7">
      <c r="B129" s="116" t="s">
        <v>250</v>
      </c>
      <c r="C129" s="116" t="s">
        <v>257</v>
      </c>
      <c r="D129" s="116" t="s">
        <v>13</v>
      </c>
      <c r="E129" s="116">
        <v>9977764.3527885694</v>
      </c>
      <c r="F129" s="116"/>
      <c r="G129" s="116">
        <v>22635431.131467573</v>
      </c>
    </row>
    <row r="130" spans="2:7">
      <c r="B130" s="116" t="s">
        <v>250</v>
      </c>
      <c r="C130" s="116" t="s">
        <v>257</v>
      </c>
      <c r="D130" s="116" t="s">
        <v>14</v>
      </c>
      <c r="E130" s="116">
        <v>5916618.1896084733</v>
      </c>
      <c r="F130" s="116"/>
      <c r="G130" s="116">
        <v>28552049.321076047</v>
      </c>
    </row>
    <row r="131" spans="2:7">
      <c r="B131" s="116" t="s">
        <v>250</v>
      </c>
      <c r="C131" s="116" t="s">
        <v>259</v>
      </c>
      <c r="D131" s="116" t="s">
        <v>15</v>
      </c>
      <c r="E131" s="116">
        <v>5826817.542924162</v>
      </c>
      <c r="F131" s="116"/>
      <c r="G131" s="116">
        <v>34378866.864000209</v>
      </c>
    </row>
    <row r="132" spans="2:7">
      <c r="B132" s="116" t="s">
        <v>250</v>
      </c>
      <c r="C132" s="116" t="s">
        <v>259</v>
      </c>
      <c r="D132" s="116" t="s">
        <v>16</v>
      </c>
      <c r="E132" s="116">
        <v>6257742.130162417</v>
      </c>
      <c r="F132" s="116"/>
      <c r="G132" s="116">
        <v>40636608.994162627</v>
      </c>
    </row>
    <row r="133" spans="2:7">
      <c r="B133" s="116" t="s">
        <v>250</v>
      </c>
      <c r="C133" s="116" t="s">
        <v>259</v>
      </c>
      <c r="D133" s="116" t="s">
        <v>17</v>
      </c>
      <c r="E133" s="116">
        <v>15589962.506042166</v>
      </c>
      <c r="F133" s="116"/>
      <c r="G133" s="116">
        <v>56226571.500204794</v>
      </c>
    </row>
    <row r="134" spans="2:7">
      <c r="B134" s="116" t="s">
        <v>250</v>
      </c>
      <c r="C134" s="116" t="s">
        <v>261</v>
      </c>
      <c r="D134" s="116" t="s">
        <v>18</v>
      </c>
      <c r="E134" s="116">
        <v>16584747.020207021</v>
      </c>
      <c r="F134" s="116"/>
      <c r="G134" s="116">
        <v>72811318.520411819</v>
      </c>
    </row>
    <row r="135" spans="2:7">
      <c r="B135" s="116" t="s">
        <v>250</v>
      </c>
      <c r="C135" s="116" t="s">
        <v>261</v>
      </c>
      <c r="D135" s="116" t="s">
        <v>19</v>
      </c>
      <c r="E135" s="116">
        <v>16433849.497747961</v>
      </c>
      <c r="F135" s="116"/>
      <c r="G135" s="116">
        <v>89245168.018159777</v>
      </c>
    </row>
    <row r="136" spans="2:7">
      <c r="B136" s="116" t="s">
        <v>250</v>
      </c>
      <c r="C136" s="116" t="s">
        <v>261</v>
      </c>
      <c r="D136" s="116" t="s">
        <v>20</v>
      </c>
      <c r="E136" s="116">
        <v>4940348.0796485888</v>
      </c>
      <c r="F136" s="116"/>
      <c r="G136" s="116">
        <v>94185516.097808361</v>
      </c>
    </row>
    <row r="137" spans="2:7">
      <c r="B137" s="116" t="s">
        <v>250</v>
      </c>
      <c r="C137" s="116" t="s">
        <v>263</v>
      </c>
      <c r="D137" s="116" t="s">
        <v>21</v>
      </c>
      <c r="E137" s="116">
        <v>5705320.7655404629</v>
      </c>
      <c r="F137" s="116"/>
      <c r="G137" s="116">
        <v>99890836.863348827</v>
      </c>
    </row>
    <row r="138" spans="2:7">
      <c r="B138" s="116" t="s">
        <v>250</v>
      </c>
      <c r="C138" s="116" t="s">
        <v>263</v>
      </c>
      <c r="D138" s="116" t="s">
        <v>22</v>
      </c>
      <c r="E138" s="116">
        <v>12405977.697749065</v>
      </c>
      <c r="F138" s="116"/>
      <c r="G138" s="116">
        <v>112296814.56109789</v>
      </c>
    </row>
    <row r="139" spans="2:7">
      <c r="B139" s="116" t="s">
        <v>250</v>
      </c>
      <c r="C139" s="116" t="s">
        <v>263</v>
      </c>
      <c r="D139" s="116" t="s">
        <v>23</v>
      </c>
      <c r="E139" s="116">
        <v>11567134.644497383</v>
      </c>
      <c r="F139" s="116"/>
      <c r="G139" s="116">
        <v>123863949.20559527</v>
      </c>
    </row>
    <row r="140" spans="2:7">
      <c r="B140" s="116" t="s">
        <v>251</v>
      </c>
      <c r="C140" s="116" t="s">
        <v>257</v>
      </c>
      <c r="D140" s="116" t="s">
        <v>9</v>
      </c>
      <c r="E140" s="116">
        <v>12405977.697749065</v>
      </c>
      <c r="F140" s="116"/>
      <c r="G140" s="116">
        <v>12405977.697749065</v>
      </c>
    </row>
    <row r="141" spans="2:7">
      <c r="B141" s="116" t="s">
        <v>251</v>
      </c>
      <c r="C141" s="116" t="s">
        <v>257</v>
      </c>
      <c r="D141" s="116" t="s">
        <v>13</v>
      </c>
      <c r="E141" s="116">
        <v>10092550.768849591</v>
      </c>
      <c r="F141" s="116"/>
      <c r="G141" s="116">
        <v>22498528.466598656</v>
      </c>
    </row>
    <row r="142" spans="2:7">
      <c r="B142" s="116" t="s">
        <v>251</v>
      </c>
      <c r="C142" s="116" t="s">
        <v>257</v>
      </c>
      <c r="D142" s="116" t="s">
        <v>14</v>
      </c>
      <c r="E142" s="116">
        <v>5537957.861317507</v>
      </c>
      <c r="F142" s="116"/>
      <c r="G142" s="116">
        <v>28036486.327916164</v>
      </c>
    </row>
    <row r="143" spans="2:7">
      <c r="B143" s="116" t="s">
        <v>251</v>
      </c>
      <c r="C143" s="116" t="s">
        <v>259</v>
      </c>
      <c r="D143" s="116" t="s">
        <v>15</v>
      </c>
      <c r="E143" s="116">
        <v>5960311.6608377565</v>
      </c>
      <c r="F143" s="116"/>
      <c r="G143" s="116">
        <v>33996797.988753922</v>
      </c>
    </row>
    <row r="144" spans="2:7">
      <c r="B144" s="116" t="s">
        <v>251</v>
      </c>
      <c r="C144" s="116" t="s">
        <v>259</v>
      </c>
      <c r="D144" s="116" t="s">
        <v>16</v>
      </c>
      <c r="E144" s="116">
        <v>5705320.7655404629</v>
      </c>
      <c r="F144" s="116"/>
      <c r="G144" s="116">
        <v>39702118.754294388</v>
      </c>
    </row>
    <row r="145" spans="2:7">
      <c r="B145" s="116" t="s">
        <v>251</v>
      </c>
      <c r="C145" s="116" t="s">
        <v>259</v>
      </c>
      <c r="D145" s="116" t="s">
        <v>17</v>
      </c>
      <c r="E145" s="116">
        <v>13883490.78146462</v>
      </c>
      <c r="F145" s="116"/>
      <c r="G145" s="116">
        <v>53585609.535759009</v>
      </c>
    </row>
    <row r="146" spans="2:7">
      <c r="B146" s="116" t="s">
        <v>251</v>
      </c>
      <c r="C146" s="116" t="s">
        <v>261</v>
      </c>
      <c r="D146" s="116" t="s">
        <v>18</v>
      </c>
      <c r="E146" s="116">
        <v>16933229.79464969</v>
      </c>
      <c r="F146" s="116"/>
      <c r="G146" s="116">
        <v>70518839.330408692</v>
      </c>
    </row>
    <row r="147" spans="2:7">
      <c r="B147" s="116" t="s">
        <v>251</v>
      </c>
      <c r="C147" s="116" t="s">
        <v>261</v>
      </c>
      <c r="D147" s="116" t="s">
        <v>19</v>
      </c>
      <c r="E147" s="116">
        <v>15647509.989784013</v>
      </c>
      <c r="F147" s="116"/>
      <c r="G147" s="116">
        <v>86166349.32019271</v>
      </c>
    </row>
    <row r="148" spans="2:7">
      <c r="B148" s="116" t="s">
        <v>251</v>
      </c>
      <c r="C148" s="116" t="s">
        <v>261</v>
      </c>
      <c r="D148" s="116" t="s">
        <v>20</v>
      </c>
      <c r="E148" s="116">
        <v>4828688.0166293848</v>
      </c>
      <c r="F148" s="116"/>
      <c r="G148" s="116">
        <v>90995037.336822093</v>
      </c>
    </row>
    <row r="149" spans="2:7">
      <c r="B149" s="116" t="s">
        <v>251</v>
      </c>
      <c r="C149" s="116" t="s">
        <v>263</v>
      </c>
      <c r="D149" s="116" t="s">
        <v>21</v>
      </c>
      <c r="E149" s="116">
        <v>5576573.9108615573</v>
      </c>
      <c r="F149" s="116"/>
      <c r="G149" s="116">
        <v>96571611.247683644</v>
      </c>
    </row>
    <row r="150" spans="2:7">
      <c r="B150" s="116" t="s">
        <v>251</v>
      </c>
      <c r="C150" s="116" t="s">
        <v>263</v>
      </c>
      <c r="D150" s="116" t="s">
        <v>22</v>
      </c>
      <c r="E150" s="116">
        <v>11831480.540030947</v>
      </c>
      <c r="F150" s="116"/>
      <c r="G150" s="116">
        <v>108403091.78771459</v>
      </c>
    </row>
    <row r="151" spans="2:7">
      <c r="B151" s="116" t="s">
        <v>251</v>
      </c>
      <c r="C151" s="116" t="s">
        <v>263</v>
      </c>
      <c r="D151" s="116" t="s">
        <v>23</v>
      </c>
      <c r="E151" s="116">
        <v>11624446.902794078</v>
      </c>
      <c r="F151" s="116"/>
      <c r="G151" s="116">
        <v>120027538.69050866</v>
      </c>
    </row>
    <row r="152" spans="2:7">
      <c r="B152" s="116" t="s">
        <v>252</v>
      </c>
      <c r="C152" s="116" t="s">
        <v>257</v>
      </c>
      <c r="D152" s="116" t="s">
        <v>9</v>
      </c>
      <c r="E152" s="116">
        <v>10596226.678618209</v>
      </c>
      <c r="F152" s="116"/>
      <c r="G152" s="116">
        <v>10596226.678618209</v>
      </c>
    </row>
    <row r="153" spans="2:7">
      <c r="B153" s="116" t="s">
        <v>252</v>
      </c>
      <c r="C153" s="116" t="s">
        <v>257</v>
      </c>
      <c r="D153" s="116" t="s">
        <v>13</v>
      </c>
      <c r="E153" s="116">
        <v>11110336.790706147</v>
      </c>
      <c r="F153" s="116"/>
      <c r="G153" s="116">
        <v>21706563.469324358</v>
      </c>
    </row>
    <row r="154" spans="2:7">
      <c r="B154" s="116" t="s">
        <v>252</v>
      </c>
      <c r="C154" s="116" t="s">
        <v>257</v>
      </c>
      <c r="D154" s="116" t="s">
        <v>14</v>
      </c>
      <c r="E154" s="116">
        <v>5576573.9108615573</v>
      </c>
      <c r="F154" s="116"/>
      <c r="G154" s="116">
        <v>27283137.380185917</v>
      </c>
    </row>
    <row r="155" spans="2:7">
      <c r="B155" s="116" t="s">
        <v>252</v>
      </c>
      <c r="C155" s="116" t="s">
        <v>259</v>
      </c>
      <c r="D155" s="116" t="s">
        <v>15</v>
      </c>
      <c r="E155" s="116">
        <v>5825869.2089389497</v>
      </c>
      <c r="F155" s="116"/>
      <c r="G155" s="116">
        <v>33109006.589124866</v>
      </c>
    </row>
    <row r="156" spans="2:7">
      <c r="B156" s="116" t="s">
        <v>252</v>
      </c>
      <c r="C156" s="116" t="s">
        <v>259</v>
      </c>
      <c r="D156" s="116" t="s">
        <v>16</v>
      </c>
      <c r="E156" s="116">
        <v>5412621.7755932529</v>
      </c>
      <c r="F156" s="116"/>
      <c r="G156" s="116">
        <v>38521628.364718117</v>
      </c>
    </row>
    <row r="157" spans="2:7">
      <c r="B157" s="116" t="s">
        <v>252</v>
      </c>
      <c r="C157" s="116" t="s">
        <v>259</v>
      </c>
      <c r="D157" s="116" t="s">
        <v>17</v>
      </c>
      <c r="E157" s="116">
        <v>14713671.868405551</v>
      </c>
      <c r="F157" s="116"/>
      <c r="G157" s="116">
        <v>53235300.233123668</v>
      </c>
    </row>
    <row r="158" spans="2:7">
      <c r="B158" s="116" t="s">
        <v>252</v>
      </c>
      <c r="C158" s="116" t="s">
        <v>261</v>
      </c>
      <c r="D158" s="116" t="s">
        <v>18</v>
      </c>
      <c r="E158" s="116">
        <v>16594687.880857253</v>
      </c>
      <c r="F158" s="116"/>
      <c r="G158" s="116">
        <v>69829988.113980919</v>
      </c>
    </row>
    <row r="159" spans="2:7">
      <c r="B159" s="116" t="s">
        <v>252</v>
      </c>
      <c r="C159" s="116" t="s">
        <v>261</v>
      </c>
      <c r="D159" s="116" t="s">
        <v>19</v>
      </c>
      <c r="E159" s="116">
        <v>14676118.5475013</v>
      </c>
      <c r="F159" s="116"/>
      <c r="G159" s="116">
        <v>84506106.661482215</v>
      </c>
    </row>
    <row r="160" spans="2:7">
      <c r="B160" s="116" t="s">
        <v>252</v>
      </c>
      <c r="C160" s="116" t="s">
        <v>261</v>
      </c>
      <c r="D160" s="116" t="s">
        <v>20</v>
      </c>
      <c r="E160" s="116">
        <v>5462327.2107730601</v>
      </c>
      <c r="F160" s="116"/>
      <c r="G160" s="116">
        <v>89968433.872255281</v>
      </c>
    </row>
    <row r="161" spans="2:7">
      <c r="B161" s="116" t="s">
        <v>252</v>
      </c>
      <c r="C161" s="116" t="s">
        <v>263</v>
      </c>
      <c r="D161" s="116" t="s">
        <v>21</v>
      </c>
      <c r="E161" s="116">
        <v>4973832.306834437</v>
      </c>
      <c r="F161" s="116"/>
      <c r="G161" s="116">
        <v>94942266.179089725</v>
      </c>
    </row>
    <row r="162" spans="2:7">
      <c r="B162" s="116" t="s">
        <v>252</v>
      </c>
      <c r="C162" s="116" t="s">
        <v>263</v>
      </c>
      <c r="D162" s="116" t="s">
        <v>22</v>
      </c>
      <c r="E162" s="116">
        <v>11096944.26446593</v>
      </c>
      <c r="F162" s="116"/>
      <c r="G162" s="116">
        <v>106039210.44355565</v>
      </c>
    </row>
    <row r="163" spans="2:7">
      <c r="B163" s="116" t="s">
        <v>252</v>
      </c>
      <c r="C163" s="116" t="s">
        <v>263</v>
      </c>
      <c r="D163" s="116" t="s">
        <v>23</v>
      </c>
      <c r="E163" s="116">
        <v>11902599.535889186</v>
      </c>
      <c r="F163" s="116"/>
      <c r="G163" s="116">
        <v>117941809.97944483</v>
      </c>
    </row>
    <row r="164" spans="2:7">
      <c r="B164" s="116" t="s">
        <v>253</v>
      </c>
      <c r="C164" s="116" t="s">
        <v>257</v>
      </c>
      <c r="D164" s="116" t="s">
        <v>9</v>
      </c>
      <c r="E164" s="116">
        <v>11601118.285185339</v>
      </c>
      <c r="F164" s="116"/>
      <c r="G164" s="116">
        <v>11601118.285185339</v>
      </c>
    </row>
    <row r="165" spans="2:7">
      <c r="B165" s="116" t="s">
        <v>253</v>
      </c>
      <c r="C165" s="116" t="s">
        <v>257</v>
      </c>
      <c r="D165" s="116" t="s">
        <v>13</v>
      </c>
      <c r="E165" s="116">
        <v>9381729.4322921541</v>
      </c>
      <c r="F165" s="116"/>
      <c r="G165" s="116">
        <v>20982847.717477493</v>
      </c>
    </row>
    <row r="166" spans="2:7">
      <c r="B166" s="116" t="s">
        <v>253</v>
      </c>
      <c r="C166" s="116" t="s">
        <v>257</v>
      </c>
      <c r="D166" s="116" t="s">
        <v>14</v>
      </c>
      <c r="E166" s="116">
        <v>5706574.6627423698</v>
      </c>
      <c r="F166" s="116"/>
      <c r="G166" s="116">
        <v>26689422.380219862</v>
      </c>
    </row>
    <row r="167" spans="2:7">
      <c r="B167" s="116" t="s">
        <v>253</v>
      </c>
      <c r="C167" s="116" t="s">
        <v>259</v>
      </c>
      <c r="D167" s="116" t="s">
        <v>15</v>
      </c>
      <c r="E167" s="116">
        <v>5462327.2107730601</v>
      </c>
      <c r="F167" s="116"/>
      <c r="G167" s="116">
        <v>32151749.59099292</v>
      </c>
    </row>
    <row r="168" spans="2:7">
      <c r="B168" s="116" t="s">
        <v>253</v>
      </c>
      <c r="C168" s="116" t="s">
        <v>259</v>
      </c>
      <c r="D168" s="116" t="s">
        <v>16</v>
      </c>
      <c r="E168" s="116">
        <v>5057114.9866888234</v>
      </c>
      <c r="F168" s="116"/>
      <c r="G168" s="116">
        <v>37208864.577681743</v>
      </c>
    </row>
    <row r="169" spans="2:7">
      <c r="B169" s="116" t="s">
        <v>253</v>
      </c>
      <c r="C169" s="116" t="s">
        <v>259</v>
      </c>
      <c r="D169" s="116" t="s">
        <v>17</v>
      </c>
      <c r="E169" s="116">
        <v>15779718.642781233</v>
      </c>
      <c r="F169" s="116"/>
      <c r="G169" s="116">
        <v>52988583.220462978</v>
      </c>
    </row>
    <row r="170" spans="2:7">
      <c r="B170" s="116" t="s">
        <v>253</v>
      </c>
      <c r="C170" s="116" t="s">
        <v>261</v>
      </c>
      <c r="D170" s="116" t="s">
        <v>18</v>
      </c>
      <c r="E170" s="116">
        <v>15841713.994452093</v>
      </c>
      <c r="F170" s="116"/>
      <c r="G170" s="116">
        <v>68830297.214915067</v>
      </c>
    </row>
    <row r="171" spans="2:7">
      <c r="B171" s="116" t="s">
        <v>253</v>
      </c>
      <c r="C171" s="116" t="s">
        <v>261</v>
      </c>
      <c r="D171" s="116" t="s">
        <v>19</v>
      </c>
      <c r="E171" s="116">
        <v>15459763.91960131</v>
      </c>
      <c r="F171" s="116"/>
      <c r="G171" s="116">
        <v>84290061.134516373</v>
      </c>
    </row>
    <row r="172" spans="2:7">
      <c r="B172" s="116" t="s">
        <v>253</v>
      </c>
      <c r="C172" s="116" t="s">
        <v>261</v>
      </c>
      <c r="D172" s="116" t="s">
        <v>20</v>
      </c>
      <c r="E172" s="116">
        <v>5024555.8774263356</v>
      </c>
      <c r="F172" s="116"/>
      <c r="G172" s="116">
        <v>89314617.011942714</v>
      </c>
    </row>
    <row r="173" spans="2:7">
      <c r="B173" s="116" t="s">
        <v>253</v>
      </c>
      <c r="C173" s="116" t="s">
        <v>263</v>
      </c>
      <c r="D173" s="116" t="s">
        <v>21</v>
      </c>
      <c r="E173" s="116">
        <v>5344829.5724395392</v>
      </c>
      <c r="F173" s="116"/>
      <c r="G173" s="116">
        <v>94659446.584382251</v>
      </c>
    </row>
    <row r="174" spans="2:7">
      <c r="B174" s="116" t="s">
        <v>253</v>
      </c>
      <c r="C174" s="116" t="s">
        <v>263</v>
      </c>
      <c r="D174" s="116" t="s">
        <v>22</v>
      </c>
      <c r="E174" s="116">
        <v>11657199.785721317</v>
      </c>
      <c r="F174" s="116"/>
      <c r="G174" s="116">
        <v>106316646.37010357</v>
      </c>
    </row>
    <row r="175" spans="2:7">
      <c r="B175" s="116" t="s">
        <v>253</v>
      </c>
      <c r="C175" s="116" t="s">
        <v>263</v>
      </c>
      <c r="D175" s="116" t="s">
        <v>23</v>
      </c>
      <c r="E175" s="116">
        <v>11952777.414096609</v>
      </c>
      <c r="F175" s="116"/>
      <c r="G175" s="116">
        <v>118269423.78420018</v>
      </c>
    </row>
    <row r="176" spans="2:7">
      <c r="B176" s="116" t="s">
        <v>254</v>
      </c>
      <c r="C176" s="116" t="s">
        <v>257</v>
      </c>
      <c r="D176" s="116" t="s">
        <v>9</v>
      </c>
      <c r="E176" s="116">
        <v>10669545.147319589</v>
      </c>
      <c r="F176" s="116"/>
      <c r="G176" s="116">
        <v>10669545.147319589</v>
      </c>
    </row>
    <row r="177" spans="2:7">
      <c r="B177" s="116" t="s">
        <v>254</v>
      </c>
      <c r="C177" s="116" t="s">
        <v>257</v>
      </c>
      <c r="D177" s="116" t="s">
        <v>13</v>
      </c>
      <c r="E177" s="116">
        <v>9681890.5089178588</v>
      </c>
      <c r="F177" s="116"/>
      <c r="G177" s="116">
        <v>20351435.656237446</v>
      </c>
    </row>
    <row r="178" spans="2:7">
      <c r="B178" s="116" t="s">
        <v>254</v>
      </c>
      <c r="C178" s="116" t="s">
        <v>257</v>
      </c>
      <c r="D178" s="116" t="s">
        <v>14</v>
      </c>
      <c r="E178" s="116">
        <v>5583872.7955211112</v>
      </c>
      <c r="F178" s="116"/>
      <c r="G178" s="116">
        <v>25935308.451758556</v>
      </c>
    </row>
    <row r="179" spans="2:7">
      <c r="B179" s="116" t="s">
        <v>254</v>
      </c>
      <c r="C179" s="116" t="s">
        <v>259</v>
      </c>
      <c r="D179" s="116" t="s">
        <v>15</v>
      </c>
      <c r="E179" s="116">
        <v>5426060.0443711737</v>
      </c>
      <c r="F179" s="116"/>
      <c r="G179" s="116">
        <v>31361368.496129729</v>
      </c>
    </row>
    <row r="180" spans="2:7">
      <c r="B180" s="116" t="s">
        <v>254</v>
      </c>
      <c r="C180" s="116" t="s">
        <v>259</v>
      </c>
      <c r="D180" s="116" t="s">
        <v>16</v>
      </c>
      <c r="E180" s="116">
        <v>5105786.3493579691</v>
      </c>
      <c r="F180" s="116"/>
      <c r="G180" s="116">
        <v>36467154.845487699</v>
      </c>
    </row>
    <row r="181" spans="2:7">
      <c r="B181" s="116" t="s">
        <v>254</v>
      </c>
      <c r="C181" s="116" t="s">
        <v>259</v>
      </c>
      <c r="D181" s="116" t="s">
        <v>17</v>
      </c>
      <c r="E181" s="116">
        <v>2552893.1746789846</v>
      </c>
      <c r="F181" s="116"/>
      <c r="G181" s="116">
        <v>39020048.02016668</v>
      </c>
    </row>
    <row r="182" spans="2:7">
      <c r="B182" s="116" t="s">
        <v>254</v>
      </c>
      <c r="C182" s="116" t="s">
        <v>261</v>
      </c>
      <c r="D182" s="116" t="s">
        <v>18</v>
      </c>
      <c r="E182" s="116">
        <v>5091743.8500066176</v>
      </c>
      <c r="F182" s="116"/>
      <c r="G182" s="116">
        <v>44111791.870173298</v>
      </c>
    </row>
    <row r="183" spans="2:7">
      <c r="B183" s="116" t="s">
        <v>254</v>
      </c>
      <c r="C183" s="116" t="s">
        <v>261</v>
      </c>
      <c r="D183" s="116" t="s">
        <v>19</v>
      </c>
      <c r="E183" s="116"/>
      <c r="F183" s="116"/>
      <c r="G183" s="116">
        <v>44111791.870173298</v>
      </c>
    </row>
    <row r="184" spans="2:7">
      <c r="B184" s="116" t="s">
        <v>254</v>
      </c>
      <c r="C184" s="116" t="s">
        <v>261</v>
      </c>
      <c r="D184" s="116" t="s">
        <v>20</v>
      </c>
      <c r="E184" s="116"/>
      <c r="F184" s="116"/>
      <c r="G184" s="116">
        <v>44111791.870173298</v>
      </c>
    </row>
    <row r="185" spans="2:7">
      <c r="B185" s="116" t="s">
        <v>254</v>
      </c>
      <c r="C185" s="116" t="s">
        <v>263</v>
      </c>
      <c r="D185" s="116" t="s">
        <v>21</v>
      </c>
      <c r="E185" s="116"/>
      <c r="F185" s="116"/>
      <c r="G185" s="116">
        <v>44111791.870173298</v>
      </c>
    </row>
    <row r="186" spans="2:7">
      <c r="B186" s="116" t="s">
        <v>254</v>
      </c>
      <c r="C186" s="116" t="s">
        <v>263</v>
      </c>
      <c r="D186" s="116" t="s">
        <v>22</v>
      </c>
      <c r="E186" s="116"/>
      <c r="F186" s="116"/>
      <c r="G186" s="116">
        <v>44111791.870173298</v>
      </c>
    </row>
    <row r="187" spans="2:7">
      <c r="B187" s="116" t="s">
        <v>254</v>
      </c>
      <c r="C187" s="116" t="s">
        <v>263</v>
      </c>
      <c r="D187" s="116" t="s">
        <v>23</v>
      </c>
      <c r="E187" s="116"/>
      <c r="F187" s="116"/>
      <c r="G187" s="116">
        <v>44111791.870173298</v>
      </c>
    </row>
  </sheetData>
  <autoFilter ref="B1:G187"/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O38"/>
  <sheetViews>
    <sheetView topLeftCell="V1" workbookViewId="0">
      <selection activeCell="AI15" sqref="AI15"/>
    </sheetView>
  </sheetViews>
  <sheetFormatPr defaultRowHeight="16.5"/>
  <cols>
    <col min="2" max="2" width="9" style="118"/>
    <col min="3" max="3" width="9" style="145"/>
    <col min="4" max="4" width="9" style="118"/>
    <col min="11" max="11" width="9" style="183"/>
    <col min="12" max="14" width="10.875" bestFit="1" customWidth="1"/>
    <col min="17" max="17" width="21.75" bestFit="1" customWidth="1"/>
    <col min="30" max="35" width="9.5" bestFit="1" customWidth="1"/>
  </cols>
  <sheetData>
    <row r="1" spans="2:41">
      <c r="B1" s="150" t="s">
        <v>2</v>
      </c>
      <c r="C1" s="150" t="s">
        <v>316</v>
      </c>
      <c r="D1" s="150" t="s">
        <v>307</v>
      </c>
      <c r="E1" s="150" t="s">
        <v>308</v>
      </c>
      <c r="F1" s="150" t="s">
        <v>309</v>
      </c>
      <c r="G1" s="150" t="s">
        <v>310</v>
      </c>
      <c r="H1" s="150" t="s">
        <v>137</v>
      </c>
      <c r="I1" s="150" t="s">
        <v>138</v>
      </c>
      <c r="J1" s="150" t="s">
        <v>311</v>
      </c>
      <c r="K1" s="295" t="s">
        <v>463</v>
      </c>
      <c r="L1" s="150" t="s">
        <v>312</v>
      </c>
      <c r="M1" s="118" t="s">
        <v>313</v>
      </c>
      <c r="N1" s="118" t="s">
        <v>314</v>
      </c>
      <c r="O1" s="118"/>
      <c r="Q1" s="261" t="s">
        <v>332</v>
      </c>
      <c r="R1" s="261" t="s">
        <v>333</v>
      </c>
      <c r="S1" s="261" t="s">
        <v>334</v>
      </c>
      <c r="T1" s="261" t="s">
        <v>335</v>
      </c>
      <c r="U1" s="261" t="s">
        <v>336</v>
      </c>
      <c r="V1" s="261" t="s">
        <v>337</v>
      </c>
      <c r="W1" s="261" t="s">
        <v>338</v>
      </c>
      <c r="X1" s="261" t="s">
        <v>339</v>
      </c>
      <c r="Y1" s="261" t="s">
        <v>340</v>
      </c>
      <c r="Z1" s="261" t="s">
        <v>341</v>
      </c>
      <c r="AA1" s="261" t="s">
        <v>342</v>
      </c>
      <c r="AB1" s="261" t="s">
        <v>343</v>
      </c>
      <c r="AC1" s="261" t="s">
        <v>344</v>
      </c>
      <c r="AD1" s="261" t="s">
        <v>345</v>
      </c>
      <c r="AE1" s="261" t="s">
        <v>346</v>
      </c>
      <c r="AF1" s="261" t="s">
        <v>347</v>
      </c>
      <c r="AG1" s="261" t="s">
        <v>348</v>
      </c>
      <c r="AH1" s="261" t="s">
        <v>349</v>
      </c>
      <c r="AI1" s="261" t="s">
        <v>350</v>
      </c>
      <c r="AJ1" s="261" t="s">
        <v>351</v>
      </c>
      <c r="AK1" s="261" t="s">
        <v>352</v>
      </c>
      <c r="AL1" s="261" t="s">
        <v>353</v>
      </c>
      <c r="AM1" s="261" t="s">
        <v>354</v>
      </c>
      <c r="AN1" s="261" t="s">
        <v>355</v>
      </c>
      <c r="AO1" s="261" t="s">
        <v>356</v>
      </c>
    </row>
    <row r="2" spans="2:41">
      <c r="B2" s="150" t="s">
        <v>195</v>
      </c>
      <c r="C2" s="150" t="s">
        <v>317</v>
      </c>
      <c r="D2" s="150" t="s">
        <v>315</v>
      </c>
      <c r="E2" s="148">
        <v>119107.09999999999</v>
      </c>
      <c r="F2" s="148">
        <v>71426</v>
      </c>
      <c r="G2" s="148">
        <v>496756</v>
      </c>
      <c r="H2" s="148">
        <v>250358</v>
      </c>
      <c r="I2" s="148">
        <v>253152.9</v>
      </c>
      <c r="J2" s="148">
        <v>5269.0273999999999</v>
      </c>
      <c r="K2" s="188"/>
      <c r="L2" s="149">
        <f t="shared" ref="L2:L14" si="0">SUM(E2:J2)</f>
        <v>1196069.0274</v>
      </c>
      <c r="Q2" s="261" t="s">
        <v>321</v>
      </c>
      <c r="R2" s="198">
        <v>312211</v>
      </c>
      <c r="S2" s="198">
        <v>250151</v>
      </c>
      <c r="T2" s="198">
        <v>310094</v>
      </c>
      <c r="U2" s="198">
        <v>290000</v>
      </c>
      <c r="V2" s="198">
        <v>286188</v>
      </c>
      <c r="W2" s="198">
        <v>339008</v>
      </c>
      <c r="X2" s="198">
        <v>339789</v>
      </c>
      <c r="Y2" s="198">
        <v>283486</v>
      </c>
      <c r="Z2" s="198">
        <v>301654</v>
      </c>
      <c r="AA2" s="198">
        <v>322186</v>
      </c>
      <c r="AB2" s="198">
        <v>339846</v>
      </c>
      <c r="AC2" s="198">
        <v>350292</v>
      </c>
      <c r="AD2" s="198">
        <v>307783</v>
      </c>
      <c r="AE2" s="198">
        <v>312955</v>
      </c>
      <c r="AF2" s="198">
        <v>374478</v>
      </c>
      <c r="AG2" s="198">
        <v>336305</v>
      </c>
      <c r="AH2" s="198">
        <v>332126</v>
      </c>
      <c r="AI2" s="198">
        <v>325840</v>
      </c>
      <c r="AJ2" s="198"/>
      <c r="AK2" s="198"/>
      <c r="AL2" s="198"/>
      <c r="AM2" s="198"/>
      <c r="AN2" s="198"/>
      <c r="AO2" s="198"/>
    </row>
    <row r="3" spans="2:41">
      <c r="B3" s="150" t="s">
        <v>195</v>
      </c>
      <c r="C3" s="150" t="s">
        <v>317</v>
      </c>
      <c r="D3" s="150" t="s">
        <v>13</v>
      </c>
      <c r="E3" s="148">
        <v>104842.5</v>
      </c>
      <c r="F3" s="148">
        <v>63849</v>
      </c>
      <c r="G3" s="148">
        <v>485293</v>
      </c>
      <c r="H3" s="148">
        <v>262795</v>
      </c>
      <c r="I3" s="148">
        <v>245829.5</v>
      </c>
      <c r="J3" s="148">
        <v>4599.1680999999999</v>
      </c>
      <c r="K3" s="188"/>
      <c r="L3" s="149">
        <f t="shared" si="0"/>
        <v>1167208.1680999999</v>
      </c>
      <c r="Q3" s="261" t="s">
        <v>322</v>
      </c>
      <c r="R3" s="198">
        <v>27824</v>
      </c>
      <c r="S3" s="198">
        <v>22750</v>
      </c>
      <c r="T3" s="198">
        <v>27189</v>
      </c>
      <c r="U3" s="198">
        <v>25334</v>
      </c>
      <c r="V3" s="198">
        <v>24812</v>
      </c>
      <c r="W3" s="198">
        <v>28080</v>
      </c>
      <c r="X3" s="198">
        <v>26816</v>
      </c>
      <c r="Y3" s="198">
        <v>22658</v>
      </c>
      <c r="Z3" s="198">
        <v>23931</v>
      </c>
      <c r="AA3" s="198">
        <v>24080</v>
      </c>
      <c r="AB3" s="198">
        <v>23098</v>
      </c>
      <c r="AC3" s="198">
        <v>20969</v>
      </c>
      <c r="AD3" s="198">
        <v>18355</v>
      </c>
      <c r="AE3" s="198">
        <v>19340</v>
      </c>
      <c r="AF3" s="198">
        <v>21640</v>
      </c>
      <c r="AG3" s="198">
        <v>19791</v>
      </c>
      <c r="AH3" s="198">
        <v>20570</v>
      </c>
      <c r="AI3" s="198">
        <v>19881</v>
      </c>
      <c r="AJ3" s="198"/>
      <c r="AK3" s="198"/>
      <c r="AL3" s="198"/>
      <c r="AM3" s="198"/>
      <c r="AN3" s="198"/>
      <c r="AO3" s="198"/>
    </row>
    <row r="4" spans="2:41">
      <c r="B4" s="150" t="s">
        <v>195</v>
      </c>
      <c r="C4" s="150" t="s">
        <v>317</v>
      </c>
      <c r="D4" s="150" t="s">
        <v>14</v>
      </c>
      <c r="E4" s="148">
        <v>115831.09999999999</v>
      </c>
      <c r="F4" s="148">
        <v>71862</v>
      </c>
      <c r="G4" s="148">
        <v>506713</v>
      </c>
      <c r="H4" s="148">
        <v>230148</v>
      </c>
      <c r="I4" s="148">
        <v>270766.90000000002</v>
      </c>
      <c r="J4" s="148">
        <v>3921.3224</v>
      </c>
      <c r="K4" s="188"/>
      <c r="L4" s="149">
        <f t="shared" si="0"/>
        <v>1199242.3223999999</v>
      </c>
      <c r="Q4" s="261" t="s">
        <v>323</v>
      </c>
      <c r="R4" s="198">
        <v>0</v>
      </c>
      <c r="S4" s="198">
        <v>0</v>
      </c>
      <c r="T4" s="198">
        <v>0</v>
      </c>
      <c r="U4" s="198">
        <v>0</v>
      </c>
      <c r="V4" s="198">
        <v>0</v>
      </c>
      <c r="W4" s="198">
        <v>0</v>
      </c>
      <c r="X4" s="198">
        <v>0</v>
      </c>
      <c r="Y4" s="198">
        <v>0</v>
      </c>
      <c r="Z4" s="198">
        <v>0</v>
      </c>
      <c r="AA4" s="198">
        <v>0</v>
      </c>
      <c r="AB4" s="198">
        <v>0</v>
      </c>
      <c r="AC4" s="198">
        <v>0</v>
      </c>
      <c r="AD4" s="198">
        <v>0</v>
      </c>
      <c r="AE4" s="198">
        <v>0</v>
      </c>
      <c r="AF4" s="198">
        <v>0</v>
      </c>
      <c r="AG4" s="198">
        <v>0</v>
      </c>
      <c r="AH4" s="198">
        <v>0</v>
      </c>
      <c r="AI4" s="198">
        <v>0</v>
      </c>
      <c r="AJ4" s="198"/>
      <c r="AK4" s="198"/>
      <c r="AL4" s="198"/>
      <c r="AM4" s="198"/>
      <c r="AN4" s="198"/>
      <c r="AO4" s="198"/>
    </row>
    <row r="5" spans="2:41">
      <c r="B5" s="150" t="s">
        <v>195</v>
      </c>
      <c r="C5" s="150" t="s">
        <v>318</v>
      </c>
      <c r="D5" s="150" t="s">
        <v>15</v>
      </c>
      <c r="E5" s="148">
        <v>137597.59999999998</v>
      </c>
      <c r="F5" s="148">
        <v>100482</v>
      </c>
      <c r="G5" s="148">
        <v>541101</v>
      </c>
      <c r="H5" s="148">
        <v>319100</v>
      </c>
      <c r="I5" s="148">
        <v>278627.40000000002</v>
      </c>
      <c r="J5" s="148">
        <v>3005.8813</v>
      </c>
      <c r="K5" s="188"/>
      <c r="L5" s="149">
        <f t="shared" si="0"/>
        <v>1379913.8813</v>
      </c>
      <c r="Q5" s="261" t="s">
        <v>324</v>
      </c>
      <c r="R5" s="198">
        <v>1575.3173999999999</v>
      </c>
      <c r="S5" s="198">
        <v>1451.5282</v>
      </c>
      <c r="T5" s="198">
        <v>1607.2629999999999</v>
      </c>
      <c r="U5" s="198">
        <v>1376.6557</v>
      </c>
      <c r="V5" s="198">
        <v>1212.9345000000001</v>
      </c>
      <c r="W5" s="198">
        <v>1185.9803999999999</v>
      </c>
      <c r="X5" s="198">
        <v>1065.1860999999999</v>
      </c>
      <c r="Y5" s="198">
        <v>445.24180000000001</v>
      </c>
      <c r="Z5" s="198">
        <v>465.20780000000002</v>
      </c>
      <c r="AA5" s="198">
        <v>1261.8512000000001</v>
      </c>
      <c r="AB5" s="198">
        <v>1482.4755</v>
      </c>
      <c r="AC5" s="198">
        <v>1636.2137</v>
      </c>
      <c r="AD5" s="198">
        <v>1685.1304</v>
      </c>
      <c r="AE5" s="198">
        <v>1446.5367000000001</v>
      </c>
      <c r="AF5" s="198">
        <v>2027.5473</v>
      </c>
      <c r="AG5" s="198">
        <v>1447.5350000000001</v>
      </c>
      <c r="AH5" s="198">
        <v>1406.6047000000001</v>
      </c>
      <c r="AI5" s="198">
        <v>862.53120000000001</v>
      </c>
      <c r="AJ5" s="198"/>
      <c r="AK5" s="198"/>
      <c r="AL5" s="198"/>
      <c r="AM5" s="198"/>
      <c r="AN5" s="198"/>
      <c r="AO5" s="198"/>
    </row>
    <row r="6" spans="2:41">
      <c r="B6" s="150" t="s">
        <v>195</v>
      </c>
      <c r="C6" s="150" t="s">
        <v>318</v>
      </c>
      <c r="D6" s="150" t="s">
        <v>16</v>
      </c>
      <c r="E6" s="148">
        <v>103632.9</v>
      </c>
      <c r="F6" s="148">
        <v>69567</v>
      </c>
      <c r="G6" s="148">
        <v>468677</v>
      </c>
      <c r="H6" s="148">
        <v>278943</v>
      </c>
      <c r="I6" s="148">
        <v>249485.1</v>
      </c>
      <c r="J6" s="148">
        <v>1669.1576</v>
      </c>
      <c r="K6" s="188"/>
      <c r="L6" s="149">
        <f t="shared" si="0"/>
        <v>1171974.1576</v>
      </c>
      <c r="Q6" s="261" t="s">
        <v>325</v>
      </c>
      <c r="R6" s="198">
        <v>334.43049999999999</v>
      </c>
      <c r="S6" s="198">
        <v>291.50360000000001</v>
      </c>
      <c r="T6" s="198">
        <v>301.48660000000001</v>
      </c>
      <c r="U6" s="198">
        <v>293.50020000000001</v>
      </c>
      <c r="V6" s="198">
        <v>281.5206</v>
      </c>
      <c r="W6" s="198">
        <v>336.4271</v>
      </c>
      <c r="X6" s="198">
        <v>347.40839999999997</v>
      </c>
      <c r="Y6" s="198">
        <v>297.49340000000001</v>
      </c>
      <c r="Z6" s="198">
        <v>304.48149999999998</v>
      </c>
      <c r="AA6" s="198">
        <v>303.48320000000001</v>
      </c>
      <c r="AB6" s="198">
        <v>294.49849999999998</v>
      </c>
      <c r="AC6" s="198">
        <v>333.43220000000002</v>
      </c>
      <c r="AD6" s="198">
        <v>333.43220000000002</v>
      </c>
      <c r="AE6" s="198">
        <v>284.51549999999997</v>
      </c>
      <c r="AF6" s="198">
        <v>337.42540000000002</v>
      </c>
      <c r="AG6" s="198">
        <v>299.49</v>
      </c>
      <c r="AH6" s="198">
        <v>302.48489999999998</v>
      </c>
      <c r="AI6" s="198">
        <v>297.49340000000001</v>
      </c>
      <c r="AJ6" s="198"/>
      <c r="AK6" s="198"/>
      <c r="AL6" s="198"/>
      <c r="AM6" s="198"/>
      <c r="AN6" s="198"/>
      <c r="AO6" s="198"/>
    </row>
    <row r="7" spans="2:41">
      <c r="B7" s="150" t="s">
        <v>195</v>
      </c>
      <c r="C7" s="150" t="s">
        <v>318</v>
      </c>
      <c r="D7" s="150" t="s">
        <v>17</v>
      </c>
      <c r="E7" s="148">
        <v>47287.1</v>
      </c>
      <c r="F7" s="148">
        <v>19794</v>
      </c>
      <c r="G7" s="148">
        <v>102907</v>
      </c>
      <c r="H7" s="148">
        <v>203675</v>
      </c>
      <c r="I7" s="148">
        <v>187759.9</v>
      </c>
      <c r="J7" s="148">
        <v>1652.1865</v>
      </c>
      <c r="K7" s="188"/>
      <c r="L7" s="149">
        <f t="shared" si="0"/>
        <v>563075.18649999995</v>
      </c>
      <c r="Q7" s="261" t="s">
        <v>326</v>
      </c>
      <c r="R7" s="198">
        <v>3416.1826000000001</v>
      </c>
      <c r="S7" s="198">
        <v>2881.0938000000001</v>
      </c>
      <c r="T7" s="198">
        <v>2590.5884999999998</v>
      </c>
      <c r="U7" s="198">
        <v>1531.3922</v>
      </c>
      <c r="V7" s="198">
        <v>99.83</v>
      </c>
      <c r="W7" s="198">
        <v>1441.5452</v>
      </c>
      <c r="X7" s="198">
        <v>2202.2498000000001</v>
      </c>
      <c r="Y7" s="198">
        <v>4356.5811999999996</v>
      </c>
      <c r="Z7" s="198">
        <v>2132.3688000000002</v>
      </c>
      <c r="AA7" s="198">
        <v>208.6447</v>
      </c>
      <c r="AB7" s="198">
        <v>1603.2698</v>
      </c>
      <c r="AC7" s="198">
        <v>3411.1911</v>
      </c>
      <c r="AD7" s="198">
        <v>3485.0653000000002</v>
      </c>
      <c r="AE7" s="198">
        <v>3265.4393</v>
      </c>
      <c r="AF7" s="198">
        <v>1833.8770999999999</v>
      </c>
      <c r="AG7" s="198">
        <v>674.85080000000005</v>
      </c>
      <c r="AH7" s="198">
        <v>659.87630000000001</v>
      </c>
      <c r="AI7" s="198">
        <v>2166.3110000000001</v>
      </c>
      <c r="AJ7" s="198"/>
      <c r="AK7" s="198"/>
      <c r="AL7" s="198"/>
      <c r="AM7" s="198"/>
      <c r="AN7" s="198"/>
      <c r="AO7" s="198"/>
    </row>
    <row r="8" spans="2:41">
      <c r="B8" s="150" t="s">
        <v>195</v>
      </c>
      <c r="C8" s="150" t="s">
        <v>319</v>
      </c>
      <c r="D8" s="150" t="s">
        <v>18</v>
      </c>
      <c r="E8" s="148">
        <v>93102.799999999988</v>
      </c>
      <c r="F8" s="148">
        <v>103665</v>
      </c>
      <c r="G8" s="148">
        <v>589049</v>
      </c>
      <c r="H8" s="148">
        <v>369383</v>
      </c>
      <c r="I8" s="148">
        <v>291626.2</v>
      </c>
      <c r="J8" s="148">
        <v>4561.2327000000005</v>
      </c>
      <c r="K8" s="188"/>
      <c r="L8" s="149">
        <f t="shared" si="0"/>
        <v>1451387.2327000001</v>
      </c>
      <c r="Q8" s="261" t="s">
        <v>117</v>
      </c>
      <c r="R8" s="198">
        <v>490891</v>
      </c>
      <c r="S8" s="198">
        <v>455700</v>
      </c>
      <c r="T8" s="198">
        <v>554211</v>
      </c>
      <c r="U8" s="198">
        <v>468487</v>
      </c>
      <c r="V8" s="198">
        <v>442310</v>
      </c>
      <c r="W8" s="198">
        <v>530122</v>
      </c>
      <c r="X8" s="198">
        <v>595238</v>
      </c>
      <c r="Y8" s="198">
        <v>557203</v>
      </c>
      <c r="Z8" s="198">
        <v>546279</v>
      </c>
      <c r="AA8" s="198">
        <v>571480</v>
      </c>
      <c r="AB8" s="198">
        <v>55445</v>
      </c>
      <c r="AC8" s="198">
        <v>0</v>
      </c>
      <c r="AD8" s="198">
        <v>7677</v>
      </c>
      <c r="AE8" s="198">
        <v>16848</v>
      </c>
      <c r="AF8" s="198">
        <v>469244</v>
      </c>
      <c r="AG8" s="198">
        <v>493575</v>
      </c>
      <c r="AH8" s="198">
        <v>508062</v>
      </c>
      <c r="AI8" s="198">
        <v>517800</v>
      </c>
      <c r="AJ8" s="198"/>
      <c r="AK8" s="198"/>
      <c r="AL8" s="198"/>
      <c r="AM8" s="198"/>
      <c r="AN8" s="198"/>
      <c r="AO8" s="198"/>
    </row>
    <row r="9" spans="2:41">
      <c r="B9" s="150" t="s">
        <v>195</v>
      </c>
      <c r="C9" s="150" t="s">
        <v>319</v>
      </c>
      <c r="D9" s="150" t="s">
        <v>19</v>
      </c>
      <c r="E9" s="148">
        <v>72793.7</v>
      </c>
      <c r="F9" s="148">
        <v>61689</v>
      </c>
      <c r="G9" s="148">
        <v>475328</v>
      </c>
      <c r="H9" s="148">
        <v>324211</v>
      </c>
      <c r="I9" s="148">
        <v>251396.3</v>
      </c>
      <c r="J9" s="148">
        <v>3779.5637999999999</v>
      </c>
      <c r="K9" s="188"/>
      <c r="L9" s="149">
        <f t="shared" si="0"/>
        <v>1189197.5637999999</v>
      </c>
      <c r="Q9" s="261" t="s">
        <v>327</v>
      </c>
      <c r="R9" s="198">
        <v>195951</v>
      </c>
      <c r="S9" s="198">
        <v>190433</v>
      </c>
      <c r="T9" s="198">
        <v>165839</v>
      </c>
      <c r="U9" s="198">
        <v>144944</v>
      </c>
      <c r="V9" s="198">
        <v>126568</v>
      </c>
      <c r="W9" s="198">
        <v>119893</v>
      </c>
      <c r="X9" s="198">
        <v>117884</v>
      </c>
      <c r="Y9" s="198">
        <v>108762</v>
      </c>
      <c r="Z9" s="198">
        <v>115334</v>
      </c>
      <c r="AA9" s="198">
        <v>148374</v>
      </c>
      <c r="AB9" s="198">
        <v>72980</v>
      </c>
      <c r="AC9" s="198">
        <v>88759</v>
      </c>
      <c r="AD9" s="198">
        <v>105882</v>
      </c>
      <c r="AE9" s="198">
        <v>92145</v>
      </c>
      <c r="AF9" s="198">
        <v>193260</v>
      </c>
      <c r="AG9" s="198">
        <v>155825</v>
      </c>
      <c r="AH9" s="198">
        <v>171527</v>
      </c>
      <c r="AI9" s="198">
        <v>167922</v>
      </c>
      <c r="AJ9" s="198"/>
      <c r="AK9" s="198"/>
      <c r="AL9" s="198"/>
      <c r="AM9" s="198"/>
      <c r="AN9" s="198"/>
      <c r="AO9" s="198"/>
    </row>
    <row r="10" spans="2:41">
      <c r="B10" s="150" t="s">
        <v>195</v>
      </c>
      <c r="C10" s="150" t="s">
        <v>319</v>
      </c>
      <c r="D10" s="150" t="s">
        <v>20</v>
      </c>
      <c r="E10" s="148">
        <v>81928.7</v>
      </c>
      <c r="F10" s="148">
        <v>95605</v>
      </c>
      <c r="G10" s="148">
        <v>520136</v>
      </c>
      <c r="H10" s="148">
        <v>335526</v>
      </c>
      <c r="I10" s="148">
        <v>261090.3</v>
      </c>
      <c r="J10" s="148">
        <v>2574.6157000000003</v>
      </c>
      <c r="K10" s="188"/>
      <c r="L10" s="149">
        <f t="shared" si="0"/>
        <v>1296860.6157</v>
      </c>
      <c r="Q10" s="261" t="s">
        <v>120</v>
      </c>
      <c r="R10" s="198">
        <v>65995</v>
      </c>
      <c r="S10" s="198">
        <v>82002</v>
      </c>
      <c r="T10" s="198">
        <v>73822</v>
      </c>
      <c r="U10" s="198">
        <v>68605</v>
      </c>
      <c r="V10" s="198">
        <v>80383</v>
      </c>
      <c r="W10" s="198">
        <v>87794</v>
      </c>
      <c r="X10" s="198">
        <v>94492</v>
      </c>
      <c r="Y10" s="198">
        <v>82216</v>
      </c>
      <c r="Z10" s="198">
        <v>81818</v>
      </c>
      <c r="AA10" s="198">
        <v>95288</v>
      </c>
      <c r="AB10" s="198">
        <v>10207</v>
      </c>
      <c r="AC10" s="198">
        <v>0</v>
      </c>
      <c r="AD10" s="198">
        <v>0</v>
      </c>
      <c r="AE10" s="198">
        <v>0</v>
      </c>
      <c r="AF10" s="198">
        <v>80125</v>
      </c>
      <c r="AG10" s="198">
        <v>74925</v>
      </c>
      <c r="AH10" s="198">
        <v>76883</v>
      </c>
      <c r="AI10" s="198">
        <v>88270</v>
      </c>
      <c r="AJ10" s="198"/>
      <c r="AK10" s="198"/>
      <c r="AL10" s="198"/>
      <c r="AM10" s="198"/>
      <c r="AN10" s="198"/>
      <c r="AO10" s="198"/>
    </row>
    <row r="11" spans="2:41">
      <c r="B11" s="150" t="s">
        <v>195</v>
      </c>
      <c r="C11" s="150" t="s">
        <v>320</v>
      </c>
      <c r="D11" s="150" t="s">
        <v>21</v>
      </c>
      <c r="E11" s="148">
        <v>100772</v>
      </c>
      <c r="F11" s="148">
        <v>75198</v>
      </c>
      <c r="G11" s="148">
        <v>538481</v>
      </c>
      <c r="H11" s="148">
        <v>327801</v>
      </c>
      <c r="I11" s="148">
        <v>287294</v>
      </c>
      <c r="J11" s="148">
        <v>1563.3379</v>
      </c>
      <c r="K11" s="188"/>
      <c r="L11" s="149">
        <f t="shared" si="0"/>
        <v>1331109.3378999999</v>
      </c>
      <c r="Q11" s="261" t="s">
        <v>328</v>
      </c>
      <c r="R11" s="198">
        <v>122665</v>
      </c>
      <c r="S11" s="198">
        <v>105290</v>
      </c>
      <c r="T11" s="198">
        <v>96924</v>
      </c>
      <c r="U11" s="198">
        <v>105822</v>
      </c>
      <c r="V11" s="198">
        <v>91761</v>
      </c>
      <c r="W11" s="198">
        <v>131951</v>
      </c>
      <c r="X11" s="198">
        <v>120276</v>
      </c>
      <c r="Y11" s="198">
        <v>87456</v>
      </c>
      <c r="Z11" s="198">
        <v>109268</v>
      </c>
      <c r="AA11" s="198">
        <v>121913</v>
      </c>
      <c r="AB11" s="198">
        <v>120502</v>
      </c>
      <c r="AC11" s="198">
        <v>130418</v>
      </c>
      <c r="AD11" s="198">
        <v>102793</v>
      </c>
      <c r="AE11" s="198">
        <v>111059</v>
      </c>
      <c r="AF11" s="198">
        <v>136021</v>
      </c>
      <c r="AG11" s="198">
        <v>125258</v>
      </c>
      <c r="AH11" s="198">
        <v>116481</v>
      </c>
      <c r="AI11" s="198">
        <v>123776</v>
      </c>
      <c r="AJ11" s="198"/>
      <c r="AK11" s="198"/>
      <c r="AL11" s="198"/>
      <c r="AM11" s="198"/>
      <c r="AN11" s="198"/>
      <c r="AO11" s="198"/>
    </row>
    <row r="12" spans="2:41">
      <c r="B12" s="150" t="s">
        <v>195</v>
      </c>
      <c r="C12" s="150" t="s">
        <v>320</v>
      </c>
      <c r="D12" s="150" t="s">
        <v>22</v>
      </c>
      <c r="E12" s="148">
        <v>125520.49999999999</v>
      </c>
      <c r="F12" s="148">
        <v>76321</v>
      </c>
      <c r="G12" s="148">
        <v>521487</v>
      </c>
      <c r="H12" s="148">
        <v>329867</v>
      </c>
      <c r="I12" s="148">
        <v>280627.5</v>
      </c>
      <c r="J12" s="148">
        <v>3037.8269</v>
      </c>
      <c r="K12" s="188"/>
      <c r="L12" s="149">
        <f t="shared" si="0"/>
        <v>1336860.8269</v>
      </c>
      <c r="Q12" s="261" t="s">
        <v>329</v>
      </c>
      <c r="R12" s="198">
        <v>23871</v>
      </c>
      <c r="S12" s="198">
        <v>22532</v>
      </c>
      <c r="T12" s="198">
        <v>25261</v>
      </c>
      <c r="U12" s="198">
        <v>24451</v>
      </c>
      <c r="V12" s="198">
        <v>20607</v>
      </c>
      <c r="W12" s="198">
        <v>23114</v>
      </c>
      <c r="X12" s="198">
        <v>30798</v>
      </c>
      <c r="Y12" s="198">
        <v>22819</v>
      </c>
      <c r="Z12" s="198">
        <v>31020</v>
      </c>
      <c r="AA12" s="198">
        <v>33270</v>
      </c>
      <c r="AB12" s="198">
        <v>32915</v>
      </c>
      <c r="AC12" s="198">
        <v>35682</v>
      </c>
      <c r="AD12" s="198">
        <v>32366</v>
      </c>
      <c r="AE12" s="198">
        <v>43193</v>
      </c>
      <c r="AF12" s="198">
        <v>27112</v>
      </c>
      <c r="AG12" s="198">
        <v>30396</v>
      </c>
      <c r="AH12" s="198">
        <v>28613</v>
      </c>
      <c r="AI12" s="198">
        <v>36318</v>
      </c>
      <c r="AJ12" s="198"/>
      <c r="AK12" s="198"/>
      <c r="AL12" s="198"/>
      <c r="AM12" s="198"/>
      <c r="AN12" s="198"/>
      <c r="AO12" s="198"/>
    </row>
    <row r="13" spans="2:41">
      <c r="B13" s="150" t="s">
        <v>195</v>
      </c>
      <c r="C13" s="150" t="s">
        <v>320</v>
      </c>
      <c r="D13" s="150" t="s">
        <v>23</v>
      </c>
      <c r="E13" s="148">
        <v>150738</v>
      </c>
      <c r="F13" s="148">
        <v>85780</v>
      </c>
      <c r="G13" s="148">
        <v>528923</v>
      </c>
      <c r="H13" s="148">
        <v>366794</v>
      </c>
      <c r="I13" s="148">
        <v>324055</v>
      </c>
      <c r="J13" s="148">
        <v>5129.2654000000002</v>
      </c>
      <c r="K13" s="188"/>
      <c r="L13" s="149">
        <f t="shared" si="0"/>
        <v>1461419.2653999999</v>
      </c>
      <c r="Q13" s="261" t="s">
        <v>330</v>
      </c>
      <c r="R13" s="198">
        <v>13965</v>
      </c>
      <c r="S13" s="198">
        <v>12953</v>
      </c>
      <c r="T13" s="198">
        <v>11997</v>
      </c>
      <c r="U13" s="198">
        <v>12566</v>
      </c>
      <c r="V13" s="198">
        <v>10392</v>
      </c>
      <c r="W13" s="198">
        <v>14368</v>
      </c>
      <c r="X13" s="198">
        <v>13046</v>
      </c>
      <c r="Y13" s="198">
        <v>11197</v>
      </c>
      <c r="Z13" s="198">
        <v>11874</v>
      </c>
      <c r="AA13" s="198">
        <v>12795</v>
      </c>
      <c r="AB13" s="198">
        <v>13923</v>
      </c>
      <c r="AC13" s="198">
        <v>10577</v>
      </c>
      <c r="AD13" s="198">
        <v>7893</v>
      </c>
      <c r="AE13" s="198">
        <v>8197</v>
      </c>
      <c r="AF13" s="198">
        <v>10189</v>
      </c>
      <c r="AG13" s="198">
        <v>9019</v>
      </c>
      <c r="AH13" s="198">
        <v>9131</v>
      </c>
      <c r="AI13" s="198">
        <v>8743</v>
      </c>
      <c r="AJ13" s="198"/>
      <c r="AK13" s="198"/>
      <c r="AL13" s="198"/>
      <c r="AM13" s="198"/>
      <c r="AN13" s="198"/>
      <c r="AO13" s="198"/>
    </row>
    <row r="14" spans="2:41">
      <c r="B14" s="150" t="s">
        <v>85</v>
      </c>
      <c r="C14" s="150" t="s">
        <v>317</v>
      </c>
      <c r="D14" s="150" t="s">
        <v>315</v>
      </c>
      <c r="E14" s="148">
        <v>137165.69999999998</v>
      </c>
      <c r="F14" s="148">
        <v>65995</v>
      </c>
      <c r="G14" s="148">
        <v>490891</v>
      </c>
      <c r="H14" s="148">
        <v>340035</v>
      </c>
      <c r="I14" s="148">
        <v>299500.3</v>
      </c>
      <c r="J14" s="148">
        <v>5325.9305000000004</v>
      </c>
      <c r="K14" s="188"/>
      <c r="L14" s="149">
        <f t="shared" si="0"/>
        <v>1338912.9305</v>
      </c>
      <c r="Q14" s="261" t="s">
        <v>331</v>
      </c>
      <c r="R14" s="198">
        <v>80214</v>
      </c>
      <c r="S14" s="198">
        <v>78173</v>
      </c>
      <c r="T14" s="198">
        <v>73250</v>
      </c>
      <c r="U14" s="198">
        <v>80907</v>
      </c>
      <c r="V14" s="198">
        <v>63401</v>
      </c>
      <c r="W14" s="198">
        <v>87624</v>
      </c>
      <c r="X14" s="198">
        <v>82589</v>
      </c>
      <c r="Y14" s="198">
        <v>70422</v>
      </c>
      <c r="Z14" s="198">
        <v>74163</v>
      </c>
      <c r="AA14" s="198">
        <v>76494</v>
      </c>
      <c r="AB14" s="198">
        <v>87859</v>
      </c>
      <c r="AC14" s="198">
        <v>90584</v>
      </c>
      <c r="AD14" s="198">
        <v>78214</v>
      </c>
      <c r="AE14" s="198">
        <v>83416</v>
      </c>
      <c r="AF14" s="198">
        <v>99522</v>
      </c>
      <c r="AG14" s="198">
        <v>89416</v>
      </c>
      <c r="AH14" s="198">
        <v>87518</v>
      </c>
      <c r="AI14" s="198">
        <v>87198</v>
      </c>
      <c r="AJ14" s="198"/>
      <c r="AK14" s="198"/>
      <c r="AL14" s="198"/>
      <c r="AM14" s="198"/>
      <c r="AN14" s="198"/>
      <c r="AO14" s="198"/>
    </row>
    <row r="15" spans="2:41" s="183" customFormat="1">
      <c r="B15" s="295"/>
      <c r="C15" s="295"/>
      <c r="D15" s="295"/>
      <c r="E15" s="188"/>
      <c r="F15" s="188"/>
      <c r="G15" s="188"/>
      <c r="H15" s="188"/>
      <c r="I15" s="188"/>
      <c r="J15" s="188"/>
      <c r="K15" s="188"/>
      <c r="L15" s="189"/>
      <c r="Q15" s="261" t="s">
        <v>462</v>
      </c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>
        <v>-3.6278999999631196</v>
      </c>
      <c r="AE15" s="198">
        <v>-3.4915000000037253</v>
      </c>
      <c r="AF15" s="198">
        <v>-2.8497999999672174</v>
      </c>
      <c r="AG15" s="198">
        <v>-3.875800000037998</v>
      </c>
      <c r="AH15" s="198">
        <v>-3.9658999999519438</v>
      </c>
      <c r="AI15" s="198">
        <v>-4.3356000000000003</v>
      </c>
      <c r="AJ15" s="198"/>
      <c r="AK15" s="198"/>
      <c r="AL15" s="198"/>
      <c r="AM15" s="198"/>
      <c r="AN15" s="198"/>
      <c r="AO15" s="198"/>
    </row>
    <row r="16" spans="2:41">
      <c r="B16" s="150" t="s">
        <v>85</v>
      </c>
      <c r="C16" s="150" t="s">
        <v>317</v>
      </c>
      <c r="D16" s="150" t="s">
        <v>13</v>
      </c>
      <c r="E16" s="148">
        <v>110165.4905</v>
      </c>
      <c r="F16" s="148">
        <v>82002</v>
      </c>
      <c r="G16" s="148">
        <v>455700</v>
      </c>
      <c r="H16" s="148">
        <v>272901</v>
      </c>
      <c r="I16" s="148">
        <v>299215.50949999999</v>
      </c>
      <c r="J16" s="148">
        <v>4624.1256000000003</v>
      </c>
      <c r="K16" s="188"/>
      <c r="L16" s="149">
        <f t="shared" ref="L16:L26" si="1">SUM(E16:J16)</f>
        <v>1224608.1255999999</v>
      </c>
      <c r="M16" s="146">
        <v>1010060</v>
      </c>
      <c r="N16" s="146">
        <v>735818</v>
      </c>
      <c r="Q16" s="261" t="s">
        <v>132</v>
      </c>
      <c r="R16" s="198">
        <f>SUM(R2:R14)</f>
        <v>1338912.9305</v>
      </c>
      <c r="S16" s="198">
        <f t="shared" ref="S16:AC16" si="2">SUM(S2:S14)</f>
        <v>1224608.1255999999</v>
      </c>
      <c r="T16" s="198">
        <f t="shared" si="2"/>
        <v>1343086.3381000001</v>
      </c>
      <c r="U16" s="198">
        <f t="shared" si="2"/>
        <v>1224317.5481</v>
      </c>
      <c r="V16" s="198">
        <f t="shared" si="2"/>
        <v>1148016.2851</v>
      </c>
      <c r="W16" s="198">
        <f t="shared" si="2"/>
        <v>1364917.9527</v>
      </c>
      <c r="X16" s="198">
        <f t="shared" si="2"/>
        <v>1424542.8443</v>
      </c>
      <c r="Y16" s="198">
        <f t="shared" si="2"/>
        <v>1251318.3163999999</v>
      </c>
      <c r="Z16" s="198">
        <f t="shared" si="2"/>
        <v>1298243.0581</v>
      </c>
      <c r="AA16" s="198">
        <f t="shared" si="2"/>
        <v>1407653.9791000001</v>
      </c>
      <c r="AB16" s="198">
        <f t="shared" si="2"/>
        <v>760155.24380000005</v>
      </c>
      <c r="AC16" s="198">
        <f t="shared" si="2"/>
        <v>732661.83700000006</v>
      </c>
      <c r="AD16" s="198">
        <f>SUM(AD2:AD15)</f>
        <v>666463</v>
      </c>
      <c r="AE16" s="198">
        <f t="shared" ref="AE16:AO16" si="3">SUM(AE2:AE15)</f>
        <v>692146</v>
      </c>
      <c r="AF16" s="198">
        <f t="shared" si="3"/>
        <v>1415787</v>
      </c>
      <c r="AG16" s="198">
        <f t="shared" si="3"/>
        <v>1336928</v>
      </c>
      <c r="AH16" s="198">
        <f t="shared" si="3"/>
        <v>1353276</v>
      </c>
      <c r="AI16" s="198">
        <f t="shared" si="3"/>
        <v>1379069.9999999998</v>
      </c>
      <c r="AJ16" s="198">
        <f t="shared" si="3"/>
        <v>0</v>
      </c>
      <c r="AK16" s="198">
        <f t="shared" si="3"/>
        <v>0</v>
      </c>
      <c r="AL16" s="198">
        <f t="shared" si="3"/>
        <v>0</v>
      </c>
      <c r="AM16" s="198">
        <f t="shared" si="3"/>
        <v>0</v>
      </c>
      <c r="AN16" s="198">
        <f t="shared" si="3"/>
        <v>0</v>
      </c>
      <c r="AO16" s="198">
        <f t="shared" si="3"/>
        <v>0</v>
      </c>
    </row>
    <row r="17" spans="2:41">
      <c r="B17" s="150" t="s">
        <v>85</v>
      </c>
      <c r="C17" s="150" t="s">
        <v>317</v>
      </c>
      <c r="D17" s="150" t="s">
        <v>14</v>
      </c>
      <c r="E17" s="148">
        <v>87934.207605941177</v>
      </c>
      <c r="F17" s="148">
        <v>73822</v>
      </c>
      <c r="G17" s="148">
        <v>554211</v>
      </c>
      <c r="H17" s="148">
        <v>337283</v>
      </c>
      <c r="I17" s="148">
        <v>285336.79239405884</v>
      </c>
      <c r="J17" s="148">
        <v>4499.3380999999999</v>
      </c>
      <c r="K17" s="188"/>
      <c r="L17" s="149">
        <f t="shared" si="1"/>
        <v>1343086.3381000001</v>
      </c>
      <c r="M17" s="146">
        <v>972339</v>
      </c>
      <c r="N17" s="146">
        <v>861438</v>
      </c>
      <c r="Q17" s="261" t="s">
        <v>357</v>
      </c>
      <c r="R17" s="198">
        <v>1369115</v>
      </c>
      <c r="S17" s="198">
        <v>2379175</v>
      </c>
      <c r="T17" s="198">
        <v>3351514</v>
      </c>
      <c r="U17" s="198">
        <v>4368485</v>
      </c>
      <c r="V17" s="198">
        <v>5348531</v>
      </c>
      <c r="W17" s="198">
        <v>6311386</v>
      </c>
      <c r="X17" s="198">
        <v>7457585</v>
      </c>
      <c r="Y17" s="198">
        <v>8372606</v>
      </c>
      <c r="Z17" s="198">
        <v>9568471</v>
      </c>
      <c r="AA17" s="198">
        <v>10785542</v>
      </c>
      <c r="AB17" s="198">
        <v>10800963</v>
      </c>
      <c r="AC17" s="198">
        <v>10829845</v>
      </c>
      <c r="AD17" s="198">
        <v>11175982</v>
      </c>
      <c r="AE17" s="198">
        <v>11271421</v>
      </c>
      <c r="AF17" s="198">
        <v>12254247</v>
      </c>
      <c r="AG17" s="198">
        <v>13190831</v>
      </c>
      <c r="AH17" s="198">
        <v>14138734</v>
      </c>
      <c r="AI17" s="198">
        <v>15001238</v>
      </c>
      <c r="AJ17" s="198"/>
      <c r="AK17" s="198"/>
      <c r="AL17" s="198"/>
      <c r="AM17" s="198"/>
      <c r="AN17" s="198"/>
      <c r="AO17" s="198"/>
    </row>
    <row r="18" spans="2:41">
      <c r="B18" s="150" t="s">
        <v>85</v>
      </c>
      <c r="C18" s="150" t="s">
        <v>318</v>
      </c>
      <c r="D18" s="150" t="s">
        <v>15</v>
      </c>
      <c r="E18" s="148">
        <v>83811.566845372829</v>
      </c>
      <c r="F18" s="148">
        <v>68605</v>
      </c>
      <c r="G18" s="148">
        <v>468487</v>
      </c>
      <c r="H18" s="148">
        <v>315334</v>
      </c>
      <c r="I18" s="148">
        <v>284878.43315462716</v>
      </c>
      <c r="J18" s="148">
        <v>3201.5481</v>
      </c>
      <c r="K18" s="188"/>
      <c r="L18" s="149">
        <f t="shared" si="1"/>
        <v>1224317.5481</v>
      </c>
      <c r="M18" s="146">
        <v>1016971</v>
      </c>
      <c r="N18" s="146">
        <v>741782</v>
      </c>
      <c r="Q18" s="261" t="s">
        <v>358</v>
      </c>
      <c r="R18" s="198">
        <v>1230311</v>
      </c>
      <c r="S18" s="198">
        <v>1966129</v>
      </c>
      <c r="T18" s="198">
        <v>2827567</v>
      </c>
      <c r="U18" s="198">
        <v>3569349</v>
      </c>
      <c r="V18" s="198">
        <v>4225586</v>
      </c>
      <c r="W18" s="198">
        <v>4829507</v>
      </c>
      <c r="X18" s="198">
        <v>5301181</v>
      </c>
      <c r="Y18" s="198">
        <v>5755573</v>
      </c>
      <c r="Z18" s="198">
        <v>6336987</v>
      </c>
      <c r="AA18" s="198">
        <v>6991192</v>
      </c>
      <c r="AB18" s="198">
        <v>7821900</v>
      </c>
      <c r="AC18" s="198">
        <v>8900000</v>
      </c>
      <c r="AD18" s="198">
        <v>9977409</v>
      </c>
      <c r="AE18" s="198">
        <v>11113149</v>
      </c>
      <c r="AF18" s="198">
        <v>12154870</v>
      </c>
      <c r="AG18" s="198">
        <v>13072895</v>
      </c>
      <c r="AH18" s="198">
        <v>13883844</v>
      </c>
      <c r="AI18" s="198">
        <v>14719991</v>
      </c>
      <c r="AJ18" s="198"/>
      <c r="AK18" s="198"/>
      <c r="AL18" s="198"/>
      <c r="AM18" s="198"/>
      <c r="AN18" s="198"/>
      <c r="AO18" s="198"/>
    </row>
    <row r="19" spans="2:41">
      <c r="B19" s="150" t="s">
        <v>85</v>
      </c>
      <c r="C19" s="150" t="s">
        <v>318</v>
      </c>
      <c r="D19" s="150" t="s">
        <v>16</v>
      </c>
      <c r="E19" s="147">
        <v>75807.462479289956</v>
      </c>
      <c r="F19" s="147">
        <v>80383</v>
      </c>
      <c r="G19" s="147">
        <v>442310</v>
      </c>
      <c r="H19" s="147">
        <v>311000</v>
      </c>
      <c r="I19" s="147">
        <v>236921.53752071006</v>
      </c>
      <c r="J19" s="147">
        <v>1594.2851000000001</v>
      </c>
      <c r="K19" s="187"/>
      <c r="L19" s="149">
        <f t="shared" si="1"/>
        <v>1148016.2851</v>
      </c>
      <c r="M19" s="146">
        <v>980046</v>
      </c>
      <c r="N19" s="146">
        <v>656237</v>
      </c>
      <c r="Q19" s="152"/>
      <c r="S19">
        <f>S17-R17</f>
        <v>1010060</v>
      </c>
      <c r="T19" s="151">
        <f t="shared" ref="T19:AD19" si="4">T17-S17</f>
        <v>972339</v>
      </c>
      <c r="U19" s="151">
        <f t="shared" si="4"/>
        <v>1016971</v>
      </c>
      <c r="V19" s="151">
        <f t="shared" si="4"/>
        <v>980046</v>
      </c>
      <c r="W19" s="151">
        <f t="shared" si="4"/>
        <v>962855</v>
      </c>
      <c r="X19" s="151">
        <f t="shared" si="4"/>
        <v>1146199</v>
      </c>
      <c r="Y19" s="151">
        <f t="shared" si="4"/>
        <v>915021</v>
      </c>
      <c r="Z19" s="151">
        <f t="shared" si="4"/>
        <v>1195865</v>
      </c>
      <c r="AA19" s="151">
        <f t="shared" si="4"/>
        <v>1217071</v>
      </c>
      <c r="AB19" s="151">
        <f t="shared" si="4"/>
        <v>15421</v>
      </c>
      <c r="AC19" s="151">
        <f t="shared" si="4"/>
        <v>28882</v>
      </c>
      <c r="AD19" s="151">
        <f t="shared" si="4"/>
        <v>346137</v>
      </c>
      <c r="AE19" s="151">
        <f t="shared" ref="AE19:AO19" si="5">AE17-AD17</f>
        <v>95439</v>
      </c>
      <c r="AF19" s="151">
        <f t="shared" si="5"/>
        <v>982826</v>
      </c>
      <c r="AG19" s="151">
        <f t="shared" si="5"/>
        <v>936584</v>
      </c>
      <c r="AH19" s="151">
        <f t="shared" si="5"/>
        <v>947903</v>
      </c>
      <c r="AI19" s="151">
        <f t="shared" si="5"/>
        <v>862504</v>
      </c>
      <c r="AJ19" s="151">
        <f t="shared" si="5"/>
        <v>-15001238</v>
      </c>
      <c r="AK19" s="151">
        <f t="shared" si="5"/>
        <v>0</v>
      </c>
      <c r="AL19" s="151">
        <f t="shared" si="5"/>
        <v>0</v>
      </c>
      <c r="AM19" s="151">
        <f t="shared" si="5"/>
        <v>0</v>
      </c>
      <c r="AN19" s="151">
        <f t="shared" si="5"/>
        <v>0</v>
      </c>
      <c r="AO19" s="151">
        <f t="shared" si="5"/>
        <v>0</v>
      </c>
    </row>
    <row r="20" spans="2:41">
      <c r="B20" s="150" t="s">
        <v>85</v>
      </c>
      <c r="C20" s="150" t="s">
        <v>318</v>
      </c>
      <c r="D20" s="150" t="s">
        <v>17</v>
      </c>
      <c r="E20" s="147">
        <v>73679.692894836277</v>
      </c>
      <c r="F20" s="147">
        <v>87794</v>
      </c>
      <c r="G20" s="147">
        <v>530122</v>
      </c>
      <c r="H20" s="147">
        <v>367088</v>
      </c>
      <c r="I20" s="147">
        <v>303270.30710516369</v>
      </c>
      <c r="J20" s="147">
        <v>2963.9526999999998</v>
      </c>
      <c r="K20" s="187"/>
      <c r="L20" s="149">
        <f t="shared" si="1"/>
        <v>1364917.9527</v>
      </c>
      <c r="M20" s="146">
        <v>962855</v>
      </c>
      <c r="N20" s="146">
        <v>603921</v>
      </c>
      <c r="Q20" s="152"/>
      <c r="S20">
        <f>S18-R18</f>
        <v>735818</v>
      </c>
      <c r="T20" s="151">
        <f t="shared" ref="T20:AD20" si="6">T18-S18</f>
        <v>861438</v>
      </c>
      <c r="U20" s="151">
        <f t="shared" si="6"/>
        <v>741782</v>
      </c>
      <c r="V20" s="151">
        <f t="shared" si="6"/>
        <v>656237</v>
      </c>
      <c r="W20" s="151">
        <f t="shared" si="6"/>
        <v>603921</v>
      </c>
      <c r="X20" s="151">
        <f t="shared" si="6"/>
        <v>471674</v>
      </c>
      <c r="Y20" s="151">
        <f t="shared" si="6"/>
        <v>454392</v>
      </c>
      <c r="Z20" s="151">
        <f t="shared" si="6"/>
        <v>581414</v>
      </c>
      <c r="AA20" s="151">
        <f t="shared" si="6"/>
        <v>654205</v>
      </c>
      <c r="AB20" s="151">
        <f t="shared" si="6"/>
        <v>830708</v>
      </c>
      <c r="AC20" s="151">
        <f t="shared" si="6"/>
        <v>1078100</v>
      </c>
      <c r="AD20" s="151">
        <f t="shared" si="6"/>
        <v>1077409</v>
      </c>
      <c r="AE20" s="151">
        <f t="shared" ref="AE20:AO20" si="7">AE18-AD18</f>
        <v>1135740</v>
      </c>
      <c r="AF20" s="151">
        <f t="shared" si="7"/>
        <v>1041721</v>
      </c>
      <c r="AG20" s="151">
        <f t="shared" si="7"/>
        <v>918025</v>
      </c>
      <c r="AH20" s="151">
        <f t="shared" si="7"/>
        <v>810949</v>
      </c>
      <c r="AI20" s="151">
        <f t="shared" si="7"/>
        <v>836147</v>
      </c>
      <c r="AJ20" s="151">
        <f t="shared" si="7"/>
        <v>-14719991</v>
      </c>
      <c r="AK20" s="151">
        <f t="shared" si="7"/>
        <v>0</v>
      </c>
      <c r="AL20" s="151">
        <f t="shared" si="7"/>
        <v>0</v>
      </c>
      <c r="AM20" s="151">
        <f t="shared" si="7"/>
        <v>0</v>
      </c>
      <c r="AN20" s="151">
        <f t="shared" si="7"/>
        <v>0</v>
      </c>
      <c r="AO20" s="151">
        <f t="shared" si="7"/>
        <v>0</v>
      </c>
    </row>
    <row r="21" spans="2:41">
      <c r="B21" s="150" t="s">
        <v>85</v>
      </c>
      <c r="C21" s="150" t="s">
        <v>319</v>
      </c>
      <c r="D21" s="150" t="s">
        <v>18</v>
      </c>
      <c r="E21" s="147">
        <v>83516.149237919162</v>
      </c>
      <c r="F21" s="147">
        <v>94492</v>
      </c>
      <c r="G21" s="147">
        <v>595238</v>
      </c>
      <c r="H21" s="147">
        <v>366605</v>
      </c>
      <c r="I21" s="147">
        <v>281076.85076208087</v>
      </c>
      <c r="J21" s="147">
        <v>3614.8442999999997</v>
      </c>
      <c r="K21" s="187"/>
      <c r="L21" s="149">
        <f t="shared" si="1"/>
        <v>1424542.8443</v>
      </c>
      <c r="M21" s="146">
        <v>1146199</v>
      </c>
      <c r="N21" s="146">
        <v>471674</v>
      </c>
      <c r="Q21" s="152"/>
      <c r="S21">
        <f>SUM(S19:S20)</f>
        <v>1745878</v>
      </c>
      <c r="T21" s="151">
        <f t="shared" ref="T21:AD21" si="8">SUM(T19:T20)</f>
        <v>1833777</v>
      </c>
      <c r="U21" s="151">
        <f t="shared" si="8"/>
        <v>1758753</v>
      </c>
      <c r="V21" s="151">
        <f t="shared" si="8"/>
        <v>1636283</v>
      </c>
      <c r="W21" s="151">
        <f t="shared" si="8"/>
        <v>1566776</v>
      </c>
      <c r="X21" s="151">
        <f t="shared" si="8"/>
        <v>1617873</v>
      </c>
      <c r="Y21" s="151">
        <f t="shared" si="8"/>
        <v>1369413</v>
      </c>
      <c r="Z21" s="151">
        <f t="shared" si="8"/>
        <v>1777279</v>
      </c>
      <c r="AA21" s="151">
        <f t="shared" si="8"/>
        <v>1871276</v>
      </c>
      <c r="AB21" s="151">
        <f t="shared" si="8"/>
        <v>846129</v>
      </c>
      <c r="AC21" s="151">
        <f t="shared" si="8"/>
        <v>1106982</v>
      </c>
      <c r="AD21" s="151">
        <f t="shared" si="8"/>
        <v>1423546</v>
      </c>
      <c r="AE21" s="151">
        <f t="shared" ref="AE21" si="9">SUM(AE19:AE20)</f>
        <v>1231179</v>
      </c>
      <c r="AF21" s="151">
        <f t="shared" ref="AF21" si="10">SUM(AF19:AF20)</f>
        <v>2024547</v>
      </c>
      <c r="AG21" s="151">
        <f t="shared" ref="AG21" si="11">SUM(AG19:AG20)</f>
        <v>1854609</v>
      </c>
      <c r="AH21" s="151">
        <f t="shared" ref="AH21" si="12">SUM(AH19:AH20)</f>
        <v>1758852</v>
      </c>
      <c r="AI21" s="151">
        <f t="shared" ref="AI21" si="13">SUM(AI19:AI20)</f>
        <v>1698651</v>
      </c>
      <c r="AJ21" s="151">
        <f t="shared" ref="AJ21" si="14">SUM(AJ19:AJ20)</f>
        <v>-29721229</v>
      </c>
      <c r="AK21" s="151">
        <f t="shared" ref="AK21" si="15">SUM(AK19:AK20)</f>
        <v>0</v>
      </c>
      <c r="AL21" s="151">
        <f t="shared" ref="AL21" si="16">SUM(AL19:AL20)</f>
        <v>0</v>
      </c>
      <c r="AM21" s="151">
        <f t="shared" ref="AM21" si="17">SUM(AM19:AM20)</f>
        <v>0</v>
      </c>
      <c r="AN21" s="151">
        <f t="shared" ref="AN21" si="18">SUM(AN19:AN20)</f>
        <v>0</v>
      </c>
      <c r="AO21" s="151">
        <f t="shared" ref="AO21" si="19">SUM(AO19:AO20)</f>
        <v>0</v>
      </c>
    </row>
    <row r="22" spans="2:41">
      <c r="B22" s="150" t="s">
        <v>85</v>
      </c>
      <c r="C22" s="150" t="s">
        <v>319</v>
      </c>
      <c r="D22" s="150" t="s">
        <v>19</v>
      </c>
      <c r="E22" s="147">
        <v>72673.119067804975</v>
      </c>
      <c r="F22" s="147">
        <v>82216</v>
      </c>
      <c r="G22" s="147">
        <v>557203</v>
      </c>
      <c r="H22" s="147">
        <v>306144</v>
      </c>
      <c r="I22" s="147">
        <v>227982.88093219502</v>
      </c>
      <c r="J22" s="147">
        <v>5099.3163999999997</v>
      </c>
      <c r="K22" s="187"/>
      <c r="L22" s="149">
        <f t="shared" si="1"/>
        <v>1251318.3163999999</v>
      </c>
      <c r="M22" s="146">
        <v>915021</v>
      </c>
      <c r="N22" s="146">
        <v>454392</v>
      </c>
    </row>
    <row r="23" spans="2:41">
      <c r="B23" s="150" t="s">
        <v>85</v>
      </c>
      <c r="C23" s="150" t="s">
        <v>319</v>
      </c>
      <c r="D23" s="150" t="s">
        <v>20</v>
      </c>
      <c r="E23" s="147">
        <v>77603.963086268399</v>
      </c>
      <c r="F23" s="147">
        <v>81818</v>
      </c>
      <c r="G23" s="147">
        <v>546279</v>
      </c>
      <c r="H23" s="147">
        <v>325585</v>
      </c>
      <c r="I23" s="147">
        <v>264055.0369137316</v>
      </c>
      <c r="J23" s="147">
        <v>2902.0581000000002</v>
      </c>
      <c r="K23" s="187"/>
      <c r="L23" s="149">
        <f t="shared" si="1"/>
        <v>1298243.0581</v>
      </c>
      <c r="M23" s="146">
        <v>1195865</v>
      </c>
      <c r="N23" s="146">
        <v>581414</v>
      </c>
      <c r="AD23">
        <v>666463</v>
      </c>
      <c r="AE23">
        <v>692146</v>
      </c>
      <c r="AF23">
        <v>1415787</v>
      </c>
      <c r="AG23">
        <v>1336928</v>
      </c>
      <c r="AH23">
        <v>1353276</v>
      </c>
      <c r="AI23" s="186">
        <f>AI16-1379070</f>
        <v>0</v>
      </c>
    </row>
    <row r="24" spans="2:41">
      <c r="B24" s="150" t="s">
        <v>85</v>
      </c>
      <c r="C24" s="150" t="s">
        <v>320</v>
      </c>
      <c r="D24" s="150" t="s">
        <v>21</v>
      </c>
      <c r="E24" s="147">
        <v>96501.901672441687</v>
      </c>
      <c r="F24" s="147">
        <v>95288</v>
      </c>
      <c r="G24" s="147">
        <v>571480</v>
      </c>
      <c r="H24" s="147">
        <v>346266</v>
      </c>
      <c r="I24" s="147">
        <v>296344.09832755831</v>
      </c>
      <c r="J24" s="147">
        <v>1773.9791000000002</v>
      </c>
      <c r="K24" s="187"/>
      <c r="L24" s="149">
        <f t="shared" si="1"/>
        <v>1407653.9791000001</v>
      </c>
      <c r="M24" s="146">
        <v>1217071</v>
      </c>
      <c r="N24" s="146">
        <v>654205</v>
      </c>
      <c r="AD24">
        <f>AD23-AD16</f>
        <v>0</v>
      </c>
      <c r="AE24" s="183">
        <f>AE23-AE16</f>
        <v>0</v>
      </c>
      <c r="AF24" s="183">
        <f>AF23-AF16</f>
        <v>0</v>
      </c>
      <c r="AG24" s="183">
        <f>AG23-AG16</f>
        <v>0</v>
      </c>
      <c r="AH24" s="183">
        <f>AH23-AH16</f>
        <v>0</v>
      </c>
    </row>
    <row r="25" spans="2:41">
      <c r="B25" s="150" t="s">
        <v>85</v>
      </c>
      <c r="C25" s="150" t="s">
        <v>320</v>
      </c>
      <c r="D25" s="150" t="s">
        <v>22</v>
      </c>
      <c r="E25" s="147">
        <v>1330.086287079157</v>
      </c>
      <c r="F25" s="147">
        <v>10207</v>
      </c>
      <c r="G25" s="147">
        <v>55445</v>
      </c>
      <c r="H25" s="147">
        <v>362944</v>
      </c>
      <c r="I25" s="147">
        <v>326848.91371292085</v>
      </c>
      <c r="J25" s="147">
        <v>3380.2438000000002</v>
      </c>
      <c r="K25" s="187"/>
      <c r="L25" s="149">
        <f t="shared" si="1"/>
        <v>760155.24380000005</v>
      </c>
      <c r="M25" s="146">
        <v>15421</v>
      </c>
      <c r="N25" s="146">
        <v>830708</v>
      </c>
    </row>
    <row r="26" spans="2:41">
      <c r="B26" s="150" t="s">
        <v>85</v>
      </c>
      <c r="C26" s="150" t="s">
        <v>320</v>
      </c>
      <c r="D26" s="150" t="s">
        <v>23</v>
      </c>
      <c r="E26" s="153">
        <f>($AC$19/$AC$21)*$AC$9</f>
        <v>2315.7896316290598</v>
      </c>
      <c r="F26" s="153">
        <f>$AC$10</f>
        <v>0</v>
      </c>
      <c r="G26" s="153">
        <f>$AC$8</f>
        <v>0</v>
      </c>
      <c r="H26" s="153">
        <f>$AC$2+$AC$3</f>
        <v>371261</v>
      </c>
      <c r="I26" s="153">
        <f>$AC$11+$AC$12+$AC$13+$AC$14+(($AC$20/$AC$21)*$AC$9)</f>
        <v>353704.21036837093</v>
      </c>
      <c r="J26" s="153">
        <f>$AC$4+$AC$5+$AC$6+$AC$7</f>
        <v>5380.8369999999995</v>
      </c>
      <c r="K26" s="187"/>
      <c r="L26" s="149">
        <f t="shared" si="1"/>
        <v>732661.83700000006</v>
      </c>
      <c r="M26" s="146">
        <v>28882</v>
      </c>
      <c r="N26" s="146">
        <v>1078100</v>
      </c>
    </row>
    <row r="27" spans="2:41">
      <c r="B27" s="150" t="s">
        <v>26</v>
      </c>
      <c r="C27" s="150" t="s">
        <v>317</v>
      </c>
      <c r="D27" s="150" t="s">
        <v>315</v>
      </c>
      <c r="E27" s="147">
        <f>IFERROR(($AD$19/$AD$21)*$AD$9,0)</f>
        <v>25745.341445938524</v>
      </c>
      <c r="F27" s="147">
        <f>IFERROR($AD$10,0)</f>
        <v>0</v>
      </c>
      <c r="G27" s="147">
        <f>IFERROR($AD$8,0)</f>
        <v>7677</v>
      </c>
      <c r="H27" s="147">
        <f>IFERROR($AD$2+$AD$3,0)</f>
        <v>326138</v>
      </c>
      <c r="I27" s="147">
        <f>IFERROR($AD$11+$AD$12+$AD$13+$AD$14+(($AD$20/$AD$21)*$AD$9),0)</f>
        <v>301402.65855406149</v>
      </c>
      <c r="J27" s="147">
        <f>IFERROR($AD$4+$AD$5+$AD$6+$AD$7,0)</f>
        <v>5503.6279000000004</v>
      </c>
      <c r="K27" s="303">
        <v>-3.6278999999631196</v>
      </c>
      <c r="L27" s="149">
        <f>SUM(E27:K27)</f>
        <v>666463</v>
      </c>
      <c r="M27" s="144">
        <f>$AD$19</f>
        <v>346137</v>
      </c>
      <c r="N27" s="144">
        <f>$AD$20</f>
        <v>1077409</v>
      </c>
    </row>
    <row r="28" spans="2:41">
      <c r="B28" s="150" t="s">
        <v>26</v>
      </c>
      <c r="C28" s="150" t="s">
        <v>317</v>
      </c>
      <c r="D28" s="150" t="s">
        <v>13</v>
      </c>
      <c r="E28" s="153">
        <f>IFERROR(($AE$19/$AE$21)*$AE$9,0)</f>
        <v>7142.9310075951589</v>
      </c>
      <c r="F28" s="153">
        <f>IFERROR($AE$10,0)</f>
        <v>0</v>
      </c>
      <c r="G28" s="153">
        <f>IFERROR($AE$8,0)</f>
        <v>16848</v>
      </c>
      <c r="H28" s="153">
        <f>IFERROR($AE$2+$AE$3,0)</f>
        <v>332295</v>
      </c>
      <c r="I28" s="153">
        <f>IFERROR($AE$11+$AE$12+$AE$13+$AE$14+(($AE$20/$AE$21)*$AE$9),0)</f>
        <v>330867.06899240485</v>
      </c>
      <c r="J28" s="153">
        <f>IFERROR($AE$4+$AE$5+$AE$6+$AE$7,0)</f>
        <v>4996.4915000000001</v>
      </c>
      <c r="K28" s="303">
        <v>-3.4915000000037253</v>
      </c>
      <c r="L28" s="189">
        <f t="shared" ref="L28:L38" si="20">SUM(E28:K28)</f>
        <v>692146</v>
      </c>
      <c r="M28" s="158">
        <f>$AE$19</f>
        <v>95439</v>
      </c>
      <c r="N28" s="158">
        <f>$AE$20</f>
        <v>1135740</v>
      </c>
    </row>
    <row r="29" spans="2:41">
      <c r="B29" s="150" t="s">
        <v>26</v>
      </c>
      <c r="C29" s="150" t="s">
        <v>317</v>
      </c>
      <c r="D29" s="150" t="s">
        <v>14</v>
      </c>
      <c r="E29" s="153">
        <f>IFERROR(($AF$19/$AF$21)*$AF$9,0)</f>
        <v>93818.98901828409</v>
      </c>
      <c r="F29" s="153">
        <f>IFERROR($AF$10,0)</f>
        <v>80125</v>
      </c>
      <c r="G29" s="153">
        <f>IFERROR($AF$8,0)</f>
        <v>469244</v>
      </c>
      <c r="H29" s="153">
        <f>IFERROR($AF$2+$AF$3,0)</f>
        <v>396118</v>
      </c>
      <c r="I29" s="153">
        <f>IFERROR($AF$11+$AF$12+$AF$13+$AF$14+(($AF$20/$AF$21)*$AF$9),0)</f>
        <v>372285.01098171592</v>
      </c>
      <c r="J29" s="153">
        <f>IFERROR($AF$4+$AF$5+$AF$6+$AF$7,0)</f>
        <v>4198.8498</v>
      </c>
      <c r="K29" s="303">
        <v>-2.8497999999672174</v>
      </c>
      <c r="L29" s="189">
        <f t="shared" si="20"/>
        <v>1415787</v>
      </c>
      <c r="M29" s="158">
        <f>$AF$19</f>
        <v>982826</v>
      </c>
      <c r="N29" s="158">
        <f>$AF$20</f>
        <v>1041721</v>
      </c>
    </row>
    <row r="30" spans="2:41">
      <c r="B30" s="150" t="s">
        <v>26</v>
      </c>
      <c r="C30" s="150" t="s">
        <v>318</v>
      </c>
      <c r="D30" s="150" t="s">
        <v>15</v>
      </c>
      <c r="E30" s="153">
        <f>IFERROR(($AG$19/$AG$21)*$AG$9,0)</f>
        <v>78692.167351716722</v>
      </c>
      <c r="F30" s="153">
        <f>IFERROR($AG$10,0)</f>
        <v>74925</v>
      </c>
      <c r="G30" s="153">
        <f>IFERROR($AG$8,0)</f>
        <v>493575</v>
      </c>
      <c r="H30" s="153">
        <f>IFERROR($AG$2+$AG$3,0)</f>
        <v>356096</v>
      </c>
      <c r="I30" s="153">
        <f>IFERROR($AG$11+$AG$12+$AG$13+$AG$14+(($AG$20/$AG$21)*$AG$9),0)</f>
        <v>331221.83264828328</v>
      </c>
      <c r="J30" s="153">
        <f>IFERROR($AG$4+$AG$5+$AG$6+$AG$7,0)</f>
        <v>2421.8758000000003</v>
      </c>
      <c r="K30" s="303">
        <v>-3.875800000037998</v>
      </c>
      <c r="L30" s="189">
        <f t="shared" si="20"/>
        <v>1336928</v>
      </c>
      <c r="M30" s="158">
        <f>$AG$19</f>
        <v>936584</v>
      </c>
      <c r="N30" s="158">
        <f>$AG$20</f>
        <v>918025</v>
      </c>
    </row>
    <row r="31" spans="2:41">
      <c r="B31" s="150" t="s">
        <v>26</v>
      </c>
      <c r="C31" s="150" t="s">
        <v>318</v>
      </c>
      <c r="D31" s="150" t="s">
        <v>16</v>
      </c>
      <c r="E31" s="153">
        <f>IFERROR(($AH$19/$AH$21)*$AH$9,0)</f>
        <v>92441.523153170376</v>
      </c>
      <c r="F31" s="153">
        <f>IFERROR($AH$10,0)</f>
        <v>76883</v>
      </c>
      <c r="G31" s="153">
        <f>IFERROR($AH$8,0)</f>
        <v>508062</v>
      </c>
      <c r="H31" s="153">
        <f>IFERROR($AH$2+$AH$3,0)</f>
        <v>352696</v>
      </c>
      <c r="I31" s="153">
        <f>IFERROR($AH$11+$AH$12+$AH$13+$AH$14+(($AH$20/$AH$21)*$AH$9),0)</f>
        <v>320828.47684682964</v>
      </c>
      <c r="J31" s="153">
        <f>IFERROR($AH$4+$AH$5+$AH$6+$AH$7,0)</f>
        <v>2368.9659000000001</v>
      </c>
      <c r="K31" s="303">
        <v>-3.9658999999519438</v>
      </c>
      <c r="L31" s="189">
        <f t="shared" si="20"/>
        <v>1353276</v>
      </c>
      <c r="M31" s="158">
        <f>$AH$19</f>
        <v>947903</v>
      </c>
      <c r="N31" s="158">
        <f>$AH$20</f>
        <v>810949</v>
      </c>
    </row>
    <row r="32" spans="2:41">
      <c r="B32" s="150" t="s">
        <v>26</v>
      </c>
      <c r="C32" s="150" t="s">
        <v>318</v>
      </c>
      <c r="D32" s="150" t="s">
        <v>17</v>
      </c>
      <c r="E32" s="153">
        <f>IFERROR(($AI$19/$AI$21)*$AI$9,0)</f>
        <v>85263.77501205368</v>
      </c>
      <c r="F32" s="153">
        <f>IFERROR($AI$10,0)</f>
        <v>88270</v>
      </c>
      <c r="G32" s="153">
        <f>IFERROR($AI$8,0)</f>
        <v>517800</v>
      </c>
      <c r="H32" s="153">
        <f>IFERROR($AI$2+$AI$3,0)</f>
        <v>345721</v>
      </c>
      <c r="I32" s="153">
        <f>IFERROR($AI$11+$AI$12+$AI$13+$AI$14+(($AI$20/$AI$21)*$AI$9),0)</f>
        <v>338693.22498794633</v>
      </c>
      <c r="J32" s="153">
        <f>IFERROR($AI$4+$AI$5+$AI$6+$AI$7,0)</f>
        <v>3326.3356000000003</v>
      </c>
      <c r="K32" s="187"/>
      <c r="L32" s="189">
        <f t="shared" si="20"/>
        <v>1379074.3356000001</v>
      </c>
      <c r="M32" s="158">
        <f>$AI$19</f>
        <v>862504</v>
      </c>
      <c r="N32" s="158">
        <f>$AI$20</f>
        <v>836147</v>
      </c>
    </row>
    <row r="33" spans="2:14">
      <c r="B33" s="150" t="s">
        <v>26</v>
      </c>
      <c r="C33" s="150" t="s">
        <v>319</v>
      </c>
      <c r="D33" s="150" t="s">
        <v>18</v>
      </c>
      <c r="E33" s="153">
        <f>IFERROR(($AJ$19/$AJ$21)*$AJ$9,0)</f>
        <v>0</v>
      </c>
      <c r="F33" s="153">
        <f>IFERROR($AJ$10,0)</f>
        <v>0</v>
      </c>
      <c r="G33" s="153">
        <f>IFERROR($AJ$8,0)</f>
        <v>0</v>
      </c>
      <c r="H33" s="153">
        <f>IFERROR($AJ$2+$AJ$3,0)</f>
        <v>0</v>
      </c>
      <c r="I33" s="153">
        <f>IFERROR($AJ$11+$AJ$12+$AJ$13+$AJ$14+(($AJ$20/$AJ$21)*$AJ$9),0)</f>
        <v>0</v>
      </c>
      <c r="J33" s="153">
        <f>IFERROR($AJ$4+$AJ$5+$AJ$6+$AJ$7,0)</f>
        <v>0</v>
      </c>
      <c r="K33" s="187"/>
      <c r="L33" s="189">
        <f t="shared" si="20"/>
        <v>0</v>
      </c>
      <c r="M33" s="158">
        <f>$AJ$19</f>
        <v>-15001238</v>
      </c>
      <c r="N33" s="158">
        <f>$AJ$20</f>
        <v>-14719991</v>
      </c>
    </row>
    <row r="34" spans="2:14">
      <c r="B34" s="150" t="s">
        <v>26</v>
      </c>
      <c r="C34" s="150" t="s">
        <v>319</v>
      </c>
      <c r="D34" s="150" t="s">
        <v>19</v>
      </c>
      <c r="E34" s="153">
        <f>IFERROR(($AK$19/$AK$21)*$AK$9,0)</f>
        <v>0</v>
      </c>
      <c r="F34" s="153">
        <f>IFERROR($AK$10,0)</f>
        <v>0</v>
      </c>
      <c r="G34" s="153">
        <f>IFERROR($AK$8,0)</f>
        <v>0</v>
      </c>
      <c r="H34" s="153">
        <f>IFERROR($AK$2+$AK$3,0)</f>
        <v>0</v>
      </c>
      <c r="I34" s="153">
        <f>IFERROR($AK$11+$AK$12+$AK$13+$AK$14+(($AK$20/$AK$21)*$AK$9),0)</f>
        <v>0</v>
      </c>
      <c r="J34" s="153">
        <f>IFERROR($AK$4+$AK$5+$AK$6+$AK$7,0)</f>
        <v>0</v>
      </c>
      <c r="K34" s="187"/>
      <c r="L34" s="189">
        <f t="shared" si="20"/>
        <v>0</v>
      </c>
      <c r="M34" s="158">
        <f>$AK$19</f>
        <v>0</v>
      </c>
      <c r="N34" s="158">
        <f>$AK$20</f>
        <v>0</v>
      </c>
    </row>
    <row r="35" spans="2:14">
      <c r="B35" s="150" t="s">
        <v>26</v>
      </c>
      <c r="C35" s="150" t="s">
        <v>319</v>
      </c>
      <c r="D35" s="150" t="s">
        <v>20</v>
      </c>
      <c r="E35" s="153">
        <f>IFERROR(($AL$19/$AL$21)*$AL$9,0)</f>
        <v>0</v>
      </c>
      <c r="F35" s="153">
        <f>IFERROR($AL$10,0)</f>
        <v>0</v>
      </c>
      <c r="G35" s="153">
        <f>IFERROR($AL$8,0)</f>
        <v>0</v>
      </c>
      <c r="H35" s="153">
        <f>IFERROR($AL$2+$AL$3,0)</f>
        <v>0</v>
      </c>
      <c r="I35" s="153">
        <f>IFERROR($AL$11+$AL$12+$AL$13+$AL$14+(($AL$20/$AL$21)*$AL$9),0)</f>
        <v>0</v>
      </c>
      <c r="J35" s="153">
        <f>IFERROR($AL$4+$AL$5+$AL$6+$AL$7,0)</f>
        <v>0</v>
      </c>
      <c r="K35" s="187"/>
      <c r="L35" s="189">
        <f t="shared" si="20"/>
        <v>0</v>
      </c>
      <c r="M35" s="158">
        <f>$AL$19</f>
        <v>0</v>
      </c>
      <c r="N35" s="158">
        <f>$AL$20</f>
        <v>0</v>
      </c>
    </row>
    <row r="36" spans="2:14">
      <c r="B36" s="150" t="s">
        <v>26</v>
      </c>
      <c r="C36" s="150" t="s">
        <v>320</v>
      </c>
      <c r="D36" s="150" t="s">
        <v>21</v>
      </c>
      <c r="E36" s="153">
        <f>IFERROR(($AM$19/$AM$21)*$AM$9,0)</f>
        <v>0</v>
      </c>
      <c r="F36" s="153">
        <f>IFERROR($AM$10,0)</f>
        <v>0</v>
      </c>
      <c r="G36" s="153">
        <f>IFERROR($AM$8,0)</f>
        <v>0</v>
      </c>
      <c r="H36" s="153">
        <f>IFERROR($AM$2+$AM$3,0)</f>
        <v>0</v>
      </c>
      <c r="I36" s="153">
        <f>IFERROR($AM$11+$AM$12+$AM$13+$AM$14+(($AM$20/$AM$21)*$AM$9),0)</f>
        <v>0</v>
      </c>
      <c r="J36" s="153">
        <f>IFERROR($AM$4+$AM$5+$AM$6+$AM$7,0)</f>
        <v>0</v>
      </c>
      <c r="K36" s="187"/>
      <c r="L36" s="189">
        <f t="shared" si="20"/>
        <v>0</v>
      </c>
      <c r="M36" s="158">
        <f>$AM$19</f>
        <v>0</v>
      </c>
      <c r="N36" s="158">
        <f>$AM$20</f>
        <v>0</v>
      </c>
    </row>
    <row r="37" spans="2:14">
      <c r="B37" s="150" t="s">
        <v>26</v>
      </c>
      <c r="C37" s="150" t="s">
        <v>320</v>
      </c>
      <c r="D37" s="150" t="s">
        <v>22</v>
      </c>
      <c r="E37" s="153">
        <f>IFERROR(($AN$19/$AN$21)*$AN$9,0)</f>
        <v>0</v>
      </c>
      <c r="F37" s="153">
        <f>IFERROR($AN$10,0)</f>
        <v>0</v>
      </c>
      <c r="G37" s="153">
        <f>IFERROR($AN$8,0)</f>
        <v>0</v>
      </c>
      <c r="H37" s="153">
        <f>IFERROR($AN$2+$AN$3,0)</f>
        <v>0</v>
      </c>
      <c r="I37" s="153">
        <f>IFERROR($AN$11+$AN$12+$AN$13+$AN$14+(($AN$20/$AN$21)*$AN$9),0)</f>
        <v>0</v>
      </c>
      <c r="J37" s="153">
        <f>IFERROR($AN$4+$AN$5+$AN$6+$AN$7,0)</f>
        <v>0</v>
      </c>
      <c r="K37" s="187"/>
      <c r="L37" s="189">
        <f t="shared" si="20"/>
        <v>0</v>
      </c>
      <c r="M37" s="158">
        <f>$AN$19</f>
        <v>0</v>
      </c>
      <c r="N37" s="158">
        <f>$AN$20</f>
        <v>0</v>
      </c>
    </row>
    <row r="38" spans="2:14">
      <c r="B38" s="150" t="s">
        <v>26</v>
      </c>
      <c r="C38" s="150" t="s">
        <v>320</v>
      </c>
      <c r="D38" s="150" t="s">
        <v>23</v>
      </c>
      <c r="E38" s="153">
        <f>IFERROR(($AO$19/$AO$21)*$AO$9,0)</f>
        <v>0</v>
      </c>
      <c r="F38" s="153">
        <f>IFERROR($AO$10,0)</f>
        <v>0</v>
      </c>
      <c r="G38" s="153">
        <f>IFERROR($AO$8,0)</f>
        <v>0</v>
      </c>
      <c r="H38" s="153">
        <f>IFERROR($AO$2+$AO$3,0)</f>
        <v>0</v>
      </c>
      <c r="I38" s="153">
        <f>IFERROR($AO$11+$AO$12+$AO$13+$AO$14+(($AO$20/$AO$21)*$AO$9),0)</f>
        <v>0</v>
      </c>
      <c r="J38" s="153">
        <f>IFERROR($AO$4+$AO$5+$AO$6+$AO$7,0)</f>
        <v>0</v>
      </c>
      <c r="K38" s="187"/>
      <c r="L38" s="189">
        <f t="shared" si="20"/>
        <v>0</v>
      </c>
      <c r="M38" s="158">
        <f>$AO$19</f>
        <v>0</v>
      </c>
      <c r="N38" s="158">
        <f>$AO$20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7"/>
  <sheetViews>
    <sheetView topLeftCell="F1" workbookViewId="0">
      <selection activeCell="O32" sqref="O32"/>
    </sheetView>
  </sheetViews>
  <sheetFormatPr defaultRowHeight="16.5"/>
  <cols>
    <col min="3" max="3" width="9" style="155"/>
    <col min="5" max="6" width="12" bestFit="1" customWidth="1"/>
    <col min="7" max="9" width="13.125" bestFit="1" customWidth="1"/>
    <col min="10" max="10" width="11" bestFit="1" customWidth="1"/>
    <col min="11" max="11" width="11" style="183" customWidth="1"/>
    <col min="12" max="13" width="13.125" bestFit="1" customWidth="1"/>
    <col min="14" max="14" width="11.875" bestFit="1" customWidth="1"/>
    <col min="15" max="15" width="10.25" style="244" bestFit="1" customWidth="1"/>
    <col min="16" max="16" width="9" style="156"/>
    <col min="17" max="17" width="11.375" bestFit="1" customWidth="1"/>
    <col min="18" max="18" width="10.875" bestFit="1" customWidth="1"/>
  </cols>
  <sheetData>
    <row r="1" spans="1:17">
      <c r="A1" s="156"/>
      <c r="B1" s="156" t="s">
        <v>1</v>
      </c>
      <c r="C1" s="156" t="s">
        <v>316</v>
      </c>
      <c r="D1" s="156" t="s">
        <v>3</v>
      </c>
      <c r="E1" s="156" t="s">
        <v>275</v>
      </c>
      <c r="F1" s="156" t="s">
        <v>120</v>
      </c>
      <c r="G1" s="156" t="s">
        <v>117</v>
      </c>
      <c r="H1" s="156" t="s">
        <v>279</v>
      </c>
      <c r="I1" s="156" t="s">
        <v>281</v>
      </c>
      <c r="J1" s="156" t="s">
        <v>123</v>
      </c>
      <c r="K1" s="293"/>
      <c r="L1" s="156" t="s">
        <v>285</v>
      </c>
      <c r="M1" s="156" t="s">
        <v>359</v>
      </c>
      <c r="N1" s="156" t="s">
        <v>360</v>
      </c>
      <c r="O1" s="256" t="s">
        <v>423</v>
      </c>
    </row>
    <row r="2" spans="1:17">
      <c r="B2" t="s">
        <v>361</v>
      </c>
      <c r="C2" s="155" t="s">
        <v>317</v>
      </c>
      <c r="D2" t="s">
        <v>84</v>
      </c>
      <c r="E2" s="154">
        <f>LNG사용량!E2/LNG사용량!L2*LNG금액!M2</f>
        <v>72333869.793106973</v>
      </c>
      <c r="F2" s="154">
        <f>LNG사용량!F2/LNG사용량!L2*LNG금액!M2</f>
        <v>43377086.536759436</v>
      </c>
      <c r="G2" s="154">
        <f>LNG사용량!G2/LNG사용량!L2*LNG금액!M2</f>
        <v>301680452.49145228</v>
      </c>
      <c r="H2" s="154">
        <f>LNG사용량!H2/LNG사용량!L2*LNG금액!M2</f>
        <v>152042682.37294567</v>
      </c>
      <c r="I2" s="154">
        <f>LNG사용량!I2/LNG사용량!L2*LNG금액!M2</f>
        <v>153740028.14565572</v>
      </c>
      <c r="J2" s="154">
        <f>LNG사용량!J2/LNG사용량!L2*LNG금액!M2</f>
        <v>3199886.0008170209</v>
      </c>
      <c r="K2" s="154"/>
      <c r="L2" s="160">
        <f t="shared" ref="L2:L25" si="0">SUM(E2:J2)</f>
        <v>726374005.34073722</v>
      </c>
      <c r="M2" s="160">
        <f>(LNG사용량!L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2</f>
        <v>726374005.3407371</v>
      </c>
      <c r="N2" s="160">
        <f>L2-M2</f>
        <v>0</v>
      </c>
      <c r="O2" s="244">
        <v>622</v>
      </c>
      <c r="P2" s="156" t="str">
        <f>IF(L2=M2,"일치","불일치")</f>
        <v>일치</v>
      </c>
    </row>
    <row r="3" spans="1:17">
      <c r="B3" s="155" t="s">
        <v>361</v>
      </c>
      <c r="C3" s="155" t="s">
        <v>317</v>
      </c>
      <c r="D3" s="155" t="s">
        <v>13</v>
      </c>
      <c r="E3" s="154">
        <f>LNG사용량!E3/LNG사용량!L3*LNG금액!M3</f>
        <v>63543452.266957529</v>
      </c>
      <c r="F3" s="154">
        <f>LNG사용량!F3/LNG사용량!L3*LNG금액!M3</f>
        <v>38697912.428575926</v>
      </c>
      <c r="G3" s="154">
        <f>LNG사용량!G3/LNG사용량!L3*LNG금액!M3</f>
        <v>294128741.50262177</v>
      </c>
      <c r="H3" s="154">
        <f>LNG사용량!H3/LNG사용량!L3*LNG금액!M3</f>
        <v>159276071.61690253</v>
      </c>
      <c r="I3" s="154">
        <f>LNG사용량!I3/LNG사용량!L3*LNG금액!M3</f>
        <v>148993538.87078273</v>
      </c>
      <c r="J3" s="154">
        <f>LNG사용량!J3/LNG사용량!L3*LNG금액!M3</f>
        <v>2787486.1685868208</v>
      </c>
      <c r="K3" s="154"/>
      <c r="L3" s="160">
        <f t="shared" si="0"/>
        <v>707427202.85442734</v>
      </c>
      <c r="M3" s="160">
        <f>(LNG사용량!L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3</f>
        <v>707427202.85442722</v>
      </c>
      <c r="N3" s="160">
        <f t="shared" ref="N3:N37" si="1">L3-M3</f>
        <v>0</v>
      </c>
      <c r="O3" s="244">
        <v>705</v>
      </c>
      <c r="P3" s="159" t="str">
        <f t="shared" ref="P3:P31" si="2">IF(L3=M3,"일치","불일치")</f>
        <v>일치</v>
      </c>
    </row>
    <row r="4" spans="1:17">
      <c r="B4" s="155" t="s">
        <v>361</v>
      </c>
      <c r="C4" s="155" t="s">
        <v>317</v>
      </c>
      <c r="D4" s="155" t="s">
        <v>14</v>
      </c>
      <c r="E4" s="154">
        <f>LNG사용량!E4/LNG사용량!L4*LNG금액!M4</f>
        <v>70220971.1895639</v>
      </c>
      <c r="F4" s="154">
        <f>LNG사용량!F4/LNG사용량!L4*LNG금액!M4</f>
        <v>43565324.266319163</v>
      </c>
      <c r="G4" s="154">
        <f>LNG사용량!G4/LNG사용량!L4*LNG금액!M4</f>
        <v>307187611.74138463</v>
      </c>
      <c r="H4" s="154">
        <f>LNG사용량!H4/LNG사용량!L4*LNG금액!M4</f>
        <v>139523979.97891545</v>
      </c>
      <c r="I4" s="154">
        <f>LNG사용량!I4/LNG사용량!L4*LNG금액!M4</f>
        <v>164148615.3890236</v>
      </c>
      <c r="J4" s="154">
        <f>LNG사용량!J4/LNG사용량!L4*LNG금액!M4</f>
        <v>2377246.4154738374</v>
      </c>
      <c r="K4" s="154"/>
      <c r="L4" s="160">
        <f t="shared" si="0"/>
        <v>727023748.98068058</v>
      </c>
      <c r="M4" s="160">
        <f>(LNG사용량!L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4</f>
        <v>727023748.98068058</v>
      </c>
      <c r="N4" s="160">
        <f t="shared" si="1"/>
        <v>0</v>
      </c>
      <c r="O4" s="244">
        <v>798</v>
      </c>
      <c r="P4" s="159" t="str">
        <f t="shared" si="2"/>
        <v>일치</v>
      </c>
    </row>
    <row r="5" spans="1:17">
      <c r="B5" s="155" t="s">
        <v>361</v>
      </c>
      <c r="C5" s="155" t="s">
        <v>318</v>
      </c>
      <c r="D5" s="155" t="s">
        <v>15</v>
      </c>
      <c r="E5" s="154">
        <f>LNG사용량!E5/LNG사용량!L5*LNG금액!M5</f>
        <v>79675492.632058814</v>
      </c>
      <c r="F5" s="154">
        <f>LNG사용량!F5/LNG사용량!L5*LNG금액!M5</f>
        <v>58183811.713682041</v>
      </c>
      <c r="G5" s="154">
        <f>LNG사용량!G5/LNG사용량!L5*LNG금액!M5</f>
        <v>313322970.30398542</v>
      </c>
      <c r="H5" s="154">
        <f>LNG사용량!H5/LNG사용량!L5*LNG금액!M5</f>
        <v>184773932.82215658</v>
      </c>
      <c r="I5" s="154">
        <f>LNG사용량!I5/LNG사용량!L5*LNG금액!M5</f>
        <v>161338390.75528723</v>
      </c>
      <c r="J5" s="154">
        <f>LNG사용량!J5/LNG사용량!L5*LNG금액!M5</f>
        <v>1740546.8799673351</v>
      </c>
      <c r="K5" s="154"/>
      <c r="L5" s="160">
        <f t="shared" si="0"/>
        <v>799035145.10713732</v>
      </c>
      <c r="M5" s="160">
        <f>(LNG사용량!L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5</f>
        <v>799035145.10713744</v>
      </c>
      <c r="N5" s="160">
        <f t="shared" si="1"/>
        <v>0</v>
      </c>
      <c r="O5" s="244">
        <v>509</v>
      </c>
      <c r="P5" s="159" t="str">
        <f t="shared" si="2"/>
        <v>일치</v>
      </c>
    </row>
    <row r="6" spans="1:17">
      <c r="B6" s="155" t="s">
        <v>361</v>
      </c>
      <c r="C6" s="155" t="s">
        <v>318</v>
      </c>
      <c r="D6" s="155" t="s">
        <v>16</v>
      </c>
      <c r="E6" s="154">
        <f>LNG사용량!E6/LNG사용량!L6*LNG금액!M6</f>
        <v>60514549.468671456</v>
      </c>
      <c r="F6" s="154">
        <f>LNG사용량!F6/LNG사용량!L6*LNG금액!M6</f>
        <v>40622385.969002768</v>
      </c>
      <c r="G6" s="154">
        <f>LNG사용량!G6/LNG사용량!L6*LNG금액!M6</f>
        <v>273675420.65626389</v>
      </c>
      <c r="H6" s="154">
        <f>LNG사용량!H6/LNG사용량!L6*LNG금액!M6</f>
        <v>162883697.8646706</v>
      </c>
      <c r="I6" s="154">
        <f>LNG사용량!I6/LNG사용량!L6*LNG금액!M6</f>
        <v>145682292.26091757</v>
      </c>
      <c r="J6" s="154">
        <f>LNG사용량!J6/LNG사용량!L6*LNG금액!M6</f>
        <v>974674.26035755954</v>
      </c>
      <c r="K6" s="154"/>
      <c r="L6" s="160">
        <f t="shared" si="0"/>
        <v>684353020.47988391</v>
      </c>
      <c r="M6" s="160">
        <f>(LNG사용량!L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6</f>
        <v>684353020.47988391</v>
      </c>
      <c r="N6" s="160">
        <f t="shared" si="1"/>
        <v>0</v>
      </c>
      <c r="O6" s="244">
        <v>673</v>
      </c>
      <c r="P6" s="159" t="str">
        <f t="shared" si="2"/>
        <v>일치</v>
      </c>
    </row>
    <row r="7" spans="1:17">
      <c r="B7" s="155" t="s">
        <v>361</v>
      </c>
      <c r="C7" s="155" t="s">
        <v>318</v>
      </c>
      <c r="D7" s="155" t="s">
        <v>17</v>
      </c>
      <c r="E7" s="154">
        <f>LNG사용량!E7/LNG사용량!L7*LNG금액!M7</f>
        <v>27664701.889485266</v>
      </c>
      <c r="F7" s="154">
        <f>LNG사용량!F7/LNG사용량!L7*LNG금액!M7</f>
        <v>11580221.861786226</v>
      </c>
      <c r="G7" s="154">
        <f>LNG사용량!G7/LNG사용량!L7*LNG금액!M7</f>
        <v>60204399.875256896</v>
      </c>
      <c r="H7" s="154">
        <f>LNG사용량!H7/LNG사용량!L7*LNG금액!M7</f>
        <v>119157405.66329743</v>
      </c>
      <c r="I7" s="154">
        <f>LNG사용량!I7/LNG사용량!L7*LNG금액!M7</f>
        <v>109846483.71965219</v>
      </c>
      <c r="J7" s="154">
        <f>LNG사용량!J7/LNG사용량!L7*LNG금액!M7</f>
        <v>966590.19031262328</v>
      </c>
      <c r="K7" s="154"/>
      <c r="L7" s="160">
        <f t="shared" si="0"/>
        <v>329419803.1997906</v>
      </c>
      <c r="M7" s="160">
        <f>(LNG사용량!L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7</f>
        <v>329419803.1997906</v>
      </c>
      <c r="N7" s="160">
        <f t="shared" si="1"/>
        <v>0</v>
      </c>
      <c r="O7" s="244">
        <v>1764695</v>
      </c>
      <c r="P7" s="159" t="str">
        <f t="shared" si="2"/>
        <v>일치</v>
      </c>
    </row>
    <row r="8" spans="1:17">
      <c r="B8" s="155" t="s">
        <v>361</v>
      </c>
      <c r="C8" s="155" t="s">
        <v>260</v>
      </c>
      <c r="D8" s="155" t="s">
        <v>18</v>
      </c>
      <c r="E8" s="154">
        <f>LNG사용량!E8/LNG사용량!L8*LNG금액!M8</f>
        <v>56078950.82862214</v>
      </c>
      <c r="F8" s="154">
        <f>LNG사용량!F8/LNG사용량!L8*LNG금액!M8</f>
        <v>62440919.474485353</v>
      </c>
      <c r="G8" s="154">
        <f>LNG사용량!G8/LNG사용량!L8*LNG금액!M8</f>
        <v>354804043.55883008</v>
      </c>
      <c r="H8" s="154">
        <f>LNG사용량!H8/LNG사용량!L8*LNG금액!M8</f>
        <v>222491816.50744051</v>
      </c>
      <c r="I8" s="154">
        <f>LNG사용량!I8/LNG사용량!L8*LNG금액!M8</f>
        <v>175656278.11556607</v>
      </c>
      <c r="J8" s="154">
        <f>LNG사용량!J8/LNG사용량!L8*LNG금액!M8</f>
        <v>2747384.0131682768</v>
      </c>
      <c r="K8" s="154"/>
      <c r="L8" s="160">
        <f t="shared" si="0"/>
        <v>874219392.49811244</v>
      </c>
      <c r="M8" s="160">
        <f>(LNG사용량!L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8</f>
        <v>874219392.49811244</v>
      </c>
      <c r="N8" s="160">
        <f t="shared" si="1"/>
        <v>0</v>
      </c>
      <c r="O8" s="244">
        <v>-32400915</v>
      </c>
      <c r="P8" s="159" t="str">
        <f t="shared" si="2"/>
        <v>일치</v>
      </c>
    </row>
    <row r="9" spans="1:17">
      <c r="B9" s="155" t="s">
        <v>361</v>
      </c>
      <c r="C9" s="155" t="s">
        <v>260</v>
      </c>
      <c r="D9" s="155" t="s">
        <v>19</v>
      </c>
      <c r="E9" s="154">
        <f>LNG사용량!E9/LNG사용량!L9*LNG금액!M9</f>
        <v>44573915.216940545</v>
      </c>
      <c r="F9" s="154">
        <f>LNG사용량!F9/LNG사용량!L9*LNG금액!M9</f>
        <v>37774151.551821731</v>
      </c>
      <c r="G9" s="154">
        <f>LNG사용량!G9/LNG사용량!L9*LNG금액!M9</f>
        <v>291058566.50009435</v>
      </c>
      <c r="H9" s="154">
        <f>LNG사용량!H9/LNG사용량!L9*LNG금액!M9</f>
        <v>198524784.78768784</v>
      </c>
      <c r="I9" s="154">
        <f>LNG사용량!I9/LNG사용량!L9*LNG금액!M9</f>
        <v>153938010.5977928</v>
      </c>
      <c r="J9" s="154">
        <f>LNG사용량!J9/LNG사용량!L9*LNG금액!M9</f>
        <v>2314348.0325662475</v>
      </c>
      <c r="K9" s="154"/>
      <c r="L9" s="160">
        <f t="shared" si="0"/>
        <v>728183776.6869036</v>
      </c>
      <c r="M9" s="160">
        <f>(LNG사용량!L9-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9</f>
        <v>728183776.68690348</v>
      </c>
      <c r="N9" s="160">
        <f>L9-M9</f>
        <v>0</v>
      </c>
      <c r="O9" s="244">
        <v>954</v>
      </c>
      <c r="P9" s="159" t="str">
        <f t="shared" si="2"/>
        <v>불일치</v>
      </c>
      <c r="Q9" s="143"/>
    </row>
    <row r="10" spans="1:17">
      <c r="B10" s="155" t="s">
        <v>361</v>
      </c>
      <c r="C10" s="155" t="s">
        <v>260</v>
      </c>
      <c r="D10" s="155" t="s">
        <v>20</v>
      </c>
      <c r="E10" s="154">
        <f>LNG사용량!E10/LNG사용량!L10*LNG금액!M10</f>
        <v>49790328.669841073</v>
      </c>
      <c r="F10" s="154">
        <f>LNG사용량!F10/LNG사용량!L10*LNG금액!M10</f>
        <v>58101793.052741662</v>
      </c>
      <c r="G10" s="154">
        <f>LNG사용량!G10/LNG사용량!L10*LNG금액!M10</f>
        <v>316100980.40145218</v>
      </c>
      <c r="H10" s="154">
        <f>LNG사용량!H10/LNG사용량!L10*LNG금액!M10</f>
        <v>203908396.16980493</v>
      </c>
      <c r="I10" s="154">
        <f>LNG사용량!I10/LNG사용량!L10*LNG금액!M10</f>
        <v>158671770.08188102</v>
      </c>
      <c r="J10" s="154">
        <f>LNG사용량!J10/LNG사용량!L10*LNG금액!M10</f>
        <v>1564664.9086526814</v>
      </c>
      <c r="K10" s="154"/>
      <c r="L10" s="160">
        <f t="shared" si="0"/>
        <v>788137933.28437352</v>
      </c>
      <c r="M10" s="160">
        <f>(LNG사용량!L10-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10</f>
        <v>788137933.28437352</v>
      </c>
      <c r="N10" s="160">
        <f t="shared" si="1"/>
        <v>0</v>
      </c>
      <c r="O10" s="244">
        <v>416754</v>
      </c>
      <c r="P10" s="159" t="str">
        <f t="shared" si="2"/>
        <v>일치</v>
      </c>
    </row>
    <row r="11" spans="1:17">
      <c r="B11" s="155" t="s">
        <v>361</v>
      </c>
      <c r="C11" s="155" t="s">
        <v>262</v>
      </c>
      <c r="D11" s="155" t="s">
        <v>21</v>
      </c>
      <c r="E11" s="154">
        <f>LNG사용량!E11/LNG사용량!L11*LNG금액!M11</f>
        <v>61843674.599710569</v>
      </c>
      <c r="F11" s="154">
        <f>LNG사용량!F11/LNG사용량!L11*LNG금액!M11</f>
        <v>46148936.634670697</v>
      </c>
      <c r="G11" s="154">
        <f>LNG사용량!G11/LNG사용량!L11*LNG금액!M11</f>
        <v>330465245.72427607</v>
      </c>
      <c r="H11" s="154">
        <f>LNG사용량!H11/LNG사용량!L11*LNG금액!M11</f>
        <v>201171142.55407974</v>
      </c>
      <c r="I11" s="154">
        <f>LNG사용량!I11/LNG사용량!L11*LNG금액!M11</f>
        <v>176312037.57441798</v>
      </c>
      <c r="J11" s="154">
        <f>LNG사용량!J11/LNG사용량!L11*LNG금액!M11</f>
        <v>959418.88993961492</v>
      </c>
      <c r="K11" s="154"/>
      <c r="L11" s="160">
        <f t="shared" si="0"/>
        <v>816900455.97709465</v>
      </c>
      <c r="M11" s="160">
        <f>(LNG사용량!L11-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11</f>
        <v>816900455.97709465</v>
      </c>
      <c r="N11" s="160">
        <f t="shared" si="1"/>
        <v>0</v>
      </c>
      <c r="O11" s="244">
        <v>466906</v>
      </c>
      <c r="P11" s="159" t="str">
        <f t="shared" si="2"/>
        <v>일치</v>
      </c>
    </row>
    <row r="12" spans="1:17">
      <c r="B12" s="155" t="s">
        <v>361</v>
      </c>
      <c r="C12" s="155" t="s">
        <v>262</v>
      </c>
      <c r="D12" s="155" t="s">
        <v>22</v>
      </c>
      <c r="E12" s="154">
        <f>LNG사용량!E12/LNG사용량!L12*LNG금액!M12</f>
        <v>76617141.397158653</v>
      </c>
      <c r="F12" s="154">
        <f>LNG사용량!F12/LNG사용량!L12*LNG금액!M12</f>
        <v>46585990.723208927</v>
      </c>
      <c r="G12" s="154">
        <f>LNG사용량!G12/LNG사용량!L12*LNG금액!M12</f>
        <v>318313289.19005328</v>
      </c>
      <c r="H12" s="154">
        <f>LNG사용량!H12/LNG사용량!L12*LNG금액!M12</f>
        <v>201349314.10611445</v>
      </c>
      <c r="I12" s="154">
        <f>LNG사용량!I12/LNG사용량!L12*LNG금액!M12</f>
        <v>171293747.61438286</v>
      </c>
      <c r="J12" s="154">
        <f>LNG사용량!J12/LNG사용량!L12*LNG금액!M12</f>
        <v>1854275.7010798408</v>
      </c>
      <c r="K12" s="154"/>
      <c r="L12" s="160">
        <f t="shared" si="0"/>
        <v>816013758.73199809</v>
      </c>
      <c r="M12" s="160">
        <f>(LNG사용량!L12-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12</f>
        <v>816013758.73199797</v>
      </c>
      <c r="N12" s="160">
        <f t="shared" si="1"/>
        <v>0</v>
      </c>
      <c r="O12" s="244">
        <v>472766</v>
      </c>
      <c r="P12" s="159" t="str">
        <f t="shared" si="2"/>
        <v>일치</v>
      </c>
    </row>
    <row r="13" spans="1:17">
      <c r="B13" s="155" t="s">
        <v>361</v>
      </c>
      <c r="C13" s="155" t="s">
        <v>262</v>
      </c>
      <c r="D13" s="155" t="s">
        <v>23</v>
      </c>
      <c r="E13" s="154">
        <f>LNG사용량!E13/LNG사용량!L13*LNG금액!M13</f>
        <v>95739833.63875632</v>
      </c>
      <c r="F13" s="154">
        <f>LNG사용량!F13/LNG사용량!L13*LNG금액!M13</f>
        <v>54482366.288079426</v>
      </c>
      <c r="G13" s="154">
        <f>LNG사용량!G13/LNG사용량!L13*LNG금액!M13</f>
        <v>335940506.22744036</v>
      </c>
      <c r="H13" s="154">
        <f>LNG사용량!H13/LNG사용량!L13*LNG금액!M13</f>
        <v>232965785.2677758</v>
      </c>
      <c r="I13" s="154">
        <f>LNG사용량!I13/LNG사용량!L13*LNG금액!M13</f>
        <v>205820508.36422917</v>
      </c>
      <c r="J13" s="154">
        <f>LNG사용량!J13/LNG사용량!L13*LNG금액!M13</f>
        <v>3257805.0397711853</v>
      </c>
      <c r="K13" s="154"/>
      <c r="L13" s="160">
        <f t="shared" si="0"/>
        <v>928206804.82605231</v>
      </c>
      <c r="M13" s="160">
        <f>(LNG사용량!L13-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13</f>
        <v>928206804.82605219</v>
      </c>
      <c r="N13" s="160">
        <f t="shared" si="1"/>
        <v>0</v>
      </c>
      <c r="O13" s="244">
        <v>648819</v>
      </c>
      <c r="P13" s="159" t="str">
        <f t="shared" si="2"/>
        <v>일치</v>
      </c>
    </row>
    <row r="14" spans="1:17">
      <c r="B14" s="155" t="s">
        <v>25</v>
      </c>
      <c r="C14" s="155" t="s">
        <v>317</v>
      </c>
      <c r="D14" s="155" t="s">
        <v>84</v>
      </c>
      <c r="E14" s="154">
        <f>LNG사용량!E14/LNG사용량!L14*LNG금액!M14</f>
        <v>87151467.41704081</v>
      </c>
      <c r="F14" s="154">
        <f>LNG사용량!F14/LNG사용량!L14*LNG금액!M14</f>
        <v>41931482.084716573</v>
      </c>
      <c r="G14" s="154">
        <f>LNG사용량!G14/LNG사용량!L14*LNG금액!M14</f>
        <v>311899191.93951976</v>
      </c>
      <c r="H14" s="154">
        <f>LNG사용량!H14/LNG사용량!L14*LNG금액!M14</f>
        <v>216049269.04578531</v>
      </c>
      <c r="I14" s="154">
        <f>LNG사용량!I14/LNG사용량!L14*LNG금액!M14</f>
        <v>190294589.95101508</v>
      </c>
      <c r="J14" s="154">
        <f>LNG사용량!J14/LNG사용량!L14*LNG금액!M14</f>
        <v>3383955.7443017741</v>
      </c>
      <c r="K14" s="154"/>
      <c r="L14" s="160">
        <f t="shared" si="0"/>
        <v>850709956.18237936</v>
      </c>
      <c r="M14" s="160">
        <f>(LNG사용량!L14-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14</f>
        <v>850709956.18237925</v>
      </c>
      <c r="N14" s="160">
        <f t="shared" si="1"/>
        <v>0</v>
      </c>
      <c r="O14" s="244">
        <v>477111</v>
      </c>
      <c r="P14" s="159" t="str">
        <f t="shared" si="2"/>
        <v>일치</v>
      </c>
    </row>
    <row r="15" spans="1:17">
      <c r="B15" s="155" t="s">
        <v>25</v>
      </c>
      <c r="C15" s="155" t="s">
        <v>317</v>
      </c>
      <c r="D15" s="155" t="s">
        <v>13</v>
      </c>
      <c r="E15" s="154">
        <f>LNG사용량!E16/LNG사용량!L16*LNG금액!M15</f>
        <v>70595787.508956119</v>
      </c>
      <c r="F15" s="154">
        <f>LNG사용량!F16/LNG사용량!L16*LNG금액!M15</f>
        <v>52548177.664669141</v>
      </c>
      <c r="G15" s="154">
        <f>LNG사용량!G16/LNG사용량!L16*LNG금액!M15</f>
        <v>292019762.46664381</v>
      </c>
      <c r="H15" s="154">
        <f>LNG사용량!H16/LNG사용량!L16*LNG금액!M15</f>
        <v>174879274.07704535</v>
      </c>
      <c r="I15" s="154">
        <f>LNG사용량!I16/LNG사용량!L16*LNG금액!M15</f>
        <v>191742027.67286769</v>
      </c>
      <c r="J15" s="154">
        <f>LNG사용량!J16/LNG사용량!L16*LNG금액!M15</f>
        <v>2963212.7700854223</v>
      </c>
      <c r="K15" s="154"/>
      <c r="L15" s="160">
        <f t="shared" si="0"/>
        <v>784748242.16026747</v>
      </c>
      <c r="M15" s="160">
        <f>(LNG사용량!L16-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15</f>
        <v>784748242.16026747</v>
      </c>
      <c r="N15" s="160">
        <f t="shared" si="1"/>
        <v>0</v>
      </c>
      <c r="O15" s="244">
        <v>318619</v>
      </c>
      <c r="P15" s="159" t="str">
        <f t="shared" si="2"/>
        <v>일치</v>
      </c>
    </row>
    <row r="16" spans="1:17">
      <c r="B16" s="155" t="s">
        <v>25</v>
      </c>
      <c r="C16" s="155" t="s">
        <v>317</v>
      </c>
      <c r="D16" s="155" t="s">
        <v>14</v>
      </c>
      <c r="E16" s="154">
        <f>LNG사용량!E17/LNG사용량!L17*LNG금액!M16</f>
        <v>55877859.127254859</v>
      </c>
      <c r="F16" s="154">
        <f>LNG사용량!F17/LNG사용량!L17*LNG금액!M16</f>
        <v>46910246.06689588</v>
      </c>
      <c r="G16" s="154">
        <f>LNG사용량!G17/LNG사용량!L17*LNG금액!M16</f>
        <v>352173801.61713898</v>
      </c>
      <c r="H16" s="154">
        <f>LNG사용량!H17/LNG사용량!L17*LNG금액!M16</f>
        <v>214326738.9691534</v>
      </c>
      <c r="I16" s="154">
        <f>LNG사용량!I17/LNG사용량!L17*LNG금액!M16</f>
        <v>181317481.82308912</v>
      </c>
      <c r="J16" s="154">
        <f>LNG사용량!J17/LNG사용량!L17*LNG금액!M16</f>
        <v>2859107.8189314813</v>
      </c>
      <c r="K16" s="154"/>
      <c r="L16" s="160">
        <f t="shared" si="0"/>
        <v>853465235.42246377</v>
      </c>
      <c r="M16" s="160">
        <f>(LNG사용량!L17-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16</f>
        <v>853465235.42246377</v>
      </c>
      <c r="N16" s="160">
        <f t="shared" si="1"/>
        <v>0</v>
      </c>
      <c r="O16" s="244">
        <v>483298</v>
      </c>
      <c r="P16" s="159" t="str">
        <f t="shared" si="2"/>
        <v>일치</v>
      </c>
    </row>
    <row r="17" spans="2:18">
      <c r="B17" s="155" t="s">
        <v>25</v>
      </c>
      <c r="C17" s="155" t="s">
        <v>318</v>
      </c>
      <c r="D17" s="155" t="s">
        <v>15</v>
      </c>
      <c r="E17" s="154">
        <f>LNG사용량!E18/LNG사용량!L18*LNG금액!M17</f>
        <v>51603737.908289902</v>
      </c>
      <c r="F17" s="154">
        <f>LNG사용량!F18/LNG사용량!L18*LNG금액!M17</f>
        <v>42240881.210702293</v>
      </c>
      <c r="G17" s="154">
        <f>LNG사용량!G18/LNG사용량!L18*LNG금액!M17</f>
        <v>288452790.84262496</v>
      </c>
      <c r="H17" s="154">
        <f>LNG사용량!H18/LNG사용량!L18*LNG금액!M17</f>
        <v>194154741.42840314</v>
      </c>
      <c r="I17" s="154">
        <f>LNG사용량!I18/LNG사용량!L18*LNG금액!M17</f>
        <v>175402901.45580643</v>
      </c>
      <c r="J17" s="154">
        <f>LNG사용량!J18/LNG사용량!L18*LNG금액!M17</f>
        <v>1971229.6914576145</v>
      </c>
      <c r="K17" s="154"/>
      <c r="L17" s="160">
        <f t="shared" si="0"/>
        <v>753826282.53728449</v>
      </c>
      <c r="M17" s="160">
        <f>(LNG사용량!L18-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17</f>
        <v>753826282.53728437</v>
      </c>
      <c r="N17" s="160">
        <f t="shared" si="1"/>
        <v>0</v>
      </c>
      <c r="O17" s="244">
        <v>318590</v>
      </c>
      <c r="P17" s="159" t="str">
        <f t="shared" si="2"/>
        <v>일치</v>
      </c>
    </row>
    <row r="18" spans="2:18">
      <c r="B18" s="155" t="s">
        <v>25</v>
      </c>
      <c r="C18" s="155" t="s">
        <v>318</v>
      </c>
      <c r="D18" s="155" t="s">
        <v>16</v>
      </c>
      <c r="E18" s="154">
        <f>LNG사용량!E19/LNG사용량!L19*LNG금액!M18</f>
        <v>46971352.546275847</v>
      </c>
      <c r="F18" s="154">
        <f>LNG사용량!F19/LNG사용량!L19*LNG금액!M18</f>
        <v>49806418.896540493</v>
      </c>
      <c r="G18" s="154">
        <f>LNG사용량!G19/LNG사용량!L19*LNG금액!M18</f>
        <v>274061395.34638947</v>
      </c>
      <c r="H18" s="154">
        <f>LNG사용량!H19/LNG사용량!L19*LNG금액!M18</f>
        <v>192699902.67623869</v>
      </c>
      <c r="I18" s="154">
        <f>LNG사용량!I19/LNG사용량!L19*LNG금액!M18</f>
        <v>146799862.45062912</v>
      </c>
      <c r="J18" s="154">
        <f>LNG사용량!J19/LNG사용량!L19*LNG금액!M18</f>
        <v>987841.10484944517</v>
      </c>
      <c r="K18" s="154"/>
      <c r="L18" s="160">
        <f t="shared" si="0"/>
        <v>711326773.02092302</v>
      </c>
      <c r="M18" s="160">
        <f>(LNG사용량!L19-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-O18</f>
        <v>711326773.02092302</v>
      </c>
      <c r="N18" s="186">
        <f t="shared" si="1"/>
        <v>0</v>
      </c>
      <c r="O18" s="244">
        <v>211210</v>
      </c>
      <c r="P18" s="159" t="str">
        <f t="shared" si="2"/>
        <v>일치</v>
      </c>
    </row>
    <row r="19" spans="2:18">
      <c r="B19" s="155" t="s">
        <v>25</v>
      </c>
      <c r="C19" s="155" t="s">
        <v>318</v>
      </c>
      <c r="D19" s="155" t="s">
        <v>17</v>
      </c>
      <c r="E19" s="154">
        <f>LNG사용량!E20/LNG사용량!L20*LNG금액!M19</f>
        <v>44847683.165871963</v>
      </c>
      <c r="F19" s="154">
        <f>LNG사용량!F20/LNG사용량!L20*LNG금액!M19</f>
        <v>53438842.388830125</v>
      </c>
      <c r="G19" s="154">
        <f>LNG사용량!G20/LNG사용량!L20*LNG금액!M19</f>
        <v>322677016.70787764</v>
      </c>
      <c r="H19" s="154">
        <f>LNG사용량!H20/LNG사용량!L20*LNG금액!M19</f>
        <v>223440756.48484948</v>
      </c>
      <c r="I19" s="154">
        <f>LNG사용량!I20/LNG사용량!L20*LNG금액!M19</f>
        <v>184595919.34078586</v>
      </c>
      <c r="J19" s="154">
        <f>LNG사용량!J20/LNG사용량!L20*LNG금액!M19</f>
        <v>1804111.9117849455</v>
      </c>
      <c r="K19" s="154"/>
      <c r="L19" s="160">
        <f t="shared" si="0"/>
        <v>830804330</v>
      </c>
      <c r="M19" s="186">
        <f>ROUND((LNG사용량!L20-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19</f>
        <v>830804330</v>
      </c>
      <c r="N19" s="186">
        <f t="shared" si="1"/>
        <v>0</v>
      </c>
      <c r="P19" s="159" t="str">
        <f t="shared" si="2"/>
        <v>일치</v>
      </c>
    </row>
    <row r="20" spans="2:18">
      <c r="B20" s="155" t="s">
        <v>25</v>
      </c>
      <c r="C20" s="155" t="s">
        <v>260</v>
      </c>
      <c r="D20" s="155" t="s">
        <v>18</v>
      </c>
      <c r="E20" s="154">
        <f>LNG사용량!E21/LNG사용량!L21*LNG금액!M20</f>
        <v>42784618.61318668</v>
      </c>
      <c r="F20" s="154">
        <f>LNG사용량!F21/LNG사용량!L21*LNG금액!M20</f>
        <v>48407454.353291295</v>
      </c>
      <c r="G20" s="154">
        <f>LNG사용량!G21/LNG사용량!L21*LNG금액!M20</f>
        <v>304935405.26546592</v>
      </c>
      <c r="H20" s="154">
        <f>LNG사용량!H21/LNG사용량!L21*LNG금액!M20</f>
        <v>187808648.38492525</v>
      </c>
      <c r="I20" s="154">
        <f>LNG사용량!I21/LNG사용량!L21*LNG금액!M20</f>
        <v>143993299.14735958</v>
      </c>
      <c r="J20" s="154">
        <f>LNG사용량!J21/LNG사용량!L21*LNG금액!M20</f>
        <v>1851854.2357713375</v>
      </c>
      <c r="K20" s="154"/>
      <c r="L20" s="160">
        <f t="shared" si="0"/>
        <v>729781280.00000012</v>
      </c>
      <c r="M20" s="186">
        <f>ROUND((LNG사용량!L21-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20</f>
        <v>729781280</v>
      </c>
      <c r="N20" s="186">
        <f t="shared" si="1"/>
        <v>0</v>
      </c>
      <c r="O20" s="244">
        <v>939</v>
      </c>
      <c r="P20" s="159" t="str">
        <f t="shared" si="2"/>
        <v>일치</v>
      </c>
    </row>
    <row r="21" spans="2:18">
      <c r="B21" s="155" t="s">
        <v>25</v>
      </c>
      <c r="C21" s="155" t="s">
        <v>260</v>
      </c>
      <c r="D21" s="155" t="s">
        <v>19</v>
      </c>
      <c r="E21" s="154">
        <f>LNG사용량!E22/LNG사용량!L22*LNG금액!M21</f>
        <v>38380010.833816059</v>
      </c>
      <c r="F21" s="154">
        <f>LNG사용량!F22/LNG사용량!L22*LNG금액!M21</f>
        <v>43419781.773353413</v>
      </c>
      <c r="G21" s="154">
        <f>LNG사용량!G22/LNG사용량!L22*LNG금액!M21</f>
        <v>294269152.76172328</v>
      </c>
      <c r="H21" s="154">
        <f>LNG사용량!H22/LNG사용량!L22*LNG금액!M21</f>
        <v>161680277.21151003</v>
      </c>
      <c r="I21" s="154">
        <f>LNG사용량!I22/LNG사용량!L22*LNG금액!M21</f>
        <v>120401952.63861443</v>
      </c>
      <c r="J21" s="154">
        <f>LNG사용량!J22/LNG사용량!L22*LNG금액!M21</f>
        <v>2693042.7809828036</v>
      </c>
      <c r="K21" s="154"/>
      <c r="L21" s="160">
        <f t="shared" si="0"/>
        <v>660844218.00000012</v>
      </c>
      <c r="M21" s="186">
        <f>ROUND((LNG사용량!L22-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21</f>
        <v>660844218</v>
      </c>
      <c r="N21" s="186">
        <f t="shared" si="1"/>
        <v>0</v>
      </c>
      <c r="O21" s="244">
        <v>1738</v>
      </c>
      <c r="P21" s="159" t="str">
        <f t="shared" si="2"/>
        <v>일치</v>
      </c>
    </row>
    <row r="22" spans="2:18">
      <c r="B22" s="155" t="s">
        <v>25</v>
      </c>
      <c r="C22" s="155" t="s">
        <v>260</v>
      </c>
      <c r="D22" s="155" t="s">
        <v>20</v>
      </c>
      <c r="E22" s="154">
        <f>LNG사용량!E23/LNG사용량!L23*LNG금액!M22</f>
        <v>37343143.806358024</v>
      </c>
      <c r="F22" s="154">
        <f>LNG사용량!F23/LNG사용량!L23*LNG금액!M22</f>
        <v>39370944.710028954</v>
      </c>
      <c r="G22" s="154">
        <f>LNG사용량!G23/LNG사용량!L23*LNG금액!M22</f>
        <v>262870276.77589166</v>
      </c>
      <c r="H22" s="154">
        <f>LNG사용량!H23/LNG사용량!L23*LNG금액!M22</f>
        <v>156671991.90171817</v>
      </c>
      <c r="I22" s="154">
        <f>LNG사용량!I23/LNG사용량!L23*LNG금액!M22</f>
        <v>127063681.08161014</v>
      </c>
      <c r="J22" s="154">
        <f>LNG사용량!J23/LNG사용량!L23*LNG금액!M22</f>
        <v>1396474.7243930635</v>
      </c>
      <c r="K22" s="154"/>
      <c r="L22" s="160">
        <f t="shared" si="0"/>
        <v>624716512.99999988</v>
      </c>
      <c r="M22" s="186">
        <f>ROUND((LNG사용량!L23-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22</f>
        <v>624716513</v>
      </c>
      <c r="N22" s="186">
        <f t="shared" si="1"/>
        <v>0</v>
      </c>
      <c r="O22" s="244">
        <v>982</v>
      </c>
      <c r="P22" s="159" t="str">
        <f t="shared" si="2"/>
        <v>일치</v>
      </c>
    </row>
    <row r="23" spans="2:18">
      <c r="B23" s="155" t="s">
        <v>25</v>
      </c>
      <c r="C23" s="155" t="s">
        <v>262</v>
      </c>
      <c r="D23" s="155" t="s">
        <v>21</v>
      </c>
      <c r="E23" s="154">
        <f>LNG사용량!E24/LNG사용량!L24*LNG금액!M23</f>
        <v>42779510.472720101</v>
      </c>
      <c r="F23" s="154">
        <f>LNG사용량!F24/LNG사용량!L24*LNG금액!M23</f>
        <v>42241385.125871092</v>
      </c>
      <c r="G23" s="154">
        <f>LNG사용량!G24/LNG사용량!L24*LNG금액!M23</f>
        <v>253338371.79637322</v>
      </c>
      <c r="H23" s="154">
        <f>LNG사용량!H24/LNG사용량!L24*LNG금액!M23</f>
        <v>153500498.0899471</v>
      </c>
      <c r="I23" s="154">
        <f>LNG사용량!I24/LNG사용량!L24*LNG금액!M23</f>
        <v>131370006.58250149</v>
      </c>
      <c r="J23" s="154">
        <f>LNG사용량!J24/LNG사용량!L24*LNG금액!M23</f>
        <v>786408.93258695945</v>
      </c>
      <c r="K23" s="154"/>
      <c r="L23" s="160">
        <f t="shared" si="0"/>
        <v>624016180.99999988</v>
      </c>
      <c r="M23" s="186">
        <f>ROUND((LNG사용량!L24-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23</f>
        <v>624016181</v>
      </c>
      <c r="N23" s="186">
        <f t="shared" si="1"/>
        <v>0</v>
      </c>
      <c r="O23" s="244">
        <v>431</v>
      </c>
      <c r="P23" s="159" t="str">
        <f t="shared" si="2"/>
        <v>일치</v>
      </c>
    </row>
    <row r="24" spans="2:18">
      <c r="B24" s="155" t="s">
        <v>25</v>
      </c>
      <c r="C24" s="155" t="s">
        <v>262</v>
      </c>
      <c r="D24" s="155" t="s">
        <v>22</v>
      </c>
      <c r="E24" s="154">
        <f>LNG사용량!E25/LNG사용량!L25*LNG금액!M24</f>
        <v>585208.8883917568</v>
      </c>
      <c r="F24" s="154">
        <f>LNG사용량!F25/LNG사용량!L25*LNG금액!M24</f>
        <v>4490856.8578146538</v>
      </c>
      <c r="G24" s="154">
        <f>LNG사용량!G25/LNG사용량!L25*LNG금액!M24</f>
        <v>24394587.879056867</v>
      </c>
      <c r="H24" s="154">
        <f>LNG사용량!H25/LNG사용량!L25*LNG금액!M24</f>
        <v>159687425.43378872</v>
      </c>
      <c r="I24" s="154">
        <f>LNG사용량!I25/LNG사용량!L25*LNG금액!M24</f>
        <v>143806376.56676209</v>
      </c>
      <c r="J24" s="154">
        <f>LNG사용량!J25/LNG사용량!L25*LNG금액!M24</f>
        <v>1487233.3741858983</v>
      </c>
      <c r="K24" s="154"/>
      <c r="L24" s="173">
        <f t="shared" si="0"/>
        <v>334451689</v>
      </c>
      <c r="M24" s="186">
        <f>ROUND((LNG사용량!L25-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24</f>
        <v>334451689</v>
      </c>
      <c r="N24" s="186">
        <f t="shared" si="1"/>
        <v>0</v>
      </c>
      <c r="O24" s="244">
        <v>1386730</v>
      </c>
      <c r="P24" s="159" t="str">
        <f t="shared" si="2"/>
        <v>일치</v>
      </c>
    </row>
    <row r="25" spans="2:18">
      <c r="B25" s="155" t="s">
        <v>25</v>
      </c>
      <c r="C25" s="155" t="s">
        <v>262</v>
      </c>
      <c r="D25" s="155" t="s">
        <v>23</v>
      </c>
      <c r="E25" s="154">
        <f>LNG사용량!E26/LNG사용량!L26*LNG금액!M25</f>
        <v>1167878.4451148412</v>
      </c>
      <c r="F25" s="154">
        <f>LNG사용량!F26/LNG사용량!L26*LNG금액!M25</f>
        <v>0</v>
      </c>
      <c r="G25" s="154">
        <f>LNG사용량!G26/LNG사용량!L26*LNG금액!M25</f>
        <v>0</v>
      </c>
      <c r="H25" s="154">
        <f>LNG사용량!H26/LNG사용량!L26*LNG금액!M25</f>
        <v>187231047.88528243</v>
      </c>
      <c r="I25" s="154">
        <f>LNG사용량!I26/LNG사용량!L26*LNG금액!M25</f>
        <v>178376963.77671358</v>
      </c>
      <c r="J25" s="154">
        <f>LNG사용량!J26/LNG사용량!L26*LNG금액!M25</f>
        <v>2713615.8928890978</v>
      </c>
      <c r="K25" s="154"/>
      <c r="L25" s="173">
        <f t="shared" si="0"/>
        <v>369489505.99999994</v>
      </c>
      <c r="M25" s="186">
        <f>ROUND((LNG사용량!L26-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25</f>
        <v>369489506</v>
      </c>
      <c r="N25" s="186">
        <f t="shared" si="1"/>
        <v>0</v>
      </c>
      <c r="O25" s="244">
        <v>1541150</v>
      </c>
      <c r="P25" s="159" t="str">
        <f t="shared" si="2"/>
        <v>일치</v>
      </c>
    </row>
    <row r="26" spans="2:18">
      <c r="B26" s="155" t="s">
        <v>26</v>
      </c>
      <c r="C26" s="155" t="s">
        <v>317</v>
      </c>
      <c r="D26" s="155" t="s">
        <v>84</v>
      </c>
      <c r="E26" s="154">
        <f>LNG사용량!E27/LNG사용량!L27*LNG금액!M26</f>
        <v>13632059.422616597</v>
      </c>
      <c r="F26" s="154">
        <f>LNG사용량!F27/LNG사용량!L27*LNG금액!M26</f>
        <v>0</v>
      </c>
      <c r="G26" s="154">
        <f>LNG사용량!G27/LNG사용량!L27*LNG금액!M26</f>
        <v>4064942.0170707153</v>
      </c>
      <c r="H26" s="154">
        <f>LNG사용량!H27/LNG사용량!L27*LNG금액!M26</f>
        <v>172688818.49204233</v>
      </c>
      <c r="I26" s="154">
        <f>LNG사용량!I27/LNG사용량!L27*LNG금액!M26</f>
        <v>159591550.19059825</v>
      </c>
      <c r="J26" s="154">
        <f>LNG사용량!J27/LNG사용량!L27*LNG금액!M26</f>
        <v>2914149.8367894576</v>
      </c>
      <c r="K26" s="154">
        <v>-1920</v>
      </c>
      <c r="L26" s="173">
        <f>ROUNDDOWN(SUM(E26:K26),0)</f>
        <v>352889599</v>
      </c>
      <c r="M26" s="186">
        <f>ROUNDDOWN((LNG사용량!L27-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-1930741</f>
        <v>352889599</v>
      </c>
      <c r="N26" s="186">
        <f t="shared" si="1"/>
        <v>0</v>
      </c>
      <c r="P26" s="290" t="str">
        <f t="shared" si="2"/>
        <v>일치</v>
      </c>
      <c r="Q26" s="186">
        <f>352889599-M26</f>
        <v>0</v>
      </c>
      <c r="R26" s="173">
        <f>L26-352889599</f>
        <v>0</v>
      </c>
    </row>
    <row r="27" spans="2:18">
      <c r="B27" s="155" t="s">
        <v>26</v>
      </c>
      <c r="C27" s="155" t="s">
        <v>317</v>
      </c>
      <c r="D27" s="155" t="s">
        <v>13</v>
      </c>
      <c r="E27" s="154">
        <f>ROUND(LNG사용량!E28/LNG사용량!L28*LNG금액!M27,0)</f>
        <v>4023347</v>
      </c>
      <c r="F27" s="154">
        <f>ROUND(LNG사용량!F28/LNG사용량!L28*LNG금액!M27,0)</f>
        <v>0</v>
      </c>
      <c r="G27" s="154">
        <f>ROUND(LNG사용량!G28/LNG사용량!L28*LNG금액!M27,0)</f>
        <v>9489851</v>
      </c>
      <c r="H27" s="154">
        <f>ROUND(LNG사용량!H28/LNG사용량!L28*LNG금액!M27,0)</f>
        <v>187169393</v>
      </c>
      <c r="I27" s="154">
        <f>ROUND(LNG사용량!I28/LNG사용량!L28*LNG금액!M27,0)</f>
        <v>186365093</v>
      </c>
      <c r="J27" s="154">
        <f>ROUND(LNG사용량!J28/LNG사용량!L28*LNG금액!M27,0)</f>
        <v>2814338</v>
      </c>
      <c r="K27" s="154">
        <v>-1967</v>
      </c>
      <c r="L27" s="173">
        <f t="shared" ref="L27:L37" si="3">ROUNDDOWN(SUM(E27:K27),0)</f>
        <v>389860055</v>
      </c>
      <c r="M27" s="186">
        <f>ROUNDDOWN((LNG사용량!L28-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-1779892</f>
        <v>389860055</v>
      </c>
      <c r="N27" s="186">
        <f t="shared" si="1"/>
        <v>0</v>
      </c>
      <c r="P27" s="290" t="str">
        <f t="shared" si="2"/>
        <v>일치</v>
      </c>
      <c r="Q27" s="173">
        <f>389860055-L27</f>
        <v>0</v>
      </c>
      <c r="R27" s="173">
        <f>389860055-M27</f>
        <v>0</v>
      </c>
    </row>
    <row r="28" spans="2:18">
      <c r="B28" s="155" t="s">
        <v>26</v>
      </c>
      <c r="C28" s="155" t="s">
        <v>317</v>
      </c>
      <c r="D28" s="155" t="s">
        <v>14</v>
      </c>
      <c r="E28" s="154">
        <f>ROUND(LNG사용량!E29/LNG사용량!L29*LNG금액!M28,0)</f>
        <v>57058524</v>
      </c>
      <c r="F28" s="154">
        <f>ROUND(LNG사용량!F29/LNG사용량!L29*LNG금액!M28,0)</f>
        <v>48730159</v>
      </c>
      <c r="G28" s="154">
        <f>ROUND(LNG사용량!G29/LNG사용량!L29*LNG금액!M28,0)</f>
        <v>285383271</v>
      </c>
      <c r="H28" s="154">
        <f>ROUND(LNG사용량!H29/LNG사용량!L29*LNG금액!M28,0)</f>
        <v>240909741</v>
      </c>
      <c r="I28" s="154">
        <f>ROUND(LNG사용량!I29/LNG사용량!L29*LNG금액!M28,0)</f>
        <v>226415072</v>
      </c>
      <c r="J28" s="154">
        <f>ROUND(LNG사용량!J29/LNG사용량!L29*LNG금액!M28,0)</f>
        <v>2553643</v>
      </c>
      <c r="K28" s="154">
        <v>-1735</v>
      </c>
      <c r="L28" s="173">
        <f t="shared" si="3"/>
        <v>861048675</v>
      </c>
      <c r="M28" s="186">
        <f>ROUNDDOWN((LNG사용량!L29-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861048675</v>
      </c>
      <c r="N28" s="186">
        <f t="shared" si="1"/>
        <v>0</v>
      </c>
      <c r="P28" s="290" t="str">
        <f t="shared" si="2"/>
        <v>일치</v>
      </c>
      <c r="Q28" s="173">
        <f>861048675-L28</f>
        <v>0</v>
      </c>
      <c r="R28" s="173">
        <f>861048675-M28</f>
        <v>0</v>
      </c>
    </row>
    <row r="29" spans="2:18">
      <c r="B29" s="155" t="s">
        <v>26</v>
      </c>
      <c r="C29" s="155" t="s">
        <v>318</v>
      </c>
      <c r="D29" s="155" t="s">
        <v>15</v>
      </c>
      <c r="E29" s="154">
        <f>ROUND(LNG사용량!E30/LNG사용량!L30*LNG금액!M29,0)</f>
        <v>46161519</v>
      </c>
      <c r="F29" s="154">
        <f>ROUND(LNG사용량!F30/LNG사용량!L30*LNG금액!M29,0)</f>
        <v>43951665</v>
      </c>
      <c r="G29" s="154">
        <f>ROUND(LNG사용량!G30/LNG사용량!L30*LNG금액!M29,0)</f>
        <v>289535444</v>
      </c>
      <c r="H29" s="154">
        <f>ROUND(LNG사용량!H30/LNG사용량!L30*LNG금액!M29,0)</f>
        <v>208889051</v>
      </c>
      <c r="I29" s="154">
        <f>ROUND(LNG사용량!I30/LNG사용량!L30*LNG금액!M29,0)</f>
        <v>194297645</v>
      </c>
      <c r="J29" s="154">
        <f>ROUND(LNG사용량!J30/LNG사용량!L30*LNG금액!M29,0)</f>
        <v>1420694</v>
      </c>
      <c r="K29" s="154">
        <v>-2274</v>
      </c>
      <c r="L29" s="173">
        <f t="shared" si="3"/>
        <v>784253744</v>
      </c>
      <c r="M29" s="186">
        <f>ROUNDDOWN((LNG사용량!L30-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784253744</v>
      </c>
      <c r="N29" s="186">
        <f t="shared" si="1"/>
        <v>0</v>
      </c>
      <c r="P29" s="290" t="str">
        <f t="shared" si="2"/>
        <v>일치</v>
      </c>
    </row>
    <row r="30" spans="2:18">
      <c r="B30" s="155" t="s">
        <v>26</v>
      </c>
      <c r="C30" s="155" t="s">
        <v>318</v>
      </c>
      <c r="D30" s="155" t="s">
        <v>16</v>
      </c>
      <c r="E30" s="154">
        <f>ROUND(LNG사용량!E31/LNG사용량!L31*LNG금액!M30,0)</f>
        <v>48168075</v>
      </c>
      <c r="F30" s="154">
        <f>ROUND(LNG사용량!F31/LNG사용량!L31*LNG금액!M30,0)</f>
        <v>40061067</v>
      </c>
      <c r="G30" s="154">
        <f>ROUND(LNG사용량!G31/LNG사용량!L31*LNG금액!M30,0)</f>
        <v>264733504</v>
      </c>
      <c r="H30" s="154">
        <f>ROUND(LNG사용량!H31/LNG사용량!L31*LNG금액!M30,0)</f>
        <v>183777665</v>
      </c>
      <c r="I30" s="154">
        <f>ROUND(LNG사용량!I31/LNG사용량!L31*LNG금액!M30,0)</f>
        <v>167172603</v>
      </c>
      <c r="J30" s="154">
        <f>ROUND(LNG사용량!J31/LNG사용량!L31*LNG금액!M30,0)</f>
        <v>1234386</v>
      </c>
      <c r="K30" s="154">
        <v>-2066</v>
      </c>
      <c r="L30" s="173">
        <f t="shared" si="3"/>
        <v>705145234</v>
      </c>
      <c r="M30" s="186">
        <f>ROUNDDOWN((LNG사용량!L31-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705145234</v>
      </c>
      <c r="N30" s="186">
        <f t="shared" si="1"/>
        <v>0</v>
      </c>
      <c r="P30" s="293" t="str">
        <f t="shared" si="2"/>
        <v>일치</v>
      </c>
    </row>
    <row r="31" spans="2:18">
      <c r="B31" s="155" t="s">
        <v>26</v>
      </c>
      <c r="C31" s="155" t="s">
        <v>318</v>
      </c>
      <c r="D31" s="155" t="s">
        <v>17</v>
      </c>
      <c r="E31" s="154">
        <f>ROUND(LNG사용량!E32/LNG사용량!L32*LNG금액!M31,0)</f>
        <v>46010386</v>
      </c>
      <c r="F31" s="154">
        <f>ROUND(LNG사용량!F32/LNG사용량!L32*LNG금액!M31,0)</f>
        <v>47632618</v>
      </c>
      <c r="G31" s="154">
        <f>ROUND(LNG사용량!G32/LNG사용량!L32*LNG금액!M31,0)</f>
        <v>279417350</v>
      </c>
      <c r="H31" s="154">
        <f>ROUND(LNG사용량!H32/LNG사용량!L32*LNG금액!M31,0)</f>
        <v>186559377</v>
      </c>
      <c r="I31" s="154">
        <f>ROUND(LNG사용량!I32/LNG사용량!L32*LNG금액!M31,0)</f>
        <v>182767021</v>
      </c>
      <c r="J31" s="154">
        <f>ROUND(LNG사용량!J32/LNG사용량!L32*LNG금액!M31,0)</f>
        <v>1794971</v>
      </c>
      <c r="K31" s="154"/>
      <c r="L31" s="173">
        <f t="shared" si="3"/>
        <v>744181723</v>
      </c>
      <c r="M31" s="186">
        <f>ROUNDDOWN((LNG사용량!L32-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-O31</f>
        <v>744181723</v>
      </c>
      <c r="N31" s="186">
        <f t="shared" si="1"/>
        <v>0</v>
      </c>
      <c r="O31" s="244">
        <v>2322</v>
      </c>
      <c r="P31" s="307" t="str">
        <f t="shared" si="2"/>
        <v>일치</v>
      </c>
      <c r="Q31" s="173">
        <f>M31-744181723</f>
        <v>0</v>
      </c>
    </row>
    <row r="32" spans="2:18">
      <c r="B32" s="155" t="s">
        <v>26</v>
      </c>
      <c r="C32" s="155" t="s">
        <v>260</v>
      </c>
      <c r="D32" s="155" t="s">
        <v>18</v>
      </c>
      <c r="L32" s="173">
        <f t="shared" si="3"/>
        <v>0</v>
      </c>
      <c r="M32" s="186">
        <f>ROUNDDOWN((LNG사용량!L33-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0</v>
      </c>
      <c r="N32" s="186">
        <f t="shared" si="1"/>
        <v>0</v>
      </c>
    </row>
    <row r="33" spans="2:14">
      <c r="B33" s="155" t="s">
        <v>26</v>
      </c>
      <c r="C33" s="155" t="s">
        <v>260</v>
      </c>
      <c r="D33" s="155" t="s">
        <v>19</v>
      </c>
      <c r="L33" s="173">
        <f t="shared" si="3"/>
        <v>0</v>
      </c>
      <c r="M33" s="186">
        <f>ROUNDDOWN((LNG사용량!L34-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0</v>
      </c>
      <c r="N33" s="157">
        <f t="shared" si="1"/>
        <v>0</v>
      </c>
    </row>
    <row r="34" spans="2:14">
      <c r="B34" s="155" t="s">
        <v>26</v>
      </c>
      <c r="C34" s="155" t="s">
        <v>260</v>
      </c>
      <c r="D34" s="155" t="s">
        <v>20</v>
      </c>
      <c r="L34" s="173">
        <f t="shared" si="3"/>
        <v>0</v>
      </c>
      <c r="M34" s="186">
        <f>ROUNDDOWN((LNG사용량!L35-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0</v>
      </c>
      <c r="N34" s="157">
        <f t="shared" si="1"/>
        <v>0</v>
      </c>
    </row>
    <row r="35" spans="2:14">
      <c r="B35" s="155" t="s">
        <v>26</v>
      </c>
      <c r="C35" s="155" t="s">
        <v>262</v>
      </c>
      <c r="D35" s="155" t="s">
        <v>21</v>
      </c>
      <c r="L35" s="173">
        <f t="shared" si="3"/>
        <v>0</v>
      </c>
      <c r="M35" s="186">
        <f>ROUNDDOWN((LNG사용량!L36-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0</v>
      </c>
      <c r="N35" s="157">
        <f t="shared" si="1"/>
        <v>0</v>
      </c>
    </row>
    <row r="36" spans="2:14">
      <c r="B36" s="155" t="s">
        <v>26</v>
      </c>
      <c r="C36" s="155" t="s">
        <v>262</v>
      </c>
      <c r="D36" s="155" t="s">
        <v>22</v>
      </c>
      <c r="L36" s="173">
        <f t="shared" si="3"/>
        <v>0</v>
      </c>
      <c r="M36" s="186">
        <f>ROUNDDOWN((LNG사용량!L37-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0</v>
      </c>
      <c r="N36" s="157">
        <f t="shared" si="1"/>
        <v>0</v>
      </c>
    </row>
    <row r="37" spans="2:14">
      <c r="B37" s="155" t="s">
        <v>26</v>
      </c>
      <c r="C37" s="155" t="s">
        <v>262</v>
      </c>
      <c r="D37" s="155" t="s">
        <v>23</v>
      </c>
      <c r="L37" s="173">
        <f t="shared" si="3"/>
        <v>0</v>
      </c>
      <c r="M37" s="186">
        <f>ROUNDDOWN((LNG사용량!L38-999999)*SUMIFS(LNG요금표!H:H,LNG요금표!D:D,B:B,LNG요금표!F:F,D:D,LNG요금표!G:G,"백만이상")*SUMIFS(LNG요금표!I:I,LNG요금표!D:D,B:B,LNG요금표!F:F,D:D,LNG요금표!G:G,"백만이상")+999999*SUMIFS(LNG요금표!H:H,LNG요금표!D:D,B:B,LNG요금표!F:F,D:D,LNG요금표!G:G,"백만이하")*SUMIFS(LNG요금표!I:I,LNG요금표!D:D,B:B,LNG요금표!F:F,D:D,LNG요금표!G:G,"백만이하"),0)</f>
        <v>0</v>
      </c>
      <c r="N37" s="157">
        <f t="shared" si="1"/>
        <v>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topLeftCell="D7" workbookViewId="0">
      <selection activeCell="F23" sqref="F23:N23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413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S7" s="133" t="s">
        <v>302</v>
      </c>
      <c r="T7" s="133"/>
      <c r="U7" s="186" t="s">
        <v>288</v>
      </c>
      <c r="V7" s="183" t="s">
        <v>289</v>
      </c>
      <c r="W7" s="183" t="s">
        <v>290</v>
      </c>
      <c r="X7" s="183" t="s">
        <v>291</v>
      </c>
    </row>
    <row r="8" spans="1:33" ht="24.95" customHeight="1" thickTop="1">
      <c r="A8" s="184" t="s">
        <v>2</v>
      </c>
      <c r="B8" s="130" t="s">
        <v>300</v>
      </c>
      <c r="D8" s="337" t="s">
        <v>274</v>
      </c>
      <c r="E8" s="197" t="s">
        <v>265</v>
      </c>
      <c r="F8" s="137">
        <f>SUMIFS(생산량!E:E,생산량!B:B,B8,생산량!C:C,B9)</f>
        <v>31842.799999999999</v>
      </c>
      <c r="G8" s="137"/>
      <c r="H8" s="137">
        <f>SUMIFS(생산량!F:F,생산량!B:B,B8,생산량!C:C,B9)</f>
        <v>25412.29</v>
      </c>
      <c r="I8" s="137">
        <f>SUMIFS(생산량!G:G,생산량!B:B,B8,생산량!C:C,B9)</f>
        <v>22857.03</v>
      </c>
      <c r="J8" s="137">
        <f>SUMIFS(생산량!H:H,생산량!B:B,B8,생산량!C:C,B9)</f>
        <v>37388.79</v>
      </c>
      <c r="K8" s="137">
        <f>SUMIFS(생산량!I:I,생산량!B:B,B8,생산량!C:C,B9)</f>
        <v>15243.95</v>
      </c>
      <c r="L8" s="137">
        <f>SUMIFS(생산량!J:J,생산량!B:B,B8,생산량!D:D,B9)</f>
        <v>0</v>
      </c>
      <c r="M8" s="137"/>
      <c r="N8" s="137">
        <f t="shared" ref="N8:N13" si="0">SUM(F8:M8)</f>
        <v>132744.86000000002</v>
      </c>
      <c r="O8" s="187"/>
      <c r="S8" s="199"/>
      <c r="T8" s="199"/>
    </row>
    <row r="9" spans="1:33" ht="24.95" customHeight="1">
      <c r="A9" s="184" t="s">
        <v>4</v>
      </c>
      <c r="B9" s="131" t="s">
        <v>414</v>
      </c>
      <c r="D9" s="337"/>
      <c r="E9" s="197" t="s">
        <v>267</v>
      </c>
      <c r="F9" s="138">
        <f>SUM(F10:F11)</f>
        <v>566557</v>
      </c>
      <c r="G9" s="138">
        <f t="shared" ref="G9:L9" si="1">SUM(G10:G11)</f>
        <v>67841</v>
      </c>
      <c r="H9" s="138">
        <f t="shared" si="1"/>
        <v>2567342</v>
      </c>
      <c r="I9" s="138">
        <f t="shared" si="1"/>
        <v>3963273</v>
      </c>
      <c r="J9" s="138">
        <f t="shared" si="1"/>
        <v>2336056.9999999832</v>
      </c>
      <c r="K9" s="138">
        <f t="shared" si="1"/>
        <v>1722705</v>
      </c>
      <c r="L9" s="138">
        <f t="shared" si="1"/>
        <v>55552</v>
      </c>
      <c r="M9" s="138"/>
      <c r="N9" s="138">
        <f t="shared" si="0"/>
        <v>11279326.999999983</v>
      </c>
      <c r="O9" s="138"/>
      <c r="S9" s="199"/>
      <c r="T9" s="199"/>
    </row>
    <row r="10" spans="1:33" ht="24.95" customHeight="1">
      <c r="A10" s="330" t="s">
        <v>301</v>
      </c>
      <c r="B10" s="131" t="s">
        <v>295</v>
      </c>
      <c r="D10" s="337"/>
      <c r="E10" s="197" t="s">
        <v>266</v>
      </c>
      <c r="F10" s="188">
        <f>SUMIFS(라인분배전력량!E:E,라인분배전력량!B:B,B8,라인분배전력량!C:C,B9)</f>
        <v>535055</v>
      </c>
      <c r="G10" s="188">
        <f>SUMIFS(라인분배전력량!F:F,라인분배전력량!B:B,B8,라인분배전력량!C:C,B9)</f>
        <v>65265</v>
      </c>
      <c r="H10" s="188">
        <f>SUMIFS(라인분배전력량!G:G,라인분배전력량!B:B,B8,라인분배전력량!C:C,B9)</f>
        <v>2447969</v>
      </c>
      <c r="I10" s="188">
        <f>SUMIFS(라인분배전력량!H:H,라인분배전력량!B:B,B8,라인분배전력량!C:C,B9)</f>
        <v>3829596</v>
      </c>
      <c r="J10" s="188">
        <f>SUMIFS(라인분배전력량!I:I,라인분배전력량!B:B,B8,라인분배전력량!C:C,B9)+T10</f>
        <v>2207748.7599999825</v>
      </c>
      <c r="K10" s="188">
        <f>SUMIFS(라인분배전력량!J:J,라인분배전력량!B:B,B8,라인분배전력량!C:C,B9)</f>
        <v>1628641</v>
      </c>
      <c r="L10" s="188">
        <f>SUMIFS(라인분배전력량!K:K,라인분배전력량!B:B,B8,라인분배전력량!C:C,B9)</f>
        <v>52549</v>
      </c>
      <c r="M10" s="188"/>
      <c r="N10" s="188">
        <f t="shared" si="0"/>
        <v>10766823.759999983</v>
      </c>
      <c r="O10" s="188"/>
      <c r="S10" s="134">
        <f>총전력량!G38-'21.1분기'!N10</f>
        <v>-8719142</v>
      </c>
      <c r="T10" s="134">
        <v>0.75999998254701495</v>
      </c>
      <c r="U10" s="186">
        <f>F10+G10</f>
        <v>600320</v>
      </c>
      <c r="W10" s="186">
        <f>ROUND(L10*0.6,0)</f>
        <v>31529</v>
      </c>
      <c r="X10" s="186">
        <f>L10-W10</f>
        <v>21020</v>
      </c>
    </row>
    <row r="11" spans="1:33" ht="24.95" customHeight="1">
      <c r="A11" s="330"/>
      <c r="B11" s="131" t="s">
        <v>297</v>
      </c>
      <c r="D11" s="337"/>
      <c r="E11" s="197" t="s">
        <v>303</v>
      </c>
      <c r="F11" s="188">
        <f>SUMIFS(라인분배전력량!S:S,라인분배전력량!B:B,B8,라인분배전력량!C:C,B9)</f>
        <v>31502</v>
      </c>
      <c r="G11" s="188">
        <f>SUMIFS(라인분배전력량!T:T,라인분배전력량!B:B,B8,라인분배전력량!C:C,B9)</f>
        <v>2576</v>
      </c>
      <c r="H11" s="188">
        <f>SUMIFS(라인분배전력량!U:U,라인분배전력량!B:B,B8,라인분배전력량!C:C,B9)</f>
        <v>119373</v>
      </c>
      <c r="I11" s="188">
        <f>SUMIFS(라인분배전력량!V:V,라인분배전력량!B:B,B8,라인분배전력량!C:C,B9)</f>
        <v>133677</v>
      </c>
      <c r="J11" s="188">
        <f>SUMIFS(라인분배전력량!W:W,라인분배전력량!B:B,B8,라인분배전력량!C:C,B9)+T11</f>
        <v>128308.24000000051</v>
      </c>
      <c r="K11" s="188">
        <f>SUMIFS(라인분배전력량!X:X,라인분배전력량!B:B,B8,라인분배전력량!C:C,B9)</f>
        <v>94064</v>
      </c>
      <c r="L11" s="188">
        <f>SUMIFS(라인분배전력량!Y:Y,라인분배전력량!B:B,B8,라인분배전력량!C:C,B9)</f>
        <v>3003</v>
      </c>
      <c r="M11" s="188"/>
      <c r="N11" s="188">
        <f t="shared" si="0"/>
        <v>512503.24000000051</v>
      </c>
      <c r="O11" s="188"/>
      <c r="S11" s="134">
        <f>ESS전력량!G38-'21.1분기'!N11</f>
        <v>-348729</v>
      </c>
      <c r="T11" s="134">
        <v>0.24000000051455572</v>
      </c>
      <c r="U11" s="186">
        <f t="shared" ref="U11:U13" si="2">F11+G11</f>
        <v>34078</v>
      </c>
      <c r="W11" s="186">
        <f t="shared" ref="W11:W13" si="3">ROUND(L11*0.6,0)</f>
        <v>1802</v>
      </c>
      <c r="X11" s="186">
        <f t="shared" ref="X11:X13" si="4">L11-W11</f>
        <v>1201</v>
      </c>
    </row>
    <row r="12" spans="1:33" ht="24.95" customHeight="1" thickBot="1">
      <c r="A12" s="330"/>
      <c r="B12" s="132" t="s">
        <v>299</v>
      </c>
      <c r="D12" s="337"/>
      <c r="E12" s="197" t="s">
        <v>268</v>
      </c>
      <c r="F12" s="188">
        <f>SUMIFS(라인분배전력금액!E:E,라인분배전력금액!B:B,B8,라인분배전력금액!C:C,B9)</f>
        <v>65957772</v>
      </c>
      <c r="G12" s="188">
        <f>SUMIFS(라인분배전력금액!F:F,라인분배전력금액!B:B,B8,라인분배전력금액!C:C,B9)</f>
        <v>6455545</v>
      </c>
      <c r="H12" s="188">
        <f>SUMIFS(라인분배전력금액!G:G,라인분배전력금액!B:B,B8,라인분배전력금액!C:C,B9)</f>
        <v>271083511</v>
      </c>
      <c r="I12" s="188">
        <f>SUMIFS(라인분배전력금액!H:H,라인분배전력금액!B:B,B8,라인분배전력금액!C:C,B9)</f>
        <v>304757554</v>
      </c>
      <c r="J12" s="188">
        <f>SUMIFS(라인분배전력금액!I:I,라인분배전력금액!B:B,B8,라인분배전력금액!C:C,B9)+T12</f>
        <v>263342433</v>
      </c>
      <c r="K12" s="188">
        <f>SUMIFS(라인분배전력금액!J:J,라인분배전력금액!B:B,B8,라인분배전력금액!C:C,B9)</f>
        <v>194451072</v>
      </c>
      <c r="L12" s="188">
        <f>SUMIFS(라인분배전력금액!K:K,라인분배전력금액!B:B,B8,라인분배전력금액!C:C,B9)</f>
        <v>6190876</v>
      </c>
      <c r="M12" s="188"/>
      <c r="N12" s="188">
        <f t="shared" si="0"/>
        <v>1112238763</v>
      </c>
      <c r="O12" s="187"/>
      <c r="S12" s="135">
        <f>총전력량!AF38-'21.1분기'!N12</f>
        <v>-842629802</v>
      </c>
      <c r="T12" s="136">
        <v>0</v>
      </c>
      <c r="U12" s="186">
        <f t="shared" si="2"/>
        <v>72413317</v>
      </c>
      <c r="W12" s="186">
        <f t="shared" si="3"/>
        <v>3714526</v>
      </c>
      <c r="X12" s="186">
        <f t="shared" si="4"/>
        <v>2476350</v>
      </c>
    </row>
    <row r="13" spans="1:33" ht="24.95" customHeight="1" thickTop="1">
      <c r="D13" s="337"/>
      <c r="E13" s="197" t="s">
        <v>269</v>
      </c>
      <c r="F13" s="188">
        <f>SUMIFS(라인분배전력금액!U:U,라인분배전력금액!R:R,B8,라인분배전력금액!S:S,B9)</f>
        <v>1931146</v>
      </c>
      <c r="G13" s="188">
        <f>SUMIFS(라인분배전력금액!V:V,라인분배전력금액!R:R,B8,라인분배전력금액!S:S,B9)</f>
        <v>145241</v>
      </c>
      <c r="H13" s="188">
        <f>SUMIFS(라인분배전력금액!W:W,라인분배전력금액!R:R,B8,라인분배전력금액!S:S,B9)</f>
        <v>7070863</v>
      </c>
      <c r="I13" s="188">
        <f>SUMIFS(라인분배전력금액!X:X,라인분배전력금액!R:R,B8,라인분배전력금액!S:S,B9)</f>
        <v>7896842</v>
      </c>
      <c r="J13" s="188">
        <f>SUMIFS(라인분배전력금액!Y:Y,라인분배전력금액!R:R,B8,라인분배전력금액!S:S,B9)+T13</f>
        <v>7815579</v>
      </c>
      <c r="K13" s="188">
        <f>SUMIFS(라인분배전력금액!Z:Z,라인분배전력금액!R:R,B8,라인분배전력금액!S:S,B9)</f>
        <v>5728026</v>
      </c>
      <c r="L13" s="188">
        <f>SUMIFS(라인분배전력금액!AA:AA,라인분배전력금액!R:R,B8,라인분배전력금액!S:S,B9)</f>
        <v>182312</v>
      </c>
      <c r="M13" s="188"/>
      <c r="N13" s="188">
        <f t="shared" si="0"/>
        <v>30770009</v>
      </c>
      <c r="O13" s="187"/>
      <c r="S13" s="135">
        <f>총전력량!AR38-'21.1분기'!N13</f>
        <v>-20471102</v>
      </c>
      <c r="T13" s="136">
        <v>0</v>
      </c>
      <c r="U13" s="186">
        <f t="shared" si="2"/>
        <v>2076387</v>
      </c>
      <c r="W13" s="186">
        <f t="shared" si="3"/>
        <v>109387</v>
      </c>
      <c r="X13" s="186">
        <f t="shared" si="4"/>
        <v>72925</v>
      </c>
    </row>
    <row r="14" spans="1:33" ht="24.95" customHeight="1">
      <c r="D14" s="337"/>
      <c r="E14" s="197" t="s">
        <v>270</v>
      </c>
      <c r="F14" s="138">
        <f>SUM(F12:F13)</f>
        <v>67888918</v>
      </c>
      <c r="G14" s="138">
        <f t="shared" ref="G14:N14" si="5">SUM(G12:G13)</f>
        <v>6600786</v>
      </c>
      <c r="H14" s="138">
        <f t="shared" si="5"/>
        <v>278154374</v>
      </c>
      <c r="I14" s="138">
        <f t="shared" si="5"/>
        <v>312654396</v>
      </c>
      <c r="J14" s="138">
        <f t="shared" si="5"/>
        <v>271158012</v>
      </c>
      <c r="K14" s="138">
        <f t="shared" si="5"/>
        <v>200179098</v>
      </c>
      <c r="L14" s="138">
        <f t="shared" si="5"/>
        <v>6373188</v>
      </c>
      <c r="M14" s="138">
        <f t="shared" si="5"/>
        <v>0</v>
      </c>
      <c r="N14" s="138">
        <f t="shared" si="5"/>
        <v>1143008772</v>
      </c>
      <c r="O14" s="139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304</v>
      </c>
      <c r="AE14" s="183" t="s">
        <v>305</v>
      </c>
      <c r="AF14" s="183" t="s">
        <v>306</v>
      </c>
      <c r="AG14" s="183" t="s">
        <v>132</v>
      </c>
    </row>
    <row r="15" spans="1:33" ht="24.95" customHeight="1">
      <c r="D15" s="337"/>
      <c r="E15" s="197" t="s">
        <v>271</v>
      </c>
      <c r="F15" s="140">
        <f>F14+Z15</f>
        <v>84855759.808937997</v>
      </c>
      <c r="G15" s="140">
        <f t="shared" ref="G15:L15" si="6">G14+AA15</f>
        <v>7792723.4415140022</v>
      </c>
      <c r="H15" s="140">
        <f t="shared" si="6"/>
        <v>338659253.08445132</v>
      </c>
      <c r="I15" s="140">
        <f t="shared" si="6"/>
        <v>380036699.44865227</v>
      </c>
      <c r="J15" s="140">
        <f t="shared" si="6"/>
        <v>338752745.89677495</v>
      </c>
      <c r="K15" s="140">
        <f t="shared" si="6"/>
        <v>249805259.87728894</v>
      </c>
      <c r="L15" s="140">
        <f t="shared" si="6"/>
        <v>7943885.4423805382</v>
      </c>
      <c r="M15" s="140"/>
      <c r="N15" s="140">
        <f>SUM(F15:L15)</f>
        <v>1407846327</v>
      </c>
      <c r="O15" s="187"/>
      <c r="S15" s="136"/>
      <c r="T15" s="136"/>
      <c r="Z15" s="198">
        <f>SUMIFS(라인별전력적용비율!E:E,라인별전력적용비율!B:B,B8,라인별전력적용비율!C:C,B9)*AG15</f>
        <v>16966841.808938</v>
      </c>
      <c r="AA15" s="198">
        <f>SUMIFS(라인별전력적용비율!F:F,라인별전력적용비율!B:B,B8,라인별전력적용비율!C:C,B9)*AG15</f>
        <v>1191937.4415140019</v>
      </c>
      <c r="AB15" s="198">
        <f>SUMIFS(라인별전력적용비율!G:G,라인별전력적용비율!B:B,B8,라인별전력적용비율!C:C,B9)*AG15</f>
        <v>60504879.084451318</v>
      </c>
      <c r="AC15" s="198">
        <f>SUMIFS(라인별전력적용비율!H:H,라인별전력적용비율!B:B,B8,라인별전력적용비율!C:C,B9)*AG15</f>
        <v>67382303.448652267</v>
      </c>
      <c r="AD15" s="198">
        <f>SUMIFS(라인별전력적용비율!I:I,라인별전력적용비율!B:B,B8,라인별전력적용비율!C:C,B9)*AG15</f>
        <v>67594733.896774948</v>
      </c>
      <c r="AE15" s="198">
        <f>SUMIFS(라인별전력적용비율!J:J,라인별전력적용비율!B:B,B8,라인별전력적용비율!C:C,B9)*AG15</f>
        <v>49626161.877288945</v>
      </c>
      <c r="AF15" s="198">
        <f>SUMIFS(라인별전력적용비율!K:K,라인별전력적용비율!B:B,B8,라인별전력적용비율!C:C,B9)*AG15</f>
        <v>1570697.4423805387</v>
      </c>
      <c r="AG15" s="198">
        <f>ROUND(SUMIFS(리스추정치!E:E,리스추정치!B:B,B8,리스추정치!C:C,B9),0)</f>
        <v>88279185</v>
      </c>
    </row>
    <row r="16" spans="1:33" ht="24.95" customHeight="1">
      <c r="D16" s="337"/>
      <c r="E16" s="141" t="s">
        <v>272</v>
      </c>
      <c r="F16" s="188">
        <f>IFERROR(F15/F8,0)</f>
        <v>2664.8334885417739</v>
      </c>
      <c r="G16" s="188">
        <f t="shared" ref="G16:N16" si="7">IFERROR(G15/G8,0)</f>
        <v>0</v>
      </c>
      <c r="H16" s="188">
        <f t="shared" si="7"/>
        <v>13326.593277679867</v>
      </c>
      <c r="I16" s="188">
        <f t="shared" si="7"/>
        <v>16626.687695149034</v>
      </c>
      <c r="J16" s="188">
        <f t="shared" si="7"/>
        <v>9060.275710895563</v>
      </c>
      <c r="K16" s="188">
        <f t="shared" si="7"/>
        <v>16387.173919967525</v>
      </c>
      <c r="L16" s="188">
        <f t="shared" si="7"/>
        <v>0</v>
      </c>
      <c r="M16" s="188">
        <f t="shared" si="7"/>
        <v>0</v>
      </c>
      <c r="N16" s="188">
        <f t="shared" si="7"/>
        <v>10605.656045740678</v>
      </c>
      <c r="O16" s="187"/>
      <c r="S16" s="136"/>
      <c r="T16" s="136"/>
    </row>
    <row r="17" spans="4:20" ht="24.95" customHeight="1">
      <c r="D17" s="337"/>
      <c r="E17" s="141" t="s">
        <v>273</v>
      </c>
      <c r="F17" s="137">
        <f>IFERROR(F9/F8,0)</f>
        <v>17.792310977677843</v>
      </c>
      <c r="G17" s="137">
        <f t="shared" ref="G17:N17" si="8">IFERROR(G9/G8,0)</f>
        <v>0</v>
      </c>
      <c r="H17" s="137">
        <f t="shared" si="8"/>
        <v>101.02757366612768</v>
      </c>
      <c r="I17" s="137">
        <f t="shared" si="8"/>
        <v>173.39404988312131</v>
      </c>
      <c r="J17" s="137">
        <f t="shared" si="8"/>
        <v>62.480144449712952</v>
      </c>
      <c r="K17" s="137">
        <f t="shared" si="8"/>
        <v>113.00909541162231</v>
      </c>
      <c r="L17" s="137">
        <f t="shared" si="8"/>
        <v>0</v>
      </c>
      <c r="M17" s="137">
        <f t="shared" si="8"/>
        <v>0</v>
      </c>
      <c r="N17" s="137">
        <f t="shared" si="8"/>
        <v>84.969971718678835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SUMIFS(LNG사용량!E:E,LNG사용량!B:B,B8,LNG사용량!C:C,B9)</f>
        <v>126707.26147181776</v>
      </c>
      <c r="G18" s="188">
        <f>SUMIFS(LNG사용량!F:F,LNG사용량!B:B,B8,LNG사용량!C:C,B9)</f>
        <v>80125</v>
      </c>
      <c r="H18" s="188"/>
      <c r="I18" s="188">
        <f>SUMIFS(LNG사용량!G:G,LNG사용량!B:B,B8,LNG사용량!C:C,B9)</f>
        <v>493769</v>
      </c>
      <c r="J18" s="188">
        <f>SUMIFS(LNG사용량!H:H,LNG사용량!B:B,B8,LNG사용량!C:C,B9)</f>
        <v>1054551</v>
      </c>
      <c r="K18" s="188">
        <f>SUMIFS(LNG사용량!I:I,LNG사용량!B:B,B8,LNG사용량!C:C,B9)</f>
        <v>1004554.7385281823</v>
      </c>
      <c r="L18" s="188"/>
      <c r="M18" s="188">
        <f>SUMIFS(LNG사용량!J:J,LNG사용량!B:B,B8,LNG사용량!C:C,B9)</f>
        <v>14698.9692</v>
      </c>
      <c r="N18" s="188">
        <f>SUM(F18:M18)</f>
        <v>2774405.9692000002</v>
      </c>
      <c r="O18" s="187"/>
    </row>
    <row r="19" spans="4:20" ht="24.95" customHeight="1">
      <c r="D19" s="337"/>
      <c r="E19" s="164" t="s">
        <v>370</v>
      </c>
      <c r="F19" s="138">
        <f>SUMIFS(LNG금액!E:E,LNG금액!B:B,B8,LNG금액!C:C,B9)</f>
        <v>74713930.422616601</v>
      </c>
      <c r="G19" s="138">
        <f>SUMIFS(LNG금액!F:F,LNG금액!B:B,B8,LNG금액!C:C,B9)</f>
        <v>48730159</v>
      </c>
      <c r="H19" s="138"/>
      <c r="I19" s="138">
        <f>SUMIFS(LNG금액!G:G,LNG금액!B:B,B8,LNG금액!C:C,B9)</f>
        <v>298938064.01707071</v>
      </c>
      <c r="J19" s="138">
        <f>SUMIFS(LNG금액!H:H,LNG금액!B:B,B8,LNG금액!C:C,B9)</f>
        <v>600767952.4920423</v>
      </c>
      <c r="K19" s="138">
        <f>SUMIFS(LNG금액!I:I,LNG금액!B:B,B8,LNG금액!C:C,B9)</f>
        <v>572371715.19059825</v>
      </c>
      <c r="L19" s="138"/>
      <c r="M19" s="138">
        <f>SUMIFS(LNG금액!J:J,LNG금액!B:B,B8,LNG금액!C:C,B9)</f>
        <v>8282130.8367894571</v>
      </c>
      <c r="N19" s="138">
        <f>SUM(F19:M19)</f>
        <v>1603803951.9591172</v>
      </c>
      <c r="O19" s="187"/>
    </row>
    <row r="20" spans="4:20" ht="24.95" customHeight="1">
      <c r="D20" s="337"/>
      <c r="E20" s="164" t="s">
        <v>371</v>
      </c>
      <c r="F20" s="188">
        <f>F19/F8</f>
        <v>2346.3367047689462</v>
      </c>
      <c r="G20" s="188">
        <f>IFERROR(G19/G8,0)</f>
        <v>0</v>
      </c>
      <c r="H20" s="188"/>
      <c r="I20" s="188">
        <f>IFERROR(I19/I8,0)</f>
        <v>13078.60487635842</v>
      </c>
      <c r="J20" s="188">
        <f t="shared" ref="J20:N20" si="9">J19/J8</f>
        <v>16068.13038057777</v>
      </c>
      <c r="K20" s="188">
        <f t="shared" si="9"/>
        <v>37547.46736840505</v>
      </c>
      <c r="L20" s="188"/>
      <c r="M20" s="188"/>
      <c r="N20" s="188">
        <f t="shared" si="9"/>
        <v>12081.853504226958</v>
      </c>
      <c r="O20" s="187"/>
    </row>
    <row r="21" spans="4:20" ht="24.95" customHeight="1">
      <c r="D21" s="337"/>
      <c r="E21" s="164" t="s">
        <v>372</v>
      </c>
      <c r="F21" s="137">
        <f>F18/F8</f>
        <v>3.9791494928780686</v>
      </c>
      <c r="G21" s="137">
        <f>IFERROR(G18/G8,0)</f>
        <v>0</v>
      </c>
      <c r="H21" s="137"/>
      <c r="I21" s="137">
        <f>IFERROR(I18/I8,0)</f>
        <v>21.602500412345787</v>
      </c>
      <c r="J21" s="137">
        <f t="shared" ref="J21:N21" si="10">J18/J8</f>
        <v>28.205004762122549</v>
      </c>
      <c r="K21" s="137">
        <f t="shared" si="10"/>
        <v>65.898585243862797</v>
      </c>
      <c r="L21" s="137"/>
      <c r="M21" s="137"/>
      <c r="N21" s="137">
        <f t="shared" si="10"/>
        <v>20.900289240577752</v>
      </c>
      <c r="O21" s="187"/>
    </row>
    <row r="22" spans="4:20" ht="24.95" customHeight="1">
      <c r="D22" s="197" t="s">
        <v>374</v>
      </c>
      <c r="E22" s="164" t="s">
        <v>375</v>
      </c>
      <c r="F22" s="187">
        <f>SUMIFS(LNG사용량!M:M,LNG사용량!B:B,B8,LNG사용량!D:D,B9)</f>
        <v>0</v>
      </c>
      <c r="G22" s="187"/>
      <c r="H22" s="187"/>
      <c r="I22" s="187"/>
      <c r="J22" s="187"/>
      <c r="K22" s="187">
        <f>SUMIFS(LNG사용량!N:N,LNG사용량!B:B,B8,LNG사용량!D:D,B9)</f>
        <v>0</v>
      </c>
      <c r="L22" s="187"/>
      <c r="M22" s="187"/>
      <c r="N22" s="188">
        <f>SUM(F22:M22)</f>
        <v>0</v>
      </c>
      <c r="O22" s="187"/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SUMIFS(용수사용량!F:F,용수사용량!B:B,B8,용수사용량!C:C,B9,용수사용량!E:E,'21.1분기'!B10)</f>
        <v>1226.5984530274072</v>
      </c>
      <c r="G23" s="188">
        <f>SUMIFS(용수사용량!G:G,용수사용량!B:B,B8,용수사용량!C:C,B9,용수사용량!E:E,'21.1분기'!B10)</f>
        <v>152.50604784099528</v>
      </c>
      <c r="H23" s="188">
        <f>SUMIFS(용수사용량!H:H,용수사용량!B:B,B8,용수사용량!C:C,B9,용수사용량!E:E,'21.1분기'!B10)</f>
        <v>197.62701730500004</v>
      </c>
      <c r="I23" s="188">
        <f>SUMIFS(용수사용량!I:I,용수사용량!B:B,B8,용수사용량!C:C,B9,용수사용량!E:E,'21.1분기'!B10)</f>
        <v>719.73029400331393</v>
      </c>
      <c r="J23" s="188">
        <f>SUMIFS(용수사용량!J:J,용수사용량!B:B,B8,용수사용량!C:C,B9,용수사용량!E:E,'21.1분기'!B10)</f>
        <v>4062.1745067470788</v>
      </c>
      <c r="K23" s="188">
        <f>SUMIFS(용수사용량!K:K,용수사용량!B:B,B8,용수사용량!C:C,B9,용수사용량!E:E,'21.1분기'!B10)</f>
        <v>2834.3636810762046</v>
      </c>
      <c r="L23" s="188"/>
      <c r="M23" s="188"/>
      <c r="N23" s="188">
        <f>SUM(F23:M23)</f>
        <v>9193</v>
      </c>
      <c r="O23" s="187"/>
    </row>
    <row r="24" spans="4:20" ht="24.95" customHeight="1">
      <c r="D24" s="337"/>
      <c r="E24" s="164" t="s">
        <v>378</v>
      </c>
      <c r="F24" s="188">
        <f>SUMIFS(용수금액!F:F,용수사용량!B:B,B8,용수사용량!C:C,B9,용수사용량!E:E,'21.1분기'!B10)</f>
        <v>5410085.9980495479</v>
      </c>
      <c r="G24" s="188">
        <f>SUMIFS(용수금액!G:G,용수사용량!B:B,B8,용수사용량!C:C,B9,용수사용량!E:E,'21.1분기'!B10)</f>
        <v>674587.14432573912</v>
      </c>
      <c r="H24" s="188">
        <f>SUMIFS(용수금액!H:H,용수사용량!B:B,B8,용수사용량!C:C,B9,용수사용량!E:E,'21.1분기'!B10)</f>
        <v>871590.97581031465</v>
      </c>
      <c r="I24" s="188">
        <f>SUMIFS(용수금액!I:I,용수사용량!B:B,B8,용수사용량!C:C,B9,용수사용량!E:E,'21.1분기'!B10)</f>
        <v>3213669.6643206235</v>
      </c>
      <c r="J24" s="188">
        <f>SUMIFS(용수금액!J:J,용수사용량!B:B,B8,용수사용량!C:C,B9,용수사용량!E:E,'21.1분기'!B10)</f>
        <v>18105301.807413112</v>
      </c>
      <c r="K24" s="188">
        <f>SUMIFS(용수금액!K:K,용수사용량!B:B,B8,용수사용량!C:C,B9,용수사용량!E:E,'21.1분기'!B10)</f>
        <v>12633274.410080662</v>
      </c>
      <c r="L24" s="188"/>
      <c r="M24" s="188"/>
      <c r="N24" s="189">
        <f>SUM(F24:M24)</f>
        <v>40908510</v>
      </c>
      <c r="O24" s="187"/>
    </row>
    <row r="25" spans="4:20" ht="24.95" customHeight="1">
      <c r="D25" s="337"/>
      <c r="E25" s="164" t="s">
        <v>371</v>
      </c>
      <c r="F25" s="188">
        <f>F24/F8</f>
        <v>169.8998203063031</v>
      </c>
      <c r="G25" s="188">
        <f>G24/F8</f>
        <v>21.184919175629627</v>
      </c>
      <c r="H25" s="188">
        <f>H24/H8</f>
        <v>34.298009971172007</v>
      </c>
      <c r="I25" s="188">
        <f>IFERROR(I24/I8,0)</f>
        <v>140.59874202031602</v>
      </c>
      <c r="J25" s="188">
        <f t="shared" ref="J25:K25" si="11">J24/J8</f>
        <v>484.24412256756938</v>
      </c>
      <c r="K25" s="188">
        <f t="shared" si="11"/>
        <v>828.74021563181861</v>
      </c>
      <c r="L25" s="188"/>
      <c r="M25" s="188"/>
      <c r="N25" s="188">
        <f t="shared" ref="N25" si="12">N24/N8</f>
        <v>308.17396620855976</v>
      </c>
      <c r="O25" s="187"/>
    </row>
    <row r="26" spans="4:20" ht="24.95" customHeight="1">
      <c r="D26" s="337"/>
      <c r="E26" s="164" t="s">
        <v>379</v>
      </c>
      <c r="F26" s="137">
        <f>F23/F8</f>
        <v>3.8520433285622095E-2</v>
      </c>
      <c r="G26" s="137">
        <f>G23/F8</f>
        <v>4.7893416358170534E-3</v>
      </c>
      <c r="H26" s="137">
        <f>H23/H8</f>
        <v>7.7768283497866592E-3</v>
      </c>
      <c r="I26" s="137">
        <f>IFERROR(I23/I8,0)</f>
        <v>3.1488355836401929E-2</v>
      </c>
      <c r="J26" s="137">
        <f t="shared" ref="J26:K26" si="13">J23/J8</f>
        <v>0.10864685663128117</v>
      </c>
      <c r="K26" s="137">
        <f t="shared" si="13"/>
        <v>0.18593367736552563</v>
      </c>
      <c r="L26" s="137"/>
      <c r="M26" s="137"/>
      <c r="N26" s="137">
        <f t="shared" ref="N26" si="14">N23/N8</f>
        <v>6.9253152250113484E-2</v>
      </c>
      <c r="O26" s="187"/>
    </row>
    <row r="27" spans="4:20" ht="24.95" customHeight="1">
      <c r="D27" s="337" t="s">
        <v>383</v>
      </c>
      <c r="E27" s="164" t="s">
        <v>369</v>
      </c>
      <c r="F27" s="188">
        <f>SUMIFS(용수사용량!S:S,용수사용량!O:O,B8,용수사용량!P:P,B9,용수사용량!R:R,'21.1분기'!B11)</f>
        <v>10685.141695326054</v>
      </c>
      <c r="G27" s="188">
        <f>SUMIFS(용수사용량!T:T,용수사용량!O:O,B8,용수사용량!P:P,B9,용수사용량!R:R,'21.1분기'!B11)</f>
        <v>1283.9329721960698</v>
      </c>
      <c r="H27" s="188">
        <f>SUMIFS(용수사용량!U:U,용수사용량!O:O,B8,용수사용량!P:P,B9,용수사용량!R:R,'21.1분기'!B11)</f>
        <v>1715.1618463065677</v>
      </c>
      <c r="I27" s="188">
        <f>SUMIFS(용수사용량!V:V,용수사용량!O:O,B8,용수사용량!P:P,B9,용수사용량!R:R,'21.1분기'!B11)</f>
        <v>4807.5325958201029</v>
      </c>
      <c r="J27" s="188">
        <f>SUMIFS(용수사용량!W:W,용수사용량!O:O,B8,용수사용량!P:P,B9,용수사용량!R:R,'21.1분기'!B11)</f>
        <v>29580.166345197227</v>
      </c>
      <c r="K27" s="188">
        <f>SUMIFS(용수사용량!X:X,용수사용량!O:O,B8,용수사용량!P:P,B9,용수사용량!R:R,'21.1분기'!B11)</f>
        <v>20650.064545153975</v>
      </c>
      <c r="L27" s="188"/>
      <c r="M27" s="188"/>
      <c r="N27" s="188">
        <f>SUM(F27:M27)</f>
        <v>68722</v>
      </c>
      <c r="O27" s="187"/>
    </row>
    <row r="28" spans="4:20" ht="24.95" customHeight="1">
      <c r="D28" s="337"/>
      <c r="E28" s="164" t="s">
        <v>376</v>
      </c>
      <c r="F28" s="213">
        <f>SUMIFS(용수금액!S:S,용수사용량!O:O,B8,용수사용량!P:P,B9,용수사용량!R:R,'21.1분기'!B11)</f>
        <v>5971436.6042518755</v>
      </c>
      <c r="G28" s="213">
        <f>SUMIFS(용수금액!T:T,용수사용량!O:O,B8,용수사용량!P:P,B9,용수사용량!R:R,'21.1분기'!B11)</f>
        <v>717564.24282893701</v>
      </c>
      <c r="H28" s="213">
        <f>SUMIFS(용수금액!U:U,용수사용량!O:O,B8,용수사용량!P:P,B9,용수사용량!R:R,'21.1분기'!B11)</f>
        <v>958514.75559364387</v>
      </c>
      <c r="I28" s="213">
        <f>SUMIFS(용수금액!V:V,용수사용량!O:O,B8,용수사용량!P:P,B9,용수사용량!R:R,'21.1분기'!B11)</f>
        <v>2686713.3900186317</v>
      </c>
      <c r="J28" s="213">
        <f>SUMIFS(용수금액!W:W,용수사용량!O:O,B8,용수사용량!P:P,B9,용수사용량!R:R,'21.1분기'!B11)</f>
        <v>16532464.525272431</v>
      </c>
      <c r="K28" s="213">
        <f>SUMIFS(용수금액!X:X,용수사용량!O:O,B8,용수사용량!P:P,B9,용수사용량!R:R,'21.1분기'!B11)</f>
        <v>11541426.48203448</v>
      </c>
      <c r="L28" s="213"/>
      <c r="M28" s="213"/>
      <c r="N28" s="213">
        <f>SUM(F28:M28)</f>
        <v>38408120</v>
      </c>
      <c r="O28" s="187"/>
    </row>
    <row r="29" spans="4:20" ht="24.95" customHeight="1">
      <c r="D29" s="337"/>
      <c r="E29" s="164" t="s">
        <v>371</v>
      </c>
      <c r="F29" s="188">
        <f>F28/F8</f>
        <v>187.52862826924377</v>
      </c>
      <c r="G29" s="188">
        <f>G28/F8</f>
        <v>22.534583730982735</v>
      </c>
      <c r="H29" s="188">
        <f t="shared" ref="H29:N29" si="15">H28/H8</f>
        <v>37.718550968592119</v>
      </c>
      <c r="I29" s="188">
        <f>IFERROR(I28/I8,0)</f>
        <v>117.54429118825288</v>
      </c>
      <c r="J29" s="188">
        <f t="shared" si="15"/>
        <v>442.17704090644361</v>
      </c>
      <c r="K29" s="188">
        <f t="shared" si="15"/>
        <v>757.11521502199105</v>
      </c>
      <c r="L29" s="188"/>
      <c r="M29" s="188"/>
      <c r="N29" s="188">
        <f t="shared" si="15"/>
        <v>289.33790732085595</v>
      </c>
      <c r="O29" s="187"/>
    </row>
    <row r="30" spans="4:20" ht="24.95" customHeight="1">
      <c r="D30" s="337"/>
      <c r="E30" s="164" t="s">
        <v>377</v>
      </c>
      <c r="F30" s="137">
        <f>F27/F8</f>
        <v>0.33555911211721501</v>
      </c>
      <c r="G30" s="137">
        <f>G27/F8</f>
        <v>4.0320982206215217E-2</v>
      </c>
      <c r="H30" s="137">
        <f t="shared" ref="H30:N30" si="16">H27/H8</f>
        <v>6.7493399701741466E-2</v>
      </c>
      <c r="I30" s="137">
        <f>IFERROR(I27/I8,0)</f>
        <v>0.21033058957441553</v>
      </c>
      <c r="J30" s="137">
        <f t="shared" si="16"/>
        <v>0.7911506723057159</v>
      </c>
      <c r="K30" s="137">
        <f t="shared" si="16"/>
        <v>1.3546400076852767</v>
      </c>
      <c r="L30" s="137"/>
      <c r="M30" s="137"/>
      <c r="N30" s="137">
        <f t="shared" si="16"/>
        <v>0.51769989436879127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SUMIFS(용수사용량!AF:AF,용수사용량!AB:AB,B8,용수사용량!AC:AC,B9,용수사용량!AE:AE,'21.1분기'!B12)</f>
        <v>7793.1603054738998</v>
      </c>
      <c r="G31" s="188">
        <f>SUMIFS(용수사용량!AG:AG,용수사용량!AB:AB,B8,용수사용량!AC:AC,B9,용수사용량!AE:AE,'21.1분기'!B12)</f>
        <v>904.83802179232384</v>
      </c>
      <c r="H31" s="188">
        <f>SUMIFS(용수사용량!AH:AH,용수사용량!AB:AB,B8,용수사용량!AC:AC,B9,용수사용량!AE:AE,'21.1분기'!B12)</f>
        <v>1274.5386294437978</v>
      </c>
      <c r="I31" s="188">
        <f>SUMIFS(용수사용량!AI:AI,용수사용량!AB:AB,B8,용수사용량!AC:AC,B9,용수사용량!AE:AE,'21.1분기'!B12)</f>
        <v>4431.4565862558457</v>
      </c>
      <c r="J31" s="188">
        <f>SUMIFS(용수사용량!AJ:AJ,용수사용량!AB:AB,B8,용수사용량!AC:AC,B9,용수사용량!AE:AE,'21.1분기'!B12)</f>
        <v>22602.194224814884</v>
      </c>
      <c r="K31" s="188">
        <f>SUMIFS(용수사용량!AK:AK,용수사용량!AB:AB,B8,용수사용량!AC:AC,B9,용수사용량!AE:AE,'21.1분기'!B12)</f>
        <v>15717.81223221925</v>
      </c>
      <c r="L31" s="188"/>
      <c r="M31" s="188"/>
      <c r="N31" s="188">
        <f>SUM(F31:M31)</f>
        <v>52724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SUMIFS(용수금액!AF:AF,용수금액!AB:AB,B8,용수금액!AC:AC,B9,용수금액!AE:AE,'21.1분기'!B12)</f>
        <v>6819013.818151297</v>
      </c>
      <c r="G32" s="188">
        <f>SUMIFS(용수금액!AG:AG,용수금액!AB:AB,B8,용수금액!AC:AC,B9,용수금액!AE:AE,'21.1분기'!B12)</f>
        <v>791733.10736861802</v>
      </c>
      <c r="H32" s="188">
        <f>SUMIFS(용수금액!AH:AH,용수금액!AB:AB,B8,용수금액!AC:AC,B9,용수금액!AE:AE,'21.1분기'!B12)</f>
        <v>1115221.0729801983</v>
      </c>
      <c r="I32" s="188">
        <f>SUMIFS(용수금액!AI:AI,용수금액!AB:AB,B8,용수금액!AC:AC,B9,용수금액!AE:AE,'21.1분기'!B12)</f>
        <v>3877524.4808917344</v>
      </c>
      <c r="J32" s="188">
        <f>SUMIFS(용수금액!AJ:AJ,용수금액!AB:AB,B8,용수금액!AC:AC,B9,용수금액!AE:AE,'21.1분기'!B12)</f>
        <v>19776918.110440735</v>
      </c>
      <c r="K32" s="188">
        <f>SUMIFS(용수금액!AK:AK,용수금액!AB:AB,B8,용수금액!AC:AC,B9,용수금액!AE:AE,'21.1분기'!B12)</f>
        <v>13753084.410167415</v>
      </c>
      <c r="L32" s="188"/>
      <c r="M32" s="188"/>
      <c r="N32" s="188">
        <f>SUM(F32:M32)</f>
        <v>46133495</v>
      </c>
      <c r="O32" s="187"/>
    </row>
    <row r="33" spans="4:15" ht="24.95" customHeight="1">
      <c r="D33" s="337"/>
      <c r="E33" s="164" t="s">
        <v>371</v>
      </c>
      <c r="F33" s="188">
        <f>F32/F8</f>
        <v>214.14617490143132</v>
      </c>
      <c r="G33" s="188">
        <f>G32/F8</f>
        <v>24.863803037691977</v>
      </c>
      <c r="H33" s="188">
        <f t="shared" ref="H33:N33" si="17">H32/H8</f>
        <v>43.885107283924363</v>
      </c>
      <c r="I33" s="188">
        <f>IFERROR(I32/I8,0)</f>
        <v>169.64253364902328</v>
      </c>
      <c r="J33" s="188">
        <f t="shared" si="17"/>
        <v>528.95314639603839</v>
      </c>
      <c r="K33" s="188">
        <f t="shared" si="17"/>
        <v>902.19952244447234</v>
      </c>
      <c r="L33" s="188"/>
      <c r="M33" s="188"/>
      <c r="N33" s="188">
        <f t="shared" si="17"/>
        <v>347.53507593439019</v>
      </c>
      <c r="O33" s="187"/>
    </row>
    <row r="34" spans="4:15" ht="24.95" customHeight="1">
      <c r="D34" s="337"/>
      <c r="E34" s="164" t="s">
        <v>381</v>
      </c>
      <c r="F34" s="137">
        <f>IFERROR(F31/F8,0)</f>
        <v>0.2447385376120787</v>
      </c>
      <c r="G34" s="137">
        <f>IFERROR(G31/F8,0)</f>
        <v>2.8415780703717131E-2</v>
      </c>
      <c r="H34" s="137">
        <f t="shared" ref="H34:N34" si="18">IFERROR(H31/H8,0)</f>
        <v>5.0154418568487839E-2</v>
      </c>
      <c r="I34" s="137">
        <f t="shared" si="18"/>
        <v>0.19387718291728392</v>
      </c>
      <c r="J34" s="137">
        <f t="shared" si="18"/>
        <v>0.60451793772451268</v>
      </c>
      <c r="K34" s="137">
        <f t="shared" si="18"/>
        <v>1.0310852654475546</v>
      </c>
      <c r="L34" s="137">
        <f t="shared" si="18"/>
        <v>0</v>
      </c>
      <c r="M34" s="137">
        <f t="shared" si="18"/>
        <v>0</v>
      </c>
      <c r="N34" s="137">
        <f t="shared" si="18"/>
        <v>0.39718298697215088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D23:D26"/>
    <mergeCell ref="D27:D30"/>
    <mergeCell ref="D31:D34"/>
    <mergeCell ref="D4:L5"/>
    <mergeCell ref="D7:E7"/>
    <mergeCell ref="D8:D17"/>
    <mergeCell ref="A10:A12"/>
    <mergeCell ref="D18:D21"/>
  </mergeCells>
  <phoneticPr fontId="2" type="noConversion"/>
  <pageMargins left="0.7" right="0.7" top="0.75" bottom="0.75" header="0.3" footer="0.3"/>
  <pageSetup paperSize="9" scale="63" fitToHeight="0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M37"/>
  <sheetViews>
    <sheetView topLeftCell="Y4" workbookViewId="0">
      <selection activeCell="AB21" sqref="AB21"/>
    </sheetView>
  </sheetViews>
  <sheetFormatPr defaultRowHeight="16.5"/>
  <cols>
    <col min="13" max="13" width="9" style="136"/>
    <col min="26" max="26" width="9" style="262"/>
    <col min="28" max="38" width="9" style="177"/>
    <col min="39" max="39" width="9" style="262"/>
  </cols>
  <sheetData>
    <row r="1" spans="2:39">
      <c r="B1" t="s">
        <v>384</v>
      </c>
      <c r="C1" t="s">
        <v>385</v>
      </c>
      <c r="D1" t="s">
        <v>386</v>
      </c>
      <c r="E1" t="s">
        <v>387</v>
      </c>
      <c r="F1" t="s">
        <v>133</v>
      </c>
      <c r="G1" t="s">
        <v>134</v>
      </c>
      <c r="H1" t="s">
        <v>135</v>
      </c>
      <c r="I1" t="s">
        <v>136</v>
      </c>
      <c r="J1" t="s">
        <v>388</v>
      </c>
      <c r="K1" t="s">
        <v>305</v>
      </c>
      <c r="L1" t="s">
        <v>132</v>
      </c>
      <c r="M1" s="136" t="s">
        <v>389</v>
      </c>
      <c r="O1" t="s">
        <v>1</v>
      </c>
      <c r="P1" t="s">
        <v>241</v>
      </c>
      <c r="Q1" t="s">
        <v>3</v>
      </c>
      <c r="R1" t="s">
        <v>63</v>
      </c>
      <c r="S1" t="s">
        <v>275</v>
      </c>
      <c r="T1" t="s">
        <v>120</v>
      </c>
      <c r="U1" t="s">
        <v>277</v>
      </c>
      <c r="V1" t="s">
        <v>117</v>
      </c>
      <c r="W1" t="s">
        <v>279</v>
      </c>
      <c r="X1" t="s">
        <v>281</v>
      </c>
      <c r="Y1" t="s">
        <v>285</v>
      </c>
      <c r="Z1" s="262" t="s">
        <v>389</v>
      </c>
      <c r="AB1" s="177" t="s">
        <v>1</v>
      </c>
      <c r="AC1" s="177" t="s">
        <v>241</v>
      </c>
      <c r="AD1" s="177" t="s">
        <v>3</v>
      </c>
      <c r="AE1" s="177" t="s">
        <v>63</v>
      </c>
      <c r="AF1" s="177" t="s">
        <v>275</v>
      </c>
      <c r="AG1" s="177" t="s">
        <v>120</v>
      </c>
      <c r="AH1" s="177" t="s">
        <v>277</v>
      </c>
      <c r="AI1" s="177" t="s">
        <v>117</v>
      </c>
      <c r="AJ1" s="177" t="s">
        <v>279</v>
      </c>
      <c r="AK1" s="177" t="s">
        <v>281</v>
      </c>
      <c r="AL1" s="177" t="s">
        <v>285</v>
      </c>
      <c r="AM1" s="262" t="s">
        <v>389</v>
      </c>
    </row>
    <row r="2" spans="2:39">
      <c r="B2" s="158" t="s">
        <v>361</v>
      </c>
      <c r="C2" s="158" t="s">
        <v>317</v>
      </c>
      <c r="D2" s="158" t="s">
        <v>84</v>
      </c>
      <c r="E2" t="s">
        <v>295</v>
      </c>
      <c r="F2" s="165">
        <v>987.34999999999991</v>
      </c>
      <c r="G2" s="165"/>
      <c r="H2" s="165">
        <v>112.84</v>
      </c>
      <c r="I2" s="165">
        <v>366.73</v>
      </c>
      <c r="J2" s="165">
        <v>705.25</v>
      </c>
      <c r="K2" s="165">
        <v>648.83000000000004</v>
      </c>
      <c r="L2">
        <f>SUM(F2:K2)</f>
        <v>2821</v>
      </c>
      <c r="O2" t="s">
        <v>24</v>
      </c>
      <c r="P2" t="s">
        <v>256</v>
      </c>
      <c r="Q2" t="s">
        <v>9</v>
      </c>
      <c r="R2" t="s">
        <v>296</v>
      </c>
      <c r="S2" s="176">
        <v>5775.3499999999995</v>
      </c>
      <c r="T2" s="176"/>
      <c r="U2" s="176">
        <v>660.04</v>
      </c>
      <c r="V2" s="176">
        <v>2145.13</v>
      </c>
      <c r="W2" s="176">
        <v>4125.25</v>
      </c>
      <c r="X2" s="176">
        <v>3795.23</v>
      </c>
      <c r="Y2">
        <f>SUM(S2:X2)</f>
        <v>16501</v>
      </c>
      <c r="AB2" s="177" t="s">
        <v>24</v>
      </c>
      <c r="AC2" s="177" t="s">
        <v>256</v>
      </c>
      <c r="AD2" s="177" t="s">
        <v>9</v>
      </c>
      <c r="AE2" s="177" t="s">
        <v>298</v>
      </c>
      <c r="AF2" s="178">
        <v>7608.9999999999991</v>
      </c>
      <c r="AG2" s="178"/>
      <c r="AH2" s="178">
        <v>869.6</v>
      </c>
      <c r="AI2" s="178">
        <v>2826.2000000000003</v>
      </c>
      <c r="AJ2" s="178">
        <v>5435</v>
      </c>
      <c r="AK2" s="178">
        <v>5000.2</v>
      </c>
    </row>
    <row r="3" spans="2:39">
      <c r="B3" s="158" t="s">
        <v>361</v>
      </c>
      <c r="C3" s="158" t="s">
        <v>317</v>
      </c>
      <c r="D3" s="158" t="s">
        <v>13</v>
      </c>
      <c r="E3" s="158" t="s">
        <v>295</v>
      </c>
      <c r="F3" s="165">
        <v>970.19999999999993</v>
      </c>
      <c r="G3" s="165"/>
      <c r="H3" s="165">
        <v>110.88</v>
      </c>
      <c r="I3" s="165">
        <v>360.36</v>
      </c>
      <c r="J3" s="165">
        <v>693</v>
      </c>
      <c r="K3" s="165">
        <v>637.56000000000006</v>
      </c>
      <c r="L3" s="166">
        <f t="shared" ref="L3:L37" si="0">SUM(F3:K3)</f>
        <v>2772</v>
      </c>
      <c r="O3" t="s">
        <v>24</v>
      </c>
      <c r="P3" t="s">
        <v>256</v>
      </c>
      <c r="Q3" t="s">
        <v>13</v>
      </c>
      <c r="R3" t="s">
        <v>296</v>
      </c>
      <c r="S3" s="176">
        <v>5674.2</v>
      </c>
      <c r="T3" s="176"/>
      <c r="U3" s="176">
        <v>648.48</v>
      </c>
      <c r="V3" s="176">
        <v>2107.56</v>
      </c>
      <c r="W3" s="176">
        <v>4053</v>
      </c>
      <c r="X3" s="176">
        <v>3728.76</v>
      </c>
      <c r="Y3" s="176">
        <f t="shared" ref="Y3:Y37" si="1">SUM(S3:X3)</f>
        <v>16212</v>
      </c>
      <c r="AB3" s="177" t="s">
        <v>24</v>
      </c>
      <c r="AC3" s="177" t="s">
        <v>256</v>
      </c>
      <c r="AD3" s="177" t="s">
        <v>13</v>
      </c>
      <c r="AE3" s="177" t="s">
        <v>298</v>
      </c>
      <c r="AF3" s="178">
        <v>5497.7999999999993</v>
      </c>
      <c r="AG3" s="178"/>
      <c r="AH3" s="178">
        <v>628.32000000000005</v>
      </c>
      <c r="AI3" s="178">
        <v>2042.04</v>
      </c>
      <c r="AJ3" s="178">
        <v>3927</v>
      </c>
      <c r="AK3" s="178">
        <v>3612.84</v>
      </c>
    </row>
    <row r="4" spans="2:39">
      <c r="B4" s="158" t="s">
        <v>361</v>
      </c>
      <c r="C4" s="158" t="s">
        <v>317</v>
      </c>
      <c r="D4" s="158" t="s">
        <v>14</v>
      </c>
      <c r="E4" s="158" t="s">
        <v>295</v>
      </c>
      <c r="F4" s="165">
        <v>923.3</v>
      </c>
      <c r="G4" s="165"/>
      <c r="H4" s="165">
        <v>105.52</v>
      </c>
      <c r="I4" s="165">
        <v>342.94</v>
      </c>
      <c r="J4" s="165">
        <v>659.5</v>
      </c>
      <c r="K4" s="165">
        <v>606.74</v>
      </c>
      <c r="L4" s="166">
        <f t="shared" si="0"/>
        <v>2638</v>
      </c>
      <c r="O4" t="s">
        <v>24</v>
      </c>
      <c r="P4" t="s">
        <v>256</v>
      </c>
      <c r="Q4" t="s">
        <v>14</v>
      </c>
      <c r="R4" t="s">
        <v>296</v>
      </c>
      <c r="S4" s="176">
        <v>4483.1499999999996</v>
      </c>
      <c r="T4" s="176"/>
      <c r="U4" s="176">
        <v>512.36</v>
      </c>
      <c r="V4" s="176">
        <v>1665.17</v>
      </c>
      <c r="W4" s="176">
        <v>3202.25</v>
      </c>
      <c r="X4" s="176">
        <v>2946.07</v>
      </c>
      <c r="Y4" s="176">
        <f t="shared" si="1"/>
        <v>12809</v>
      </c>
      <c r="AB4" s="177" t="s">
        <v>24</v>
      </c>
      <c r="AC4" s="177" t="s">
        <v>256</v>
      </c>
      <c r="AD4" s="177" t="s">
        <v>14</v>
      </c>
      <c r="AE4" s="177" t="s">
        <v>298</v>
      </c>
      <c r="AF4" s="178">
        <v>7919.45</v>
      </c>
      <c r="AG4" s="178"/>
      <c r="AH4" s="178">
        <v>905.08</v>
      </c>
      <c r="AI4" s="178">
        <v>2941.51</v>
      </c>
      <c r="AJ4" s="178">
        <v>5656.75</v>
      </c>
      <c r="AK4" s="178">
        <v>5204.21</v>
      </c>
    </row>
    <row r="5" spans="2:39">
      <c r="B5" s="158" t="s">
        <v>361</v>
      </c>
      <c r="C5" s="158" t="s">
        <v>318</v>
      </c>
      <c r="D5" s="158" t="s">
        <v>15</v>
      </c>
      <c r="E5" s="158" t="s">
        <v>295</v>
      </c>
      <c r="F5" s="165">
        <v>936.59999999999991</v>
      </c>
      <c r="G5" s="165"/>
      <c r="H5" s="165">
        <v>107.04</v>
      </c>
      <c r="I5" s="165">
        <v>347.88</v>
      </c>
      <c r="J5" s="165">
        <v>669</v>
      </c>
      <c r="K5" s="165">
        <v>615.48</v>
      </c>
      <c r="L5" s="166">
        <f t="shared" si="0"/>
        <v>2676</v>
      </c>
      <c r="O5" t="s">
        <v>24</v>
      </c>
      <c r="P5" t="s">
        <v>258</v>
      </c>
      <c r="Q5" t="s">
        <v>15</v>
      </c>
      <c r="R5" t="s">
        <v>296</v>
      </c>
      <c r="S5" s="176">
        <v>8664.25</v>
      </c>
      <c r="T5" s="176"/>
      <c r="U5" s="176">
        <v>990.2</v>
      </c>
      <c r="V5" s="176">
        <v>3218.15</v>
      </c>
      <c r="W5" s="176">
        <v>6188.75</v>
      </c>
      <c r="X5" s="176">
        <v>5693.6500000000005</v>
      </c>
      <c r="Y5" s="176">
        <f t="shared" si="1"/>
        <v>24755</v>
      </c>
      <c r="AB5" s="177" t="s">
        <v>24</v>
      </c>
      <c r="AC5" s="177" t="s">
        <v>258</v>
      </c>
      <c r="AD5" s="177" t="s">
        <v>15</v>
      </c>
      <c r="AE5" s="177" t="s">
        <v>298</v>
      </c>
      <c r="AF5" s="178">
        <v>7052.5</v>
      </c>
      <c r="AG5" s="178"/>
      <c r="AH5" s="178">
        <v>806</v>
      </c>
      <c r="AI5" s="178">
        <v>2619.5</v>
      </c>
      <c r="AJ5" s="178">
        <v>5037.5</v>
      </c>
      <c r="AK5" s="178">
        <v>4634.5</v>
      </c>
    </row>
    <row r="6" spans="2:39">
      <c r="B6" s="158" t="s">
        <v>361</v>
      </c>
      <c r="C6" s="158" t="s">
        <v>318</v>
      </c>
      <c r="D6" s="158" t="s">
        <v>16</v>
      </c>
      <c r="E6" s="158" t="s">
        <v>295</v>
      </c>
      <c r="F6" s="165">
        <v>1128.05</v>
      </c>
      <c r="G6" s="165"/>
      <c r="H6" s="165">
        <v>128.92000000000002</v>
      </c>
      <c r="I6" s="165">
        <v>418.99</v>
      </c>
      <c r="J6" s="165">
        <v>805.75</v>
      </c>
      <c r="K6" s="165">
        <v>741.29000000000008</v>
      </c>
      <c r="L6" s="166">
        <f t="shared" si="0"/>
        <v>3223</v>
      </c>
      <c r="O6" t="s">
        <v>24</v>
      </c>
      <c r="P6" t="s">
        <v>258</v>
      </c>
      <c r="Q6" t="s">
        <v>16</v>
      </c>
      <c r="R6" t="s">
        <v>296</v>
      </c>
      <c r="S6" s="176">
        <v>8778.3499999999985</v>
      </c>
      <c r="T6" s="176"/>
      <c r="U6" s="176">
        <v>1003.24</v>
      </c>
      <c r="V6" s="176">
        <v>3260.53</v>
      </c>
      <c r="W6" s="176">
        <v>6270.25</v>
      </c>
      <c r="X6" s="176">
        <v>5768.63</v>
      </c>
      <c r="Y6" s="176">
        <f t="shared" si="1"/>
        <v>25081</v>
      </c>
      <c r="AB6" s="177" t="s">
        <v>24</v>
      </c>
      <c r="AC6" s="177" t="s">
        <v>258</v>
      </c>
      <c r="AD6" s="177" t="s">
        <v>16</v>
      </c>
      <c r="AE6" s="177" t="s">
        <v>298</v>
      </c>
      <c r="AF6" s="178">
        <v>8021.2999999999993</v>
      </c>
      <c r="AG6" s="178"/>
      <c r="AH6" s="178">
        <v>916.72</v>
      </c>
      <c r="AI6" s="178">
        <v>2979.34</v>
      </c>
      <c r="AJ6" s="178">
        <v>5729.5</v>
      </c>
      <c r="AK6" s="178">
        <v>5271.14</v>
      </c>
    </row>
    <row r="7" spans="2:39">
      <c r="B7" s="158" t="s">
        <v>361</v>
      </c>
      <c r="C7" s="158" t="s">
        <v>318</v>
      </c>
      <c r="D7" s="158" t="s">
        <v>17</v>
      </c>
      <c r="E7" s="158" t="s">
        <v>295</v>
      </c>
      <c r="F7" s="165">
        <v>885.15</v>
      </c>
      <c r="G7" s="165"/>
      <c r="H7" s="165">
        <v>101.16</v>
      </c>
      <c r="I7" s="165">
        <v>328.77000000000004</v>
      </c>
      <c r="J7" s="165">
        <v>632.25</v>
      </c>
      <c r="K7" s="165">
        <v>581.67000000000007</v>
      </c>
      <c r="L7" s="166">
        <f t="shared" si="0"/>
        <v>2529</v>
      </c>
      <c r="O7" t="s">
        <v>24</v>
      </c>
      <c r="P7" t="s">
        <v>258</v>
      </c>
      <c r="Q7" t="s">
        <v>17</v>
      </c>
      <c r="R7" t="s">
        <v>296</v>
      </c>
      <c r="S7" s="176">
        <v>5942.65</v>
      </c>
      <c r="T7" s="176"/>
      <c r="U7" s="176">
        <v>679.16</v>
      </c>
      <c r="V7" s="176">
        <v>2207.27</v>
      </c>
      <c r="W7" s="176">
        <v>4244.75</v>
      </c>
      <c r="X7" s="176">
        <v>3905.17</v>
      </c>
      <c r="Y7" s="176">
        <f t="shared" si="1"/>
        <v>16979</v>
      </c>
      <c r="AB7" s="177" t="s">
        <v>24</v>
      </c>
      <c r="AC7" s="177" t="s">
        <v>258</v>
      </c>
      <c r="AD7" s="177" t="s">
        <v>17</v>
      </c>
      <c r="AE7" s="177" t="s">
        <v>298</v>
      </c>
      <c r="AF7" s="178">
        <v>6659.45</v>
      </c>
      <c r="AG7" s="178"/>
      <c r="AH7" s="178">
        <v>761.08</v>
      </c>
      <c r="AI7" s="178">
        <v>2473.5100000000002</v>
      </c>
      <c r="AJ7" s="178">
        <v>4756.75</v>
      </c>
      <c r="AK7" s="178">
        <v>4376.21</v>
      </c>
    </row>
    <row r="8" spans="2:39">
      <c r="B8" s="158" t="s">
        <v>361</v>
      </c>
      <c r="C8" s="158" t="s">
        <v>260</v>
      </c>
      <c r="D8" s="158" t="s">
        <v>18</v>
      </c>
      <c r="E8" s="158" t="s">
        <v>295</v>
      </c>
      <c r="F8" s="165">
        <v>882.69999999999993</v>
      </c>
      <c r="G8" s="165"/>
      <c r="H8" s="165">
        <v>100.88</v>
      </c>
      <c r="I8" s="165">
        <v>327.86</v>
      </c>
      <c r="J8" s="165">
        <v>630.5</v>
      </c>
      <c r="K8" s="165">
        <v>580.06000000000006</v>
      </c>
      <c r="L8" s="166">
        <f t="shared" si="0"/>
        <v>2522</v>
      </c>
      <c r="O8" t="s">
        <v>24</v>
      </c>
      <c r="P8" t="s">
        <v>260</v>
      </c>
      <c r="Q8" t="s">
        <v>18</v>
      </c>
      <c r="R8" t="s">
        <v>296</v>
      </c>
      <c r="S8" s="176">
        <v>7448.3499999999995</v>
      </c>
      <c r="T8" s="176"/>
      <c r="U8" s="176">
        <v>851.24</v>
      </c>
      <c r="V8" s="176">
        <v>2766.53</v>
      </c>
      <c r="W8" s="176">
        <v>5320.25</v>
      </c>
      <c r="X8" s="176">
        <v>4894.63</v>
      </c>
      <c r="Y8" s="176">
        <f t="shared" si="1"/>
        <v>21281.000000000004</v>
      </c>
      <c r="AB8" s="177" t="s">
        <v>24</v>
      </c>
      <c r="AC8" s="177" t="s">
        <v>260</v>
      </c>
      <c r="AD8" s="177" t="s">
        <v>18</v>
      </c>
      <c r="AE8" s="177" t="s">
        <v>298</v>
      </c>
      <c r="AF8" s="178">
        <v>4901.3999999999996</v>
      </c>
      <c r="AG8" s="178"/>
      <c r="AH8" s="178">
        <v>560.16</v>
      </c>
      <c r="AI8" s="178">
        <v>1820.52</v>
      </c>
      <c r="AJ8" s="178">
        <v>3501</v>
      </c>
      <c r="AK8" s="178">
        <v>3220.92</v>
      </c>
    </row>
    <row r="9" spans="2:39">
      <c r="B9" s="158" t="s">
        <v>361</v>
      </c>
      <c r="C9" s="158" t="s">
        <v>260</v>
      </c>
      <c r="D9" s="158" t="s">
        <v>19</v>
      </c>
      <c r="E9" s="158" t="s">
        <v>295</v>
      </c>
      <c r="F9" s="165">
        <v>1323.35</v>
      </c>
      <c r="G9" s="165"/>
      <c r="H9" s="165">
        <v>151.24</v>
      </c>
      <c r="I9" s="165">
        <v>491.53000000000003</v>
      </c>
      <c r="J9" s="165">
        <v>945.25</v>
      </c>
      <c r="K9" s="165">
        <v>869.63</v>
      </c>
      <c r="L9" s="166">
        <f t="shared" si="0"/>
        <v>3781</v>
      </c>
      <c r="O9" t="s">
        <v>24</v>
      </c>
      <c r="P9" t="s">
        <v>260</v>
      </c>
      <c r="Q9" t="s">
        <v>19</v>
      </c>
      <c r="R9" t="s">
        <v>296</v>
      </c>
      <c r="S9" s="176">
        <v>10118.15</v>
      </c>
      <c r="T9" s="176"/>
      <c r="U9" s="176">
        <v>1156.3600000000001</v>
      </c>
      <c r="V9" s="176">
        <v>3758.17</v>
      </c>
      <c r="W9" s="176">
        <v>7227.25</v>
      </c>
      <c r="X9" s="176">
        <v>6649.0700000000006</v>
      </c>
      <c r="Y9" s="176">
        <f t="shared" si="1"/>
        <v>28909</v>
      </c>
      <c r="AB9" s="177" t="s">
        <v>24</v>
      </c>
      <c r="AC9" s="177" t="s">
        <v>260</v>
      </c>
      <c r="AD9" s="177" t="s">
        <v>19</v>
      </c>
      <c r="AE9" s="177" t="s">
        <v>298</v>
      </c>
      <c r="AF9" s="178">
        <v>6973.0499999999993</v>
      </c>
      <c r="AG9" s="178"/>
      <c r="AH9" s="178">
        <v>796.92000000000007</v>
      </c>
      <c r="AI9" s="178">
        <v>2589.9900000000002</v>
      </c>
      <c r="AJ9" s="178">
        <v>4980.75</v>
      </c>
      <c r="AK9" s="178">
        <v>4582.29</v>
      </c>
    </row>
    <row r="10" spans="2:39">
      <c r="B10" s="158" t="s">
        <v>361</v>
      </c>
      <c r="C10" s="158" t="s">
        <v>260</v>
      </c>
      <c r="D10" s="158" t="s">
        <v>20</v>
      </c>
      <c r="E10" s="158" t="s">
        <v>295</v>
      </c>
      <c r="F10" s="165">
        <v>972.99999999999989</v>
      </c>
      <c r="G10" s="165"/>
      <c r="H10" s="165">
        <v>111.2</v>
      </c>
      <c r="I10" s="165">
        <v>361.40000000000003</v>
      </c>
      <c r="J10" s="165">
        <v>695</v>
      </c>
      <c r="K10" s="165">
        <v>639.4</v>
      </c>
      <c r="L10" s="166">
        <f t="shared" si="0"/>
        <v>2780</v>
      </c>
      <c r="O10" t="s">
        <v>24</v>
      </c>
      <c r="P10" t="s">
        <v>260</v>
      </c>
      <c r="Q10" t="s">
        <v>20</v>
      </c>
      <c r="R10" t="s">
        <v>296</v>
      </c>
      <c r="S10" s="176">
        <v>10941</v>
      </c>
      <c r="T10" s="176"/>
      <c r="U10" s="176">
        <v>1250.4000000000001</v>
      </c>
      <c r="V10" s="176">
        <v>4063.8</v>
      </c>
      <c r="W10" s="176">
        <v>7815</v>
      </c>
      <c r="X10" s="176">
        <v>7189.8</v>
      </c>
      <c r="Y10" s="176">
        <f t="shared" si="1"/>
        <v>31260</v>
      </c>
      <c r="AB10" s="177" t="s">
        <v>24</v>
      </c>
      <c r="AC10" s="177" t="s">
        <v>260</v>
      </c>
      <c r="AD10" s="177" t="s">
        <v>20</v>
      </c>
      <c r="AE10" s="177" t="s">
        <v>298</v>
      </c>
      <c r="AF10" s="178">
        <v>7839.65</v>
      </c>
      <c r="AG10" s="178"/>
      <c r="AH10" s="178">
        <v>895.96</v>
      </c>
      <c r="AI10" s="178">
        <v>2911.87</v>
      </c>
      <c r="AJ10" s="178">
        <v>5599.75</v>
      </c>
      <c r="AK10" s="178">
        <v>5151.7700000000004</v>
      </c>
    </row>
    <row r="11" spans="2:39">
      <c r="B11" s="158" t="s">
        <v>361</v>
      </c>
      <c r="C11" s="158" t="s">
        <v>262</v>
      </c>
      <c r="D11" s="158" t="s">
        <v>21</v>
      </c>
      <c r="E11" s="158" t="s">
        <v>295</v>
      </c>
      <c r="F11" s="165">
        <v>1159.8999999999999</v>
      </c>
      <c r="G11" s="165"/>
      <c r="H11" s="165">
        <v>132.56</v>
      </c>
      <c r="I11" s="165">
        <v>430.82</v>
      </c>
      <c r="J11" s="165">
        <v>828.5</v>
      </c>
      <c r="K11" s="165">
        <v>762.22</v>
      </c>
      <c r="L11" s="166">
        <f t="shared" si="0"/>
        <v>3314</v>
      </c>
      <c r="O11" t="s">
        <v>24</v>
      </c>
      <c r="P11" t="s">
        <v>262</v>
      </c>
      <c r="Q11" t="s">
        <v>21</v>
      </c>
      <c r="R11" t="s">
        <v>296</v>
      </c>
      <c r="S11" s="176">
        <v>12860.4</v>
      </c>
      <c r="T11" s="176"/>
      <c r="U11" s="176">
        <v>1469.76</v>
      </c>
      <c r="V11" s="176">
        <v>4776.72</v>
      </c>
      <c r="W11" s="176">
        <v>9186</v>
      </c>
      <c r="X11" s="176">
        <v>8451.1200000000008</v>
      </c>
      <c r="Y11" s="176">
        <f t="shared" si="1"/>
        <v>36744</v>
      </c>
      <c r="AB11" s="177" t="s">
        <v>24</v>
      </c>
      <c r="AC11" s="177" t="s">
        <v>262</v>
      </c>
      <c r="AD11" s="177" t="s">
        <v>21</v>
      </c>
      <c r="AE11" s="177" t="s">
        <v>298</v>
      </c>
      <c r="AF11" s="178">
        <v>7430.15</v>
      </c>
      <c r="AG11" s="178"/>
      <c r="AH11" s="178">
        <v>849.16</v>
      </c>
      <c r="AI11" s="178">
        <v>2759.77</v>
      </c>
      <c r="AJ11" s="178">
        <v>5307.25</v>
      </c>
      <c r="AK11" s="178">
        <v>4882.67</v>
      </c>
    </row>
    <row r="12" spans="2:39">
      <c r="B12" s="158" t="s">
        <v>361</v>
      </c>
      <c r="C12" s="158" t="s">
        <v>262</v>
      </c>
      <c r="D12" s="158" t="s">
        <v>22</v>
      </c>
      <c r="E12" s="158" t="s">
        <v>295</v>
      </c>
      <c r="F12" s="165">
        <v>996.09999999999991</v>
      </c>
      <c r="G12" s="165"/>
      <c r="H12" s="165">
        <v>113.84</v>
      </c>
      <c r="I12" s="165">
        <v>369.98</v>
      </c>
      <c r="J12" s="165">
        <v>711.5</v>
      </c>
      <c r="K12" s="165">
        <v>654.58000000000004</v>
      </c>
      <c r="L12" s="166">
        <f t="shared" si="0"/>
        <v>2846</v>
      </c>
      <c r="O12" t="s">
        <v>24</v>
      </c>
      <c r="P12" t="s">
        <v>262</v>
      </c>
      <c r="Q12" t="s">
        <v>22</v>
      </c>
      <c r="R12" t="s">
        <v>296</v>
      </c>
      <c r="S12" s="176">
        <v>13435.8</v>
      </c>
      <c r="T12" s="176"/>
      <c r="U12" s="176">
        <v>1535.52</v>
      </c>
      <c r="V12" s="176">
        <v>4990.4400000000005</v>
      </c>
      <c r="W12" s="176">
        <v>9597</v>
      </c>
      <c r="X12" s="176">
        <v>8829.24</v>
      </c>
      <c r="Y12" s="176">
        <f t="shared" si="1"/>
        <v>38388</v>
      </c>
      <c r="AB12" s="177" t="s">
        <v>24</v>
      </c>
      <c r="AC12" s="177" t="s">
        <v>262</v>
      </c>
      <c r="AD12" s="177" t="s">
        <v>22</v>
      </c>
      <c r="AE12" s="177" t="s">
        <v>298</v>
      </c>
      <c r="AF12" s="178">
        <v>8640.0999999999985</v>
      </c>
      <c r="AG12" s="178"/>
      <c r="AH12" s="178">
        <v>987.44</v>
      </c>
      <c r="AI12" s="178">
        <v>3209.1800000000003</v>
      </c>
      <c r="AJ12" s="178">
        <v>6171.5</v>
      </c>
      <c r="AK12" s="178">
        <v>5677.7800000000007</v>
      </c>
    </row>
    <row r="13" spans="2:39">
      <c r="B13" s="158" t="s">
        <v>361</v>
      </c>
      <c r="C13" s="158" t="s">
        <v>262</v>
      </c>
      <c r="D13" s="158" t="s">
        <v>23</v>
      </c>
      <c r="E13" s="158" t="s">
        <v>295</v>
      </c>
      <c r="F13" s="165">
        <v>1234.0999999999999</v>
      </c>
      <c r="G13" s="165"/>
      <c r="H13" s="165">
        <v>141.04</v>
      </c>
      <c r="I13" s="165">
        <v>458.38</v>
      </c>
      <c r="J13" s="165">
        <v>881.5</v>
      </c>
      <c r="K13" s="165">
        <v>810.98</v>
      </c>
      <c r="L13" s="166">
        <f t="shared" si="0"/>
        <v>3526</v>
      </c>
      <c r="O13" t="s">
        <v>24</v>
      </c>
      <c r="P13" t="s">
        <v>262</v>
      </c>
      <c r="Q13" t="s">
        <v>23</v>
      </c>
      <c r="R13" t="s">
        <v>296</v>
      </c>
      <c r="S13" s="176">
        <v>13166.3</v>
      </c>
      <c r="T13" s="176"/>
      <c r="U13" s="176">
        <v>1504.72</v>
      </c>
      <c r="V13" s="176">
        <v>4890.34</v>
      </c>
      <c r="W13" s="176">
        <v>9404.5</v>
      </c>
      <c r="X13" s="176">
        <v>8652.1400000000012</v>
      </c>
      <c r="Y13" s="176">
        <f t="shared" si="1"/>
        <v>37618</v>
      </c>
      <c r="AB13" s="177" t="s">
        <v>24</v>
      </c>
      <c r="AC13" s="177" t="s">
        <v>262</v>
      </c>
      <c r="AD13" s="177" t="s">
        <v>23</v>
      </c>
      <c r="AE13" s="177" t="s">
        <v>298</v>
      </c>
      <c r="AF13" s="178">
        <v>8663.9</v>
      </c>
      <c r="AG13" s="178"/>
      <c r="AH13" s="178">
        <v>990.16</v>
      </c>
      <c r="AI13" s="178">
        <v>3218.02</v>
      </c>
      <c r="AJ13" s="178">
        <v>6188.5</v>
      </c>
      <c r="AK13" s="178">
        <v>5693.42</v>
      </c>
    </row>
    <row r="14" spans="2:39">
      <c r="B14" s="158" t="s">
        <v>25</v>
      </c>
      <c r="C14" s="158" t="s">
        <v>317</v>
      </c>
      <c r="D14" s="158" t="s">
        <v>84</v>
      </c>
      <c r="E14" s="158" t="s">
        <v>295</v>
      </c>
      <c r="F14" s="167">
        <v>1233.75</v>
      </c>
      <c r="G14" s="167"/>
      <c r="H14" s="167">
        <v>141</v>
      </c>
      <c r="I14" s="167">
        <v>458.25</v>
      </c>
      <c r="J14" s="167">
        <v>881.25</v>
      </c>
      <c r="K14" s="167">
        <v>810.75</v>
      </c>
      <c r="L14" s="166">
        <f t="shared" si="0"/>
        <v>3525</v>
      </c>
      <c r="O14" t="s">
        <v>25</v>
      </c>
      <c r="P14" t="s">
        <v>256</v>
      </c>
      <c r="Q14" t="s">
        <v>9</v>
      </c>
      <c r="R14" t="s">
        <v>296</v>
      </c>
      <c r="S14" s="176">
        <v>12490.099999999999</v>
      </c>
      <c r="T14" s="176"/>
      <c r="U14" s="176">
        <v>1427.44</v>
      </c>
      <c r="V14" s="176">
        <v>4639.18</v>
      </c>
      <c r="W14" s="176">
        <v>8921.5</v>
      </c>
      <c r="X14" s="176">
        <v>8207.7800000000007</v>
      </c>
      <c r="Y14" s="176">
        <f t="shared" si="1"/>
        <v>35686</v>
      </c>
      <c r="AB14" s="177" t="s">
        <v>25</v>
      </c>
      <c r="AC14" s="177" t="s">
        <v>256</v>
      </c>
      <c r="AD14" s="177" t="s">
        <v>9</v>
      </c>
      <c r="AE14" s="177" t="s">
        <v>298</v>
      </c>
      <c r="AF14" s="178">
        <v>8616.2999999999993</v>
      </c>
      <c r="AG14" s="178"/>
      <c r="AH14" s="178">
        <v>984.72</v>
      </c>
      <c r="AI14" s="178">
        <v>3200.34</v>
      </c>
      <c r="AJ14" s="178">
        <v>6154.5</v>
      </c>
      <c r="AK14" s="178">
        <v>5662.14</v>
      </c>
    </row>
    <row r="15" spans="2:39">
      <c r="B15" s="158" t="s">
        <v>25</v>
      </c>
      <c r="C15" s="158" t="s">
        <v>317</v>
      </c>
      <c r="D15" s="158" t="s">
        <v>13</v>
      </c>
      <c r="E15" s="158" t="s">
        <v>295</v>
      </c>
      <c r="F15" s="167">
        <v>1296.3999999999999</v>
      </c>
      <c r="G15" s="167"/>
      <c r="H15" s="167">
        <v>148.16</v>
      </c>
      <c r="I15" s="167">
        <v>481.52000000000004</v>
      </c>
      <c r="J15" s="167">
        <v>926</v>
      </c>
      <c r="K15" s="167">
        <v>851.92000000000007</v>
      </c>
      <c r="L15" s="166">
        <f t="shared" si="0"/>
        <v>3704</v>
      </c>
      <c r="O15" t="s">
        <v>25</v>
      </c>
      <c r="P15" t="s">
        <v>256</v>
      </c>
      <c r="Q15" t="s">
        <v>13</v>
      </c>
      <c r="R15" t="s">
        <v>296</v>
      </c>
      <c r="S15" s="176">
        <v>10921.75</v>
      </c>
      <c r="T15" s="176"/>
      <c r="U15" s="176">
        <v>1248.2</v>
      </c>
      <c r="V15" s="176">
        <v>4056.65</v>
      </c>
      <c r="W15" s="176">
        <v>7801.25</v>
      </c>
      <c r="X15" s="176">
        <v>7177.1500000000005</v>
      </c>
      <c r="Y15" s="176">
        <f t="shared" si="1"/>
        <v>31205</v>
      </c>
      <c r="AB15" s="177" t="s">
        <v>25</v>
      </c>
      <c r="AC15" s="177" t="s">
        <v>256</v>
      </c>
      <c r="AD15" s="177" t="s">
        <v>13</v>
      </c>
      <c r="AE15" s="177" t="s">
        <v>298</v>
      </c>
      <c r="AF15" s="178">
        <v>7848.7499999999991</v>
      </c>
      <c r="AG15" s="178"/>
      <c r="AH15" s="178">
        <v>897</v>
      </c>
      <c r="AI15" s="178">
        <v>2915.25</v>
      </c>
      <c r="AJ15" s="178">
        <v>5606.25</v>
      </c>
      <c r="AK15" s="178">
        <v>5157.75</v>
      </c>
    </row>
    <row r="16" spans="2:39">
      <c r="B16" s="158" t="s">
        <v>25</v>
      </c>
      <c r="C16" s="158" t="s">
        <v>317</v>
      </c>
      <c r="D16" s="158" t="s">
        <v>14</v>
      </c>
      <c r="E16" s="158" t="s">
        <v>295</v>
      </c>
      <c r="F16" s="167">
        <v>1164</v>
      </c>
      <c r="G16" s="167"/>
      <c r="H16" s="167">
        <v>232.79999999999998</v>
      </c>
      <c r="I16" s="167">
        <v>426.8</v>
      </c>
      <c r="J16" s="167">
        <v>1008.8000000000001</v>
      </c>
      <c r="K16" s="167">
        <v>1047.6000000000001</v>
      </c>
      <c r="L16" s="166">
        <f t="shared" si="0"/>
        <v>3880</v>
      </c>
      <c r="O16" t="s">
        <v>25</v>
      </c>
      <c r="P16" t="s">
        <v>256</v>
      </c>
      <c r="Q16" t="s">
        <v>14</v>
      </c>
      <c r="R16" t="s">
        <v>296</v>
      </c>
      <c r="S16" s="176">
        <v>10172.4</v>
      </c>
      <c r="T16" s="176"/>
      <c r="U16" s="176">
        <v>2034.48</v>
      </c>
      <c r="V16" s="176">
        <v>3729.88</v>
      </c>
      <c r="W16" s="176">
        <v>8816.08</v>
      </c>
      <c r="X16" s="176">
        <v>9155.16</v>
      </c>
      <c r="Y16" s="176">
        <f t="shared" si="1"/>
        <v>33908</v>
      </c>
      <c r="AB16" s="177" t="s">
        <v>25</v>
      </c>
      <c r="AC16" s="177" t="s">
        <v>256</v>
      </c>
      <c r="AD16" s="177" t="s">
        <v>14</v>
      </c>
      <c r="AE16" s="177" t="s">
        <v>298</v>
      </c>
      <c r="AF16" s="178">
        <v>7221.9</v>
      </c>
      <c r="AG16" s="178"/>
      <c r="AH16" s="178">
        <v>1444.3799999999999</v>
      </c>
      <c r="AI16" s="178">
        <v>2648.03</v>
      </c>
      <c r="AJ16" s="178">
        <v>6258.9800000000005</v>
      </c>
      <c r="AK16" s="178">
        <v>6499.71</v>
      </c>
    </row>
    <row r="17" spans="2:39">
      <c r="B17" s="158" t="s">
        <v>25</v>
      </c>
      <c r="C17" s="158" t="s">
        <v>318</v>
      </c>
      <c r="D17" s="158" t="s">
        <v>15</v>
      </c>
      <c r="E17" s="158" t="s">
        <v>295</v>
      </c>
      <c r="F17" s="174">
        <f>M17*SUMIFS(용수분배비율!N:N,용수분배비율!B:B,B:B,용수분배비율!D:D,D:D)</f>
        <v>813.92654859300546</v>
      </c>
      <c r="G17" s="174">
        <f>M17*SUMIFS(용수분배비율!O:O,용수분배비율!B:B,B:B,용수분배비율!D:D,D:D)</f>
        <v>305.51784590488177</v>
      </c>
      <c r="H17" s="174">
        <f>M17*SUMIFS(용수분배비율!P:P,용수분배비율!B:B,B:B,용수분배비율!D:D,D:D)</f>
        <v>174.1958104827834</v>
      </c>
      <c r="I17" s="174">
        <f>M17*SUMIFS(용수분배비율!Q:Q,용수분배비율!B:B,B:B,용수분배비율!D:D,D:D)</f>
        <v>506.04558122808595</v>
      </c>
      <c r="J17" s="174">
        <f>M17*SUMIFS(용수분배비율!R:R,용수분배비율!B:B,B:B,용수분배비율!D:D,D:D)</f>
        <v>1022.5564146363391</v>
      </c>
      <c r="K17" s="174">
        <f>M17*SUMIFS(용수분배비율!S:S,용수분배비율!B:B,B:B,용수분배비율!D:D,D:D)</f>
        <v>932.75779915490432</v>
      </c>
      <c r="L17" s="166">
        <f t="shared" si="0"/>
        <v>3755</v>
      </c>
      <c r="M17" s="175">
        <v>3755</v>
      </c>
      <c r="O17" t="s">
        <v>25</v>
      </c>
      <c r="P17" t="s">
        <v>258</v>
      </c>
      <c r="Q17" t="s">
        <v>15</v>
      </c>
      <c r="R17" t="s">
        <v>296</v>
      </c>
      <c r="S17" s="177">
        <f>Z17*SUMIFS(용수분배비율!N:N,용수분배비율!B:B,B:B,용수분배비율!D:D,D:D)</f>
        <v>7235.6010968263954</v>
      </c>
      <c r="T17" s="177">
        <f>Z17*SUMIFS(용수분배비율!O:O,용수분배비율!B:B,B:B,용수분배비율!D:D,D:D)</f>
        <v>2715.9763552998293</v>
      </c>
      <c r="U17" s="177">
        <f>Z17*SUMIFS(용수분배비율!P:P,용수분배비율!B:B,B:B,용수분배비율!D:D,D:D)</f>
        <v>1548.5566843477477</v>
      </c>
      <c r="V17" s="177">
        <f>Z17*SUMIFS(용수분배비율!Q:Q,용수분배비율!B:B,B:B,용수분배비율!D:D,D:D)</f>
        <v>4498.6171896071201</v>
      </c>
      <c r="W17" s="177">
        <f>Z17*SUMIFS(용수분배비율!R:R,용수분배비율!B:B,B:B,용수분배비율!D:D,D:D)</f>
        <v>9090.2678234289306</v>
      </c>
      <c r="X17" s="177">
        <f>Z17*SUMIFS(용수분배비율!S:S,용수분배비율!B:B,B:B,용수분배비율!D:D,D:D)</f>
        <v>8291.9808504899756</v>
      </c>
      <c r="Y17" s="176">
        <f t="shared" si="1"/>
        <v>33381</v>
      </c>
      <c r="Z17" s="263">
        <v>33381</v>
      </c>
      <c r="AB17" s="177" t="s">
        <v>25</v>
      </c>
      <c r="AC17" s="177" t="s">
        <v>258</v>
      </c>
      <c r="AD17" s="177" t="s">
        <v>15</v>
      </c>
      <c r="AE17" s="177" t="s">
        <v>298</v>
      </c>
      <c r="AF17" s="178">
        <f>AM17*SUMIFS(용수분배비율!N:N,용수분배비율!B:B,B:B,용수분배비율!D:D,D:D)</f>
        <v>4863.4007911534654</v>
      </c>
      <c r="AG17" s="178">
        <f>AM17*SUMIFS(용수분배비율!O:O,용수분배비율!B:B,B:B,용수분배비율!D:D,D:D)</f>
        <v>1825.5403218556144</v>
      </c>
      <c r="AH17" s="178">
        <f>AM17*SUMIFS(용수분배비율!P:P,용수분배비율!B:B,B:B,용수분배비율!D:D,D:D)</f>
        <v>1040.8605592016543</v>
      </c>
      <c r="AI17" s="178">
        <f>AM17*SUMIFS(용수분배비율!Q:Q,용수분배비율!B:B,B:B,용수분배비율!D:D,D:D)</f>
        <v>3023.7402679133329</v>
      </c>
      <c r="AJ17" s="178">
        <f>AM17*SUMIFS(용수분배비율!R:R,용수분배비율!B:B,B:B,용수분배비율!D:D,D:D)</f>
        <v>6110.0128562438194</v>
      </c>
      <c r="AK17" s="178">
        <f>AM17*SUMIFS(용수분배비율!S:S,용수분배비율!B:B,B:B,용수분배비율!D:D,D:D)</f>
        <v>5573.4452036321136</v>
      </c>
      <c r="AL17" s="177">
        <f t="shared" ref="AL17:AL37" si="2">SUM(AF17:AK17)</f>
        <v>22436.999999999996</v>
      </c>
      <c r="AM17" s="263">
        <v>22437</v>
      </c>
    </row>
    <row r="18" spans="2:39">
      <c r="B18" s="158" t="s">
        <v>25</v>
      </c>
      <c r="C18" s="158" t="s">
        <v>318</v>
      </c>
      <c r="D18" s="158" t="s">
        <v>16</v>
      </c>
      <c r="E18" s="158" t="s">
        <v>295</v>
      </c>
      <c r="F18" s="174">
        <f>M18*SUMIFS(용수분배비율!N:N,용수분배비율!B:B,B:B,용수분배비율!D:D,D:D)</f>
        <v>790.70553863367945</v>
      </c>
      <c r="G18" s="174">
        <f>M18*SUMIFS(용수분배비율!O:O,용수분배비율!B:B,B:B,용수분배비율!D:D,D:D)</f>
        <v>721.98918381301667</v>
      </c>
      <c r="H18" s="174">
        <f>M18*SUMIFS(용수분배비율!P:P,용수분배비율!B:B,B:B,용수분배비율!D:D,D:D)</f>
        <v>198.66973332504506</v>
      </c>
      <c r="I18" s="174">
        <f>M18*SUMIFS(용수분배비율!Q:Q,용수분배비율!B:B,B:B,용수분배비율!D:D,D:D)</f>
        <v>359.47535276931683</v>
      </c>
      <c r="J18" s="174">
        <f>M18*SUMIFS(용수분배비율!R:R,용수분배비율!B:B,B:B,용수분배비율!D:D,D:D)</f>
        <v>764.52787965437938</v>
      </c>
      <c r="K18" s="174">
        <f>M18*SUMIFS(용수분배비율!S:S,용수분배비율!B:B,B:B,용수분배비율!D:D,D:D)</f>
        <v>924.63231180456273</v>
      </c>
      <c r="L18" s="166">
        <f t="shared" si="0"/>
        <v>3760</v>
      </c>
      <c r="M18" s="175">
        <v>3760</v>
      </c>
      <c r="O18" t="s">
        <v>25</v>
      </c>
      <c r="P18" t="s">
        <v>258</v>
      </c>
      <c r="Q18" t="s">
        <v>16</v>
      </c>
      <c r="R18" t="s">
        <v>296</v>
      </c>
      <c r="S18" s="177">
        <f>Z18*SUMIFS(용수분배비율!N:N,용수분배비율!B:B,B:B,용수분배비율!D:D,D:D)</f>
        <v>5813.7886492198668</v>
      </c>
      <c r="T18" s="177">
        <f>Z18*SUMIFS(용수분배비율!O:O,용수분배비율!B:B,B:B,용수분배비율!D:D,D:D)</f>
        <v>5308.5406850251757</v>
      </c>
      <c r="U18" s="177">
        <f>Z18*SUMIFS(용수분배비율!P:P,용수분배비율!B:B,B:B,용수분배비율!D:D,D:D)</f>
        <v>1460.7509168894137</v>
      </c>
      <c r="V18" s="177">
        <f>Z18*SUMIFS(용수분배비율!Q:Q,용수분배비율!B:B,B:B,용수분배비율!D:D,D:D)</f>
        <v>2643.09989432461</v>
      </c>
      <c r="W18" s="177">
        <f>Z18*SUMIFS(용수분배비율!R:R,용수분배비율!B:B,B:B,용수분배비율!D:D,D:D)</f>
        <v>5621.3132342885565</v>
      </c>
      <c r="X18" s="177">
        <f>Z18*SUMIFS(용수분배비율!S:S,용수분배비율!B:B,B:B,용수분배비율!D:D,D:D)</f>
        <v>6798.5066202523776</v>
      </c>
      <c r="Y18" s="176">
        <f t="shared" si="1"/>
        <v>27646</v>
      </c>
      <c r="Z18" s="263">
        <v>27646</v>
      </c>
      <c r="AB18" s="177" t="s">
        <v>25</v>
      </c>
      <c r="AC18" s="177" t="s">
        <v>258</v>
      </c>
      <c r="AD18" s="177" t="s">
        <v>16</v>
      </c>
      <c r="AE18" s="177" t="s">
        <v>298</v>
      </c>
      <c r="AF18" s="178">
        <f>AM18*SUMIFS(용수분배비율!N:N,용수분배비율!B:B,B:B,용수분배비율!D:D,D:D)</f>
        <v>4645.1847454466342</v>
      </c>
      <c r="AG18" s="178">
        <f>AM18*SUMIFS(용수분배비율!O:O,용수분배비율!B:B,B:B,용수분배비율!D:D,D:D)</f>
        <v>4241.4944365015226</v>
      </c>
      <c r="AH18" s="178">
        <f>AM18*SUMIFS(용수분배비율!P:P,용수분배비율!B:B,B:B,용수분배비율!D:D,D:D)</f>
        <v>1167.1318455896064</v>
      </c>
      <c r="AI18" s="178">
        <f>AM18*SUMIFS(용수분배비율!Q:Q,용수분배비율!B:B,B:B,용수분배비율!D:D,D:D)</f>
        <v>2111.8220923727231</v>
      </c>
      <c r="AJ18" s="178">
        <f>AM18*SUMIFS(용수분배비율!R:R,용수분배비율!B:B,B:B,용수분배비율!D:D,D:D)</f>
        <v>4491.3979610865917</v>
      </c>
      <c r="AK18" s="178">
        <f>AM18*SUMIFS(용수분배비율!S:S,용수분배비율!B:B,B:B,용수분배비율!D:D,D:D)</f>
        <v>5431.9689190029221</v>
      </c>
      <c r="AL18" s="177">
        <f t="shared" si="2"/>
        <v>22089</v>
      </c>
      <c r="AM18" s="263">
        <v>22089</v>
      </c>
    </row>
    <row r="19" spans="2:39">
      <c r="B19" s="158" t="s">
        <v>25</v>
      </c>
      <c r="C19" s="158" t="s">
        <v>318</v>
      </c>
      <c r="D19" s="158" t="s">
        <v>17</v>
      </c>
      <c r="E19" s="158" t="s">
        <v>295</v>
      </c>
      <c r="F19" s="174">
        <f>M19*SUMIFS(용수분배비율!N:N,용수분배비율!B:B,B:B,용수분배비율!D:D,D:D)</f>
        <v>981.62341301612719</v>
      </c>
      <c r="G19" s="174">
        <f>M19*SUMIFS(용수분배비율!O:O,용수분배비율!B:B,B:B,용수분배비율!D:D,D:D)</f>
        <v>408.57251515498109</v>
      </c>
      <c r="H19" s="174">
        <f>M19*SUMIFS(용수분배비율!P:P,용수분배비율!B:B,B:B,용수분배비율!D:D,D:D)</f>
        <v>54.521960425483243</v>
      </c>
      <c r="I19" s="174">
        <f>M19*SUMIFS(용수분배비율!Q:Q,용수분배비율!B:B,B:B,용수분배비율!D:D,D:D)</f>
        <v>453.74133592588356</v>
      </c>
      <c r="J19" s="174">
        <f>M19*SUMIFS(용수분배비율!R:R,용수분배비율!B:B,B:B,용수분배비율!D:D,D:D)</f>
        <v>963.82963513668085</v>
      </c>
      <c r="K19" s="174">
        <f>M19*SUMIFS(용수분배비율!S:S,용수분배비율!B:B,B:B,용수분배비율!D:D,D:D)</f>
        <v>1126.7111403408442</v>
      </c>
      <c r="L19" s="166">
        <f t="shared" si="0"/>
        <v>3989</v>
      </c>
      <c r="M19" s="175">
        <v>3989</v>
      </c>
      <c r="N19">
        <f>M19+M18+M17</f>
        <v>11504</v>
      </c>
      <c r="O19" t="s">
        <v>25</v>
      </c>
      <c r="P19" t="s">
        <v>258</v>
      </c>
      <c r="Q19" t="s">
        <v>17</v>
      </c>
      <c r="R19" t="s">
        <v>296</v>
      </c>
      <c r="S19" s="177">
        <f>Z19*SUMIFS(용수분배비율!N:N,용수분배비율!B:B,B:B,용수분배비율!D:D,D:D)</f>
        <v>7578.6052270387736</v>
      </c>
      <c r="T19" s="177">
        <f>Z19*SUMIFS(용수분배비율!O:O,용수분배비율!B:B,B:B,용수분배비율!D:D,D:D)</f>
        <v>3154.3764726066565</v>
      </c>
      <c r="U19" s="177">
        <f>Z19*SUMIFS(용수분배비율!P:P,용수분배비율!B:B,B:B,용수분배비율!D:D,D:D)</f>
        <v>420.93577719318313</v>
      </c>
      <c r="V19" s="177">
        <f>Z19*SUMIFS(용수분배비율!Q:Q,용수분배비율!B:B,B:B,용수분배비율!D:D,D:D)</f>
        <v>3503.101509779252</v>
      </c>
      <c r="W19" s="177">
        <f>Z19*SUMIFS(용수분배비율!R:R,용수분배비율!B:B,B:B,용수분배비율!D:D,D:D)</f>
        <v>7441.2286972435095</v>
      </c>
      <c r="X19" s="177">
        <f>Z19*SUMIFS(용수분배비율!S:S,용수분배비율!B:B,B:B,용수분배비율!D:D,D:D)</f>
        <v>8698.7523161386252</v>
      </c>
      <c r="Y19" s="176">
        <f t="shared" si="1"/>
        <v>30797</v>
      </c>
      <c r="Z19" s="263">
        <v>30797</v>
      </c>
      <c r="AB19" s="177" t="s">
        <v>25</v>
      </c>
      <c r="AC19" s="177" t="s">
        <v>258</v>
      </c>
      <c r="AD19" s="177" t="s">
        <v>17</v>
      </c>
      <c r="AE19" s="177" t="s">
        <v>298</v>
      </c>
      <c r="AF19" s="178">
        <f>AM19*SUMIFS(용수분배비율!N:N,용수분배비율!B:B,B:B,용수분배비율!D:D,D:D)</f>
        <v>4988.0939036943837</v>
      </c>
      <c r="AG19" s="178">
        <f>AM19*SUMIFS(용수분배비율!O:O,용수분배비율!B:B,B:B,용수분배비율!D:D,D:D)</f>
        <v>2076.1506347935492</v>
      </c>
      <c r="AH19" s="178">
        <f>AM19*SUMIFS(용수분배비율!P:P,용수분배비율!B:B,B:B,용수분배비율!D:D,D:D)</f>
        <v>277.05192725609061</v>
      </c>
      <c r="AI19" s="178">
        <f>AM19*SUMIFS(용수분배비율!Q:Q,용수분배비율!B:B,B:B,용수분배비율!D:D,D:D)</f>
        <v>2305.6748255747452</v>
      </c>
      <c r="AJ19" s="178">
        <f>AM19*SUMIFS(용수분배비율!R:R,용수분배비율!B:B,B:B,용수분배비율!D:D,D:D)</f>
        <v>4897.6752830836094</v>
      </c>
      <c r="AK19" s="178">
        <f>AM19*SUMIFS(용수분배비율!S:S,용수분배비율!B:B,B:B,용수분배비율!D:D,D:D)</f>
        <v>5725.353425597621</v>
      </c>
      <c r="AL19" s="177">
        <f t="shared" si="2"/>
        <v>20270</v>
      </c>
      <c r="AM19" s="263">
        <v>20270</v>
      </c>
    </row>
    <row r="20" spans="2:39">
      <c r="B20" s="158" t="s">
        <v>25</v>
      </c>
      <c r="C20" s="158" t="s">
        <v>260</v>
      </c>
      <c r="D20" s="158" t="s">
        <v>18</v>
      </c>
      <c r="E20" s="158" t="s">
        <v>295</v>
      </c>
      <c r="F20" s="174">
        <f>M20*SUMIFS(용수분배비율!N:N,용수분배비율!B:B,B:B,용수분배비율!D:D,D:D)</f>
        <v>1005.2647461650853</v>
      </c>
      <c r="G20" s="174">
        <f>M20*SUMIFS(용수분배비율!O:O,용수분배비율!B:B,B:B,용수분배비율!D:D,D:D)</f>
        <v>486.81997580350622</v>
      </c>
      <c r="H20" s="174">
        <f>M20*SUMIFS(용수분배비율!P:P,용수분배비율!B:B,B:B,용수분배비율!D:D,D:D)</f>
        <v>143.65731144996309</v>
      </c>
      <c r="I20" s="174">
        <f>M20*SUMIFS(용수분배비율!Q:Q,용수분배비율!B:B,B:B,용수분배비율!D:D,D:D)</f>
        <v>529.3308128652294</v>
      </c>
      <c r="J20" s="174">
        <f>M20*SUMIFS(용수분배비율!R:R,용수분배비율!B:B,B:B,용수분배비율!D:D,D:D)</f>
        <v>980.17638330898046</v>
      </c>
      <c r="K20" s="174">
        <f>M20*SUMIFS(용수분배비율!S:S,용수분배비율!B:B,B:B,용수분배비율!D:D,D:D)</f>
        <v>1065.7507704072357</v>
      </c>
      <c r="L20" s="166">
        <f t="shared" si="0"/>
        <v>4211</v>
      </c>
      <c r="M20" s="175">
        <v>4211</v>
      </c>
      <c r="O20" t="s">
        <v>25</v>
      </c>
      <c r="P20" t="s">
        <v>260</v>
      </c>
      <c r="Q20" t="s">
        <v>18</v>
      </c>
      <c r="R20" t="s">
        <v>296</v>
      </c>
      <c r="S20" s="177">
        <f>Z20*SUMIFS(용수분배비율!N:N,용수분배비율!B:B,B:B,용수분배비율!D:D,D:D)</f>
        <v>8362.4849342585931</v>
      </c>
      <c r="T20" s="177">
        <f>Z20*SUMIFS(용수분배비율!O:O,용수분배비율!B:B,B:B,용수분배비율!D:D,D:D)</f>
        <v>4049.7040494886778</v>
      </c>
      <c r="U20" s="177">
        <f>Z20*SUMIFS(용수분배비율!P:P,용수분배비율!B:B,B:B,용수분배비율!D:D,D:D)</f>
        <v>1195.0405177136565</v>
      </c>
      <c r="V20" s="177">
        <f>Z20*SUMIFS(용수분배비율!Q:Q,용수분배비율!B:B,B:B,용수분배비율!D:D,D:D)</f>
        <v>4403.3384884039388</v>
      </c>
      <c r="W20" s="177">
        <f>Z20*SUMIFS(용수분배비율!R:R,용수분배비율!B:B,B:B,용수분배비율!D:D,D:D)</f>
        <v>8153.7826424397017</v>
      </c>
      <c r="X20" s="177">
        <f>Z20*SUMIFS(용수분배비율!S:S,용수분배비율!B:B,B:B,용수분배비율!D:D,D:D)</f>
        <v>8865.6493676954324</v>
      </c>
      <c r="Y20" s="176">
        <f t="shared" si="1"/>
        <v>35030</v>
      </c>
      <c r="Z20" s="263">
        <v>35030</v>
      </c>
      <c r="AB20" s="177" t="s">
        <v>25</v>
      </c>
      <c r="AC20" s="177" t="s">
        <v>260</v>
      </c>
      <c r="AD20" s="177" t="s">
        <v>18</v>
      </c>
      <c r="AE20" s="177" t="s">
        <v>298</v>
      </c>
      <c r="AF20" s="178">
        <f>AM20*SUMIFS(용수분배비율!N:N,용수분배비율!B:B,B:B,용수분배비율!D:D,D:D)</f>
        <v>5829.1509313367496</v>
      </c>
      <c r="AG20" s="178">
        <f>AM20*SUMIFS(용수분배비율!O:O,용수분배비율!B:B,B:B,용수분배비율!D:D,D:D)</f>
        <v>2822.8853405770633</v>
      </c>
      <c r="AH20" s="178">
        <f>AM20*SUMIFS(용수분배비율!P:P,용수분배비율!B:B,B:B,용수분배비율!D:D,D:D)</f>
        <v>833.01454072315346</v>
      </c>
      <c r="AI20" s="178">
        <f>AM20*SUMIFS(용수분배비율!Q:Q,용수분배비율!B:B,B:B,용수분배비율!D:D,D:D)</f>
        <v>3069.3896434441162</v>
      </c>
      <c r="AJ20" s="178">
        <f>AM20*SUMIFS(용수분배비율!R:R,용수분배비율!B:B,B:B,용수분배비율!D:D,D:D)</f>
        <v>5683.6729821037006</v>
      </c>
      <c r="AK20" s="178">
        <f>AM20*SUMIFS(용수분배비율!S:S,용수분배비율!B:B,B:B,용수분배비율!D:D,D:D)</f>
        <v>6179.8865618152176</v>
      </c>
      <c r="AL20" s="177">
        <f t="shared" si="2"/>
        <v>24418</v>
      </c>
      <c r="AM20" s="263">
        <v>24418</v>
      </c>
    </row>
    <row r="21" spans="2:39">
      <c r="B21" s="158" t="s">
        <v>25</v>
      </c>
      <c r="C21" s="158" t="s">
        <v>260</v>
      </c>
      <c r="D21" s="158" t="s">
        <v>19</v>
      </c>
      <c r="E21" s="158" t="s">
        <v>295</v>
      </c>
      <c r="F21" s="174">
        <f>M21*SUMIFS(용수분배비율!N:N,용수분배비율!B:B,B:B,용수분배비율!D:D,D:D)</f>
        <v>942.1138782460597</v>
      </c>
      <c r="G21" s="174">
        <f>M21*SUMIFS(용수분배비율!O:O,용수분배비율!B:B,B:B,용수분배비율!D:D,D:D)</f>
        <v>336.2920391656026</v>
      </c>
      <c r="H21" s="174">
        <f>M21*SUMIFS(용수분배비율!P:P,용수분배비율!B:B,B:B,용수분배비율!D:D,D:D)</f>
        <v>134.68220519370016</v>
      </c>
      <c r="I21" s="174">
        <f>M21*SUMIFS(용수분배비율!Q:Q,용수분배비율!B:B,B:B,용수분배비율!D:D,D:D)</f>
        <v>194.05704555129859</v>
      </c>
      <c r="J21" s="174">
        <f>M21*SUMIFS(용수분배비율!R:R,용수분배비율!B:B,B:B,용수분배비율!D:D,D:D)</f>
        <v>1469.5410813112005</v>
      </c>
      <c r="K21" s="174">
        <f>M21*SUMIFS(용수분배비율!S:S,용수분배비율!B:B,B:B,용수분배비율!D:D,D:D)</f>
        <v>549.31375053213844</v>
      </c>
      <c r="L21" s="166">
        <f t="shared" si="0"/>
        <v>3626</v>
      </c>
      <c r="M21" s="175">
        <v>3626</v>
      </c>
      <c r="O21" t="s">
        <v>25</v>
      </c>
      <c r="P21" t="s">
        <v>260</v>
      </c>
      <c r="Q21" t="s">
        <v>19</v>
      </c>
      <c r="R21" t="s">
        <v>296</v>
      </c>
      <c r="S21" s="177">
        <f>Z21*SUMIFS(용수분배비율!N:N,용수분배비율!B:B,B:B,용수분배비율!D:D,D:D)</f>
        <v>7741.3907893936421</v>
      </c>
      <c r="T21" s="177">
        <f>Z21*SUMIFS(용수분배비율!O:O,용수분배비율!B:B,B:B,용수분배비율!D:D,D:D)</f>
        <v>2763.3263394757669</v>
      </c>
      <c r="U21" s="177">
        <f>Z21*SUMIFS(용수분배비율!P:P,용수분배비율!B:B,B:B,용수분배비율!D:D,D:D)</f>
        <v>1106.6895487441523</v>
      </c>
      <c r="V21" s="177">
        <f>Z21*SUMIFS(용수분배비율!Q:Q,용수분배비율!B:B,B:B,용수분배비율!D:D,D:D)</f>
        <v>1594.5751991729016</v>
      </c>
      <c r="W21" s="177">
        <f>Z21*SUMIFS(용수분배비율!R:R,용수분배비율!B:B,B:B,용수분배비율!D:D,D:D)</f>
        <v>12075.283099191181</v>
      </c>
      <c r="X21" s="177">
        <f>Z21*SUMIFS(용수분배비율!S:S,용수분배비율!B:B,B:B,용수분배비율!D:D,D:D)</f>
        <v>4513.7350240223568</v>
      </c>
      <c r="Y21" s="176">
        <f t="shared" si="1"/>
        <v>29795</v>
      </c>
      <c r="Z21" s="263">
        <v>29795</v>
      </c>
      <c r="AB21" s="177" t="s">
        <v>25</v>
      </c>
      <c r="AC21" s="177" t="s">
        <v>260</v>
      </c>
      <c r="AD21" s="177" t="s">
        <v>19</v>
      </c>
      <c r="AE21" s="177" t="s">
        <v>298</v>
      </c>
      <c r="AF21" s="178">
        <f>AM21*SUMIFS(용수분배비율!N:N,용수분배비율!B:B,B:B,용수분배비율!D:D,D:D)</f>
        <v>6105.812503800993</v>
      </c>
      <c r="AG21" s="178">
        <f>AM21*SUMIFS(용수분배비율!O:O,용수분배비율!B:B,B:B,용수분배비율!D:D,D:D)</f>
        <v>2179.4988749011754</v>
      </c>
      <c r="AH21" s="178">
        <f>AM21*SUMIFS(용수분배비율!P:P,용수분배비율!B:B,B:B,용수분배비율!D:D,D:D)</f>
        <v>872.87143465304837</v>
      </c>
      <c r="AI21" s="178">
        <f>AM21*SUMIFS(용수분배비율!Q:Q,용수분배비율!B:B,B:B,용수분배비율!D:D,D:D)</f>
        <v>1257.6780392872356</v>
      </c>
      <c r="AJ21" s="178">
        <f>AM21*SUMIFS(용수분배비율!R:R,용수분배비율!B:B,B:B,용수분배비율!D:D,D:D)</f>
        <v>9524.0527884206331</v>
      </c>
      <c r="AK21" s="178">
        <f>AM21*SUMIFS(용수분배비율!S:S,용수분배비율!B:B,B:B,용수분배비율!D:D,D:D)</f>
        <v>3560.0863589369151</v>
      </c>
      <c r="AL21" s="177">
        <f t="shared" si="2"/>
        <v>23500</v>
      </c>
      <c r="AM21" s="263">
        <v>23500</v>
      </c>
    </row>
    <row r="22" spans="2:39" s="198" customFormat="1">
      <c r="B22" s="198" t="s">
        <v>25</v>
      </c>
      <c r="C22" s="198" t="s">
        <v>260</v>
      </c>
      <c r="D22" s="198" t="s">
        <v>20</v>
      </c>
      <c r="E22" s="198" t="s">
        <v>295</v>
      </c>
      <c r="F22" s="198">
        <f>M22*SUMIFS(용수분배비율!N:N,용수분배비율!B:B,B:B,용수분배비율!D:D,D:D)</f>
        <v>457.80742685247424</v>
      </c>
      <c r="G22" s="198">
        <f>M22*SUMIFS(용수분배비율!O:O,용수분배비율!B:B,B:B,용수분배비율!D:D,D:D)</f>
        <v>88.794452155017808</v>
      </c>
      <c r="H22" s="198">
        <f>M22*SUMIFS(용수분배비율!P:P,용수분배비율!B:B,B:B,용수분배비율!D:D,D:D)</f>
        <v>70.351522611518732</v>
      </c>
      <c r="I22" s="198">
        <f>M22*SUMIFS(용수분배비율!Q:Q,용수분배비율!B:B,B:B,용수분배비율!D:D,D:D)</f>
        <v>251.61001174379678</v>
      </c>
      <c r="J22" s="198">
        <f>M22*SUMIFS(용수분배비율!R:R,용수분배비율!B:B,B:B,용수분배비율!D:D,D:D)</f>
        <v>614.91078482475666</v>
      </c>
      <c r="K22" s="198">
        <f>M22*SUMIFS(용수분배비율!S:S,용수분배비율!B:B,B:B,용수분배비율!D:D,D:D)</f>
        <v>407.52580181243576</v>
      </c>
      <c r="L22" s="198">
        <f t="shared" si="0"/>
        <v>1890.9999999999998</v>
      </c>
      <c r="M22" s="263">
        <v>1891</v>
      </c>
      <c r="O22" s="198" t="s">
        <v>25</v>
      </c>
      <c r="P22" s="198" t="s">
        <v>260</v>
      </c>
      <c r="Q22" s="198" t="s">
        <v>20</v>
      </c>
      <c r="R22" s="198" t="s">
        <v>296</v>
      </c>
      <c r="S22" s="198">
        <f>Z22*SUMIFS(용수분배비율!N:N,용수분배비율!B:B,B:B,용수분배비율!D:D,D:D)</f>
        <v>8598.3546124233071</v>
      </c>
      <c r="T22" s="198">
        <f>Z22*SUMIFS(용수분배비율!O:O,용수분배비율!B:B,B:B,용수분배비율!D:D,D:D)</f>
        <v>1667.7016196391394</v>
      </c>
      <c r="U22" s="198">
        <f>Z22*SUMIFS(용수분배비율!P:P,용수분배비율!B:B,B:B,용수분배비율!D:D,D:D)</f>
        <v>1321.3139487417766</v>
      </c>
      <c r="V22" s="198">
        <f>Z22*SUMIFS(용수분배비율!Q:Q,용수분배비율!B:B,B:B,용수분배비율!D:D,D:D)</f>
        <v>4725.6378514503895</v>
      </c>
      <c r="W22" s="198">
        <f>Z22*SUMIFS(용수분배비율!R:R,용수분배비율!B:B,B:B,용수분배비율!D:D,D:D)</f>
        <v>11549.006575270258</v>
      </c>
      <c r="X22" s="198">
        <f>Z22*SUMIFS(용수분배비율!S:S,용수분배비율!B:B,B:B,용수분배비율!D:D,D:D)</f>
        <v>7653.9853924751287</v>
      </c>
      <c r="Y22" s="198">
        <f t="shared" si="1"/>
        <v>35516</v>
      </c>
      <c r="Z22" s="263">
        <v>35516</v>
      </c>
      <c r="AB22" s="198" t="s">
        <v>25</v>
      </c>
      <c r="AC22" s="198" t="s">
        <v>260</v>
      </c>
      <c r="AD22" s="198" t="s">
        <v>20</v>
      </c>
      <c r="AE22" s="198" t="s">
        <v>298</v>
      </c>
      <c r="AF22" s="198">
        <f>AM22*SUMIFS(용수분배비율!N:N,용수분배비율!B:B,B:B,용수분배비율!D:D,D:D)</f>
        <v>5449.1430796380164</v>
      </c>
      <c r="AG22" s="198">
        <f>AM22*SUMIFS(용수분배비율!O:O,용수분배비율!B:B,B:B,용수분배비율!D:D,D:D)</f>
        <v>1056.8934580143527</v>
      </c>
      <c r="AH22" s="198">
        <f>AM22*SUMIFS(용수분배비율!P:P,용수분배비율!B:B,B:B,용수분배비율!D:D,D:D)</f>
        <v>837.37285612906589</v>
      </c>
      <c r="AI22" s="198">
        <f>AM22*SUMIFS(용수분배비율!Q:Q,용수분배비율!B:B,B:B,용수분배비율!D:D,D:D)</f>
        <v>2994.8377283603268</v>
      </c>
      <c r="AJ22" s="198">
        <f>AM22*SUMIFS(용수분배비율!R:R,용수분배비율!B:B,B:B,용수분배비율!D:D,D:D)</f>
        <v>7319.0967450214821</v>
      </c>
      <c r="AK22" s="198">
        <f>AM22*SUMIFS(용수분배비율!S:S,용수분배비율!B:B,B:B,용수분배비율!D:D,D:D)</f>
        <v>4850.6561328367552</v>
      </c>
      <c r="AL22" s="198">
        <f t="shared" si="2"/>
        <v>22508</v>
      </c>
      <c r="AM22" s="263">
        <v>22508</v>
      </c>
    </row>
    <row r="23" spans="2:39">
      <c r="B23" s="158" t="s">
        <v>25</v>
      </c>
      <c r="C23" s="158" t="s">
        <v>262</v>
      </c>
      <c r="D23" s="158" t="s">
        <v>21</v>
      </c>
      <c r="E23" s="158" t="s">
        <v>295</v>
      </c>
      <c r="F23" s="174">
        <f>M23*SUMIFS(용수분배비율!N:N,용수분배비율!B:B,B:B,용수분배비율!D:D,D:D)</f>
        <v>555.27219761004767</v>
      </c>
      <c r="G23" s="174">
        <f>M23*SUMIFS(용수분배비율!O:O,용수분배비율!B:B,B:B,용수분배비율!D:D,D:D)</f>
        <v>38.998901091305932</v>
      </c>
      <c r="H23" s="174">
        <f>M23*SUMIFS(용수분배비율!P:P,용수분배비율!B:B,B:B,용수분배비율!D:D,D:D)</f>
        <v>95.395247738252536</v>
      </c>
      <c r="I23" s="174">
        <f>M23*SUMIFS(용수분배비율!Q:Q,용수분배비율!B:B,B:B,용수분배비율!D:D,D:D)</f>
        <v>290.80717262542407</v>
      </c>
      <c r="J23" s="174">
        <f>M23*SUMIFS(용수분배비율!R:R,용수분배비율!B:B,B:B,용수분배비율!D:D,D:D)</f>
        <v>542.92850873251723</v>
      </c>
      <c r="K23" s="174">
        <f>M23*SUMIFS(용수분배비율!S:S,용수분배비율!B:B,B:B,용수분배비율!D:D,D:D)</f>
        <v>633.59797220245275</v>
      </c>
      <c r="L23" s="166">
        <f t="shared" si="0"/>
        <v>2157</v>
      </c>
      <c r="M23" s="175">
        <v>2157</v>
      </c>
      <c r="O23" t="s">
        <v>25</v>
      </c>
      <c r="P23" t="s">
        <v>262</v>
      </c>
      <c r="Q23" t="s">
        <v>21</v>
      </c>
      <c r="R23" t="s">
        <v>296</v>
      </c>
      <c r="S23" s="177">
        <f>Z23*SUMIFS(용수분배비율!N:N,용수분배비율!B:B,B:B,용수분배비율!D:D,D:D)</f>
        <v>8967.504406001859</v>
      </c>
      <c r="T23" s="177">
        <f>Z23*SUMIFS(용수분배비율!O:O,용수분배비율!B:B,B:B,용수분배비율!D:D,D:D)</f>
        <v>629.82230853761803</v>
      </c>
      <c r="U23" s="177">
        <f>Z23*SUMIFS(용수분배비율!P:P,용수분배비율!B:B,B:B,용수분배비율!D:D,D:D)</f>
        <v>1540.6089267325112</v>
      </c>
      <c r="V23" s="177">
        <f>Z23*SUMIFS(용수분배비율!Q:Q,용수분배비율!B:B,B:B,용수분배비율!D:D,D:D)</f>
        <v>4696.461686790286</v>
      </c>
      <c r="W23" s="177">
        <f>Z23*SUMIFS(용수분배비율!R:R,용수분배비율!B:B,B:B,용수분배비율!D:D,D:D)</f>
        <v>8768.1569780701138</v>
      </c>
      <c r="X23" s="177">
        <f>Z23*SUMIFS(용수분배비율!S:S,용수분배비율!B:B,B:B,용수분배비율!D:D,D:D)</f>
        <v>10232.445693867612</v>
      </c>
      <c r="Y23" s="176">
        <f t="shared" si="1"/>
        <v>34835</v>
      </c>
      <c r="Z23" s="263">
        <v>34835</v>
      </c>
      <c r="AB23" s="177" t="s">
        <v>25</v>
      </c>
      <c r="AC23" s="177" t="s">
        <v>262</v>
      </c>
      <c r="AD23" s="177" t="s">
        <v>21</v>
      </c>
      <c r="AE23" s="177" t="s">
        <v>298</v>
      </c>
      <c r="AF23" s="178">
        <f>AM23*SUMIFS(용수분배비율!N:N,용수분배비율!B:B,B:B,용수분배비율!D:D,D:D)</f>
        <v>5928.824285191009</v>
      </c>
      <c r="AG23" s="178">
        <f>AM23*SUMIFS(용수분배비율!O:O,용수분배비율!B:B,B:B,용수분배비율!D:D,D:D)</f>
        <v>416.40412194430547</v>
      </c>
      <c r="AH23" s="178">
        <f>AM23*SUMIFS(용수분배비율!P:P,용수분배비율!B:B,B:B,용수분배비율!D:D,D:D)</f>
        <v>1018.5665047101038</v>
      </c>
      <c r="AI23" s="178">
        <f>AM23*SUMIFS(용수분배비율!Q:Q,용수분배비율!B:B,B:B,용수분배비율!D:D,D:D)</f>
        <v>3105.0440392842565</v>
      </c>
      <c r="AJ23" s="178">
        <f>AM23*SUMIFS(용수분배비율!R:R,용수분배비율!B:B,B:B,용수분배비율!D:D,D:D)</f>
        <v>5797.0266502636086</v>
      </c>
      <c r="AK23" s="178">
        <f>AM23*SUMIFS(용수분배비율!S:S,용수분배비율!B:B,B:B,용수분배비율!D:D,D:D)</f>
        <v>6765.1343986067168</v>
      </c>
      <c r="AL23" s="177">
        <f t="shared" si="2"/>
        <v>23031</v>
      </c>
      <c r="AM23" s="263">
        <v>23031</v>
      </c>
    </row>
    <row r="24" spans="2:39">
      <c r="B24" s="158" t="s">
        <v>25</v>
      </c>
      <c r="C24" s="158" t="s">
        <v>262</v>
      </c>
      <c r="D24" s="158" t="s">
        <v>22</v>
      </c>
      <c r="E24" s="158" t="s">
        <v>295</v>
      </c>
      <c r="F24" s="174">
        <f>M24*SUMIFS(용수분배비율!N:N,용수분배비율!B:B,B:B,용수분배비율!D:D,D:D)</f>
        <v>386.27065984838856</v>
      </c>
      <c r="G24" s="174">
        <f>M24*SUMIFS(용수분배비율!O:O,용수분배비율!B:B,B:B,용수분배비율!D:D,D:D)</f>
        <v>45.822793671535877</v>
      </c>
      <c r="H24" s="174">
        <f>M24*SUMIFS(용수분배비율!P:P,용수분배비율!B:B,B:B,용수분배비율!D:D,D:D)</f>
        <v>63.982012014214398</v>
      </c>
      <c r="I24" s="174">
        <f>M24*SUMIFS(용수분배비율!Q:Q,용수분배비율!B:B,B:B,용수분배비율!D:D,D:D)</f>
        <v>7.695430998273201</v>
      </c>
      <c r="J24" s="174">
        <f>M24*SUMIFS(용수분배비율!R:R,용수분배비율!B:B,B:B,용수분배비율!D:D,D:D)</f>
        <v>505.619798785245</v>
      </c>
      <c r="K24" s="174">
        <f>M24*SUMIFS(용수분배비율!S:S,용수분배비율!B:B,B:B,용수분배비율!D:D,D:D)</f>
        <v>489.60930468234295</v>
      </c>
      <c r="L24" s="166">
        <f t="shared" si="0"/>
        <v>1499</v>
      </c>
      <c r="M24" s="175">
        <v>1499</v>
      </c>
      <c r="O24" t="s">
        <v>25</v>
      </c>
      <c r="P24" t="s">
        <v>262</v>
      </c>
      <c r="Q24" t="s">
        <v>22</v>
      </c>
      <c r="R24" t="s">
        <v>296</v>
      </c>
      <c r="S24" s="177">
        <f>Z24*SUMIFS(용수분배비율!N:N,용수분배비율!B:B,B:B,용수분배비율!D:D,D:D)</f>
        <v>8821.0922134289776</v>
      </c>
      <c r="T24" s="177">
        <f>Z24*SUMIFS(용수분배비율!O:O,용수분배비율!B:B,B:B,용수분배비율!D:D,D:D)</f>
        <v>1046.4348718906044</v>
      </c>
      <c r="U24" s="177">
        <f>Z24*SUMIFS(용수분배비율!P:P,용수분배비율!B:B,B:B,용수분배비율!D:D,D:D)</f>
        <v>1461.1289094533604</v>
      </c>
      <c r="V24" s="177">
        <f>Z24*SUMIFS(용수분배비율!Q:Q,용수분배비율!B:B,B:B,용수분배비율!D:D,D:D)</f>
        <v>175.73715405796412</v>
      </c>
      <c r="W24" s="177">
        <f>Z24*SUMIFS(용수분배비율!R:R,용수분배비율!B:B,B:B,용수분배비율!D:D,D:D)</f>
        <v>11546.615711818884</v>
      </c>
      <c r="X24" s="177">
        <f>Z24*SUMIFS(용수분배비율!S:S,용수분배비율!B:B,B:B,용수분배비율!D:D,D:D)</f>
        <v>11180.99113935021</v>
      </c>
      <c r="Y24" s="176">
        <f t="shared" si="1"/>
        <v>34232</v>
      </c>
      <c r="Z24" s="263">
        <v>34232</v>
      </c>
      <c r="AB24" s="177" t="s">
        <v>25</v>
      </c>
      <c r="AC24" s="177" t="s">
        <v>262</v>
      </c>
      <c r="AD24" s="177" t="s">
        <v>22</v>
      </c>
      <c r="AE24" s="177" t="s">
        <v>298</v>
      </c>
      <c r="AF24" s="178">
        <f>AM24*SUMIFS(용수분배비율!N:N,용수분배비율!B:B,B:B,용수분배비율!D:D,D:D)</f>
        <v>5628.3680803258858</v>
      </c>
      <c r="AG24" s="178">
        <f>AM24*SUMIFS(용수분배비율!O:O,용수분배비율!B:B,B:B,용수분배비율!D:D,D:D)</f>
        <v>667.68609698044463</v>
      </c>
      <c r="AH24" s="178">
        <f>AM24*SUMIFS(용수분배비율!P:P,용수분배비율!B:B,B:B,용수분배비율!D:D,D:D)</f>
        <v>932.28492756135483</v>
      </c>
      <c r="AI24" s="178">
        <f>AM24*SUMIFS(용수분배비율!Q:Q,용수분배비율!B:B,B:B,용수분배비율!D:D,D:D)</f>
        <v>112.130489569235</v>
      </c>
      <c r="AJ24" s="178">
        <f>AM24*SUMIFS(용수분배비율!R:R,용수분배비율!B:B,B:B,용수분배비율!D:D,D:D)</f>
        <v>7367.4100367360388</v>
      </c>
      <c r="AK24" s="178">
        <f>AM24*SUMIFS(용수분배비율!S:S,용수분배비율!B:B,B:B,용수분배비율!D:D,D:D)</f>
        <v>7134.1203688270416</v>
      </c>
      <c r="AL24" s="177">
        <f t="shared" si="2"/>
        <v>21842</v>
      </c>
      <c r="AM24" s="263">
        <v>21842</v>
      </c>
    </row>
    <row r="25" spans="2:39">
      <c r="B25" s="158" t="s">
        <v>25</v>
      </c>
      <c r="C25" s="158" t="s">
        <v>262</v>
      </c>
      <c r="D25" s="158" t="s">
        <v>23</v>
      </c>
      <c r="E25" s="158" t="s">
        <v>295</v>
      </c>
      <c r="F25" s="174">
        <f>M25*SUMIFS(용수분배비율!N:N,용수분배비율!B:B,B:B,용수분배비율!D:D,D:D)</f>
        <v>0</v>
      </c>
      <c r="G25" s="174">
        <f>M25*SUMIFS(용수분배비율!O:O,용수분배비율!B:B,B:B,용수분배비율!D:D,D:D)</f>
        <v>0</v>
      </c>
      <c r="H25" s="174">
        <f>M25*SUMIFS(용수분배비율!P:P,용수분배비율!B:B,B:B,용수분배비율!D:D,D:D)</f>
        <v>0</v>
      </c>
      <c r="I25" s="174">
        <f>M25*SUMIFS(용수분배비율!Q:Q,용수분배비율!B:B,B:B,용수분배비율!D:D,D:D)</f>
        <v>0</v>
      </c>
      <c r="J25" s="174">
        <f>M25*SUMIFS(용수분배비율!R:R,용수분배비율!B:B,B:B,용수분배비율!D:D,D:D)</f>
        <v>1066.4023402862372</v>
      </c>
      <c r="K25" s="174">
        <f>M25*SUMIFS(용수분배비율!S:S,용수분배비율!B:B,B:B,용수분배비율!D:D,D:D)</f>
        <v>717.59765971376282</v>
      </c>
      <c r="L25" s="166">
        <f t="shared" si="0"/>
        <v>1784</v>
      </c>
      <c r="M25" s="175">
        <v>1784</v>
      </c>
      <c r="O25" t="s">
        <v>25</v>
      </c>
      <c r="P25" t="s">
        <v>262</v>
      </c>
      <c r="Q25" t="s">
        <v>23</v>
      </c>
      <c r="R25" t="s">
        <v>296</v>
      </c>
      <c r="S25" s="177">
        <f>Z25*SUMIFS(용수분배비율!N:N,용수분배비율!B:B,B:B,용수분배비율!D:D,D:D)</f>
        <v>0</v>
      </c>
      <c r="T25" s="177">
        <f>Z25*SUMIFS(용수분배비율!O:O,용수분배비율!B:B,B:B,용수분배비율!D:D,D:D)</f>
        <v>0</v>
      </c>
      <c r="U25" s="177">
        <f>Z25*SUMIFS(용수분배비율!P:P,용수분배비율!B:B,B:B,용수분배비율!D:D,D:D)</f>
        <v>0</v>
      </c>
      <c r="V25" s="177">
        <f>Z25*SUMIFS(용수분배비율!Q:Q,용수분배비율!B:B,B:B,용수분배비율!D:D,D:D)</f>
        <v>0</v>
      </c>
      <c r="W25" s="177">
        <f>Z25*SUMIFS(용수분배비율!R:R,용수분배비율!B:B,B:B,용수분배비율!D:D,D:D)</f>
        <v>15712.099503600753</v>
      </c>
      <c r="X25" s="177">
        <f>Z25*SUMIFS(용수분배비율!S:S,용수분배비율!B:B,B:B,용수분배비율!D:D,D:D)</f>
        <v>10572.900496399247</v>
      </c>
      <c r="Y25" s="176">
        <f t="shared" si="1"/>
        <v>26285</v>
      </c>
      <c r="Z25" s="263">
        <v>26285</v>
      </c>
      <c r="AB25" s="177" t="s">
        <v>25</v>
      </c>
      <c r="AC25" s="177" t="s">
        <v>262</v>
      </c>
      <c r="AD25" s="177" t="s">
        <v>23</v>
      </c>
      <c r="AE25" s="177" t="s">
        <v>298</v>
      </c>
      <c r="AF25" s="178">
        <f>AM25*SUMIFS(용수분배비율!N:N,용수분배비율!B:B,B:B,용수분배비율!D:D,D:D)</f>
        <v>0</v>
      </c>
      <c r="AG25" s="178">
        <f>AM25*SUMIFS(용수분배비율!O:O,용수분배비율!B:B,B:B,용수분배비율!D:D,D:D)</f>
        <v>0</v>
      </c>
      <c r="AH25" s="178">
        <f>AM25*SUMIFS(용수분배비율!P:P,용수분배비율!B:B,B:B,용수분배비율!D:D,D:D)</f>
        <v>0</v>
      </c>
      <c r="AI25" s="178">
        <f>AM25*SUMIFS(용수분배비율!Q:Q,용수분배비율!B:B,B:B,용수분배비율!D:D,D:D)</f>
        <v>0</v>
      </c>
      <c r="AJ25" s="178">
        <f>AM25*SUMIFS(용수분배비율!R:R,용수분배비율!B:B,B:B,용수분배비율!D:D,D:D)</f>
        <v>11496.701911841479</v>
      </c>
      <c r="AK25" s="178">
        <f>AM25*SUMIFS(용수분배비율!S:S,용수분배비율!B:B,B:B,용수분배비율!D:D,D:D)</f>
        <v>7736.2980881585208</v>
      </c>
      <c r="AL25" s="177">
        <f t="shared" si="2"/>
        <v>19233</v>
      </c>
      <c r="AM25" s="263">
        <v>19233</v>
      </c>
    </row>
    <row r="26" spans="2:39">
      <c r="B26" s="158" t="s">
        <v>26</v>
      </c>
      <c r="C26" s="158" t="s">
        <v>317</v>
      </c>
      <c r="D26" s="158" t="s">
        <v>84</v>
      </c>
      <c r="E26" s="158" t="s">
        <v>295</v>
      </c>
      <c r="F26" s="168">
        <f>M26*SUMIFS(용수분배비율!N:N,용수분배비율!B:B,B:B,용수분배비율!D:D,D:D)</f>
        <v>554.15051102250334</v>
      </c>
      <c r="G26" s="168">
        <f>M26*SUMIFS(용수분배비율!O:O,용수분배비율!B:B,B:B,용수분배비율!D:D,D:D)</f>
        <v>61.833952060131075</v>
      </c>
      <c r="H26" s="168">
        <f>M26*SUMIFS(용수분배비율!P:P,용수분배비율!B:B,B:B,용수분배비율!D:D,D:D)</f>
        <v>87.104266923323777</v>
      </c>
      <c r="I26" s="168">
        <f>M26*SUMIFS(용수분배비율!Q:Q,용수분배비율!B:B,B:B,용수분배비율!D:D,D:D)</f>
        <v>12.268206608918831</v>
      </c>
      <c r="J26" s="168">
        <f>M26*SUMIFS(용수분배비율!R:R,용수분배비율!B:B,B:B,용수분배비율!D:D,D:D)</f>
        <v>702.19052202209082</v>
      </c>
      <c r="K26" s="168">
        <f>M26*SUMIFS(용수분배비율!S:S,용수분배비율!B:B,B:B,용수분배비율!D:D,D:D)</f>
        <v>494.45254136303225</v>
      </c>
      <c r="L26" s="166">
        <f t="shared" si="0"/>
        <v>1912</v>
      </c>
      <c r="M26" s="136">
        <v>1912</v>
      </c>
      <c r="O26" t="s">
        <v>26</v>
      </c>
      <c r="P26" t="s">
        <v>256</v>
      </c>
      <c r="Q26" t="s">
        <v>9</v>
      </c>
      <c r="R26" t="s">
        <v>296</v>
      </c>
      <c r="S26" s="176">
        <f>Z26*SUMIFS(용수분배비율!N:N,용수분배비율!B:B,B:B,용수분배비율!D:D,D:D)</f>
        <v>6297.3756817452677</v>
      </c>
      <c r="T26" s="176">
        <f>Z26*SUMIFS(용수분배비율!O:O,용수분배비율!B:B,B:B,용수분배비율!D:D,D:D)</f>
        <v>702.68206608918831</v>
      </c>
      <c r="U26" s="176">
        <f>Z26*SUMIFS(용수분배비율!P:P,용수분배비율!B:B,B:B,용수분배비율!D:D,D:D)</f>
        <v>989.85434712865015</v>
      </c>
      <c r="V26" s="176">
        <f>Z26*SUMIFS(용수분배비율!Q:Q,용수분배비율!B:B,B:B,용수분배비율!D:D,D:D)</f>
        <v>139.41610522938723</v>
      </c>
      <c r="W26" s="176">
        <f>Z26*SUMIFS(용수분배비율!R:R,용수분배비율!B:B,B:B,용수분배비율!D:D,D:D)</f>
        <v>7979.7048444016682</v>
      </c>
      <c r="X26" s="176">
        <f>Z26*SUMIFS(용수분배비율!S:S,용수분배비율!B:B,B:B,용수분배비율!D:D,D:D)</f>
        <v>5618.9669554058391</v>
      </c>
      <c r="Y26" s="176">
        <f t="shared" si="1"/>
        <v>21728</v>
      </c>
      <c r="Z26" s="263">
        <v>21728</v>
      </c>
      <c r="AB26" s="177" t="s">
        <v>26</v>
      </c>
      <c r="AC26" s="177" t="s">
        <v>256</v>
      </c>
      <c r="AD26" s="177" t="s">
        <v>9</v>
      </c>
      <c r="AE26" s="177" t="s">
        <v>298</v>
      </c>
      <c r="AF26" s="178">
        <f>AM26*SUMIFS(용수분배비율!N:N,용수분배비율!B:B,B:B,용수분배비율!D:D,D:D)</f>
        <v>3923.3972111462485</v>
      </c>
      <c r="AG26" s="178">
        <f>AM26*SUMIFS(용수분배비율!O:O,용수분배비율!B:B,B:B,용수분배비율!D:D,D:D)</f>
        <v>437.78567418305141</v>
      </c>
      <c r="AH26" s="178">
        <f>AM26*SUMIFS(용수분배비율!P:P,용수분배비율!B:B,B:B,용수분배비율!D:D,D:D)</f>
        <v>616.70003208213075</v>
      </c>
      <c r="AI26" s="178">
        <f>AM26*SUMIFS(용수분배비율!Q:Q,용수분배비율!B:B,B:B,용수분배비율!D:D,D:D)</f>
        <v>86.859159448187356</v>
      </c>
      <c r="AJ26" s="178">
        <f>AM26*SUMIFS(용수분배비율!R:R,용수분배비율!B:B,B:B,용수분배비율!D:D,D:D)</f>
        <v>4971.5235860946877</v>
      </c>
      <c r="AK26" s="178">
        <f>AM26*SUMIFS(용수분배비율!S:S,용수분배비율!B:B,B:B,용수분배비율!D:D,D:D)</f>
        <v>3500.7343370456942</v>
      </c>
      <c r="AL26" s="177">
        <f t="shared" si="2"/>
        <v>13537</v>
      </c>
      <c r="AM26" s="263">
        <v>13537</v>
      </c>
    </row>
    <row r="27" spans="2:39">
      <c r="B27" s="158" t="s">
        <v>26</v>
      </c>
      <c r="C27" s="158" t="s">
        <v>317</v>
      </c>
      <c r="D27" s="158" t="s">
        <v>13</v>
      </c>
      <c r="E27" s="158" t="s">
        <v>295</v>
      </c>
      <c r="F27" s="183">
        <f>M27*SUMIFS(용수분배비율!N:N,용수분배비율!B:B,B:B,용수분배비율!D:D,D:D)</f>
        <v>187.00711174602293</v>
      </c>
      <c r="G27" s="183">
        <f>M27*SUMIFS(용수분배비율!O:O,용수분배비율!B:B,B:B,용수분배비율!D:D,D:D)</f>
        <v>63.472216830614556</v>
      </c>
      <c r="H27" s="183">
        <f>M27*SUMIFS(용수분배비율!P:P,용수분배비율!B:B,B:B,용수분배비율!D:D,D:D)</f>
        <v>15.495135907330326</v>
      </c>
      <c r="I27" s="183">
        <f>M27*SUMIFS(용수분배비율!Q:Q,용수분배비율!B:B,B:B,용수분배비율!D:D,D:D)</f>
        <v>5.7231543233357662</v>
      </c>
      <c r="J27" s="183">
        <f>M27*SUMIFS(용수분배비율!R:R,용수분배비율!B:B,B:B,용수분배비율!D:D,D:D)</f>
        <v>2126.0605041886352</v>
      </c>
      <c r="K27" s="183">
        <f>M27*SUMIFS(용수분배비율!S:S,용수분배비율!B:B,B:B,용수분배비율!D:D,D:D)</f>
        <v>1523.2418770040611</v>
      </c>
      <c r="L27" s="166">
        <f t="shared" si="0"/>
        <v>3921</v>
      </c>
      <c r="M27" s="136">
        <v>3921</v>
      </c>
      <c r="O27" t="s">
        <v>26</v>
      </c>
      <c r="P27" t="s">
        <v>256</v>
      </c>
      <c r="Q27" t="s">
        <v>13</v>
      </c>
      <c r="R27" t="s">
        <v>296</v>
      </c>
      <c r="S27" s="183">
        <f>Z27*SUMIFS(용수분배비율!N:N,용수분배비율!B:B,B:B,용수분배비율!D:D,D:D)</f>
        <v>1183.5675809970173</v>
      </c>
      <c r="T27" s="183">
        <f>Z27*SUMIFS(용수분배비율!O:O,용수분배비율!B:B,B:B,용수분배비율!D:D,D:D)</f>
        <v>401.71551463109688</v>
      </c>
      <c r="U27" s="183">
        <f>Z27*SUMIFS(용수분배비율!P:P,용수분배비율!B:B,B:B,용수분배비율!D:D,D:D)</f>
        <v>98.068679590999579</v>
      </c>
      <c r="V27" s="183">
        <f>Z27*SUMIFS(용수분배비율!Q:Q,용수분배비율!B:B,B:B,용수분배비율!D:D,D:D)</f>
        <v>36.221830575848095</v>
      </c>
      <c r="W27" s="183">
        <f>Z27*SUMIFS(용수분배비율!R:R,용수분배비율!B:B,B:B,용수분배비율!D:D,D:D)</f>
        <v>13455.832050993411</v>
      </c>
      <c r="X27" s="183">
        <f>Z27*SUMIFS(용수분배비율!S:S,용수분배비율!B:B,B:B,용수분배비율!D:D,D:D)</f>
        <v>9640.5943432116255</v>
      </c>
      <c r="Y27" s="176">
        <f t="shared" si="1"/>
        <v>24816</v>
      </c>
      <c r="Z27" s="263">
        <v>24816</v>
      </c>
      <c r="AB27" s="177" t="s">
        <v>26</v>
      </c>
      <c r="AC27" s="177" t="s">
        <v>256</v>
      </c>
      <c r="AD27" s="177" t="s">
        <v>13</v>
      </c>
      <c r="AE27" s="177" t="s">
        <v>298</v>
      </c>
      <c r="AF27" s="183">
        <f>AM27*SUMIFS(용수분배비율!N:N,용수분배비율!B:B,B:B,용수분배비율!D:D,D:D)</f>
        <v>883.00170029733965</v>
      </c>
      <c r="AG27" s="183">
        <f>AM27*SUMIFS(용수분배비율!O:O,용수분배비율!B:B,B:B,용수분배비율!D:D,D:D)</f>
        <v>299.7002352466202</v>
      </c>
      <c r="AH27" s="183">
        <f>AM27*SUMIFS(용수분배비율!P:P,용수분배비율!B:B,B:B,용수분배비율!D:D,D:D)</f>
        <v>73.164230091383232</v>
      </c>
      <c r="AI27" s="183">
        <f>AM27*SUMIFS(용수분배비율!Q:Q,용수분배비율!B:B,B:B,용수분배비율!D:D,D:D)</f>
        <v>27.023330564202595</v>
      </c>
      <c r="AJ27" s="183">
        <f>AM27*SUMIFS(용수분배비율!R:R,용수분배비율!B:B,B:B,용수분배비율!D:D,D:D)</f>
        <v>10038.736081241619</v>
      </c>
      <c r="AK27" s="183">
        <f>AM27*SUMIFS(용수분배비율!S:S,용수분배비율!B:B,B:B,용수분배비율!D:D,D:D)</f>
        <v>7192.3744225588343</v>
      </c>
      <c r="AL27" s="177">
        <f t="shared" si="2"/>
        <v>18514</v>
      </c>
      <c r="AM27" s="263">
        <v>18514</v>
      </c>
    </row>
    <row r="28" spans="2:39">
      <c r="B28" s="158" t="s">
        <v>26</v>
      </c>
      <c r="C28" s="158" t="s">
        <v>317</v>
      </c>
      <c r="D28" s="158" t="s">
        <v>14</v>
      </c>
      <c r="E28" s="158" t="s">
        <v>295</v>
      </c>
      <c r="F28" s="183">
        <f>M28*SUMIFS(용수분배비율!N:N,용수분배비율!B:B,B:B,용수분배비율!D:D,D:D)</f>
        <v>485.44083025888102</v>
      </c>
      <c r="G28" s="183">
        <f>M28*SUMIFS(용수분배비율!O:O,용수분배비율!B:B,B:B,용수분배비율!D:D,D:D)</f>
        <v>27.199878950249669</v>
      </c>
      <c r="H28" s="183">
        <f>M28*SUMIFS(용수분배비율!P:P,용수분배비율!B:B,B:B,용수분배비율!D:D,D:D)</f>
        <v>95.027614474345953</v>
      </c>
      <c r="I28" s="183">
        <f>M28*SUMIFS(용수분배비율!Q:Q,용수분배비율!B:B,B:B,용수분배비율!D:D,D:D)</f>
        <v>701.73893307105936</v>
      </c>
      <c r="J28" s="183">
        <f>M28*SUMIFS(용수분배비율!R:R,용수분배비율!B:B,B:B,용수분배비율!D:D,D:D)</f>
        <v>1233.9234805363526</v>
      </c>
      <c r="K28" s="183">
        <f>M28*SUMIFS(용수분배비율!S:S,용수분배비율!B:B,B:B,용수분배비율!D:D,D:D)</f>
        <v>816.66926270911154</v>
      </c>
      <c r="L28" s="166">
        <f t="shared" si="0"/>
        <v>3360</v>
      </c>
      <c r="M28" s="136">
        <v>3360</v>
      </c>
      <c r="O28" t="s">
        <v>26</v>
      </c>
      <c r="P28" t="s">
        <v>256</v>
      </c>
      <c r="Q28" t="s">
        <v>14</v>
      </c>
      <c r="R28" t="s">
        <v>296</v>
      </c>
      <c r="S28" s="183">
        <f>Z28*SUMIFS(용수분배비율!N:N,용수분배비율!B:B,B:B,용수분배비율!D:D,D:D)</f>
        <v>3204.1984325837689</v>
      </c>
      <c r="T28" s="183">
        <f>Z28*SUMIFS(용수분배비율!O:O,용수분배비율!B:B,B:B,용수분배비율!D:D,D:D)</f>
        <v>179.53539147578488</v>
      </c>
      <c r="U28" s="183">
        <f>Z28*SUMIFS(용수분배비율!P:P,용수분배비율!B:B,B:B,용수분배비율!D:D,D:D)</f>
        <v>627.238819586918</v>
      </c>
      <c r="V28" s="183">
        <f>Z28*SUMIFS(용수분배비율!Q:Q,용수분배비율!B:B,B:B,용수분배비율!D:D,D:D)</f>
        <v>4631.8946600148674</v>
      </c>
      <c r="W28" s="183">
        <f>Z28*SUMIFS(용수분배비율!R:R,용수분배비율!B:B,B:B,용수분배비율!D:D,D:D)</f>
        <v>8144.6294498021507</v>
      </c>
      <c r="X28" s="183">
        <f>Z28*SUMIFS(용수분배비율!S:S,용수분배비율!B:B,B:B,용수분배비율!D:D,D:D)</f>
        <v>5390.5032465365102</v>
      </c>
      <c r="Y28" s="176">
        <f t="shared" si="1"/>
        <v>22178.000000000004</v>
      </c>
      <c r="Z28" s="262">
        <v>22178</v>
      </c>
      <c r="AB28" s="177" t="s">
        <v>26</v>
      </c>
      <c r="AC28" s="177" t="s">
        <v>256</v>
      </c>
      <c r="AD28" s="177" t="s">
        <v>14</v>
      </c>
      <c r="AE28" s="177" t="s">
        <v>298</v>
      </c>
      <c r="AF28" s="183">
        <f>AM28*SUMIFS(용수분배비율!N:N,용수분배비율!B:B,B:B,용수분배비율!D:D,D:D)</f>
        <v>2986.7613940303117</v>
      </c>
      <c r="AG28" s="183">
        <f>AM28*SUMIFS(용수분배비율!O:O,용수분배비율!B:B,B:B,용수분배비율!D:D,D:D)</f>
        <v>167.35211236265221</v>
      </c>
      <c r="AH28" s="183">
        <f>AM28*SUMIFS(용수분배비율!P:P,용수분배비율!B:B,B:B,용수분배비율!D:D,D:D)</f>
        <v>584.67436727028382</v>
      </c>
      <c r="AI28" s="183">
        <f>AM28*SUMIFS(용수분배비율!Q:Q,용수분배비율!B:B,B:B,용수분배비율!D:D,D:D)</f>
        <v>4317.5740962434556</v>
      </c>
      <c r="AJ28" s="183">
        <f>AM28*SUMIFS(용수분배비율!R:R,용수분배비율!B:B,B:B,용수분배비율!D:D,D:D)</f>
        <v>7591.9345574785757</v>
      </c>
      <c r="AK28" s="183">
        <f>AM28*SUMIFS(용수분배비율!S:S,용수분배비율!B:B,B:B,용수분배비율!D:D,D:D)</f>
        <v>5024.7034726147212</v>
      </c>
      <c r="AL28" s="177">
        <f t="shared" si="2"/>
        <v>20673</v>
      </c>
      <c r="AM28" s="262">
        <v>20673</v>
      </c>
    </row>
    <row r="29" spans="2:39">
      <c r="B29" s="158" t="s">
        <v>26</v>
      </c>
      <c r="C29" s="158" t="s">
        <v>318</v>
      </c>
      <c r="D29" s="158" t="s">
        <v>15</v>
      </c>
      <c r="E29" s="158" t="s">
        <v>295</v>
      </c>
      <c r="F29" s="183">
        <f>M29*SUMIFS(용수분배비율!N:N,용수분배비율!B:B,B:B,용수분배비율!D:D,D:D)</f>
        <v>364.43370882135434</v>
      </c>
      <c r="G29" s="183">
        <f>M29*SUMIFS(용수분배비율!O:O,용수분배비율!B:B,B:B,용수분배비율!D:D,D:D)</f>
        <v>5.3019505968244127</v>
      </c>
      <c r="H29" s="183">
        <f>M29*SUMIFS(용수분배비율!P:P,용수분배비율!B:B,B:B,용수분배비율!D:D,D:D)</f>
        <v>66.989416164647395</v>
      </c>
      <c r="I29" s="183">
        <f>M29*SUMIFS(용수분배비율!Q:Q,용수분배비율!B:B,B:B,용수분배비율!D:D,D:D)</f>
        <v>520.09703267417763</v>
      </c>
      <c r="J29" s="183">
        <f>M29*SUMIFS(용수분배비율!R:R,용수분배비율!B:B,B:B,용수분배비율!D:D,D:D)</f>
        <v>797.25771616688974</v>
      </c>
      <c r="K29" s="183">
        <f>M29*SUMIFS(용수분배비율!S:S,용수분배비율!B:B,B:B,용수분배비율!D:D,D:D)</f>
        <v>417.9201755761066</v>
      </c>
      <c r="L29" s="166">
        <f t="shared" si="0"/>
        <v>2172</v>
      </c>
      <c r="M29" s="136">
        <v>2172</v>
      </c>
      <c r="O29" t="s">
        <v>26</v>
      </c>
      <c r="P29" t="s">
        <v>258</v>
      </c>
      <c r="Q29" t="s">
        <v>15</v>
      </c>
      <c r="R29" t="s">
        <v>296</v>
      </c>
      <c r="S29" s="183">
        <f>Z29*SUMIFS(용수분배비율!N:N,용수분배비율!B:B,B:B,용수분배비율!D:D,D:D)</f>
        <v>3949.3741428347321</v>
      </c>
      <c r="T29" s="183">
        <f>Z29*SUMIFS(용수분배비율!O:O,용수분배비율!B:B,B:B,용수분배비율!D:D,D:D)</f>
        <v>57.457326495420361</v>
      </c>
      <c r="U29" s="183">
        <f>Z29*SUMIFS(용수분배비율!P:P,용수분배비율!B:B,B:B,용수분배비율!D:D,D:D)</f>
        <v>725.96541329809872</v>
      </c>
      <c r="V29" s="183">
        <f>Z29*SUMIFS(용수분배비율!Q:Q,용수분배비율!B:B,B:B,용수분배비율!D:D,D:D)</f>
        <v>5636.3001634828697</v>
      </c>
      <c r="W29" s="183">
        <f>Z29*SUMIFS(용수분배비율!R:R,용수분배비율!B:B,B:B,용수분배비율!D:D,D:D)</f>
        <v>8639.895084316875</v>
      </c>
      <c r="X29" s="183">
        <f>Z29*SUMIFS(용수분배비율!S:S,용수분배비율!B:B,B:B,용수분배비율!D:D,D:D)</f>
        <v>4529.0078695720058</v>
      </c>
      <c r="Y29" s="176">
        <f t="shared" si="1"/>
        <v>23538</v>
      </c>
      <c r="Z29" s="262">
        <v>23538</v>
      </c>
      <c r="AB29" s="177" t="s">
        <v>26</v>
      </c>
      <c r="AC29" s="177" t="s">
        <v>258</v>
      </c>
      <c r="AD29" s="177" t="s">
        <v>15</v>
      </c>
      <c r="AE29" s="177" t="s">
        <v>298</v>
      </c>
      <c r="AF29" s="183">
        <f>AM29*SUMIFS(용수분배비율!N:N,용수분배비율!B:B,B:B,용수분배비율!D:D,D:D)</f>
        <v>3593.8331534275267</v>
      </c>
      <c r="AG29" s="183">
        <f>AM29*SUMIFS(용수분배비율!O:O,용수분배비율!B:B,B:B,용수분배비율!D:D,D:D)</f>
        <v>52.284751304503729</v>
      </c>
      <c r="AH29" s="183">
        <f>AM29*SUMIFS(용수분배비율!P:P,용수분배비율!B:B,B:B,용수분배비율!D:D,D:D)</f>
        <v>660.61063758314117</v>
      </c>
      <c r="AI29" s="183">
        <f>AM29*SUMIFS(용수분배비율!Q:Q,용수분배비율!B:B,B:B,용수분배비율!D:D,D:D)</f>
        <v>5128.8942646630803</v>
      </c>
      <c r="AJ29" s="183">
        <f>AM29*SUMIFS(용수분배비율!R:R,용수분배비율!B:B,B:B,용수분배비율!D:D,D:D)</f>
        <v>7862.0916310214598</v>
      </c>
      <c r="AK29" s="183">
        <f>AM29*SUMIFS(용수분배비율!S:S,용수분배비율!B:B,B:B,용수분배비율!D:D,D:D)</f>
        <v>4121.2855620002883</v>
      </c>
      <c r="AL29" s="177">
        <f t="shared" si="2"/>
        <v>21419</v>
      </c>
      <c r="AM29" s="262">
        <v>21419</v>
      </c>
    </row>
    <row r="30" spans="2:39">
      <c r="B30" s="158" t="s">
        <v>26</v>
      </c>
      <c r="C30" s="158" t="s">
        <v>318</v>
      </c>
      <c r="D30" s="158" t="s">
        <v>16</v>
      </c>
      <c r="E30" s="158" t="s">
        <v>295</v>
      </c>
      <c r="F30" s="183">
        <f>M30*SUMIFS(용수분배비율!N:N,용수분배비율!B:B,B:B,용수분배비율!D:D,D:D)</f>
        <v>297.30465767867764</v>
      </c>
      <c r="G30" s="183">
        <f>M30*SUMIFS(용수분배비율!O:O,용수분배비율!B:B,B:B,용수분배비율!D:D,D:D)</f>
        <v>3.5420616402915872</v>
      </c>
      <c r="H30" s="183">
        <f>M30*SUMIFS(용수분배비율!P:P,용수분배비율!B:B,B:B,용수분배비율!D:D,D:D)</f>
        <v>44.975613327735978</v>
      </c>
      <c r="I30" s="183">
        <f>M30*SUMIFS(용수분배비율!Q:Q,용수분배비율!B:B,B:B,용수분배비율!D:D,D:D)</f>
        <v>305.89558540704559</v>
      </c>
      <c r="J30" s="183">
        <f>M30*SUMIFS(용수분배비율!R:R,용수분배비율!B:B,B:B,용수분배비율!D:D,D:D)</f>
        <v>504.77234875479576</v>
      </c>
      <c r="K30" s="183">
        <f>M30*SUMIFS(용수분배비율!S:S,용수분배비율!B:B,B:B,용수분배비율!D:D,D:D)</f>
        <v>306.50973319145345</v>
      </c>
      <c r="L30" s="166">
        <f t="shared" si="0"/>
        <v>1463</v>
      </c>
      <c r="M30" s="136">
        <v>1463</v>
      </c>
      <c r="N30">
        <f>M30+M29</f>
        <v>3635</v>
      </c>
      <c r="O30" t="s">
        <v>26</v>
      </c>
      <c r="P30" t="s">
        <v>258</v>
      </c>
      <c r="Q30" t="s">
        <v>16</v>
      </c>
      <c r="R30" t="s">
        <v>296</v>
      </c>
      <c r="S30" s="183">
        <f>Z30*SUMIFS(용수분배비율!N:N,용수분배비율!B:B,B:B,용수분배비율!D:D,D:D)</f>
        <v>8861.2232386047417</v>
      </c>
      <c r="T30" s="183">
        <f>Z30*SUMIFS(용수분배비율!O:O,용수분배비율!B:B,B:B,용수분배비율!D:D,D:D)</f>
        <v>105.57183720089861</v>
      </c>
      <c r="U30" s="183">
        <f>Z30*SUMIFS(용수분배비율!P:P,용수분배비율!B:B,B:B,용수분배비율!D:D,D:D)</f>
        <v>1340.5069167162867</v>
      </c>
      <c r="V30" s="183">
        <f>Z30*SUMIFS(용수분배비율!Q:Q,용수분배비율!B:B,B:B,용수분배비율!D:D,D:D)</f>
        <v>9117.2775131060989</v>
      </c>
      <c r="W30" s="183">
        <f>Z30*SUMIFS(용수분배비율!R:R,용수분배비율!B:B,B:B,용수분배비율!D:D,D:D)</f>
        <v>15044.838186912419</v>
      </c>
      <c r="X30" s="183">
        <f>Z30*SUMIFS(용수분배비율!S:S,용수분배비율!B:B,B:B,용수분배비율!D:D,D:D)</f>
        <v>9135.5823074595555</v>
      </c>
      <c r="Y30" s="176">
        <f t="shared" si="1"/>
        <v>43605</v>
      </c>
      <c r="Z30" s="262">
        <v>43605</v>
      </c>
      <c r="AB30" s="177" t="s">
        <v>26</v>
      </c>
      <c r="AC30" s="177" t="s">
        <v>258</v>
      </c>
      <c r="AD30" s="177" t="s">
        <v>16</v>
      </c>
      <c r="AE30" s="177" t="s">
        <v>298</v>
      </c>
      <c r="AF30" s="183">
        <f>AM30*SUMIFS(용수분배비율!N:N,용수분배비율!B:B,B:B,용수분배비율!D:D,D:D)</f>
        <v>5625.8251149531861</v>
      </c>
      <c r="AG30" s="183">
        <f>AM30*SUMIFS(용수분배비율!O:O,용수분배비율!B:B,B:B,용수분배비율!D:D,D:D)</f>
        <v>67.025587457164931</v>
      </c>
      <c r="AH30" s="183">
        <f>AM30*SUMIFS(용수분배비율!P:P,용수분배비율!B:B,B:B,용수분배비율!D:D,D:D)</f>
        <v>851.06280202668688</v>
      </c>
      <c r="AI30" s="183">
        <f>AM30*SUMIFS(용수분배비율!Q:Q,용수분배비율!B:B,B:B,용수분배비율!D:D,D:D)</f>
        <v>5788.3891909833555</v>
      </c>
      <c r="AJ30" s="183">
        <f>AM30*SUMIFS(용수분배비율!R:R,용수분배비율!B:B,B:B,용수분배비율!D:D,D:D)</f>
        <v>9551.6867415774213</v>
      </c>
      <c r="AK30" s="183">
        <f>AM30*SUMIFS(용수분배비율!S:S,용수분배비율!B:B,B:B,용수분배비율!D:D,D:D)</f>
        <v>5800.0105630021862</v>
      </c>
      <c r="AL30" s="177">
        <f t="shared" si="2"/>
        <v>27684</v>
      </c>
      <c r="AM30" s="262">
        <v>27684</v>
      </c>
    </row>
    <row r="31" spans="2:39">
      <c r="B31" s="158" t="s">
        <v>26</v>
      </c>
      <c r="C31" s="158" t="s">
        <v>318</v>
      </c>
      <c r="D31" s="158" t="s">
        <v>17</v>
      </c>
      <c r="E31" s="158" t="s">
        <v>295</v>
      </c>
      <c r="F31" s="183">
        <f>M31*SUMIFS(용수분배비율!N:N,용수분배비율!B:B,B:B,용수분배비율!D:D,D:D)</f>
        <v>334.21345575688582</v>
      </c>
      <c r="G31" s="183">
        <f>M31*SUMIFS(용수분배비율!O:O,용수분배비율!B:B,B:B,용수분배비율!D:D,D:D)</f>
        <v>12.35394490940142</v>
      </c>
      <c r="H31" s="183">
        <f>M31*SUMIFS(용수분배비율!P:P,용수분배비율!B:B,B:B,용수분배비율!D:D,D:D)</f>
        <v>54.756642561144083</v>
      </c>
      <c r="I31" s="183">
        <f>M31*SUMIFS(용수분배비율!Q:Q,용수분배비율!B:B,B:B,용수분배비율!D:D,D:D)</f>
        <v>382.55423742585589</v>
      </c>
      <c r="J31" s="183">
        <f>M31*SUMIFS(용수분배비율!R:R,용수분배비율!B:B,B:B,용수분배비율!D:D,D:D)</f>
        <v>379.20126757129947</v>
      </c>
      <c r="K31" s="183">
        <f>M31*SUMIFS(용수분배비율!S:S,용수분배비율!B:B,B:B,용수분배비율!D:D,D:D)</f>
        <v>621.92045177541331</v>
      </c>
      <c r="L31" s="166">
        <f t="shared" si="0"/>
        <v>1785</v>
      </c>
      <c r="M31" s="136">
        <v>1785</v>
      </c>
      <c r="O31" t="s">
        <v>26</v>
      </c>
      <c r="P31" t="s">
        <v>258</v>
      </c>
      <c r="Q31" t="s">
        <v>17</v>
      </c>
      <c r="R31" t="s">
        <v>296</v>
      </c>
      <c r="S31" s="183">
        <f>Z31*SUMIFS(용수분배비율!N:N,용수분배비율!B:B,B:B,용수분배비율!D:D,D:D)</f>
        <v>7999.0292755437968</v>
      </c>
      <c r="T31" s="183">
        <f>Z31*SUMIFS(용수분배비율!O:O,용수분배비율!B:B,B:B,용수분배비율!D:D,D:D)</f>
        <v>295.67800247588093</v>
      </c>
      <c r="U31" s="183">
        <f>Z31*SUMIFS(용수분배비율!P:P,용수분배비율!B:B,B:B,용수분배비율!D:D,D:D)</f>
        <v>1310.5396546202787</v>
      </c>
      <c r="V31" s="183">
        <f>Z31*SUMIFS(용수분배비율!Q:Q,용수분배비율!B:B,B:B,용수분배비율!D:D,D:D)</f>
        <v>9156.0123984915499</v>
      </c>
      <c r="W31" s="183">
        <f>Z31*SUMIFS(용수분배비율!R:R,용수분배비율!B:B,B:B,용수분배비율!D:D,D:D)</f>
        <v>9075.7627748913474</v>
      </c>
      <c r="X31" s="183">
        <f>Z31*SUMIFS(용수분배비율!S:S,용수분배비율!B:B,B:B,용수분배비율!D:D,D:D)</f>
        <v>14884.977893977146</v>
      </c>
      <c r="Y31" s="176">
        <f t="shared" si="1"/>
        <v>42722</v>
      </c>
      <c r="Z31" s="262">
        <v>42722</v>
      </c>
      <c r="AB31" s="177" t="s">
        <v>26</v>
      </c>
      <c r="AC31" s="177" t="s">
        <v>258</v>
      </c>
      <c r="AD31" s="177" t="s">
        <v>17</v>
      </c>
      <c r="AE31" s="177" t="s">
        <v>298</v>
      </c>
      <c r="AF31" s="183">
        <f>AM31*SUMIFS(용수분배비율!N:N,용수분배비율!B:B,B:B,용수분배비율!D:D,D:D)</f>
        <v>4593.6094809744745</v>
      </c>
      <c r="AG31" s="183">
        <f>AM31*SUMIFS(용수분배비율!O:O,용수분배비율!B:B,B:B,용수분배비율!D:D,D:D)</f>
        <v>169.79926297325179</v>
      </c>
      <c r="AH31" s="183">
        <f>AM31*SUMIFS(용수분배비율!P:P,용수분배비율!B:B,B:B,용수분배비율!D:D,D:D)</f>
        <v>752.60474431098532</v>
      </c>
      <c r="AI31" s="183">
        <f>AM31*SUMIFS(용수분배비율!Q:Q,용수분배비율!B:B,B:B,용수분배비율!D:D,D:D)</f>
        <v>5258.0311826363859</v>
      </c>
      <c r="AJ31" s="183">
        <f>AM31*SUMIFS(용수분배비율!R:R,용수분배비율!B:B,B:B,용수분배비율!D:D,D:D)</f>
        <v>5211.946161677457</v>
      </c>
      <c r="AK31" s="183">
        <f>AM31*SUMIFS(용수분배비율!S:S,용수분배비율!B:B,B:B,용수분배비율!D:D,D:D)</f>
        <v>8548.0091674274445</v>
      </c>
      <c r="AL31" s="177">
        <f t="shared" si="2"/>
        <v>24534</v>
      </c>
      <c r="AM31" s="262">
        <v>24534</v>
      </c>
    </row>
    <row r="32" spans="2:39">
      <c r="B32" s="158" t="s">
        <v>26</v>
      </c>
      <c r="C32" s="158" t="s">
        <v>260</v>
      </c>
      <c r="D32" s="158" t="s">
        <v>18</v>
      </c>
      <c r="E32" s="158" t="s">
        <v>295</v>
      </c>
      <c r="F32" s="183" t="e">
        <f>M32*SUMIFS(용수분배비율!N:N,용수분배비율!B:B,B:B,용수분배비율!D:D,D:D)</f>
        <v>#DIV/0!</v>
      </c>
      <c r="G32" s="183" t="e">
        <f>M32*SUMIFS(용수분배비율!O:O,용수분배비율!B:B,B:B,용수분배비율!D:D,D:D)</f>
        <v>#DIV/0!</v>
      </c>
      <c r="H32" s="183" t="e">
        <f>M32*SUMIFS(용수분배비율!P:P,용수분배비율!B:B,B:B,용수분배비율!D:D,D:D)</f>
        <v>#DIV/0!</v>
      </c>
      <c r="I32" s="183" t="e">
        <f>M32*SUMIFS(용수분배비율!Q:Q,용수분배비율!B:B,B:B,용수분배비율!D:D,D:D)</f>
        <v>#DIV/0!</v>
      </c>
      <c r="J32" s="183" t="e">
        <f>M32*SUMIFS(용수분배비율!R:R,용수분배비율!B:B,B:B,용수분배비율!D:D,D:D)</f>
        <v>#DIV/0!</v>
      </c>
      <c r="K32" s="183" t="e">
        <f>M32*SUMIFS(용수분배비율!S:S,용수분배비율!B:B,B:B,용수분배비율!D:D,D:D)</f>
        <v>#DIV/0!</v>
      </c>
      <c r="L32" s="166" t="e">
        <f t="shared" si="0"/>
        <v>#DIV/0!</v>
      </c>
      <c r="O32" t="s">
        <v>26</v>
      </c>
      <c r="P32" t="s">
        <v>260</v>
      </c>
      <c r="Q32" t="s">
        <v>18</v>
      </c>
      <c r="R32" t="s">
        <v>296</v>
      </c>
      <c r="S32" s="183" t="e">
        <f>Z32*SUMIFS(용수분배비율!N:N,용수분배비율!B:B,B:B,용수분배비율!D:D,D:D)</f>
        <v>#DIV/0!</v>
      </c>
      <c r="T32" s="183" t="e">
        <f>Z32*SUMIFS(용수분배비율!O:O,용수분배비율!B:B,B:B,용수분배비율!D:D,D:D)</f>
        <v>#DIV/0!</v>
      </c>
      <c r="U32" s="183" t="e">
        <f>Z32*SUMIFS(용수분배비율!P:P,용수분배비율!B:B,B:B,용수분배비율!D:D,D:D)</f>
        <v>#DIV/0!</v>
      </c>
      <c r="V32" s="183" t="e">
        <f>Z32*SUMIFS(용수분배비율!Q:Q,용수분배비율!B:B,B:B,용수분배비율!D:D,D:D)</f>
        <v>#DIV/0!</v>
      </c>
      <c r="W32" s="183" t="e">
        <f>Z32*SUMIFS(용수분배비율!R:R,용수분배비율!B:B,B:B,용수분배비율!D:D,D:D)</f>
        <v>#DIV/0!</v>
      </c>
      <c r="X32" s="183" t="e">
        <f>Z32*SUMIFS(용수분배비율!S:S,용수분배비율!B:B,B:B,용수분배비율!D:D,D:D)</f>
        <v>#DIV/0!</v>
      </c>
      <c r="Y32" s="176" t="e">
        <f t="shared" si="1"/>
        <v>#DIV/0!</v>
      </c>
      <c r="AB32" s="177" t="s">
        <v>26</v>
      </c>
      <c r="AC32" s="177" t="s">
        <v>260</v>
      </c>
      <c r="AD32" s="177" t="s">
        <v>18</v>
      </c>
      <c r="AE32" s="177" t="s">
        <v>298</v>
      </c>
      <c r="AF32" s="183" t="e">
        <f>AM32*SUMIFS(용수분배비율!N:N,용수분배비율!B:B,B:B,용수분배비율!D:D,D:D)</f>
        <v>#DIV/0!</v>
      </c>
      <c r="AG32" s="183" t="e">
        <f>AM32*SUMIFS(용수분배비율!O:O,용수분배비율!B:B,B:B,용수분배비율!D:D,D:D)</f>
        <v>#DIV/0!</v>
      </c>
      <c r="AH32" s="183" t="e">
        <f>AM32*SUMIFS(용수분배비율!P:P,용수분배비율!B:B,B:B,용수분배비율!D:D,D:D)</f>
        <v>#DIV/0!</v>
      </c>
      <c r="AI32" s="183" t="e">
        <f>AM32*SUMIFS(용수분배비율!Q:Q,용수분배비율!B:B,B:B,용수분배비율!D:D,D:D)</f>
        <v>#DIV/0!</v>
      </c>
      <c r="AJ32" s="183" t="e">
        <f>AM32*SUMIFS(용수분배비율!R:R,용수분배비율!B:B,B:B,용수분배비율!D:D,D:D)</f>
        <v>#DIV/0!</v>
      </c>
      <c r="AK32" s="183" t="e">
        <f>AM32*SUMIFS(용수분배비율!S:S,용수분배비율!B:B,B:B,용수분배비율!D:D,D:D)</f>
        <v>#DIV/0!</v>
      </c>
      <c r="AL32" s="177" t="e">
        <f t="shared" si="2"/>
        <v>#DIV/0!</v>
      </c>
    </row>
    <row r="33" spans="2:38">
      <c r="B33" s="158" t="s">
        <v>26</v>
      </c>
      <c r="C33" s="158" t="s">
        <v>260</v>
      </c>
      <c r="D33" s="158" t="s">
        <v>19</v>
      </c>
      <c r="E33" s="158" t="s">
        <v>295</v>
      </c>
      <c r="F33" s="183" t="e">
        <f>M33*SUMIFS(용수분배비율!N:N,용수분배비율!B:B,B:B,용수분배비율!D:D,D:D)</f>
        <v>#DIV/0!</v>
      </c>
      <c r="G33" s="183" t="e">
        <f>M33*SUMIFS(용수분배비율!O:O,용수분배비율!B:B,B:B,용수분배비율!D:D,D:D)</f>
        <v>#DIV/0!</v>
      </c>
      <c r="H33" s="183" t="e">
        <f>M33*SUMIFS(용수분배비율!P:P,용수분배비율!B:B,B:B,용수분배비율!D:D,D:D)</f>
        <v>#DIV/0!</v>
      </c>
      <c r="I33" s="183" t="e">
        <f>M33*SUMIFS(용수분배비율!Q:Q,용수분배비율!B:B,B:B,용수분배비율!D:D,D:D)</f>
        <v>#DIV/0!</v>
      </c>
      <c r="J33" s="183" t="e">
        <f>M33*SUMIFS(용수분배비율!R:R,용수분배비율!B:B,B:B,용수분배비율!D:D,D:D)</f>
        <v>#DIV/0!</v>
      </c>
      <c r="K33" s="183" t="e">
        <f>M33*SUMIFS(용수분배비율!S:S,용수분배비율!B:B,B:B,용수분배비율!D:D,D:D)</f>
        <v>#DIV/0!</v>
      </c>
      <c r="L33" s="166" t="e">
        <f t="shared" si="0"/>
        <v>#DIV/0!</v>
      </c>
      <c r="O33" t="s">
        <v>26</v>
      </c>
      <c r="P33" t="s">
        <v>260</v>
      </c>
      <c r="Q33" t="s">
        <v>19</v>
      </c>
      <c r="R33" t="s">
        <v>296</v>
      </c>
      <c r="S33" s="183" t="e">
        <f>Z33*SUMIFS(용수분배비율!N:N,용수분배비율!B:B,B:B,용수분배비율!D:D,D:D)</f>
        <v>#DIV/0!</v>
      </c>
      <c r="T33" s="183" t="e">
        <f>Z33*SUMIFS(용수분배비율!O:O,용수분배비율!B:B,B:B,용수분배비율!D:D,D:D)</f>
        <v>#DIV/0!</v>
      </c>
      <c r="U33" s="183" t="e">
        <f>Z33*SUMIFS(용수분배비율!P:P,용수분배비율!B:B,B:B,용수분배비율!D:D,D:D)</f>
        <v>#DIV/0!</v>
      </c>
      <c r="V33" s="183" t="e">
        <f>Z33*SUMIFS(용수분배비율!Q:Q,용수분배비율!B:B,B:B,용수분배비율!D:D,D:D)</f>
        <v>#DIV/0!</v>
      </c>
      <c r="W33" s="183" t="e">
        <f>Z33*SUMIFS(용수분배비율!R:R,용수분배비율!B:B,B:B,용수분배비율!D:D,D:D)</f>
        <v>#DIV/0!</v>
      </c>
      <c r="X33" s="183" t="e">
        <f>Z33*SUMIFS(용수분배비율!S:S,용수분배비율!B:B,B:B,용수분배비율!D:D,D:D)</f>
        <v>#DIV/0!</v>
      </c>
      <c r="Y33" s="176" t="e">
        <f t="shared" si="1"/>
        <v>#DIV/0!</v>
      </c>
      <c r="AB33" s="177" t="s">
        <v>26</v>
      </c>
      <c r="AC33" s="177" t="s">
        <v>260</v>
      </c>
      <c r="AD33" s="177" t="s">
        <v>19</v>
      </c>
      <c r="AE33" s="177" t="s">
        <v>298</v>
      </c>
      <c r="AF33" s="183" t="e">
        <f>AM33*SUMIFS(용수분배비율!N:N,용수분배비율!B:B,B:B,용수분배비율!D:D,D:D)</f>
        <v>#DIV/0!</v>
      </c>
      <c r="AG33" s="183" t="e">
        <f>AM33*SUMIFS(용수분배비율!O:O,용수분배비율!B:B,B:B,용수분배비율!D:D,D:D)</f>
        <v>#DIV/0!</v>
      </c>
      <c r="AH33" s="183" t="e">
        <f>AM33*SUMIFS(용수분배비율!P:P,용수분배비율!B:B,B:B,용수분배비율!D:D,D:D)</f>
        <v>#DIV/0!</v>
      </c>
      <c r="AI33" s="183" t="e">
        <f>AM33*SUMIFS(용수분배비율!Q:Q,용수분배비율!B:B,B:B,용수분배비율!D:D,D:D)</f>
        <v>#DIV/0!</v>
      </c>
      <c r="AJ33" s="183" t="e">
        <f>AM33*SUMIFS(용수분배비율!R:R,용수분배비율!B:B,B:B,용수분배비율!D:D,D:D)</f>
        <v>#DIV/0!</v>
      </c>
      <c r="AK33" s="183" t="e">
        <f>AM33*SUMIFS(용수분배비율!S:S,용수분배비율!B:B,B:B,용수분배비율!D:D,D:D)</f>
        <v>#DIV/0!</v>
      </c>
      <c r="AL33" s="177" t="e">
        <f t="shared" si="2"/>
        <v>#DIV/0!</v>
      </c>
    </row>
    <row r="34" spans="2:38">
      <c r="B34" s="158" t="s">
        <v>26</v>
      </c>
      <c r="C34" s="158" t="s">
        <v>260</v>
      </c>
      <c r="D34" s="158" t="s">
        <v>20</v>
      </c>
      <c r="E34" s="158" t="s">
        <v>295</v>
      </c>
      <c r="F34" s="183" t="e">
        <f>M34*SUMIFS(용수분배비율!N:N,용수분배비율!B:B,B:B,용수분배비율!D:D,D:D)</f>
        <v>#DIV/0!</v>
      </c>
      <c r="G34" s="183" t="e">
        <f>M34*SUMIFS(용수분배비율!O:O,용수분배비율!B:B,B:B,용수분배비율!D:D,D:D)</f>
        <v>#DIV/0!</v>
      </c>
      <c r="H34" s="183" t="e">
        <f>M34*SUMIFS(용수분배비율!P:P,용수분배비율!B:B,B:B,용수분배비율!D:D,D:D)</f>
        <v>#DIV/0!</v>
      </c>
      <c r="I34" s="183" t="e">
        <f>M34*SUMIFS(용수분배비율!Q:Q,용수분배비율!B:B,B:B,용수분배비율!D:D,D:D)</f>
        <v>#DIV/0!</v>
      </c>
      <c r="J34" s="183" t="e">
        <f>M34*SUMIFS(용수분배비율!R:R,용수분배비율!B:B,B:B,용수분배비율!D:D,D:D)</f>
        <v>#DIV/0!</v>
      </c>
      <c r="K34" s="183" t="e">
        <f>M34*SUMIFS(용수분배비율!S:S,용수분배비율!B:B,B:B,용수분배비율!D:D,D:D)</f>
        <v>#DIV/0!</v>
      </c>
      <c r="L34" s="166" t="e">
        <f t="shared" si="0"/>
        <v>#DIV/0!</v>
      </c>
      <c r="O34" t="s">
        <v>26</v>
      </c>
      <c r="P34" t="s">
        <v>260</v>
      </c>
      <c r="Q34" t="s">
        <v>20</v>
      </c>
      <c r="R34" t="s">
        <v>296</v>
      </c>
      <c r="S34" s="183" t="e">
        <f>Z34*SUMIFS(용수분배비율!N:N,용수분배비율!B:B,B:B,용수분배비율!D:D,D:D)</f>
        <v>#DIV/0!</v>
      </c>
      <c r="T34" s="183" t="e">
        <f>Z34*SUMIFS(용수분배비율!O:O,용수분배비율!B:B,B:B,용수분배비율!D:D,D:D)</f>
        <v>#DIV/0!</v>
      </c>
      <c r="U34" s="183" t="e">
        <f>Z34*SUMIFS(용수분배비율!P:P,용수분배비율!B:B,B:B,용수분배비율!D:D,D:D)</f>
        <v>#DIV/0!</v>
      </c>
      <c r="V34" s="183" t="e">
        <f>Z34*SUMIFS(용수분배비율!Q:Q,용수분배비율!B:B,B:B,용수분배비율!D:D,D:D)</f>
        <v>#DIV/0!</v>
      </c>
      <c r="W34" s="183" t="e">
        <f>Z34*SUMIFS(용수분배비율!R:R,용수분배비율!B:B,B:B,용수분배비율!D:D,D:D)</f>
        <v>#DIV/0!</v>
      </c>
      <c r="X34" s="183" t="e">
        <f>Z34*SUMIFS(용수분배비율!S:S,용수분배비율!B:B,B:B,용수분배비율!D:D,D:D)</f>
        <v>#DIV/0!</v>
      </c>
      <c r="Y34" s="176" t="e">
        <f t="shared" si="1"/>
        <v>#DIV/0!</v>
      </c>
      <c r="AB34" s="177" t="s">
        <v>26</v>
      </c>
      <c r="AC34" s="177" t="s">
        <v>260</v>
      </c>
      <c r="AD34" s="177" t="s">
        <v>20</v>
      </c>
      <c r="AE34" s="177" t="s">
        <v>298</v>
      </c>
      <c r="AF34" s="183" t="e">
        <f>AM34*SUMIFS(용수분배비율!N:N,용수분배비율!B:B,B:B,용수분배비율!D:D,D:D)</f>
        <v>#DIV/0!</v>
      </c>
      <c r="AG34" s="183" t="e">
        <f>AM34*SUMIFS(용수분배비율!O:O,용수분배비율!B:B,B:B,용수분배비율!D:D,D:D)</f>
        <v>#DIV/0!</v>
      </c>
      <c r="AH34" s="183" t="e">
        <f>AM34*SUMIFS(용수분배비율!P:P,용수분배비율!B:B,B:B,용수분배비율!D:D,D:D)</f>
        <v>#DIV/0!</v>
      </c>
      <c r="AI34" s="183" t="e">
        <f>AM34*SUMIFS(용수분배비율!Q:Q,용수분배비율!B:B,B:B,용수분배비율!D:D,D:D)</f>
        <v>#DIV/0!</v>
      </c>
      <c r="AJ34" s="183" t="e">
        <f>AM34*SUMIFS(용수분배비율!R:R,용수분배비율!B:B,B:B,용수분배비율!D:D,D:D)</f>
        <v>#DIV/0!</v>
      </c>
      <c r="AK34" s="183" t="e">
        <f>AM34*SUMIFS(용수분배비율!S:S,용수분배비율!B:B,B:B,용수분배비율!D:D,D:D)</f>
        <v>#DIV/0!</v>
      </c>
      <c r="AL34" s="177" t="e">
        <f t="shared" si="2"/>
        <v>#DIV/0!</v>
      </c>
    </row>
    <row r="35" spans="2:38">
      <c r="B35" s="158" t="s">
        <v>26</v>
      </c>
      <c r="C35" s="158" t="s">
        <v>262</v>
      </c>
      <c r="D35" s="158" t="s">
        <v>21</v>
      </c>
      <c r="E35" s="158" t="s">
        <v>295</v>
      </c>
      <c r="F35" s="183" t="e">
        <f>M35*SUMIFS(용수분배비율!N:N,용수분배비율!B:B,B:B,용수분배비율!D:D,D:D)</f>
        <v>#DIV/0!</v>
      </c>
      <c r="G35" s="183" t="e">
        <f>M35*SUMIFS(용수분배비율!O:O,용수분배비율!B:B,B:B,용수분배비율!D:D,D:D)</f>
        <v>#DIV/0!</v>
      </c>
      <c r="H35" s="183" t="e">
        <f>M35*SUMIFS(용수분배비율!P:P,용수분배비율!B:B,B:B,용수분배비율!D:D,D:D)</f>
        <v>#DIV/0!</v>
      </c>
      <c r="I35" s="183" t="e">
        <f>M35*SUMIFS(용수분배비율!Q:Q,용수분배비율!B:B,B:B,용수분배비율!D:D,D:D)</f>
        <v>#DIV/0!</v>
      </c>
      <c r="J35" s="183" t="e">
        <f>M35*SUMIFS(용수분배비율!R:R,용수분배비율!B:B,B:B,용수분배비율!D:D,D:D)</f>
        <v>#DIV/0!</v>
      </c>
      <c r="K35" s="183" t="e">
        <f>M35*SUMIFS(용수분배비율!S:S,용수분배비율!B:B,B:B,용수분배비율!D:D,D:D)</f>
        <v>#DIV/0!</v>
      </c>
      <c r="L35" s="166" t="e">
        <f t="shared" si="0"/>
        <v>#DIV/0!</v>
      </c>
      <c r="O35" t="s">
        <v>26</v>
      </c>
      <c r="P35" t="s">
        <v>262</v>
      </c>
      <c r="Q35" t="s">
        <v>21</v>
      </c>
      <c r="R35" t="s">
        <v>296</v>
      </c>
      <c r="S35" s="183" t="e">
        <f>Z35*SUMIFS(용수분배비율!N:N,용수분배비율!B:B,B:B,용수분배비율!D:D,D:D)</f>
        <v>#DIV/0!</v>
      </c>
      <c r="T35" s="183" t="e">
        <f>Z35*SUMIFS(용수분배비율!O:O,용수분배비율!B:B,B:B,용수분배비율!D:D,D:D)</f>
        <v>#DIV/0!</v>
      </c>
      <c r="U35" s="183" t="e">
        <f>Z35*SUMIFS(용수분배비율!P:P,용수분배비율!B:B,B:B,용수분배비율!D:D,D:D)</f>
        <v>#DIV/0!</v>
      </c>
      <c r="V35" s="183" t="e">
        <f>Z35*SUMIFS(용수분배비율!Q:Q,용수분배비율!B:B,B:B,용수분배비율!D:D,D:D)</f>
        <v>#DIV/0!</v>
      </c>
      <c r="W35" s="183" t="e">
        <f>Z35*SUMIFS(용수분배비율!R:R,용수분배비율!B:B,B:B,용수분배비율!D:D,D:D)</f>
        <v>#DIV/0!</v>
      </c>
      <c r="X35" s="183" t="e">
        <f>Z35*SUMIFS(용수분배비율!S:S,용수분배비율!B:B,B:B,용수분배비율!D:D,D:D)</f>
        <v>#DIV/0!</v>
      </c>
      <c r="Y35" s="176" t="e">
        <f t="shared" si="1"/>
        <v>#DIV/0!</v>
      </c>
      <c r="AB35" s="177" t="s">
        <v>26</v>
      </c>
      <c r="AC35" s="177" t="s">
        <v>262</v>
      </c>
      <c r="AD35" s="177" t="s">
        <v>21</v>
      </c>
      <c r="AE35" s="177" t="s">
        <v>298</v>
      </c>
      <c r="AF35" s="183" t="e">
        <f>AM35*SUMIFS(용수분배비율!N:N,용수분배비율!B:B,B:B,용수분배비율!D:D,D:D)</f>
        <v>#DIV/0!</v>
      </c>
      <c r="AG35" s="183" t="e">
        <f>AM35*SUMIFS(용수분배비율!O:O,용수분배비율!B:B,B:B,용수분배비율!D:D,D:D)</f>
        <v>#DIV/0!</v>
      </c>
      <c r="AH35" s="183" t="e">
        <f>AM35*SUMIFS(용수분배비율!P:P,용수분배비율!B:B,B:B,용수분배비율!D:D,D:D)</f>
        <v>#DIV/0!</v>
      </c>
      <c r="AI35" s="183" t="e">
        <f>AM35*SUMIFS(용수분배비율!Q:Q,용수분배비율!B:B,B:B,용수분배비율!D:D,D:D)</f>
        <v>#DIV/0!</v>
      </c>
      <c r="AJ35" s="183" t="e">
        <f>AM35*SUMIFS(용수분배비율!R:R,용수분배비율!B:B,B:B,용수분배비율!D:D,D:D)</f>
        <v>#DIV/0!</v>
      </c>
      <c r="AK35" s="183" t="e">
        <f>AM35*SUMIFS(용수분배비율!S:S,용수분배비율!B:B,B:B,용수분배비율!D:D,D:D)</f>
        <v>#DIV/0!</v>
      </c>
      <c r="AL35" s="177" t="e">
        <f t="shared" si="2"/>
        <v>#DIV/0!</v>
      </c>
    </row>
    <row r="36" spans="2:38">
      <c r="B36" s="158" t="s">
        <v>26</v>
      </c>
      <c r="C36" s="158" t="s">
        <v>262</v>
      </c>
      <c r="D36" s="158" t="s">
        <v>22</v>
      </c>
      <c r="E36" s="158" t="s">
        <v>295</v>
      </c>
      <c r="F36" s="183" t="e">
        <f>M36*SUMIFS(용수분배비율!N:N,용수분배비율!B:B,B:B,용수분배비율!D:D,D:D)</f>
        <v>#DIV/0!</v>
      </c>
      <c r="G36" s="183" t="e">
        <f>M36*SUMIFS(용수분배비율!O:O,용수분배비율!B:B,B:B,용수분배비율!D:D,D:D)</f>
        <v>#DIV/0!</v>
      </c>
      <c r="H36" s="183" t="e">
        <f>M36*SUMIFS(용수분배비율!P:P,용수분배비율!B:B,B:B,용수분배비율!D:D,D:D)</f>
        <v>#DIV/0!</v>
      </c>
      <c r="I36" s="183" t="e">
        <f>M36*SUMIFS(용수분배비율!Q:Q,용수분배비율!B:B,B:B,용수분배비율!D:D,D:D)</f>
        <v>#DIV/0!</v>
      </c>
      <c r="J36" s="183" t="e">
        <f>M36*SUMIFS(용수분배비율!R:R,용수분배비율!B:B,B:B,용수분배비율!D:D,D:D)</f>
        <v>#DIV/0!</v>
      </c>
      <c r="K36" s="183" t="e">
        <f>M36*SUMIFS(용수분배비율!S:S,용수분배비율!B:B,B:B,용수분배비율!D:D,D:D)</f>
        <v>#DIV/0!</v>
      </c>
      <c r="L36" s="166" t="e">
        <f t="shared" si="0"/>
        <v>#DIV/0!</v>
      </c>
      <c r="O36" t="s">
        <v>26</v>
      </c>
      <c r="P36" t="s">
        <v>262</v>
      </c>
      <c r="Q36" t="s">
        <v>22</v>
      </c>
      <c r="R36" t="s">
        <v>296</v>
      </c>
      <c r="S36" s="183" t="e">
        <f>Z36*SUMIFS(용수분배비율!N:N,용수분배비율!B:B,B:B,용수분배비율!D:D,D:D)</f>
        <v>#DIV/0!</v>
      </c>
      <c r="T36" s="183" t="e">
        <f>Z36*SUMIFS(용수분배비율!O:O,용수분배비율!B:B,B:B,용수분배비율!D:D,D:D)</f>
        <v>#DIV/0!</v>
      </c>
      <c r="U36" s="183" t="e">
        <f>Z36*SUMIFS(용수분배비율!P:P,용수분배비율!B:B,B:B,용수분배비율!D:D,D:D)</f>
        <v>#DIV/0!</v>
      </c>
      <c r="V36" s="183" t="e">
        <f>Z36*SUMIFS(용수분배비율!Q:Q,용수분배비율!B:B,B:B,용수분배비율!D:D,D:D)</f>
        <v>#DIV/0!</v>
      </c>
      <c r="W36" s="183" t="e">
        <f>Z36*SUMIFS(용수분배비율!R:R,용수분배비율!B:B,B:B,용수분배비율!D:D,D:D)</f>
        <v>#DIV/0!</v>
      </c>
      <c r="X36" s="183" t="e">
        <f>Z36*SUMIFS(용수분배비율!S:S,용수분배비율!B:B,B:B,용수분배비율!D:D,D:D)</f>
        <v>#DIV/0!</v>
      </c>
      <c r="Y36" s="176" t="e">
        <f t="shared" si="1"/>
        <v>#DIV/0!</v>
      </c>
      <c r="AB36" s="177" t="s">
        <v>26</v>
      </c>
      <c r="AC36" s="177" t="s">
        <v>262</v>
      </c>
      <c r="AD36" s="177" t="s">
        <v>22</v>
      </c>
      <c r="AE36" s="177" t="s">
        <v>298</v>
      </c>
      <c r="AF36" s="183" t="e">
        <f>AM36*SUMIFS(용수분배비율!N:N,용수분배비율!B:B,B:B,용수분배비율!D:D,D:D)</f>
        <v>#DIV/0!</v>
      </c>
      <c r="AG36" s="183" t="e">
        <f>AM36*SUMIFS(용수분배비율!O:O,용수분배비율!B:B,B:B,용수분배비율!D:D,D:D)</f>
        <v>#DIV/0!</v>
      </c>
      <c r="AH36" s="183" t="e">
        <f>AM36*SUMIFS(용수분배비율!P:P,용수분배비율!B:B,B:B,용수분배비율!D:D,D:D)</f>
        <v>#DIV/0!</v>
      </c>
      <c r="AI36" s="183" t="e">
        <f>AM36*SUMIFS(용수분배비율!Q:Q,용수분배비율!B:B,B:B,용수분배비율!D:D,D:D)</f>
        <v>#DIV/0!</v>
      </c>
      <c r="AJ36" s="183" t="e">
        <f>AM36*SUMIFS(용수분배비율!R:R,용수분배비율!B:B,B:B,용수분배비율!D:D,D:D)</f>
        <v>#DIV/0!</v>
      </c>
      <c r="AK36" s="183" t="e">
        <f>AM36*SUMIFS(용수분배비율!S:S,용수분배비율!B:B,B:B,용수분배비율!D:D,D:D)</f>
        <v>#DIV/0!</v>
      </c>
      <c r="AL36" s="177" t="e">
        <f t="shared" si="2"/>
        <v>#DIV/0!</v>
      </c>
    </row>
    <row r="37" spans="2:38">
      <c r="B37" s="158" t="s">
        <v>26</v>
      </c>
      <c r="C37" s="158" t="s">
        <v>262</v>
      </c>
      <c r="D37" s="158" t="s">
        <v>23</v>
      </c>
      <c r="E37" s="158" t="s">
        <v>295</v>
      </c>
      <c r="F37" s="183" t="e">
        <f>M37*SUMIFS(용수분배비율!N:N,용수분배비율!B:B,B:B,용수분배비율!D:D,D:D)</f>
        <v>#DIV/0!</v>
      </c>
      <c r="G37" s="183" t="e">
        <f>M37*SUMIFS(용수분배비율!O:O,용수분배비율!B:B,B:B,용수분배비율!D:D,D:D)</f>
        <v>#DIV/0!</v>
      </c>
      <c r="H37" s="183" t="e">
        <f>M37*SUMIFS(용수분배비율!P:P,용수분배비율!B:B,B:B,용수분배비율!D:D,D:D)</f>
        <v>#DIV/0!</v>
      </c>
      <c r="I37" s="183" t="e">
        <f>M37*SUMIFS(용수분배비율!Q:Q,용수분배비율!B:B,B:B,용수분배비율!D:D,D:D)</f>
        <v>#DIV/0!</v>
      </c>
      <c r="J37" s="183" t="e">
        <f>M37*SUMIFS(용수분배비율!R:R,용수분배비율!B:B,B:B,용수분배비율!D:D,D:D)</f>
        <v>#DIV/0!</v>
      </c>
      <c r="K37" s="183" t="e">
        <f>M37*SUMIFS(용수분배비율!S:S,용수분배비율!B:B,B:B,용수분배비율!D:D,D:D)</f>
        <v>#DIV/0!</v>
      </c>
      <c r="L37" s="166" t="e">
        <f t="shared" si="0"/>
        <v>#DIV/0!</v>
      </c>
      <c r="O37" t="s">
        <v>26</v>
      </c>
      <c r="P37" t="s">
        <v>262</v>
      </c>
      <c r="Q37" t="s">
        <v>23</v>
      </c>
      <c r="R37" t="s">
        <v>296</v>
      </c>
      <c r="S37" s="183" t="e">
        <f>Z37*SUMIFS(용수분배비율!N:N,용수분배비율!B:B,B:B,용수분배비율!D:D,D:D)</f>
        <v>#DIV/0!</v>
      </c>
      <c r="T37" s="183" t="e">
        <f>Z37*SUMIFS(용수분배비율!O:O,용수분배비율!B:B,B:B,용수분배비율!D:D,D:D)</f>
        <v>#DIV/0!</v>
      </c>
      <c r="U37" s="183" t="e">
        <f>Z37*SUMIFS(용수분배비율!P:P,용수분배비율!B:B,B:B,용수분배비율!D:D,D:D)</f>
        <v>#DIV/0!</v>
      </c>
      <c r="V37" s="183" t="e">
        <f>Z37*SUMIFS(용수분배비율!Q:Q,용수분배비율!B:B,B:B,용수분배비율!D:D,D:D)</f>
        <v>#DIV/0!</v>
      </c>
      <c r="W37" s="183" t="e">
        <f>Z37*SUMIFS(용수분배비율!R:R,용수분배비율!B:B,B:B,용수분배비율!D:D,D:D)</f>
        <v>#DIV/0!</v>
      </c>
      <c r="X37" s="183" t="e">
        <f>Z37*SUMIFS(용수분배비율!S:S,용수분배비율!B:B,B:B,용수분배비율!D:D,D:D)</f>
        <v>#DIV/0!</v>
      </c>
      <c r="Y37" s="176" t="e">
        <f t="shared" si="1"/>
        <v>#DIV/0!</v>
      </c>
      <c r="AB37" s="177" t="s">
        <v>26</v>
      </c>
      <c r="AC37" s="177" t="s">
        <v>262</v>
      </c>
      <c r="AD37" s="177" t="s">
        <v>23</v>
      </c>
      <c r="AE37" s="177" t="s">
        <v>298</v>
      </c>
      <c r="AF37" s="183" t="e">
        <f>AM37*SUMIFS(용수분배비율!N:N,용수분배비율!B:B,B:B,용수분배비율!D:D,D:D)</f>
        <v>#DIV/0!</v>
      </c>
      <c r="AG37" s="183" t="e">
        <f>AM37*SUMIFS(용수분배비율!O:O,용수분배비율!B:B,B:B,용수분배비율!D:D,D:D)</f>
        <v>#DIV/0!</v>
      </c>
      <c r="AH37" s="183" t="e">
        <f>AM37*SUMIFS(용수분배비율!P:P,용수분배비율!B:B,B:B,용수분배비율!D:D,D:D)</f>
        <v>#DIV/0!</v>
      </c>
      <c r="AI37" s="183" t="e">
        <f>AM37*SUMIFS(용수분배비율!Q:Q,용수분배비율!B:B,B:B,용수분배비율!D:D,D:D)</f>
        <v>#DIV/0!</v>
      </c>
      <c r="AJ37" s="183" t="e">
        <f>AM37*SUMIFS(용수분배비율!R:R,용수분배비율!B:B,B:B,용수분배비율!D:D,D:D)</f>
        <v>#DIV/0!</v>
      </c>
      <c r="AK37" s="183" t="e">
        <f>AM37*SUMIFS(용수분배비율!S:S,용수분배비율!B:B,B:B,용수분배비율!D:D,D:D)</f>
        <v>#DIV/0!</v>
      </c>
      <c r="AL37" s="177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M37"/>
  <sheetViews>
    <sheetView topLeftCell="X13" workbookViewId="0">
      <selection activeCell="AK41" sqref="AK41"/>
    </sheetView>
  </sheetViews>
  <sheetFormatPr defaultRowHeight="16.5"/>
  <cols>
    <col min="1" max="12" width="9" style="178"/>
    <col min="13" max="13" width="10.75" style="262" bestFit="1" customWidth="1"/>
    <col min="14" max="25" width="9" style="178"/>
    <col min="26" max="26" width="10.75" style="262" bestFit="1" customWidth="1"/>
    <col min="27" max="38" width="9" style="178"/>
    <col min="39" max="39" width="10.75" style="262" bestFit="1" customWidth="1"/>
    <col min="40" max="16384" width="9" style="178"/>
  </cols>
  <sheetData>
    <row r="1" spans="2:39">
      <c r="B1" s="178" t="s">
        <v>384</v>
      </c>
      <c r="C1" s="178" t="s">
        <v>385</v>
      </c>
      <c r="D1" s="178" t="s">
        <v>386</v>
      </c>
      <c r="E1" s="178" t="s">
        <v>387</v>
      </c>
      <c r="F1" s="178" t="s">
        <v>133</v>
      </c>
      <c r="G1" s="178" t="s">
        <v>134</v>
      </c>
      <c r="H1" s="178" t="s">
        <v>135</v>
      </c>
      <c r="I1" s="178" t="s">
        <v>136</v>
      </c>
      <c r="J1" s="178" t="s">
        <v>388</v>
      </c>
      <c r="K1" s="178" t="s">
        <v>305</v>
      </c>
      <c r="L1" s="178" t="s">
        <v>132</v>
      </c>
      <c r="M1" s="262" t="s">
        <v>389</v>
      </c>
      <c r="O1" s="178" t="s">
        <v>1</v>
      </c>
      <c r="P1" s="178" t="s">
        <v>241</v>
      </c>
      <c r="Q1" s="178" t="s">
        <v>3</v>
      </c>
      <c r="R1" s="178" t="s">
        <v>63</v>
      </c>
      <c r="S1" s="178" t="s">
        <v>275</v>
      </c>
      <c r="T1" s="178" t="s">
        <v>120</v>
      </c>
      <c r="U1" s="178" t="s">
        <v>277</v>
      </c>
      <c r="V1" s="178" t="s">
        <v>117</v>
      </c>
      <c r="W1" s="178" t="s">
        <v>279</v>
      </c>
      <c r="X1" s="178" t="s">
        <v>281</v>
      </c>
      <c r="Y1" s="178" t="s">
        <v>285</v>
      </c>
      <c r="Z1" s="262" t="s">
        <v>389</v>
      </c>
      <c r="AB1" s="178" t="s">
        <v>1</v>
      </c>
      <c r="AC1" s="178" t="s">
        <v>241</v>
      </c>
      <c r="AD1" s="178" t="s">
        <v>3</v>
      </c>
      <c r="AE1" s="178" t="s">
        <v>63</v>
      </c>
      <c r="AF1" s="178" t="s">
        <v>275</v>
      </c>
      <c r="AG1" s="178" t="s">
        <v>120</v>
      </c>
      <c r="AH1" s="178" t="s">
        <v>277</v>
      </c>
      <c r="AI1" s="178" t="s">
        <v>117</v>
      </c>
      <c r="AJ1" s="178" t="s">
        <v>279</v>
      </c>
      <c r="AK1" s="178" t="s">
        <v>281</v>
      </c>
      <c r="AL1" s="178" t="s">
        <v>285</v>
      </c>
      <c r="AM1" s="262" t="s">
        <v>389</v>
      </c>
    </row>
    <row r="2" spans="2:39">
      <c r="B2" s="178" t="s">
        <v>361</v>
      </c>
      <c r="C2" s="178" t="s">
        <v>317</v>
      </c>
      <c r="D2" s="178" t="s">
        <v>84</v>
      </c>
      <c r="E2" s="178" t="s">
        <v>295</v>
      </c>
      <c r="F2" s="179">
        <v>3945955.9999999995</v>
      </c>
      <c r="G2" s="179"/>
      <c r="H2" s="179">
        <v>450966.4</v>
      </c>
      <c r="I2" s="179">
        <v>1465640.8</v>
      </c>
      <c r="J2" s="179">
        <v>2818540</v>
      </c>
      <c r="K2" s="179">
        <v>2593056.8000000003</v>
      </c>
      <c r="L2" s="178">
        <f>SUM(F2:K2)</f>
        <v>11274160</v>
      </c>
      <c r="O2" s="178" t="s">
        <v>24</v>
      </c>
      <c r="P2" s="178" t="s">
        <v>256</v>
      </c>
      <c r="Q2" s="178" t="s">
        <v>9</v>
      </c>
      <c r="R2" s="178" t="s">
        <v>296</v>
      </c>
      <c r="S2" s="180">
        <v>3225306</v>
      </c>
      <c r="T2" s="180"/>
      <c r="U2" s="180">
        <v>368606.4</v>
      </c>
      <c r="V2" s="180">
        <v>1197970.8</v>
      </c>
      <c r="W2" s="180">
        <v>2303790</v>
      </c>
      <c r="X2" s="180">
        <v>2119486.8000000003</v>
      </c>
      <c r="Y2" s="178">
        <f>SUM(S2:X2)</f>
        <v>9215160</v>
      </c>
      <c r="AB2" s="178" t="s">
        <v>24</v>
      </c>
      <c r="AC2" s="178" t="s">
        <v>256</v>
      </c>
      <c r="AD2" s="178" t="s">
        <v>9</v>
      </c>
      <c r="AE2" s="178" t="s">
        <v>298</v>
      </c>
      <c r="AF2" s="181">
        <v>4261040</v>
      </c>
      <c r="AG2" s="181"/>
      <c r="AH2" s="181">
        <v>486976</v>
      </c>
      <c r="AI2" s="181">
        <v>1582672</v>
      </c>
      <c r="AJ2" s="181">
        <v>3043600</v>
      </c>
      <c r="AK2" s="181">
        <v>2800112</v>
      </c>
      <c r="AL2" s="181">
        <v>12174400</v>
      </c>
    </row>
    <row r="3" spans="2:39">
      <c r="B3" s="178" t="s">
        <v>361</v>
      </c>
      <c r="C3" s="178" t="s">
        <v>317</v>
      </c>
      <c r="D3" s="178" t="s">
        <v>13</v>
      </c>
      <c r="E3" s="178" t="s">
        <v>295</v>
      </c>
      <c r="F3" s="179">
        <v>3874268.9999999995</v>
      </c>
      <c r="G3" s="179"/>
      <c r="H3" s="179">
        <v>442773.60000000003</v>
      </c>
      <c r="I3" s="179">
        <v>1439014.2</v>
      </c>
      <c r="J3" s="179">
        <v>2767335</v>
      </c>
      <c r="K3" s="179">
        <v>2545948.2000000002</v>
      </c>
      <c r="L3" s="178">
        <f t="shared" ref="L3:L37" si="0">SUM(F3:K3)</f>
        <v>11069340</v>
      </c>
      <c r="O3" s="178" t="s">
        <v>24</v>
      </c>
      <c r="P3" s="178" t="s">
        <v>256</v>
      </c>
      <c r="Q3" s="178" t="s">
        <v>13</v>
      </c>
      <c r="R3" s="178" t="s">
        <v>296</v>
      </c>
      <c r="S3" s="180">
        <v>3168662</v>
      </c>
      <c r="T3" s="180"/>
      <c r="U3" s="180">
        <v>362132.8</v>
      </c>
      <c r="V3" s="180">
        <v>1176931.6000000001</v>
      </c>
      <c r="W3" s="180">
        <v>2263330</v>
      </c>
      <c r="X3" s="180">
        <v>2082263.6</v>
      </c>
      <c r="Y3" s="178">
        <f t="shared" ref="Y3:Y37" si="1">SUM(S3:X3)</f>
        <v>9053320</v>
      </c>
      <c r="AB3" s="178" t="s">
        <v>24</v>
      </c>
      <c r="AC3" s="178" t="s">
        <v>256</v>
      </c>
      <c r="AD3" s="178" t="s">
        <v>13</v>
      </c>
      <c r="AE3" s="178" t="s">
        <v>298</v>
      </c>
      <c r="AF3" s="181">
        <v>3078768</v>
      </c>
      <c r="AG3" s="181"/>
      <c r="AH3" s="181">
        <v>351859.20000000001</v>
      </c>
      <c r="AI3" s="181">
        <v>1143542.4000000001</v>
      </c>
      <c r="AJ3" s="181">
        <v>2199120</v>
      </c>
      <c r="AK3" s="181">
        <v>2023190.4000000001</v>
      </c>
      <c r="AL3" s="181">
        <v>8796480</v>
      </c>
    </row>
    <row r="4" spans="2:39">
      <c r="B4" s="178" t="s">
        <v>361</v>
      </c>
      <c r="C4" s="178" t="s">
        <v>317</v>
      </c>
      <c r="D4" s="178" t="s">
        <v>14</v>
      </c>
      <c r="E4" s="178" t="s">
        <v>295</v>
      </c>
      <c r="F4" s="179">
        <v>3678226.9999999995</v>
      </c>
      <c r="G4" s="179"/>
      <c r="H4" s="179">
        <v>420368.8</v>
      </c>
      <c r="I4" s="179">
        <v>1366198.6</v>
      </c>
      <c r="J4" s="179">
        <v>2627305</v>
      </c>
      <c r="K4" s="179">
        <v>2417120.6</v>
      </c>
      <c r="L4" s="178">
        <f t="shared" si="0"/>
        <v>10509220</v>
      </c>
      <c r="O4" s="178" t="s">
        <v>24</v>
      </c>
      <c r="P4" s="178" t="s">
        <v>256</v>
      </c>
      <c r="Q4" s="178" t="s">
        <v>14</v>
      </c>
      <c r="R4" s="178" t="s">
        <v>296</v>
      </c>
      <c r="S4" s="180">
        <v>2501674</v>
      </c>
      <c r="T4" s="180"/>
      <c r="U4" s="180">
        <v>285905.60000000003</v>
      </c>
      <c r="V4" s="180">
        <v>929193.20000000007</v>
      </c>
      <c r="W4" s="180">
        <v>1786910</v>
      </c>
      <c r="X4" s="180">
        <v>1643957.2000000002</v>
      </c>
      <c r="Y4" s="178">
        <f t="shared" si="1"/>
        <v>7147640.0000000009</v>
      </c>
      <c r="AB4" s="178" t="s">
        <v>24</v>
      </c>
      <c r="AC4" s="178" t="s">
        <v>256</v>
      </c>
      <c r="AD4" s="178" t="s">
        <v>14</v>
      </c>
      <c r="AE4" s="178" t="s">
        <v>298</v>
      </c>
      <c r="AF4" s="181">
        <v>4434892</v>
      </c>
      <c r="AG4" s="181"/>
      <c r="AH4" s="181">
        <v>506844.8</v>
      </c>
      <c r="AI4" s="181">
        <v>1647245.6</v>
      </c>
      <c r="AJ4" s="181">
        <v>3167780</v>
      </c>
      <c r="AK4" s="181">
        <v>2914357.6</v>
      </c>
      <c r="AL4" s="181">
        <v>12671120</v>
      </c>
    </row>
    <row r="5" spans="2:39">
      <c r="B5" s="178" t="s">
        <v>361</v>
      </c>
      <c r="C5" s="178" t="s">
        <v>318</v>
      </c>
      <c r="D5" s="178" t="s">
        <v>15</v>
      </c>
      <c r="E5" s="178" t="s">
        <v>295</v>
      </c>
      <c r="F5" s="179">
        <v>3733820.9999999995</v>
      </c>
      <c r="G5" s="179"/>
      <c r="H5" s="179">
        <v>426722.4</v>
      </c>
      <c r="I5" s="179">
        <v>1386847.8</v>
      </c>
      <c r="J5" s="179">
        <v>2667015</v>
      </c>
      <c r="K5" s="179">
        <v>2453653.8000000003</v>
      </c>
      <c r="L5" s="178">
        <f t="shared" si="0"/>
        <v>10668060</v>
      </c>
      <c r="O5" s="178" t="s">
        <v>24</v>
      </c>
      <c r="P5" s="178" t="s">
        <v>258</v>
      </c>
      <c r="Q5" s="178" t="s">
        <v>15</v>
      </c>
      <c r="R5" s="178" t="s">
        <v>296</v>
      </c>
      <c r="S5" s="180">
        <v>4843090</v>
      </c>
      <c r="T5" s="180"/>
      <c r="U5" s="180">
        <v>553496</v>
      </c>
      <c r="V5" s="180">
        <v>1798862</v>
      </c>
      <c r="W5" s="180">
        <v>3459350</v>
      </c>
      <c r="X5" s="180">
        <v>3182602</v>
      </c>
      <c r="Y5" s="178">
        <f t="shared" si="1"/>
        <v>13837400</v>
      </c>
      <c r="AB5" s="178" t="s">
        <v>24</v>
      </c>
      <c r="AC5" s="178" t="s">
        <v>258</v>
      </c>
      <c r="AD5" s="178" t="s">
        <v>15</v>
      </c>
      <c r="AE5" s="178" t="s">
        <v>298</v>
      </c>
      <c r="AF5" s="181">
        <v>3949399.9999999995</v>
      </c>
      <c r="AG5" s="181"/>
      <c r="AH5" s="181">
        <v>451360</v>
      </c>
      <c r="AI5" s="181">
        <v>1466920</v>
      </c>
      <c r="AJ5" s="181">
        <v>2821000</v>
      </c>
      <c r="AK5" s="181">
        <v>2595320</v>
      </c>
      <c r="AL5" s="181">
        <v>11284000</v>
      </c>
    </row>
    <row r="6" spans="2:39">
      <c r="B6" s="178" t="s">
        <v>361</v>
      </c>
      <c r="C6" s="178" t="s">
        <v>318</v>
      </c>
      <c r="D6" s="178" t="s">
        <v>16</v>
      </c>
      <c r="E6" s="178" t="s">
        <v>295</v>
      </c>
      <c r="F6" s="179">
        <v>4534082</v>
      </c>
      <c r="G6" s="179"/>
      <c r="H6" s="179">
        <v>518180.8</v>
      </c>
      <c r="I6" s="179">
        <v>1684087.6</v>
      </c>
      <c r="J6" s="179">
        <v>3238630</v>
      </c>
      <c r="K6" s="179">
        <v>2979539.6</v>
      </c>
      <c r="L6" s="178">
        <f t="shared" si="0"/>
        <v>12954520</v>
      </c>
      <c r="O6" s="178" t="s">
        <v>24</v>
      </c>
      <c r="P6" s="178" t="s">
        <v>258</v>
      </c>
      <c r="Q6" s="178" t="s">
        <v>16</v>
      </c>
      <c r="R6" s="178" t="s">
        <v>296</v>
      </c>
      <c r="S6" s="180">
        <v>4906986</v>
      </c>
      <c r="T6" s="180"/>
      <c r="U6" s="180">
        <v>560798.4</v>
      </c>
      <c r="V6" s="180">
        <v>1822594.8</v>
      </c>
      <c r="W6" s="180">
        <v>3504990</v>
      </c>
      <c r="X6" s="180">
        <v>3224590.8000000003</v>
      </c>
      <c r="Y6" s="178">
        <f t="shared" si="1"/>
        <v>14019960</v>
      </c>
      <c r="AB6" s="178" t="s">
        <v>24</v>
      </c>
      <c r="AC6" s="178" t="s">
        <v>258</v>
      </c>
      <c r="AD6" s="178" t="s">
        <v>16</v>
      </c>
      <c r="AE6" s="178" t="s">
        <v>298</v>
      </c>
      <c r="AF6" s="181">
        <v>4491928</v>
      </c>
      <c r="AG6" s="181"/>
      <c r="AH6" s="181">
        <v>513363.20000000001</v>
      </c>
      <c r="AI6" s="181">
        <v>1668430.4000000001</v>
      </c>
      <c r="AJ6" s="181">
        <v>3208520</v>
      </c>
      <c r="AK6" s="181">
        <v>2951838.4</v>
      </c>
      <c r="AL6" s="181">
        <v>12834080.000000002</v>
      </c>
    </row>
    <row r="7" spans="2:39">
      <c r="B7" s="178" t="s">
        <v>361</v>
      </c>
      <c r="C7" s="178" t="s">
        <v>318</v>
      </c>
      <c r="D7" s="178" t="s">
        <v>17</v>
      </c>
      <c r="E7" s="178" t="s">
        <v>295</v>
      </c>
      <c r="F7" s="179">
        <v>1822149</v>
      </c>
      <c r="G7" s="179"/>
      <c r="H7" s="179">
        <v>208245.6</v>
      </c>
      <c r="I7" s="179">
        <v>676798.20000000007</v>
      </c>
      <c r="J7" s="179">
        <v>1301535</v>
      </c>
      <c r="K7" s="179">
        <v>1197412.2</v>
      </c>
      <c r="L7" s="178">
        <f t="shared" si="0"/>
        <v>5206140</v>
      </c>
      <c r="O7" s="178" t="s">
        <v>24</v>
      </c>
      <c r="P7" s="178" t="s">
        <v>258</v>
      </c>
      <c r="Q7" s="178" t="s">
        <v>17</v>
      </c>
      <c r="R7" s="178" t="s">
        <v>296</v>
      </c>
      <c r="S7" s="180">
        <v>3318994</v>
      </c>
      <c r="T7" s="180"/>
      <c r="U7" s="180">
        <v>379313.60000000003</v>
      </c>
      <c r="V7" s="180">
        <v>1232769.2</v>
      </c>
      <c r="W7" s="180">
        <v>2370710</v>
      </c>
      <c r="X7" s="180">
        <v>2181053.2000000002</v>
      </c>
      <c r="Y7" s="178">
        <f t="shared" si="1"/>
        <v>9482840</v>
      </c>
      <c r="AB7" s="178" t="s">
        <v>24</v>
      </c>
      <c r="AC7" s="178" t="s">
        <v>258</v>
      </c>
      <c r="AD7" s="178" t="s">
        <v>17</v>
      </c>
      <c r="AE7" s="178" t="s">
        <v>298</v>
      </c>
      <c r="AF7" s="181">
        <v>3729291.9999999995</v>
      </c>
      <c r="AG7" s="181"/>
      <c r="AH7" s="181">
        <v>426204.8</v>
      </c>
      <c r="AI7" s="181">
        <v>1385165.6</v>
      </c>
      <c r="AJ7" s="181">
        <v>2663780</v>
      </c>
      <c r="AK7" s="181">
        <v>2450677.6</v>
      </c>
      <c r="AL7" s="181">
        <v>10655120</v>
      </c>
    </row>
    <row r="8" spans="2:39">
      <c r="B8" s="178" t="s">
        <v>361</v>
      </c>
      <c r="C8" s="178" t="s">
        <v>260</v>
      </c>
      <c r="D8" s="178" t="s">
        <v>18</v>
      </c>
      <c r="E8" s="178" t="s">
        <v>295</v>
      </c>
      <c r="F8" s="179">
        <v>3508519</v>
      </c>
      <c r="G8" s="179"/>
      <c r="H8" s="179">
        <v>400973.60000000003</v>
      </c>
      <c r="I8" s="179">
        <v>1303164.2</v>
      </c>
      <c r="J8" s="179">
        <v>2506085</v>
      </c>
      <c r="K8" s="179">
        <v>2305598.2000000002</v>
      </c>
      <c r="L8" s="178">
        <f t="shared" si="0"/>
        <v>10024340</v>
      </c>
      <c r="O8" s="178" t="s">
        <v>24</v>
      </c>
      <c r="P8" s="178" t="s">
        <v>260</v>
      </c>
      <c r="Q8" s="178" t="s">
        <v>18</v>
      </c>
      <c r="R8" s="178" t="s">
        <v>296</v>
      </c>
      <c r="S8" s="180">
        <v>4162185.9999999995</v>
      </c>
      <c r="T8" s="180"/>
      <c r="U8" s="180">
        <v>475678.4</v>
      </c>
      <c r="V8" s="180">
        <v>1545954.8</v>
      </c>
      <c r="W8" s="180">
        <v>2972990</v>
      </c>
      <c r="X8" s="180">
        <v>2735150.8000000003</v>
      </c>
      <c r="Y8" s="178">
        <f t="shared" si="1"/>
        <v>11891960</v>
      </c>
      <c r="AB8" s="178" t="s">
        <v>24</v>
      </c>
      <c r="AC8" s="178" t="s">
        <v>260</v>
      </c>
      <c r="AD8" s="178" t="s">
        <v>18</v>
      </c>
      <c r="AE8" s="178" t="s">
        <v>298</v>
      </c>
      <c r="AF8" s="181">
        <v>2744784</v>
      </c>
      <c r="AG8" s="181"/>
      <c r="AH8" s="181">
        <v>313689.60000000003</v>
      </c>
      <c r="AI8" s="181">
        <v>1019491.2000000001</v>
      </c>
      <c r="AJ8" s="181">
        <v>1960560</v>
      </c>
      <c r="AK8" s="181">
        <v>1803715.2000000002</v>
      </c>
      <c r="AL8" s="181">
        <v>7842240.0000000009</v>
      </c>
    </row>
    <row r="9" spans="2:39">
      <c r="B9" s="178" t="s">
        <v>361</v>
      </c>
      <c r="C9" s="178" t="s">
        <v>260</v>
      </c>
      <c r="D9" s="178" t="s">
        <v>19</v>
      </c>
      <c r="E9" s="178" t="s">
        <v>295</v>
      </c>
      <c r="F9" s="179">
        <v>5350436</v>
      </c>
      <c r="G9" s="179"/>
      <c r="H9" s="179">
        <v>611478.4</v>
      </c>
      <c r="I9" s="179">
        <v>1987304.8</v>
      </c>
      <c r="J9" s="179">
        <v>3821740</v>
      </c>
      <c r="K9" s="179">
        <v>3516000.8000000003</v>
      </c>
      <c r="L9" s="178">
        <f t="shared" si="0"/>
        <v>15286960</v>
      </c>
      <c r="O9" s="178" t="s">
        <v>24</v>
      </c>
      <c r="P9" s="178" t="s">
        <v>260</v>
      </c>
      <c r="Q9" s="178" t="s">
        <v>19</v>
      </c>
      <c r="R9" s="178" t="s">
        <v>296</v>
      </c>
      <c r="S9" s="180">
        <v>5657274</v>
      </c>
      <c r="T9" s="180"/>
      <c r="U9" s="180">
        <v>646545.6</v>
      </c>
      <c r="V9" s="180">
        <v>2101273.2000000002</v>
      </c>
      <c r="W9" s="180">
        <v>4040910</v>
      </c>
      <c r="X9" s="180">
        <v>3717637.2</v>
      </c>
      <c r="Y9" s="178">
        <f t="shared" si="1"/>
        <v>16163640</v>
      </c>
      <c r="AB9" s="178" t="s">
        <v>24</v>
      </c>
      <c r="AC9" s="178" t="s">
        <v>260</v>
      </c>
      <c r="AD9" s="178" t="s">
        <v>19</v>
      </c>
      <c r="AE9" s="178" t="s">
        <v>298</v>
      </c>
      <c r="AF9" s="181">
        <v>3904907.9999999995</v>
      </c>
      <c r="AG9" s="181"/>
      <c r="AH9" s="181">
        <v>446275.2</v>
      </c>
      <c r="AI9" s="181">
        <v>1450394.4000000001</v>
      </c>
      <c r="AJ9" s="181">
        <v>2789220</v>
      </c>
      <c r="AK9" s="181">
        <v>2566082.4</v>
      </c>
      <c r="AL9" s="181">
        <v>11156880</v>
      </c>
    </row>
    <row r="10" spans="2:39">
      <c r="B10" s="178" t="s">
        <v>361</v>
      </c>
      <c r="C10" s="178" t="s">
        <v>260</v>
      </c>
      <c r="D10" s="178" t="s">
        <v>20</v>
      </c>
      <c r="E10" s="178" t="s">
        <v>295</v>
      </c>
      <c r="F10" s="179">
        <v>3885972.9999999995</v>
      </c>
      <c r="G10" s="179"/>
      <c r="H10" s="179">
        <v>444111.2</v>
      </c>
      <c r="I10" s="179">
        <v>1443361.4000000001</v>
      </c>
      <c r="J10" s="179">
        <v>2775695</v>
      </c>
      <c r="K10" s="179">
        <v>2553639.4</v>
      </c>
      <c r="L10" s="178">
        <f t="shared" si="0"/>
        <v>11102780</v>
      </c>
      <c r="O10" s="178" t="s">
        <v>24</v>
      </c>
      <c r="P10" s="178" t="s">
        <v>260</v>
      </c>
      <c r="Q10" s="178" t="s">
        <v>20</v>
      </c>
      <c r="R10" s="178" t="s">
        <v>296</v>
      </c>
      <c r="S10" s="180">
        <v>6118070</v>
      </c>
      <c r="T10" s="180"/>
      <c r="U10" s="180">
        <v>699208</v>
      </c>
      <c r="V10" s="180">
        <v>2272426</v>
      </c>
      <c r="W10" s="180">
        <v>4370050</v>
      </c>
      <c r="X10" s="180">
        <v>4020446</v>
      </c>
      <c r="Y10" s="178">
        <f t="shared" si="1"/>
        <v>17480200</v>
      </c>
      <c r="AB10" s="178" t="s">
        <v>24</v>
      </c>
      <c r="AC10" s="178" t="s">
        <v>260</v>
      </c>
      <c r="AD10" s="178" t="s">
        <v>20</v>
      </c>
      <c r="AE10" s="178" t="s">
        <v>298</v>
      </c>
      <c r="AF10" s="181">
        <v>4390204</v>
      </c>
      <c r="AG10" s="181"/>
      <c r="AH10" s="181">
        <v>501737.60000000003</v>
      </c>
      <c r="AI10" s="181">
        <v>1630647.2</v>
      </c>
      <c r="AJ10" s="181">
        <v>3135860</v>
      </c>
      <c r="AK10" s="181">
        <v>2884991.2</v>
      </c>
      <c r="AL10" s="181">
        <v>12543440</v>
      </c>
    </row>
    <row r="11" spans="2:39">
      <c r="B11" s="178" t="s">
        <v>361</v>
      </c>
      <c r="C11" s="178" t="s">
        <v>262</v>
      </c>
      <c r="D11" s="178" t="s">
        <v>21</v>
      </c>
      <c r="E11" s="178" t="s">
        <v>295</v>
      </c>
      <c r="F11" s="179">
        <v>4667215</v>
      </c>
      <c r="G11" s="179"/>
      <c r="H11" s="179">
        <v>533396</v>
      </c>
      <c r="I11" s="179">
        <v>1733537</v>
      </c>
      <c r="J11" s="179">
        <v>3333725</v>
      </c>
      <c r="K11" s="179">
        <v>3067027</v>
      </c>
      <c r="L11" s="178">
        <f t="shared" si="0"/>
        <v>13334900</v>
      </c>
      <c r="O11" s="178" t="s">
        <v>24</v>
      </c>
      <c r="P11" s="178" t="s">
        <v>262</v>
      </c>
      <c r="Q11" s="178" t="s">
        <v>21</v>
      </c>
      <c r="R11" s="178" t="s">
        <v>296</v>
      </c>
      <c r="S11" s="180">
        <v>7192934</v>
      </c>
      <c r="T11" s="180"/>
      <c r="U11" s="180">
        <v>822049.6</v>
      </c>
      <c r="V11" s="180">
        <v>2671661.2000000002</v>
      </c>
      <c r="W11" s="180">
        <v>5137810</v>
      </c>
      <c r="X11" s="180">
        <v>4726785.2</v>
      </c>
      <c r="Y11" s="178">
        <f t="shared" si="1"/>
        <v>20551240</v>
      </c>
      <c r="AB11" s="178" t="s">
        <v>24</v>
      </c>
      <c r="AC11" s="178" t="s">
        <v>262</v>
      </c>
      <c r="AD11" s="178" t="s">
        <v>21</v>
      </c>
      <c r="AE11" s="178" t="s">
        <v>298</v>
      </c>
      <c r="AF11" s="181">
        <v>4160883.9999999995</v>
      </c>
      <c r="AG11" s="181"/>
      <c r="AH11" s="181">
        <v>475529.60000000003</v>
      </c>
      <c r="AI11" s="181">
        <v>1545471.2</v>
      </c>
      <c r="AJ11" s="181">
        <v>2972060</v>
      </c>
      <c r="AK11" s="181">
        <v>2734295.2</v>
      </c>
      <c r="AL11" s="181">
        <v>11888240</v>
      </c>
    </row>
    <row r="12" spans="2:39">
      <c r="B12" s="178" t="s">
        <v>361</v>
      </c>
      <c r="C12" s="178" t="s">
        <v>262</v>
      </c>
      <c r="D12" s="178" t="s">
        <v>22</v>
      </c>
      <c r="E12" s="178" t="s">
        <v>295</v>
      </c>
      <c r="F12" s="179">
        <v>3982530.9999999995</v>
      </c>
      <c r="G12" s="179"/>
      <c r="H12" s="179">
        <v>455146.4</v>
      </c>
      <c r="I12" s="179">
        <v>1479225.8</v>
      </c>
      <c r="J12" s="179">
        <v>2844665</v>
      </c>
      <c r="K12" s="179">
        <v>2617091.8000000003</v>
      </c>
      <c r="L12" s="178">
        <f t="shared" si="0"/>
        <v>11378660</v>
      </c>
      <c r="O12" s="178" t="s">
        <v>24</v>
      </c>
      <c r="P12" s="178" t="s">
        <v>262</v>
      </c>
      <c r="Q12" s="178" t="s">
        <v>22</v>
      </c>
      <c r="R12" s="178" t="s">
        <v>296</v>
      </c>
      <c r="S12" s="180">
        <v>7515157.9999999991</v>
      </c>
      <c r="T12" s="180"/>
      <c r="U12" s="180">
        <v>858875.20000000007</v>
      </c>
      <c r="V12" s="180">
        <v>2791344.4</v>
      </c>
      <c r="W12" s="180">
        <v>5367970</v>
      </c>
      <c r="X12" s="180">
        <v>4938532.4000000004</v>
      </c>
      <c r="Y12" s="178">
        <f t="shared" si="1"/>
        <v>21471880</v>
      </c>
      <c r="AB12" s="178" t="s">
        <v>24</v>
      </c>
      <c r="AC12" s="178" t="s">
        <v>262</v>
      </c>
      <c r="AD12" s="178" t="s">
        <v>22</v>
      </c>
      <c r="AE12" s="178" t="s">
        <v>298</v>
      </c>
      <c r="AF12" s="181">
        <v>4838456</v>
      </c>
      <c r="AG12" s="181"/>
      <c r="AH12" s="181">
        <v>552966.40000000002</v>
      </c>
      <c r="AI12" s="181">
        <v>1797140.8</v>
      </c>
      <c r="AJ12" s="181">
        <v>3456040</v>
      </c>
      <c r="AK12" s="181">
        <v>3179556.8000000003</v>
      </c>
      <c r="AL12" s="181">
        <v>13824160</v>
      </c>
    </row>
    <row r="13" spans="2:39">
      <c r="B13" s="178" t="s">
        <v>361</v>
      </c>
      <c r="C13" s="178" t="s">
        <v>262</v>
      </c>
      <c r="D13" s="178" t="s">
        <v>23</v>
      </c>
      <c r="E13" s="178" t="s">
        <v>295</v>
      </c>
      <c r="F13" s="179">
        <v>4977371</v>
      </c>
      <c r="G13" s="179"/>
      <c r="H13" s="179">
        <v>568842.4</v>
      </c>
      <c r="I13" s="179">
        <v>1848737.8</v>
      </c>
      <c r="J13" s="179">
        <v>3555265</v>
      </c>
      <c r="K13" s="179">
        <v>3270843.8000000003</v>
      </c>
      <c r="L13" s="178">
        <f t="shared" si="0"/>
        <v>14221060</v>
      </c>
      <c r="O13" s="178" t="s">
        <v>24</v>
      </c>
      <c r="P13" s="178" t="s">
        <v>262</v>
      </c>
      <c r="Q13" s="178" t="s">
        <v>23</v>
      </c>
      <c r="R13" s="178" t="s">
        <v>296</v>
      </c>
      <c r="S13" s="180">
        <v>7364237.9999999991</v>
      </c>
      <c r="T13" s="180"/>
      <c r="U13" s="180">
        <v>841627.20000000007</v>
      </c>
      <c r="V13" s="180">
        <v>2735288.4</v>
      </c>
      <c r="W13" s="180">
        <v>5260170</v>
      </c>
      <c r="X13" s="180">
        <v>4839356.4000000004</v>
      </c>
      <c r="Y13" s="178">
        <f t="shared" si="1"/>
        <v>21040680</v>
      </c>
      <c r="AB13" s="178" t="s">
        <v>24</v>
      </c>
      <c r="AC13" s="178" t="s">
        <v>262</v>
      </c>
      <c r="AD13" s="178" t="s">
        <v>23</v>
      </c>
      <c r="AE13" s="178" t="s">
        <v>298</v>
      </c>
      <c r="AF13" s="181">
        <v>4851784</v>
      </c>
      <c r="AG13" s="181"/>
      <c r="AH13" s="181">
        <v>554489.59999999998</v>
      </c>
      <c r="AI13" s="181">
        <v>1802091.2</v>
      </c>
      <c r="AJ13" s="181">
        <v>3465560</v>
      </c>
      <c r="AK13" s="181">
        <v>3188315.2</v>
      </c>
      <c r="AL13" s="181">
        <v>13862240</v>
      </c>
    </row>
    <row r="14" spans="2:39">
      <c r="B14" s="178" t="s">
        <v>25</v>
      </c>
      <c r="C14" s="178" t="s">
        <v>317</v>
      </c>
      <c r="D14" s="178" t="s">
        <v>84</v>
      </c>
      <c r="E14" s="178" t="s">
        <v>295</v>
      </c>
      <c r="F14" s="179">
        <v>5519615.5</v>
      </c>
      <c r="G14" s="179"/>
      <c r="H14" s="179">
        <v>630813.20000000007</v>
      </c>
      <c r="I14" s="179">
        <v>2050142.9000000001</v>
      </c>
      <c r="J14" s="179">
        <v>3942582.5</v>
      </c>
      <c r="K14" s="179">
        <v>3627175.9000000004</v>
      </c>
      <c r="L14" s="178">
        <f t="shared" si="0"/>
        <v>15770330.000000002</v>
      </c>
      <c r="O14" s="178" t="s">
        <v>25</v>
      </c>
      <c r="P14" s="178" t="s">
        <v>256</v>
      </c>
      <c r="Q14" s="178" t="s">
        <v>9</v>
      </c>
      <c r="R14" s="178" t="s">
        <v>296</v>
      </c>
      <c r="S14" s="180">
        <v>6985566</v>
      </c>
      <c r="T14" s="180"/>
      <c r="U14" s="180">
        <v>798350.4</v>
      </c>
      <c r="V14" s="180">
        <v>2594638.8000000003</v>
      </c>
      <c r="W14" s="180">
        <v>4989690</v>
      </c>
      <c r="X14" s="180">
        <v>4590514.8</v>
      </c>
      <c r="Y14" s="178">
        <f t="shared" si="1"/>
        <v>19958760</v>
      </c>
      <c r="AB14" s="178" t="s">
        <v>25</v>
      </c>
      <c r="AC14" s="178" t="s">
        <v>256</v>
      </c>
      <c r="AD14" s="178" t="s">
        <v>9</v>
      </c>
      <c r="AE14" s="178" t="s">
        <v>298</v>
      </c>
      <c r="AF14" s="181">
        <v>6031410</v>
      </c>
      <c r="AG14" s="181"/>
      <c r="AH14" s="181">
        <v>689304</v>
      </c>
      <c r="AI14" s="181">
        <v>2240238</v>
      </c>
      <c r="AJ14" s="181">
        <v>4308150</v>
      </c>
      <c r="AK14" s="181">
        <v>3963498</v>
      </c>
      <c r="AL14" s="181">
        <v>17232600</v>
      </c>
    </row>
    <row r="15" spans="2:39">
      <c r="B15" s="178" t="s">
        <v>25</v>
      </c>
      <c r="C15" s="178" t="s">
        <v>317</v>
      </c>
      <c r="D15" s="178" t="s">
        <v>13</v>
      </c>
      <c r="E15" s="178" t="s">
        <v>295</v>
      </c>
      <c r="F15" s="179">
        <v>5810311.5</v>
      </c>
      <c r="G15" s="179"/>
      <c r="H15" s="179">
        <v>664035.6</v>
      </c>
      <c r="I15" s="179">
        <v>2158115.7000000002</v>
      </c>
      <c r="J15" s="179">
        <v>4150222.5</v>
      </c>
      <c r="K15" s="179">
        <v>3818204.7</v>
      </c>
      <c r="L15" s="178">
        <f t="shared" si="0"/>
        <v>16600890</v>
      </c>
      <c r="O15" s="178" t="s">
        <v>25</v>
      </c>
      <c r="P15" s="178" t="s">
        <v>256</v>
      </c>
      <c r="Q15" s="178" t="s">
        <v>13</v>
      </c>
      <c r="R15" s="178" t="s">
        <v>296</v>
      </c>
      <c r="S15" s="180">
        <v>6107290</v>
      </c>
      <c r="T15" s="180"/>
      <c r="U15" s="180">
        <v>697976</v>
      </c>
      <c r="V15" s="180">
        <v>2268422</v>
      </c>
      <c r="W15" s="180">
        <v>4362350</v>
      </c>
      <c r="X15" s="180">
        <v>4013362</v>
      </c>
      <c r="Y15" s="178">
        <f t="shared" si="1"/>
        <v>17449400</v>
      </c>
      <c r="AB15" s="178" t="s">
        <v>25</v>
      </c>
      <c r="AC15" s="178" t="s">
        <v>256</v>
      </c>
      <c r="AD15" s="178" t="s">
        <v>13</v>
      </c>
      <c r="AE15" s="178" t="s">
        <v>298</v>
      </c>
      <c r="AF15" s="181">
        <v>5494125</v>
      </c>
      <c r="AG15" s="181"/>
      <c r="AH15" s="181">
        <v>627900</v>
      </c>
      <c r="AI15" s="181">
        <v>2040675</v>
      </c>
      <c r="AJ15" s="181">
        <v>3924375</v>
      </c>
      <c r="AK15" s="181">
        <v>3610425</v>
      </c>
      <c r="AL15" s="181">
        <v>15697500</v>
      </c>
    </row>
    <row r="16" spans="2:39">
      <c r="B16" s="178" t="s">
        <v>25</v>
      </c>
      <c r="C16" s="178" t="s">
        <v>317</v>
      </c>
      <c r="D16" s="178" t="s">
        <v>14</v>
      </c>
      <c r="E16" s="178" t="s">
        <v>295</v>
      </c>
      <c r="F16" s="179">
        <v>5225259</v>
      </c>
      <c r="G16" s="179"/>
      <c r="H16" s="179">
        <v>1045051.7999999999</v>
      </c>
      <c r="I16" s="179">
        <v>1915928.3</v>
      </c>
      <c r="J16" s="179">
        <v>4528557.8</v>
      </c>
      <c r="K16" s="179">
        <v>4702733.1000000006</v>
      </c>
      <c r="L16" s="178">
        <f t="shared" si="0"/>
        <v>17417530</v>
      </c>
      <c r="O16" s="178" t="s">
        <v>25</v>
      </c>
      <c r="P16" s="178" t="s">
        <v>256</v>
      </c>
      <c r="Q16" s="178" t="s">
        <v>14</v>
      </c>
      <c r="R16" s="178" t="s">
        <v>296</v>
      </c>
      <c r="S16" s="180">
        <v>5688924</v>
      </c>
      <c r="T16" s="180"/>
      <c r="U16" s="180">
        <v>1137784.8</v>
      </c>
      <c r="V16" s="180">
        <v>2085938.8</v>
      </c>
      <c r="W16" s="180">
        <v>4930400.8</v>
      </c>
      <c r="X16" s="180">
        <v>5120031.6000000006</v>
      </c>
      <c r="Y16" s="178">
        <f t="shared" si="1"/>
        <v>18963080</v>
      </c>
      <c r="AB16" s="178" t="s">
        <v>25</v>
      </c>
      <c r="AC16" s="178" t="s">
        <v>256</v>
      </c>
      <c r="AD16" s="178" t="s">
        <v>14</v>
      </c>
      <c r="AE16" s="178" t="s">
        <v>298</v>
      </c>
      <c r="AF16" s="181">
        <v>5055330</v>
      </c>
      <c r="AG16" s="181"/>
      <c r="AH16" s="181">
        <v>1011066</v>
      </c>
      <c r="AI16" s="181">
        <v>1853621</v>
      </c>
      <c r="AJ16" s="181">
        <v>4381286</v>
      </c>
      <c r="AK16" s="181">
        <v>4549797</v>
      </c>
      <c r="AL16" s="181">
        <v>16851100</v>
      </c>
    </row>
    <row r="17" spans="2:39">
      <c r="B17" s="178" t="s">
        <v>25</v>
      </c>
      <c r="C17" s="178" t="s">
        <v>318</v>
      </c>
      <c r="D17" s="178" t="s">
        <v>15</v>
      </c>
      <c r="E17" s="178" t="s">
        <v>295</v>
      </c>
      <c r="F17" s="178">
        <f>M17*SUMIFS(용수분배비율!N:N,용수분배비율!B:B,B:B,용수분배비율!D:D,D:D)</f>
        <v>3649670.4872786119</v>
      </c>
      <c r="G17" s="178">
        <f>M17*SUMIFS(용수분배비율!O:O,용수분배비율!B:B,B:B,용수분배비율!D:D,D:D)</f>
        <v>1369950.9709610716</v>
      </c>
      <c r="H17" s="178">
        <f>M17*SUMIFS(용수분배비율!P:P,용수분배비율!B:B,B:B,용수분배비율!D:D,D:D)</f>
        <v>781099.1171446552</v>
      </c>
      <c r="I17" s="178">
        <f>M17*SUMIFS(용수분배비율!Q:Q,용수분배비율!B:B,B:B,용수분배비율!D:D,D:D)</f>
        <v>2269123.2104648026</v>
      </c>
      <c r="J17" s="178">
        <f>M17*SUMIFS(용수분배비율!R:R,용수분배비율!B:B,B:B,용수분배비율!D:D,D:D)</f>
        <v>4585172.9182774434</v>
      </c>
      <c r="K17" s="178">
        <f>M17*SUMIFS(용수분배비율!S:S,용수분배비율!B:B,B:B,용수분배비율!D:D,D:D)</f>
        <v>4182513.2958734157</v>
      </c>
      <c r="L17" s="178">
        <f t="shared" si="0"/>
        <v>16837530</v>
      </c>
      <c r="M17" s="263">
        <v>16837530</v>
      </c>
      <c r="O17" s="178" t="s">
        <v>25</v>
      </c>
      <c r="P17" s="178" t="s">
        <v>258</v>
      </c>
      <c r="Q17" s="178" t="s">
        <v>15</v>
      </c>
      <c r="R17" s="178" t="s">
        <v>296</v>
      </c>
      <c r="S17" s="178">
        <f>Z17*SUMIFS(용수분배비율!N:N,용수분배비율!B:B,B:B,용수분배비율!D:D,D:D)</f>
        <v>4046430.9592735772</v>
      </c>
      <c r="T17" s="178">
        <f>Z17*SUMIFS(용수분배비율!O:O,용수분배비율!B:B,B:B,용수분배비율!D:D,D:D)</f>
        <v>1518880.1402499324</v>
      </c>
      <c r="U17" s="178">
        <f>Z17*SUMIFS(용수분배비율!P:P,용수분배비율!B:B,B:B,용수분배비율!D:D,D:D)</f>
        <v>866013.42803200567</v>
      </c>
      <c r="V17" s="178">
        <f>Z17*SUMIFS(용수분배비율!Q:Q,용수분배비율!B:B,B:B,용수분배비율!D:D,D:D)</f>
        <v>2515802.5748449159</v>
      </c>
      <c r="W17" s="178">
        <f>Z17*SUMIFS(용수분배비율!R:R,용수분배비율!B:B,B:B,용수분배비율!D:D,D:D)</f>
        <v>5083633.0881956303</v>
      </c>
      <c r="X17" s="178">
        <f>Z17*SUMIFS(용수분배비율!S:S,용수분배비율!B:B,B:B,용수분배비율!D:D,D:D)</f>
        <v>4637199.8094039382</v>
      </c>
      <c r="Y17" s="178">
        <f t="shared" si="1"/>
        <v>18667960</v>
      </c>
      <c r="Z17" s="263">
        <v>18667960</v>
      </c>
      <c r="AB17" s="178" t="s">
        <v>25</v>
      </c>
      <c r="AC17" s="178" t="s">
        <v>258</v>
      </c>
      <c r="AD17" s="178" t="s">
        <v>15</v>
      </c>
      <c r="AE17" s="178" t="s">
        <v>298</v>
      </c>
      <c r="AF17" s="178">
        <f>AM17*SUMIFS(용수분배비율!N:N,용수분배비율!B:B,B:B,용수분배비율!D:D,D:D)</f>
        <v>3404380.5538074262</v>
      </c>
      <c r="AG17" s="178">
        <f>AM17*SUMIFS(용수분배비율!O:O,용수분배비율!B:B,B:B,용수분배비율!D:D,D:D)</f>
        <v>1277878.2252989302</v>
      </c>
      <c r="AH17" s="178">
        <f>AM17*SUMIFS(용수분배비율!P:P,용수분배비율!B:B,B:B,용수분배비율!D:D,D:D)</f>
        <v>728602.3914411579</v>
      </c>
      <c r="AI17" s="178">
        <f>AM17*SUMIFS(용수분배비율!Q:Q,용수분배비율!B:B,B:B,용수분배비율!D:D,D:D)</f>
        <v>2116618.187539333</v>
      </c>
      <c r="AJ17" s="178">
        <f>AM17*SUMIFS(용수분배비율!R:R,용수분배비율!B:B,B:B,용수분배비율!D:D,D:D)</f>
        <v>4277008.9993706737</v>
      </c>
      <c r="AK17" s="178">
        <f>AM17*SUMIFS(용수분배비율!S:S,용수분배비율!B:B,B:B,용수분배비율!D:D,D:D)</f>
        <v>3901411.6425424796</v>
      </c>
      <c r="AL17" s="178">
        <f t="shared" ref="AL17:AL37" si="2">SUM(AF17:AK17)</f>
        <v>15705900</v>
      </c>
      <c r="AM17" s="263">
        <v>15705900</v>
      </c>
    </row>
    <row r="18" spans="2:39">
      <c r="B18" s="178" t="s">
        <v>25</v>
      </c>
      <c r="C18" s="178" t="s">
        <v>318</v>
      </c>
      <c r="D18" s="178" t="s">
        <v>16</v>
      </c>
      <c r="E18" s="178" t="s">
        <v>295</v>
      </c>
      <c r="F18" s="178">
        <f>M18*SUMIFS(용수분배비율!N:N,용수분배비율!B:B,B:B,용수분배비율!D:D,D:D)</f>
        <v>3545710.7969167652</v>
      </c>
      <c r="G18" s="178">
        <f>M18*SUMIFS(용수분배비율!O:O,용수분배비율!B:B,B:B,용수분배비율!D:D,D:D)</f>
        <v>3237570.3965935227</v>
      </c>
      <c r="H18" s="178">
        <f>M18*SUMIFS(용수분배비율!P:P,용수분배비율!B:B,B:B,용수분배비율!D:D,D:D)</f>
        <v>890882.10977808165</v>
      </c>
      <c r="I18" s="178">
        <f>M18*SUMIFS(용수분배비율!Q:Q,용수분배비율!B:B,B:B,용수분배비율!D:D,D:D)</f>
        <v>1611972.5703984583</v>
      </c>
      <c r="J18" s="178">
        <f>M18*SUMIFS(용수분배비율!R:R,용수분배비율!B:B,B:B,용수분배비율!D:D,D:D)</f>
        <v>3428323.9777460061</v>
      </c>
      <c r="K18" s="178">
        <f>M18*SUMIFS(용수분배비율!S:S,용수분배비율!B:B,B:B,용수분배비율!D:D,D:D)</f>
        <v>4146270.1485671662</v>
      </c>
      <c r="L18" s="178">
        <f t="shared" si="0"/>
        <v>16860730</v>
      </c>
      <c r="M18" s="263">
        <v>16860730</v>
      </c>
      <c r="O18" s="178" t="s">
        <v>25</v>
      </c>
      <c r="P18" s="178" t="s">
        <v>258</v>
      </c>
      <c r="Q18" s="178" t="s">
        <v>16</v>
      </c>
      <c r="R18" s="178" t="s">
        <v>296</v>
      </c>
      <c r="S18" s="178">
        <f>Z18*SUMIFS(용수분배비율!N:N,용수분배비율!B:B,B:B,용수분배비율!D:D,D:D)</f>
        <v>3250380.1752968235</v>
      </c>
      <c r="T18" s="178">
        <f>Z18*SUMIFS(용수분배비율!O:O,용수분배비율!B:B,B:B,용수분배비율!D:D,D:D)</f>
        <v>2967905.5162553615</v>
      </c>
      <c r="U18" s="178">
        <f>Z18*SUMIFS(용수분배비율!P:P,용수분배비율!B:B,B:B,용수분배비율!D:D,D:D)</f>
        <v>816678.43600422703</v>
      </c>
      <c r="V18" s="178">
        <f>Z18*SUMIFS(용수분배비율!Q:Q,용수분배비율!B:B,B:B,용수분배비율!D:D,D:D)</f>
        <v>1477707.5700876482</v>
      </c>
      <c r="W18" s="178">
        <f>Z18*SUMIFS(용수분배비율!R:R,용수분배비율!B:B,B:B,용수분배비율!D:D,D:D)</f>
        <v>3142770.7813762664</v>
      </c>
      <c r="X18" s="178">
        <f>Z18*SUMIFS(용수분배비율!S:S,용수분배비율!B:B,B:B,용수분배비율!D:D,D:D)</f>
        <v>3800917.5209796731</v>
      </c>
      <c r="Y18" s="178">
        <f t="shared" si="1"/>
        <v>15456360</v>
      </c>
      <c r="Z18" s="263">
        <v>15456360</v>
      </c>
      <c r="AB18" s="178" t="s">
        <v>25</v>
      </c>
      <c r="AC18" s="178" t="s">
        <v>258</v>
      </c>
      <c r="AD18" s="178" t="s">
        <v>16</v>
      </c>
      <c r="AE18" s="178" t="s">
        <v>298</v>
      </c>
      <c r="AF18" s="178">
        <f>AM18*SUMIFS(용수분배비율!N:N,용수분배비율!B:B,B:B,용수분배비율!D:D,D:D)</f>
        <v>3251629.3218126437</v>
      </c>
      <c r="AG18" s="178">
        <f>AM18*SUMIFS(용수분배비율!O:O,용수분배비율!B:B,B:B,용수분배비율!D:D,D:D)</f>
        <v>2969046.1055510659</v>
      </c>
      <c r="AH18" s="178">
        <f>AM18*SUMIFS(용수분배비율!P:P,용수분배비율!B:B,B:B,용수분배비율!D:D,D:D)</f>
        <v>816992.2919127245</v>
      </c>
      <c r="AI18" s="178">
        <f>AM18*SUMIFS(용수분배비율!Q:Q,용수분배비율!B:B,B:B,용수분배비율!D:D,D:D)</f>
        <v>1478275.4646609062</v>
      </c>
      <c r="AJ18" s="178">
        <f>AM18*SUMIFS(용수분배비율!R:R,용수분배비율!B:B,B:B,용수분배비율!D:D,D:D)</f>
        <v>3143978.5727606141</v>
      </c>
      <c r="AK18" s="178">
        <f>AM18*SUMIFS(용수분배비율!S:S,용수분배비율!B:B,B:B,용수분배비율!D:D,D:D)</f>
        <v>3802378.2433020454</v>
      </c>
      <c r="AL18" s="178">
        <f t="shared" si="2"/>
        <v>15462300</v>
      </c>
      <c r="AM18" s="263">
        <v>15462300</v>
      </c>
    </row>
    <row r="19" spans="2:39">
      <c r="B19" s="178" t="s">
        <v>25</v>
      </c>
      <c r="C19" s="178" t="s">
        <v>318</v>
      </c>
      <c r="D19" s="178" t="s">
        <v>17</v>
      </c>
      <c r="E19" s="178" t="s">
        <v>295</v>
      </c>
      <c r="F19" s="178">
        <f>M19*SUMIFS(용수분배비율!N:N,용수분배비율!B:B,B:B,용수분배비율!D:D,D:D)</f>
        <v>4410609.4515612489</v>
      </c>
      <c r="G19" s="178">
        <f>M19*SUMIFS(용수분배비율!O:O,용수분배비율!B:B,B:B,용수분배비율!D:D,D:D)</f>
        <v>1835789.3394715772</v>
      </c>
      <c r="H19" s="178">
        <f>M19*SUMIFS(용수분배비율!P:P,용수분배비율!B:B,B:B,용수분배비율!D:D,D:D)</f>
        <v>244976.91353082468</v>
      </c>
      <c r="I19" s="178">
        <f>M19*SUMIFS(용수분배비율!Q:Q,용수분배비율!B:B,B:B,용수분배비율!D:D,D:D)</f>
        <v>2038740.9247397918</v>
      </c>
      <c r="J19" s="178">
        <f>M19*SUMIFS(용수분배비율!R:R,용수분배비율!B:B,B:B,용수분배비율!D:D,D:D)</f>
        <v>4330658.8270616494</v>
      </c>
      <c r="K19" s="178">
        <f>M19*SUMIFS(용수분배비율!S:S,용수분배비율!B:B,B:B,용수분배비율!D:D,D:D)</f>
        <v>5062514.5436349083</v>
      </c>
      <c r="L19" s="178">
        <f t="shared" si="0"/>
        <v>17923290</v>
      </c>
      <c r="M19" s="263">
        <v>17923290</v>
      </c>
      <c r="O19" s="178" t="s">
        <v>25</v>
      </c>
      <c r="P19" s="178" t="s">
        <v>258</v>
      </c>
      <c r="Q19" s="178" t="s">
        <v>17</v>
      </c>
      <c r="R19" s="178" t="s">
        <v>296</v>
      </c>
      <c r="S19" s="178">
        <f>Z19*SUMIFS(용수분배비율!N:N,용수분배비율!B:B,B:B,용수분배비율!D:D,D:D)</f>
        <v>4237768.4296008237</v>
      </c>
      <c r="T19" s="178">
        <f>Z19*SUMIFS(용수분배비율!O:O,용수분배비율!B:B,B:B,용수분배비율!D:D,D:D)</f>
        <v>1763849.2348164245</v>
      </c>
      <c r="U19" s="178">
        <f>Z19*SUMIFS(용수분배비율!P:P,용수분배비율!B:B,B:B,용수분배비율!D:D,D:D)</f>
        <v>235376.86606428001</v>
      </c>
      <c r="V19" s="178">
        <f>Z19*SUMIFS(용수분배비율!Q:Q,용수분배비율!B:B,B:B,용수분배비율!D:D,D:D)</f>
        <v>1958847.642685577</v>
      </c>
      <c r="W19" s="178">
        <f>Z19*SUMIFS(용수분배비율!R:R,용수분배비율!B:B,B:B,용수분배비율!D:D,D:D)</f>
        <v>4160950.8749857028</v>
      </c>
      <c r="X19" s="178">
        <f>Z19*SUMIFS(용수분배비율!S:S,용수분배비율!B:B,B:B,용수분배비율!D:D,D:D)</f>
        <v>4864126.9518471919</v>
      </c>
      <c r="Y19" s="178">
        <f t="shared" si="1"/>
        <v>17220920</v>
      </c>
      <c r="Z19" s="263">
        <v>17220920</v>
      </c>
      <c r="AB19" s="178" t="s">
        <v>25</v>
      </c>
      <c r="AC19" s="178" t="s">
        <v>258</v>
      </c>
      <c r="AD19" s="178" t="s">
        <v>17</v>
      </c>
      <c r="AE19" s="178" t="s">
        <v>298</v>
      </c>
      <c r="AF19" s="178">
        <f>AM19*SUMIFS(용수분배비율!N:N,용수분배비율!B:B,B:B,용수분배비율!D:D,D:D)</f>
        <v>3491665.732586069</v>
      </c>
      <c r="AG19" s="178">
        <f>AM19*SUMIFS(용수분배비율!O:O,용수분배비율!B:B,B:B,용수분배비율!D:D,D:D)</f>
        <v>1453305.4443554843</v>
      </c>
      <c r="AH19" s="178">
        <f>AM19*SUMIFS(용수분배비율!P:P,용수분배비율!B:B,B:B,용수분배비율!D:D,D:D)</f>
        <v>193936.34907926343</v>
      </c>
      <c r="AI19" s="178">
        <f>AM19*SUMIFS(용수분배비율!Q:Q,용수분배비율!B:B,B:B,용수분배비율!D:D,D:D)</f>
        <v>1613972.3779023218</v>
      </c>
      <c r="AJ19" s="178">
        <f>AM19*SUMIFS(용수분배비율!R:R,용수분배비율!B:B,B:B,용수분배비율!D:D,D:D)</f>
        <v>3428372.6981585268</v>
      </c>
      <c r="AK19" s="178">
        <f>AM19*SUMIFS(용수분배비율!S:S,용수분배비율!B:B,B:B,용수분배비율!D:D,D:D)</f>
        <v>4007747.3979183347</v>
      </c>
      <c r="AL19" s="178">
        <f t="shared" si="2"/>
        <v>14188999.999999998</v>
      </c>
      <c r="AM19" s="263">
        <v>14189000</v>
      </c>
    </row>
    <row r="20" spans="2:39">
      <c r="B20" s="178" t="s">
        <v>25</v>
      </c>
      <c r="C20" s="178" t="s">
        <v>260</v>
      </c>
      <c r="D20" s="178" t="s">
        <v>18</v>
      </c>
      <c r="E20" s="178" t="s">
        <v>295</v>
      </c>
      <c r="F20" s="178">
        <f>M20*SUMIFS(용수분배비율!N:N,용수분배비율!B:B,B:B,용수분배비율!D:D,D:D)</f>
        <v>4524615.2177684493</v>
      </c>
      <c r="G20" s="178">
        <f>M20*SUMIFS(용수분배비율!O:O,용수분배비율!B:B,B:B,용수분배비율!D:D,D:D)</f>
        <v>2191137.2891937546</v>
      </c>
      <c r="H20" s="178">
        <f>M20*SUMIFS(용수분배비율!P:P,용수분배비율!B:B,B:B,용수분배비율!D:D,D:D)</f>
        <v>646589.92569850083</v>
      </c>
      <c r="I20" s="178">
        <f>M20*SUMIFS(용수분배비율!Q:Q,용수분배비율!B:B,B:B,용수분배비율!D:D,D:D)</f>
        <v>2382475.1243494311</v>
      </c>
      <c r="J20" s="178">
        <f>M20*SUMIFS(용수분배비율!R:R,용수분배비율!B:B,B:B,용수분배비율!D:D,D:D)</f>
        <v>4411694.5281683523</v>
      </c>
      <c r="K20" s="178">
        <f>M20*SUMIFS(용수분배비율!S:S,용수분배비율!B:B,B:B,용수분배비율!D:D,D:D)</f>
        <v>4796857.9148215121</v>
      </c>
      <c r="L20" s="178">
        <f t="shared" si="0"/>
        <v>18953370</v>
      </c>
      <c r="M20" s="263">
        <v>18953370</v>
      </c>
      <c r="O20" s="178" t="s">
        <v>25</v>
      </c>
      <c r="P20" s="178" t="s">
        <v>260</v>
      </c>
      <c r="Q20" s="178" t="s">
        <v>18</v>
      </c>
      <c r="R20" s="178" t="s">
        <v>296</v>
      </c>
      <c r="S20" s="178">
        <f>Z20*SUMIFS(용수분배비율!N:N,용수분배비율!B:B,B:B,용수분배비율!D:D,D:D)</f>
        <v>4676927.9857560322</v>
      </c>
      <c r="T20" s="178">
        <f>Z20*SUMIFS(용수분배비율!O:O,용수분배비율!B:B,B:B,용수분배비율!D:D,D:D)</f>
        <v>2264897.85655588</v>
      </c>
      <c r="U20" s="178">
        <f>Z20*SUMIFS(용수분배비율!P:P,용수분배비율!B:B,B:B,용수분배비율!D:D,D:D)</f>
        <v>668356.17467129114</v>
      </c>
      <c r="V20" s="178">
        <f>Z20*SUMIFS(용수분배비율!Q:Q,용수분배비율!B:B,B:B,용수분배비율!D:D,D:D)</f>
        <v>2462676.7245708518</v>
      </c>
      <c r="W20" s="178">
        <f>Z20*SUMIFS(용수분배비율!R:R,용수분배비율!B:B,B:B,용수분배비율!D:D,D:D)</f>
        <v>4560206.0308619235</v>
      </c>
      <c r="X20" s="178">
        <f>Z20*SUMIFS(용수분배비율!S:S,용수분배비율!B:B,B:B,용수분배비율!D:D,D:D)</f>
        <v>4958335.2275840221</v>
      </c>
      <c r="Y20" s="178">
        <f t="shared" si="1"/>
        <v>19591400</v>
      </c>
      <c r="Z20" s="263">
        <v>19591400</v>
      </c>
      <c r="AB20" s="178" t="s">
        <v>25</v>
      </c>
      <c r="AC20" s="178" t="s">
        <v>260</v>
      </c>
      <c r="AD20" s="178" t="s">
        <v>18</v>
      </c>
      <c r="AE20" s="178" t="s">
        <v>298</v>
      </c>
      <c r="AF20" s="178">
        <f>AM20*SUMIFS(용수분배비율!N:N,용수분배비율!B:B,B:B,용수분배비율!D:D,D:D)</f>
        <v>4080405.6519357245</v>
      </c>
      <c r="AG20" s="178">
        <f>AM20*SUMIFS(용수분배비율!O:O,용수분배비율!B:B,B:B,용수분배비율!D:D,D:D)</f>
        <v>1976019.7384039445</v>
      </c>
      <c r="AH20" s="178">
        <f>AM20*SUMIFS(용수분배비율!P:P,용수분배비율!B:B,B:B,용수분배비율!D:D,D:D)</f>
        <v>583110.17850620742</v>
      </c>
      <c r="AI20" s="178">
        <f>AM20*SUMIFS(용수분배비율!Q:Q,용수분배비율!B:B,B:B,용수분배비율!D:D,D:D)</f>
        <v>2148572.7504108814</v>
      </c>
      <c r="AJ20" s="178">
        <f>AM20*SUMIFS(용수분배비율!R:R,용수분배비율!B:B,B:B,용수분배비율!D:D,D:D)</f>
        <v>3978571.0874725906</v>
      </c>
      <c r="AK20" s="178">
        <f>AM20*SUMIFS(용수분배비율!S:S,용수분배비율!B:B,B:B,용수분배비율!D:D,D:D)</f>
        <v>4325920.593270652</v>
      </c>
      <c r="AL20" s="178">
        <f t="shared" si="2"/>
        <v>17092600</v>
      </c>
      <c r="AM20" s="263">
        <v>17092600</v>
      </c>
    </row>
    <row r="21" spans="2:39">
      <c r="B21" s="178" t="s">
        <v>25</v>
      </c>
      <c r="C21" s="178" t="s">
        <v>260</v>
      </c>
      <c r="D21" s="178" t="s">
        <v>19</v>
      </c>
      <c r="E21" s="178" t="s">
        <v>295</v>
      </c>
      <c r="F21" s="178">
        <f>M21*SUMIFS(용수분배비율!N:N,용수분배비율!B:B,B:B,용수분배비율!D:D,D:D)</f>
        <v>4219238.5563765625</v>
      </c>
      <c r="G21" s="178">
        <f>M21*SUMIFS(용수분배비율!O:O,용수분배비율!B:B,B:B,용수분배비율!D:D,D:D)</f>
        <v>1506077.3125342103</v>
      </c>
      <c r="H21" s="178">
        <f>M21*SUMIFS(용수분배비율!P:P,용수분배비율!B:B,B:B,용수분배비율!D:D,D:D)</f>
        <v>603171.61877394957</v>
      </c>
      <c r="I21" s="178">
        <f>M21*SUMIFS(용수분배비율!Q:Q,용수분배비율!B:B,B:B,용수분배비율!D:D,D:D)</f>
        <v>869080.67870826554</v>
      </c>
      <c r="J21" s="178">
        <f>M21*SUMIFS(용수분배비율!R:R,용수분배비율!B:B,B:B,용수분배비율!D:D,D:D)</f>
        <v>6581310.9578544255</v>
      </c>
      <c r="K21" s="178">
        <f>M21*SUMIFS(용수분배비율!S:S,용수분배비율!B:B,B:B,용수분배비율!D:D,D:D)</f>
        <v>2460090.8757525869</v>
      </c>
      <c r="L21" s="178">
        <f t="shared" si="0"/>
        <v>16238970</v>
      </c>
      <c r="M21" s="263">
        <v>16238970</v>
      </c>
      <c r="O21" s="178" t="s">
        <v>25</v>
      </c>
      <c r="P21" s="178" t="s">
        <v>260</v>
      </c>
      <c r="Q21" s="178" t="s">
        <v>19</v>
      </c>
      <c r="R21" s="178" t="s">
        <v>296</v>
      </c>
      <c r="S21" s="178">
        <f>Z21*SUMIFS(용수분배비율!N:N,용수분배비율!B:B,B:B,용수분배비율!D:D,D:D)</f>
        <v>4328579.3681201609</v>
      </c>
      <c r="T21" s="178">
        <f>Z21*SUMIFS(용수분배비율!O:O,용수분배비율!B:B,B:B,용수분배비율!D:D,D:D)</f>
        <v>1545107.0364288767</v>
      </c>
      <c r="U21" s="178">
        <f>Z21*SUMIFS(용수분배비율!P:P,용수분배비율!B:B,B:B,용수분배비율!D:D,D:D)</f>
        <v>618802.70327799383</v>
      </c>
      <c r="V21" s="178">
        <f>Z21*SUMIFS(용수분배비율!Q:Q,용수분배비율!B:B,B:B,용수분배비율!D:D,D:D)</f>
        <v>891602.74889010587</v>
      </c>
      <c r="W21" s="178">
        <f>Z21*SUMIFS(용수분배비율!R:R,용수분배비율!B:B,B:B,용수분배비율!D:D,D:D)</f>
        <v>6751864.4529587254</v>
      </c>
      <c r="X21" s="178">
        <f>Z21*SUMIFS(용수분배비율!S:S,용수분배비율!B:B,B:B,용수분배비율!D:D,D:D)</f>
        <v>2523843.690324137</v>
      </c>
      <c r="Y21" s="178">
        <f t="shared" si="1"/>
        <v>16659800</v>
      </c>
      <c r="Z21" s="263">
        <v>16659800</v>
      </c>
      <c r="AB21" s="178" t="s">
        <v>25</v>
      </c>
      <c r="AC21" s="178" t="s">
        <v>260</v>
      </c>
      <c r="AD21" s="178" t="s">
        <v>19</v>
      </c>
      <c r="AE21" s="178" t="s">
        <v>298</v>
      </c>
      <c r="AF21" s="178">
        <f>AM21*SUMIFS(용수분배비율!N:N,용수분배비율!B:B,B:B,용수분배비율!D:D,D:D)</f>
        <v>4274068.7526606955</v>
      </c>
      <c r="AG21" s="178">
        <f>AM21*SUMIFS(용수분배비율!O:O,용수분배비율!B:B,B:B,용수분배비율!D:D,D:D)</f>
        <v>1525649.2124308227</v>
      </c>
      <c r="AH21" s="178">
        <f>AM21*SUMIFS(용수분배비율!P:P,용수분배비율!B:B,B:B,용수분배비율!D:D,D:D)</f>
        <v>611010.00425713393</v>
      </c>
      <c r="AI21" s="178">
        <f>AM21*SUMIFS(용수분배비율!Q:Q,용수분배비율!B:B,B:B,용수분배비율!D:D,D:D)</f>
        <v>880374.62750106491</v>
      </c>
      <c r="AJ21" s="178">
        <f>AM21*SUMIFS(용수분배비율!R:R,용수분배비율!B:B,B:B,용수분배비율!D:D,D:D)</f>
        <v>6666836.9518944426</v>
      </c>
      <c r="AK21" s="178">
        <f>AM21*SUMIFS(용수분배비율!S:S,용수분배비율!B:B,B:B,용수분배비율!D:D,D:D)</f>
        <v>2492060.4512558407</v>
      </c>
      <c r="AL21" s="178">
        <f t="shared" si="2"/>
        <v>16450000.000000002</v>
      </c>
      <c r="AM21" s="263">
        <v>16450000</v>
      </c>
    </row>
    <row r="22" spans="2:39">
      <c r="B22" s="178" t="s">
        <v>25</v>
      </c>
      <c r="C22" s="178" t="s">
        <v>260</v>
      </c>
      <c r="D22" s="178" t="s">
        <v>20</v>
      </c>
      <c r="E22" s="178" t="s">
        <v>295</v>
      </c>
      <c r="F22" s="178">
        <f>M22*SUMIFS(용수분배비율!N:N,용수분배비율!B:B,B:B,용수분배비율!D:D,D:D)</f>
        <v>1982436.8912222977</v>
      </c>
      <c r="G22" s="178">
        <f>M22*SUMIFS(용수분배비율!O:O,용수분배비율!B:B,B:B,용수분배비율!D:D,D:D)</f>
        <v>384505.33425860084</v>
      </c>
      <c r="H22" s="178">
        <f>M22*SUMIFS(용수분배비율!P:P,용수분배비율!B:B,B:B,용수분배비율!D:D,D:D)</f>
        <v>304642.18271338125</v>
      </c>
      <c r="I22" s="178">
        <f>M22*SUMIFS(용수분배비율!Q:Q,용수분배비율!B:B,B:B,용수분배비율!D:D,D:D)</f>
        <v>1089543.2014092554</v>
      </c>
      <c r="J22" s="178">
        <f>M22*SUMIFS(용수분배비율!R:R,용수분배비율!B:B,B:B,용수분배비율!D:D,D:D)</f>
        <v>2662739.2941789837</v>
      </c>
      <c r="K22" s="178">
        <f>M22*SUMIFS(용수분배비율!S:S,용수분배비율!B:B,B:B,용수분배비율!D:D,D:D)</f>
        <v>1764703.0962174812</v>
      </c>
      <c r="L22" s="178">
        <f t="shared" si="0"/>
        <v>8188570</v>
      </c>
      <c r="M22" s="263">
        <v>8188570</v>
      </c>
      <c r="O22" s="178" t="s">
        <v>25</v>
      </c>
      <c r="P22" s="178" t="s">
        <v>260</v>
      </c>
      <c r="Q22" s="178" t="s">
        <v>20</v>
      </c>
      <c r="R22" s="178" t="s">
        <v>296</v>
      </c>
      <c r="S22" s="178">
        <f>Z22*SUMIFS(용수분배비율!N:N,용수분배비율!B:B,B:B,용수분배비율!D:D,D:D)</f>
        <v>4808929.2922949409</v>
      </c>
      <c r="T22" s="178">
        <f>Z22*SUMIFS(용수분배비율!O:O,용수분배비율!B:B,B:B,용수분배비율!D:D,D:D)</f>
        <v>932720.21578441339</v>
      </c>
      <c r="U22" s="178">
        <f>Z22*SUMIFS(용수분배비율!P:P,용수분배비율!B:B,B:B,용수분배비율!D:D,D:D)</f>
        <v>738990.8463697827</v>
      </c>
      <c r="V22" s="178">
        <f>Z22*SUMIFS(용수분배비율!Q:Q,용수분배비율!B:B,B:B,용수분배비율!D:D,D:D)</f>
        <v>2642977.5594254956</v>
      </c>
      <c r="W22" s="178">
        <f>Z22*SUMIFS(용수분배비율!R:R,용수분배비율!B:B,B:B,용수분배비율!D:D,D:D)</f>
        <v>6459184.1718739523</v>
      </c>
      <c r="X22" s="178">
        <f>Z22*SUMIFS(용수분배비율!S:S,용수분배비율!B:B,B:B,용수분배비율!D:D,D:D)</f>
        <v>4280757.9142514151</v>
      </c>
      <c r="Y22" s="178">
        <f t="shared" si="1"/>
        <v>19863560</v>
      </c>
      <c r="Z22" s="263">
        <v>19863560</v>
      </c>
      <c r="AB22" s="178" t="s">
        <v>25</v>
      </c>
      <c r="AC22" s="178" t="s">
        <v>260</v>
      </c>
      <c r="AD22" s="178" t="s">
        <v>20</v>
      </c>
      <c r="AE22" s="178" t="s">
        <v>298</v>
      </c>
      <c r="AF22" s="178">
        <f>AM22*SUMIFS(용수분배비율!N:N,용수분배비율!B:B,B:B,용수분배비율!D:D,D:D)</f>
        <v>3814400.1557466118</v>
      </c>
      <c r="AG22" s="178">
        <f>AM22*SUMIFS(용수분배비율!O:O,용수분배비율!B:B,B:B,용수분배비율!D:D,D:D)</f>
        <v>739825.42061004683</v>
      </c>
      <c r="AH22" s="178">
        <f>AM22*SUMIFS(용수분배비율!P:P,용수분배비율!B:B,B:B,용수분배비율!D:D,D:D)</f>
        <v>586160.99929034617</v>
      </c>
      <c r="AI22" s="178">
        <f>AM22*SUMIFS(용수분배비율!Q:Q,용수분배비율!B:B,B:B,용수분배비율!D:D,D:D)</f>
        <v>2096386.4098522288</v>
      </c>
      <c r="AJ22" s="178">
        <f>AM22*SUMIFS(용수분배비율!R:R,용수분배비율!B:B,B:B,용수분배비율!D:D,D:D)</f>
        <v>5123367.7215150381</v>
      </c>
      <c r="AK22" s="178">
        <f>AM22*SUMIFS(용수분배비율!S:S,용수분배비율!B:B,B:B,용수분배비율!D:D,D:D)</f>
        <v>3395459.2929857285</v>
      </c>
      <c r="AL22" s="178">
        <f t="shared" si="2"/>
        <v>15755600</v>
      </c>
      <c r="AM22" s="263">
        <v>15755600</v>
      </c>
    </row>
    <row r="23" spans="2:39">
      <c r="B23" s="178" t="s">
        <v>25</v>
      </c>
      <c r="C23" s="178" t="s">
        <v>262</v>
      </c>
      <c r="D23" s="178" t="s">
        <v>21</v>
      </c>
      <c r="E23" s="178" t="s">
        <v>295</v>
      </c>
      <c r="F23" s="178">
        <f>M23*SUMIFS(용수분배비율!N:N,용수분배비율!B:B,B:B,용수분배비율!D:D,D:D)</f>
        <v>2425695.1397134596</v>
      </c>
      <c r="G23" s="178">
        <f>M23*SUMIFS(용수분배비율!O:O,용수분배비율!B:B,B:B,용수분배비율!D:D,D:D)</f>
        <v>170365.89485033308</v>
      </c>
      <c r="H23" s="178">
        <f>M23*SUMIFS(용수분배비율!P:P,용수분배비율!B:B,B:B,용수분배비율!D:D,D:D)</f>
        <v>416732.17169238912</v>
      </c>
      <c r="I23" s="178">
        <f>M23*SUMIFS(용수분배비율!Q:Q,용수분배비율!B:B,B:B,용수분배비율!D:D,D:D)</f>
        <v>1270385.1341152396</v>
      </c>
      <c r="J23" s="178">
        <f>M23*SUMIFS(용수분배비율!R:R,용수분배비율!B:B,B:B,용수분배비율!D:D,D:D)</f>
        <v>2371771.9895085073</v>
      </c>
      <c r="K23" s="178">
        <f>M23*SUMIFS(용수분배비율!S:S,용수분배비율!B:B,B:B,용수분배비율!D:D,D:D)</f>
        <v>2767859.6701200712</v>
      </c>
      <c r="L23" s="178">
        <f t="shared" si="0"/>
        <v>9422810</v>
      </c>
      <c r="M23" s="263">
        <v>9422810</v>
      </c>
      <c r="O23" s="178" t="s">
        <v>25</v>
      </c>
      <c r="P23" s="178" t="s">
        <v>262</v>
      </c>
      <c r="Q23" s="178" t="s">
        <v>21</v>
      </c>
      <c r="R23" s="178" t="s">
        <v>296</v>
      </c>
      <c r="S23" s="178">
        <f>Z23*SUMIFS(용수분배비율!N:N,용수분배비율!B:B,B:B,용수분배비율!D:D,D:D)</f>
        <v>5015263.7961420817</v>
      </c>
      <c r="T23" s="178">
        <f>Z23*SUMIFS(용수분배비율!O:O,용수분배비율!B:B,B:B,용수분배비율!D:D,D:D)</f>
        <v>352241.25676450646</v>
      </c>
      <c r="U23" s="178">
        <f>Z23*SUMIFS(용수분배비율!P:P,용수분배비율!B:B,B:B,용수분배비율!D:D,D:D)</f>
        <v>861617.66132878233</v>
      </c>
      <c r="V23" s="178">
        <f>Z23*SUMIFS(용수분배비율!Q:Q,용수분배비율!B:B,B:B,용수분배비율!D:D,D:D)</f>
        <v>2626594.1115081301</v>
      </c>
      <c r="W23" s="178">
        <f>Z23*SUMIFS(용수분배비율!R:R,용수분배비율!B:B,B:B,용수분배비율!D:D,D:D)</f>
        <v>4903774.5910193073</v>
      </c>
      <c r="X23" s="178">
        <f>Z23*SUMIFS(용수분배비율!S:S,용수분배비율!B:B,B:B,용수분배비율!D:D,D:D)</f>
        <v>5722708.5832371926</v>
      </c>
      <c r="Y23" s="178">
        <f t="shared" si="1"/>
        <v>19482200</v>
      </c>
      <c r="Z23" s="263">
        <v>19482200</v>
      </c>
      <c r="AB23" s="178" t="s">
        <v>25</v>
      </c>
      <c r="AC23" s="178" t="s">
        <v>262</v>
      </c>
      <c r="AD23" s="178" t="s">
        <v>21</v>
      </c>
      <c r="AE23" s="178" t="s">
        <v>298</v>
      </c>
      <c r="AF23" s="178">
        <f>AM23*SUMIFS(용수분배비율!N:N,용수분배비율!B:B,B:B,용수분배비율!D:D,D:D)</f>
        <v>4150176.9996337066</v>
      </c>
      <c r="AG23" s="178">
        <f>AM23*SUMIFS(용수분배비율!O:O,용수분배비율!B:B,B:B,용수분배비율!D:D,D:D)</f>
        <v>291482.88536101382</v>
      </c>
      <c r="AH23" s="178">
        <f>AM23*SUMIFS(용수분배비율!P:P,용수분배비율!B:B,B:B,용수분배비율!D:D,D:D)</f>
        <v>712996.55329707265</v>
      </c>
      <c r="AI23" s="178">
        <f>AM23*SUMIFS(용수분배비율!Q:Q,용수분배비율!B:B,B:B,용수분배비율!D:D,D:D)</f>
        <v>2173530.8274989794</v>
      </c>
      <c r="AJ23" s="178">
        <f>AM23*SUMIFS(용수분배비율!R:R,용수분배비율!B:B,B:B,용수분배비율!D:D,D:D)</f>
        <v>4057918.655184526</v>
      </c>
      <c r="AK23" s="178">
        <f>AM23*SUMIFS(용수분배비율!S:S,용수분배비율!B:B,B:B,용수분배비율!D:D,D:D)</f>
        <v>4735594.0790247023</v>
      </c>
      <c r="AL23" s="178">
        <f t="shared" si="2"/>
        <v>16121700</v>
      </c>
      <c r="AM23" s="263">
        <v>16121700</v>
      </c>
    </row>
    <row r="24" spans="2:39">
      <c r="B24" s="178" t="s">
        <v>25</v>
      </c>
      <c r="C24" s="178" t="s">
        <v>262</v>
      </c>
      <c r="D24" s="178" t="s">
        <v>22</v>
      </c>
      <c r="E24" s="178" t="s">
        <v>295</v>
      </c>
      <c r="F24" s="178">
        <f>M24*SUMIFS(용수분배비율!N:N,용수분배비율!B:B,B:B,용수분배비율!D:D,D:D)</f>
        <v>1641377.157658227</v>
      </c>
      <c r="G24" s="178">
        <f>M24*SUMIFS(용수분배비율!O:O,용수분배비율!B:B,B:B,용수분배비율!D:D,D:D)</f>
        <v>194714.47006113766</v>
      </c>
      <c r="H24" s="178">
        <f>M24*SUMIFS(용수분배비율!P:P,용수분배비율!B:B,B:B,용수분배비율!D:D,D:D)</f>
        <v>271878.3069425092</v>
      </c>
      <c r="I24" s="178">
        <f>M24*SUMIFS(용수분배비율!Q:Q,용수분배비율!B:B,B:B,용수분배비율!D:D,D:D)</f>
        <v>32700.140010267394</v>
      </c>
      <c r="J24" s="178">
        <f>M24*SUMIFS(용수분배비율!R:R,용수분배비율!B:B,B:B,용수분배비율!D:D,D:D)</f>
        <v>2148526.60181747</v>
      </c>
      <c r="K24" s="178">
        <f>M24*SUMIFS(용수분배비율!S:S,용수분배비율!B:B,B:B,용수분배비율!D:D,D:D)</f>
        <v>2080493.3235103891</v>
      </c>
      <c r="L24" s="178">
        <f t="shared" si="0"/>
        <v>6369690</v>
      </c>
      <c r="M24" s="263">
        <v>6369690</v>
      </c>
      <c r="O24" s="178" t="s">
        <v>25</v>
      </c>
      <c r="P24" s="178" t="s">
        <v>262</v>
      </c>
      <c r="Q24" s="178" t="s">
        <v>22</v>
      </c>
      <c r="R24" s="178" t="s">
        <v>296</v>
      </c>
      <c r="S24" s="178">
        <f>Z24*SUMIFS(용수분배비율!N:N,용수분배비율!B:B,B:B,용수분배비율!D:D,D:D)</f>
        <v>4933266.4262045845</v>
      </c>
      <c r="T24" s="178">
        <f>Z24*SUMIFS(용수분배비율!O:O,용수분배비율!B:B,B:B,용수분배비율!D:D,D:D)</f>
        <v>585227.0779857185</v>
      </c>
      <c r="U24" s="178">
        <f>Z24*SUMIFS(용수분배비율!P:P,용수분배비율!B:B,B:B,용수분배비율!D:D,D:D)</f>
        <v>817148.03778943815</v>
      </c>
      <c r="V24" s="178">
        <f>Z24*SUMIFS(용수분배비율!Q:Q,용수분배비율!B:B,B:B,용수분배비율!D:D,D:D)</f>
        <v>98282.410043403113</v>
      </c>
      <c r="W24" s="178">
        <f>Z24*SUMIFS(용수분배비율!R:R,용수분배비율!B:B,B:B,용수분배비율!D:D,D:D)</f>
        <v>6457537.258332287</v>
      </c>
      <c r="X24" s="178">
        <f>Z24*SUMIFS(용수분배비율!S:S,용수분배비율!B:B,B:B,용수분배비율!D:D,D:D)</f>
        <v>6253058.7896445692</v>
      </c>
      <c r="Y24" s="178">
        <f t="shared" si="1"/>
        <v>19144520</v>
      </c>
      <c r="Z24" s="263">
        <v>19144520</v>
      </c>
      <c r="AB24" s="178" t="s">
        <v>25</v>
      </c>
      <c r="AC24" s="178" t="s">
        <v>262</v>
      </c>
      <c r="AD24" s="178" t="s">
        <v>22</v>
      </c>
      <c r="AE24" s="178" t="s">
        <v>298</v>
      </c>
      <c r="AF24" s="178">
        <f>AM24*SUMIFS(용수분배비율!N:N,용수분배비율!B:B,B:B,용수분배비율!D:D,D:D)</f>
        <v>3939857.6562281204</v>
      </c>
      <c r="AG24" s="178">
        <f>AM24*SUMIFS(용수분배비율!O:O,용수분배비율!B:B,B:B,용수분배비율!D:D,D:D)</f>
        <v>467380.26788631128</v>
      </c>
      <c r="AH24" s="178">
        <f>AM24*SUMIFS(용수분배비율!P:P,용수분배비율!B:B,B:B,용수분배비율!D:D,D:D)</f>
        <v>652599.44929294835</v>
      </c>
      <c r="AI24" s="178">
        <f>AM24*SUMIFS(용수분배비율!Q:Q,용수분배비율!B:B,B:B,용수분배비율!D:D,D:D)</f>
        <v>78491.34269846449</v>
      </c>
      <c r="AJ24" s="178">
        <f>AM24*SUMIFS(용수분배비율!R:R,용수분배비율!B:B,B:B,용수분배비율!D:D,D:D)</f>
        <v>5157187.0257152272</v>
      </c>
      <c r="AK24" s="178">
        <f>AM24*SUMIFS(용수분배비율!S:S,용수분배비율!B:B,B:B,용수분배비율!D:D,D:D)</f>
        <v>4993884.2581789289</v>
      </c>
      <c r="AL24" s="178">
        <f t="shared" si="2"/>
        <v>15289400.000000002</v>
      </c>
      <c r="AM24" s="263">
        <v>15289400</v>
      </c>
    </row>
    <row r="25" spans="2:39">
      <c r="B25" s="178" t="s">
        <v>25</v>
      </c>
      <c r="C25" s="178" t="s">
        <v>262</v>
      </c>
      <c r="D25" s="178" t="s">
        <v>23</v>
      </c>
      <c r="E25" s="178" t="s">
        <v>295</v>
      </c>
      <c r="F25" s="178">
        <f>M25*SUMIFS(용수분배비율!N:N,용수분배비율!B:B,B:B,용수분배비율!D:D,D:D)</f>
        <v>0</v>
      </c>
      <c r="G25" s="178">
        <f>M25*SUMIFS(용수분배비율!O:O,용수분배비율!B:B,B:B,용수분배비율!D:D,D:D)</f>
        <v>0</v>
      </c>
      <c r="H25" s="178">
        <f>M25*SUMIFS(용수분배비율!P:P,용수분배비율!B:B,B:B,용수분배비율!D:D,D:D)</f>
        <v>0</v>
      </c>
      <c r="I25" s="178">
        <f>M25*SUMIFS(용수분배비율!Q:Q,용수분배비율!B:B,B:B,용수분배비율!D:D,D:D)</f>
        <v>0</v>
      </c>
      <c r="J25" s="178">
        <f>M25*SUMIFS(용수분배비율!R:R,용수분배비율!B:B,B:B,용수분배비율!D:D,D:D)</f>
        <v>4598017.2520697098</v>
      </c>
      <c r="K25" s="178">
        <f>M25*SUMIFS(용수분배비율!S:S,용수분배비율!B:B,B:B,용수분배비율!D:D,D:D)</f>
        <v>3094072.7479302902</v>
      </c>
      <c r="L25" s="178">
        <f t="shared" si="0"/>
        <v>7692090</v>
      </c>
      <c r="M25" s="263">
        <v>7692090</v>
      </c>
      <c r="O25" s="178" t="s">
        <v>25</v>
      </c>
      <c r="P25" s="178" t="s">
        <v>262</v>
      </c>
      <c r="Q25" s="178" t="s">
        <v>23</v>
      </c>
      <c r="R25" s="178" t="s">
        <v>296</v>
      </c>
      <c r="S25" s="178">
        <f>Z25*SUMIFS(용수분배비율!N:N,용수분배비율!B:B,B:B,용수분배비율!D:D,D:D)</f>
        <v>0</v>
      </c>
      <c r="T25" s="178">
        <f>Z25*SUMIFS(용수분배비율!O:O,용수분배비율!B:B,B:B,용수분배비율!D:D,D:D)</f>
        <v>0</v>
      </c>
      <c r="U25" s="178">
        <f>Z25*SUMIFS(용수분배비율!P:P,용수분배비율!B:B,B:B,용수분배비율!D:D,D:D)</f>
        <v>0</v>
      </c>
      <c r="V25" s="178">
        <f>Z25*SUMIFS(용수분배비율!Q:Q,용수분배비율!B:B,B:B,용수분배비율!D:D,D:D)</f>
        <v>0</v>
      </c>
      <c r="W25" s="178">
        <f>Z25*SUMIFS(용수분배비율!R:R,용수분배비율!B:B,B:B,용수분배비율!D:D,D:D)</f>
        <v>8783592.6393688489</v>
      </c>
      <c r="X25" s="178">
        <f>Z25*SUMIFS(용수분배비율!S:S,용수분배비율!B:B,B:B,용수분배비율!D:D,D:D)</f>
        <v>5910607.3606311511</v>
      </c>
      <c r="Y25" s="178">
        <f t="shared" si="1"/>
        <v>14694200</v>
      </c>
      <c r="Z25" s="263">
        <v>14694200</v>
      </c>
      <c r="AB25" s="178" t="s">
        <v>25</v>
      </c>
      <c r="AC25" s="178" t="s">
        <v>262</v>
      </c>
      <c r="AD25" s="178" t="s">
        <v>23</v>
      </c>
      <c r="AE25" s="178" t="s">
        <v>298</v>
      </c>
      <c r="AF25" s="178">
        <f>AM25*SUMIFS(용수분배비율!N:N,용수분배비율!B:B,B:B,용수분배비율!D:D,D:D)</f>
        <v>0</v>
      </c>
      <c r="AG25" s="178">
        <f>AM25*SUMIFS(용수분배비율!O:O,용수분배비율!B:B,B:B,용수분배비율!D:D,D:D)</f>
        <v>0</v>
      </c>
      <c r="AH25" s="178">
        <f>AM25*SUMIFS(용수분배비율!P:P,용수분배비율!B:B,B:B,용수분배비율!D:D,D:D)</f>
        <v>0</v>
      </c>
      <c r="AI25" s="178">
        <f>AM25*SUMIFS(용수분배비율!Q:Q,용수분배비율!B:B,B:B,용수분배비율!D:D,D:D)</f>
        <v>0</v>
      </c>
      <c r="AJ25" s="178">
        <f>AM25*SUMIFS(용수분배비율!R:R,용수분배비율!B:B,B:B,용수분배비율!D:D,D:D)</f>
        <v>8047691.3382890355</v>
      </c>
      <c r="AK25" s="178">
        <f>AM25*SUMIFS(용수분배비율!S:S,용수분배비율!B:B,B:B,용수분배비율!D:D,D:D)</f>
        <v>5415408.6617109645</v>
      </c>
      <c r="AL25" s="178">
        <f t="shared" si="2"/>
        <v>13463100</v>
      </c>
      <c r="AM25" s="263">
        <v>13463100</v>
      </c>
    </row>
    <row r="26" spans="2:39">
      <c r="B26" s="178" t="s">
        <v>26</v>
      </c>
      <c r="C26" s="178" t="s">
        <v>317</v>
      </c>
      <c r="D26" s="178" t="s">
        <v>84</v>
      </c>
      <c r="E26" s="178" t="s">
        <v>295</v>
      </c>
      <c r="F26" s="178">
        <f>M26*SUMIFS(용수분배비율!N:N,용수분배비율!B:B,B:B,용수분배비율!D:D,D:D)</f>
        <v>2401514.9978229981</v>
      </c>
      <c r="G26" s="178">
        <f>M26*SUMIFS(용수분배비율!O:O,용수분배비율!B:B,B:B,용수분배비율!D:D,D:D)</f>
        <v>267969.00894862274</v>
      </c>
      <c r="H26" s="178">
        <f>M26*SUMIFS(용수분배비율!P:P,용수분배비율!B:B,B:B,용수분배비율!D:D,D:D)</f>
        <v>377482.64998395921</v>
      </c>
      <c r="I26" s="178">
        <f>M26*SUMIFS(용수분배비율!Q:Q,용수분배비율!B:B,B:B,용수분배비율!D:D,D:D)</f>
        <v>53166.570420275901</v>
      </c>
      <c r="J26" s="178">
        <f>M26*SUMIFS(용수분배비율!R:R,용수분배비율!B:B,B:B,용수분배비율!D:D,D:D)</f>
        <v>3043074.104278381</v>
      </c>
      <c r="K26" s="178">
        <f>M26*SUMIFS(용수분배비율!S:S,용수분배비율!B:B,B:B,용수분배비율!D:D,D:D)</f>
        <v>2142802.668545763</v>
      </c>
      <c r="L26" s="178">
        <f t="shared" si="0"/>
        <v>8286010</v>
      </c>
      <c r="M26" s="263">
        <v>8286010</v>
      </c>
      <c r="O26" s="178" t="s">
        <v>26</v>
      </c>
      <c r="P26" s="178" t="s">
        <v>256</v>
      </c>
      <c r="Q26" s="178" t="s">
        <v>9</v>
      </c>
      <c r="R26" s="178" t="s">
        <v>296</v>
      </c>
      <c r="S26" s="178">
        <f>Z26*SUMIFS(용수분배비율!N:N,용수분배비율!B:B,B:B,용수분배비율!D:D,D:D)</f>
        <v>3519168.7588798753</v>
      </c>
      <c r="T26" s="178">
        <f>Z26*SUMIFS(용수분배비율!O:O,용수분배비율!B:B,B:B,용수분배비율!D:D,D:D)</f>
        <v>392680.522709565</v>
      </c>
      <c r="U26" s="178">
        <f>Z26*SUMIFS(용수분배비율!P:P,용수분배비율!B:B,B:B,용수분배비율!D:D,D:D)</f>
        <v>553161.29611806269</v>
      </c>
      <c r="V26" s="178">
        <f>Z26*SUMIFS(용수분배비율!Q:Q,용수분배비율!B:B,B:B,용수분배비율!D:D,D:D)</f>
        <v>77910.04170676932</v>
      </c>
      <c r="W26" s="178">
        <f>Z26*SUMIFS(용수분배비율!R:R,용수분배비율!B:B,B:B,용수분배비율!D:D,D:D)</f>
        <v>4459306.449653971</v>
      </c>
      <c r="X26" s="178">
        <f>Z26*SUMIFS(용수분배비율!S:S,용수분배비율!B:B,B:B,용수분배비율!D:D,D:D)</f>
        <v>3140052.9309317567</v>
      </c>
      <c r="Y26" s="178">
        <f t="shared" si="1"/>
        <v>12142280</v>
      </c>
      <c r="Z26" s="263">
        <v>12142280</v>
      </c>
      <c r="AB26" s="178" t="s">
        <v>26</v>
      </c>
      <c r="AC26" s="178" t="s">
        <v>256</v>
      </c>
      <c r="AD26" s="178" t="s">
        <v>9</v>
      </c>
      <c r="AE26" s="178" t="s">
        <v>298</v>
      </c>
      <c r="AF26" s="178">
        <f>AM26*SUMIFS(용수분배비율!N:N,용수분배비율!B:B,B:B,용수분배비율!D:D,D:D)</f>
        <v>3432971.110614602</v>
      </c>
      <c r="AG26" s="178">
        <f>AM26*SUMIFS(용수분배비율!O:O,용수분배비율!B:B,B:B,용수분배비율!D:D,D:D)</f>
        <v>383062.30321050459</v>
      </c>
      <c r="AH26" s="178">
        <f>AM26*SUMIFS(용수분배비율!P:P,용수분배비율!B:B,B:B,용수분배비율!D:D,D:D)</f>
        <v>539612.30028873961</v>
      </c>
      <c r="AI26" s="178">
        <f>AM26*SUMIFS(용수분배비율!Q:Q,용수분배비율!B:B,B:B,용수분배비율!D:D,D:D)</f>
        <v>76001.732435033671</v>
      </c>
      <c r="AJ26" s="178">
        <f>AM26*SUMIFS(용수분배비율!R:R,용수분배비율!B:B,B:B,용수분배비율!D:D,D:D)</f>
        <v>4350081.3015605658</v>
      </c>
      <c r="AK26" s="178">
        <f>AM26*SUMIFS(용수분배비율!S:S,용수분배비율!B:B,B:B,용수분배비율!D:D,D:D)</f>
        <v>3063141.2518905541</v>
      </c>
      <c r="AL26" s="178">
        <f t="shared" si="2"/>
        <v>11844870</v>
      </c>
      <c r="AM26" s="263">
        <v>11844870</v>
      </c>
    </row>
    <row r="27" spans="2:39">
      <c r="B27" s="178" t="s">
        <v>26</v>
      </c>
      <c r="C27" s="178" t="s">
        <v>317</v>
      </c>
      <c r="D27" s="178" t="s">
        <v>13</v>
      </c>
      <c r="E27" s="178" t="s">
        <v>295</v>
      </c>
      <c r="F27" s="183">
        <f>M27*SUMIFS(용수분배비율!N:N,용수분배비율!B:B,B:B,용수분배비율!D:D,D:D)</f>
        <v>840018.68083320593</v>
      </c>
      <c r="G27" s="183">
        <f>M27*SUMIFS(용수분배비율!O:O,용수분배비율!B:B,B:B,용수분배비율!D:D,D:D)</f>
        <v>285111.3380330893</v>
      </c>
      <c r="H27" s="183">
        <f>M27*SUMIFS(용수분배비율!P:P,용수분배비율!B:B,B:B,용수분배비율!D:D,D:D)</f>
        <v>69602.719932300519</v>
      </c>
      <c r="I27" s="183">
        <f>M27*SUMIFS(용수분배비율!Q:Q,용수분배비율!B:B,B:B,용수분배비율!D:D,D:D)</f>
        <v>25707.880839433434</v>
      </c>
      <c r="J27" s="183">
        <f>M27*SUMIFS(용수분배비율!R:R,용수분배비율!B:B,B:B,용수분배비율!D:D,D:D)</f>
        <v>9550067.4997088667</v>
      </c>
      <c r="K27" s="183">
        <f>M27*SUMIFS(용수분배비율!S:S,용수분배비율!B:B,B:B,용수분배비율!D:D,D:D)</f>
        <v>6842261.8806531029</v>
      </c>
      <c r="L27" s="178">
        <f t="shared" si="0"/>
        <v>17612770</v>
      </c>
      <c r="M27" s="262">
        <v>17612770</v>
      </c>
      <c r="O27" s="178" t="s">
        <v>26</v>
      </c>
      <c r="P27" s="178" t="s">
        <v>256</v>
      </c>
      <c r="Q27" s="178" t="s">
        <v>13</v>
      </c>
      <c r="R27" s="178" t="s">
        <v>296</v>
      </c>
      <c r="S27" s="183">
        <f>Z27*SUMIFS(용수분배비율!N:N,용수분배비율!B:B,B:B,용수분배비율!D:D,D:D)</f>
        <v>661586.42463954655</v>
      </c>
      <c r="T27" s="183">
        <f>Z27*SUMIFS(용수분배비율!O:O,용수분배비율!B:B,B:B,용수분배비율!D:D,D:D)</f>
        <v>224549.51902547301</v>
      </c>
      <c r="U27" s="183">
        <f>Z27*SUMIFS(용수분배비율!P:P,용수분배비율!B:B,B:B,용수분배비율!D:D,D:D)</f>
        <v>54818.08402108826</v>
      </c>
      <c r="V27" s="183">
        <f>Z27*SUMIFS(용수분배비율!Q:Q,용수분배비율!B:B,B:B,용수분배비율!D:D,D:D)</f>
        <v>20247.150876156971</v>
      </c>
      <c r="W27" s="183">
        <f>Z27*SUMIFS(용수분배비율!R:R,용수분배비율!B:B,B:B,용수분배비율!D:D,D:D)</f>
        <v>7521493.4576595007</v>
      </c>
      <c r="X27" s="183">
        <f>Z27*SUMIFS(용수분배비율!S:S,용수분배비율!B:B,B:B,용수분배비율!D:D,D:D)</f>
        <v>5388865.3637782335</v>
      </c>
      <c r="Y27" s="178">
        <f t="shared" si="1"/>
        <v>13871560</v>
      </c>
      <c r="Z27" s="263">
        <v>13871560</v>
      </c>
      <c r="AB27" s="178" t="s">
        <v>26</v>
      </c>
      <c r="AC27" s="178" t="s">
        <v>256</v>
      </c>
      <c r="AD27" s="178" t="s">
        <v>13</v>
      </c>
      <c r="AE27" s="178" t="s">
        <v>298</v>
      </c>
      <c r="AF27" s="183">
        <f>AM27*SUMIFS(용수분배비율!N:N,용수분배비율!B:B,B:B,용수분배비율!D:D,D:D)</f>
        <v>772626.48776017211</v>
      </c>
      <c r="AG27" s="183">
        <f>AM27*SUMIFS(용수분배비율!O:O,용수분배비율!B:B,B:B,용수분배비율!D:D,D:D)</f>
        <v>262237.70584079268</v>
      </c>
      <c r="AH27" s="183">
        <f>AM27*SUMIFS(용수분배비율!P:P,용수분배비율!B:B,B:B,용수분배비율!D:D,D:D)</f>
        <v>64018.701329960328</v>
      </c>
      <c r="AI27" s="183">
        <f>AM27*SUMIFS(용수분배비율!Q:Q,용수분배비율!B:B,B:B,용수분배비율!D:D,D:D)</f>
        <v>23645.414243677271</v>
      </c>
      <c r="AJ27" s="183">
        <f>AM27*SUMIFS(용수분배비율!R:R,용수분배비율!B:B,B:B,용수분배비율!D:D,D:D)</f>
        <v>8783894.071086416</v>
      </c>
      <c r="AK27" s="183">
        <f>AM27*SUMIFS(용수분배비율!S:S,용수분배비율!B:B,B:B,용수분배비율!D:D,D:D)</f>
        <v>6293327.6197389793</v>
      </c>
      <c r="AL27" s="178">
        <f t="shared" si="2"/>
        <v>16199749.999999998</v>
      </c>
      <c r="AM27" s="263">
        <v>16199750</v>
      </c>
    </row>
    <row r="28" spans="2:39">
      <c r="B28" s="178" t="s">
        <v>26</v>
      </c>
      <c r="C28" s="178" t="s">
        <v>317</v>
      </c>
      <c r="D28" s="178" t="s">
        <v>14</v>
      </c>
      <c r="E28" s="178" t="s">
        <v>295</v>
      </c>
      <c r="F28" s="183">
        <f>M28*SUMIFS(용수분배비율!N:N,용수분배비율!B:B,B:B,용수분배비율!D:D,D:D)</f>
        <v>2168552.3193933433</v>
      </c>
      <c r="G28" s="183">
        <f>M28*SUMIFS(용수분배비율!O:O,용수분배비율!B:B,B:B,용수분배비율!D:D,D:D)</f>
        <v>121506.79734402707</v>
      </c>
      <c r="H28" s="183">
        <f>M28*SUMIFS(용수분배비율!P:P,용수분배비율!B:B,B:B,용수분배비율!D:D,D:D)</f>
        <v>424505.60589405493</v>
      </c>
      <c r="I28" s="183">
        <f>M28*SUMIFS(용수분배비율!Q:Q,용수분배비율!B:B,B:B,용수분배비율!D:D,D:D)</f>
        <v>3134795.2130609141</v>
      </c>
      <c r="J28" s="183">
        <f>M28*SUMIFS(용수분배비율!R:R,용수분배비율!B:B,B:B,용수분배비율!D:D,D:D)</f>
        <v>5512160.2034258647</v>
      </c>
      <c r="K28" s="183">
        <f>M28*SUMIFS(용수분배비율!S:S,용수분배비율!B:B,B:B,용수분배비율!D:D,D:D)</f>
        <v>3648209.8608817956</v>
      </c>
      <c r="L28" s="178">
        <f t="shared" si="0"/>
        <v>15009730</v>
      </c>
      <c r="M28" s="262">
        <v>15009730</v>
      </c>
      <c r="O28" s="178" t="s">
        <v>26</v>
      </c>
      <c r="P28" s="178" t="s">
        <v>256</v>
      </c>
      <c r="Q28" s="178" t="s">
        <v>14</v>
      </c>
      <c r="R28" s="178" t="s">
        <v>296</v>
      </c>
      <c r="S28" s="183">
        <f>Z28*SUMIFS(용수분배비율!N:N,용수분배비율!B:B,B:B,용수분배비율!D:D,D:D)</f>
        <v>1790681.4207324535</v>
      </c>
      <c r="T28" s="183">
        <f>Z28*SUMIFS(용수분배비율!O:O,용수분배비율!B:B,B:B,용수분배비율!D:D,D:D)</f>
        <v>100334.20109389894</v>
      </c>
      <c r="U28" s="183">
        <f>Z28*SUMIFS(용수분배비율!P:P,용수분배비율!B:B,B:B,용수분배비율!D:D,D:D)</f>
        <v>350535.37545449298</v>
      </c>
      <c r="V28" s="183">
        <f>Z28*SUMIFS(용수분배비율!Q:Q,용수분배비율!B:B,B:B,용수분배비율!D:D,D:D)</f>
        <v>2588556.1974357055</v>
      </c>
      <c r="W28" s="183">
        <f>Z28*SUMIFS(용수분배비율!R:R,용수분배비율!B:B,B:B,용수분배비율!D:D,D:D)</f>
        <v>4551664.6179589592</v>
      </c>
      <c r="X28" s="183">
        <f>Z28*SUMIFS(용수분배비율!S:S,용수분배비율!B:B,B:B,용수분배비율!D:D,D:D)</f>
        <v>3012508.1873244899</v>
      </c>
      <c r="Y28" s="178">
        <f t="shared" si="1"/>
        <v>12394280</v>
      </c>
      <c r="Z28" s="262">
        <v>12394280</v>
      </c>
      <c r="AB28" s="178" t="s">
        <v>26</v>
      </c>
      <c r="AC28" s="178" t="s">
        <v>256</v>
      </c>
      <c r="AD28" s="178" t="s">
        <v>14</v>
      </c>
      <c r="AE28" s="178" t="s">
        <v>298</v>
      </c>
      <c r="AF28" s="183">
        <f>AM28*SUMIFS(용수분배비율!N:N,용수분배비율!B:B,B:B,용수분배비율!D:D,D:D)</f>
        <v>2613416.2197765228</v>
      </c>
      <c r="AG28" s="183">
        <f>AM28*SUMIFS(용수분배비율!O:O,용수분배비율!B:B,B:B,용수분배비율!D:D,D:D)</f>
        <v>146433.09831732066</v>
      </c>
      <c r="AH28" s="183">
        <f>AM28*SUMIFS(용수분배비율!P:P,용수분배비율!B:B,B:B,용수분배비율!D:D,D:D)</f>
        <v>511590.07136149838</v>
      </c>
      <c r="AI28" s="183">
        <f>AM28*SUMIFS(용수분배비율!Q:Q,용수분배비율!B:B,B:B,용수분배비율!D:D,D:D)</f>
        <v>3777877.3342130235</v>
      </c>
      <c r="AJ28" s="183">
        <f>AM28*SUMIFS(용수분배비율!R:R,용수분배비율!B:B,B:B,용수분배비율!D:D,D:D)</f>
        <v>6642942.7377937539</v>
      </c>
      <c r="AK28" s="183">
        <f>AM28*SUMIFS(용수분배비율!S:S,용수분배비율!B:B,B:B,용수분배비율!D:D,D:D)</f>
        <v>4396615.5385378813</v>
      </c>
      <c r="AL28" s="178">
        <f t="shared" si="2"/>
        <v>18088875</v>
      </c>
      <c r="AM28" s="262">
        <v>18088875</v>
      </c>
    </row>
    <row r="29" spans="2:39">
      <c r="B29" s="178" t="s">
        <v>26</v>
      </c>
      <c r="C29" s="178" t="s">
        <v>318</v>
      </c>
      <c r="D29" s="178" t="s">
        <v>15</v>
      </c>
      <c r="E29" s="178" t="s">
        <v>295</v>
      </c>
      <c r="F29" s="183">
        <f>M29*SUMIFS(용수분배비율!N:N,용수분배비율!B:B,B:B,용수분배비율!D:D,D:D)</f>
        <v>1592704.5036615618</v>
      </c>
      <c r="G29" s="183">
        <f>M29*SUMIFS(용수분배비율!O:O,용수분배비율!B:B,B:B,용수분배비율!D:D,D:D)</f>
        <v>23171.403713076437</v>
      </c>
      <c r="H29" s="183">
        <f>M29*SUMIFS(용수분배비율!P:P,용수분배비율!B:B,B:B,용수분배비율!D:D,D:D)</f>
        <v>292767.49718943855</v>
      </c>
      <c r="I29" s="183">
        <f>M29*SUMIFS(용수분배비율!Q:Q,용수분배비율!B:B,B:B,용수분배비율!D:D,D:D)</f>
        <v>2273008.4134100783</v>
      </c>
      <c r="J29" s="183">
        <f>M29*SUMIFS(용수분배비율!R:R,용수분배비율!B:B,B:B,용수분배비율!D:D,D:D)</f>
        <v>3484298.8570532901</v>
      </c>
      <c r="K29" s="183">
        <f>M29*SUMIFS(용수분배비율!S:S,용수분배비율!B:B,B:B,용수분배비율!D:D,D:D)</f>
        <v>1826459.3249725553</v>
      </c>
      <c r="L29" s="178">
        <f t="shared" si="0"/>
        <v>9492410</v>
      </c>
      <c r="M29" s="262">
        <v>9492410</v>
      </c>
      <c r="O29" s="178" t="s">
        <v>26</v>
      </c>
      <c r="P29" s="178" t="s">
        <v>258</v>
      </c>
      <c r="Q29" s="178" t="s">
        <v>15</v>
      </c>
      <c r="R29" s="178" t="s">
        <v>296</v>
      </c>
      <c r="S29" s="183">
        <f>Z29*SUMIFS(용수분배비율!N:N,용수분배비율!B:B,B:B,용수분배비율!D:D,D:D)</f>
        <v>2207387.7261550087</v>
      </c>
      <c r="T29" s="183">
        <f>Z29*SUMIFS(용수분배비율!O:O,용수분배비율!B:B,B:B,용수분배비율!D:D,D:D)</f>
        <v>32114.100284415446</v>
      </c>
      <c r="U29" s="183">
        <f>Z29*SUMIFS(용수분배비율!P:P,용수분배비율!B:B,B:B,용수분배비율!D:D,D:D)</f>
        <v>405757.23772198957</v>
      </c>
      <c r="V29" s="183">
        <f>Z29*SUMIFS(용수분배비율!Q:Q,용수분배비율!B:B,B:B,용수분배비율!D:D,D:D)</f>
        <v>3150245.9255145304</v>
      </c>
      <c r="W29" s="183">
        <f>Z29*SUMIFS(용수분배비율!R:R,용수분배비율!B:B,B:B,용수분배비율!D:D,D:D)</f>
        <v>4829017.8835016862</v>
      </c>
      <c r="X29" s="183">
        <f>Z29*SUMIFS(용수분배비율!S:S,용수분배비율!B:B,B:B,용수분배비율!D:D,D:D)</f>
        <v>2531357.1268223706</v>
      </c>
      <c r="Y29" s="178">
        <f t="shared" si="1"/>
        <v>13155880</v>
      </c>
      <c r="Z29" s="262">
        <v>13155880</v>
      </c>
      <c r="AB29" s="178" t="s">
        <v>26</v>
      </c>
      <c r="AC29" s="178" t="s">
        <v>258</v>
      </c>
      <c r="AD29" s="178" t="s">
        <v>15</v>
      </c>
      <c r="AE29" s="178" t="s">
        <v>298</v>
      </c>
      <c r="AF29" s="183">
        <f>AM29*SUMIFS(용수분배비율!N:N,용수분배비율!B:B,B:B,용수분배비율!D:D,D:D)</f>
        <v>3144604.009249086</v>
      </c>
      <c r="AG29" s="183">
        <f>AM29*SUMIFS(용수분배비율!O:O,용수분배비율!B:B,B:B,용수분배비율!D:D,D:D)</f>
        <v>45749.157391440764</v>
      </c>
      <c r="AH29" s="183">
        <f>AM29*SUMIFS(용수분배비율!P:P,용수분배비율!B:B,B:B,용수분배비율!D:D,D:D)</f>
        <v>578034.30788524845</v>
      </c>
      <c r="AI29" s="183">
        <f>AM29*SUMIFS(용수분배비율!Q:Q,용수분배비율!B:B,B:B,용수분배비율!D:D,D:D)</f>
        <v>4487782.481580195</v>
      </c>
      <c r="AJ29" s="183">
        <f>AM29*SUMIFS(용수분배비율!R:R,용수분배비율!B:B,B:B,용수분배비율!D:D,D:D)</f>
        <v>6879330.1771437777</v>
      </c>
      <c r="AK29" s="183">
        <f>AM29*SUMIFS(용수분배비율!S:S,용수분배비율!B:B,B:B,용수분배비율!D:D,D:D)</f>
        <v>3606124.8667502524</v>
      </c>
      <c r="AL29" s="178">
        <f t="shared" si="2"/>
        <v>18741625</v>
      </c>
      <c r="AM29" s="262">
        <v>18741625</v>
      </c>
    </row>
    <row r="30" spans="2:39">
      <c r="B30" s="178" t="s">
        <v>26</v>
      </c>
      <c r="C30" s="178" t="s">
        <v>318</v>
      </c>
      <c r="D30" s="178" t="s">
        <v>16</v>
      </c>
      <c r="E30" s="178" t="s">
        <v>295</v>
      </c>
      <c r="F30" s="183">
        <f>M30*SUMIFS(용수분배비율!N:N,용수분배비율!B:B,B:B,용수분배비율!D:D,D:D)</f>
        <v>1260476.2371501366</v>
      </c>
      <c r="G30" s="183">
        <f>M30*SUMIFS(용수분배비율!O:O,용수분배비율!B:B,B:B,용수분배비율!D:D,D:D)</f>
        <v>15017.203440297069</v>
      </c>
      <c r="H30" s="183">
        <f>M30*SUMIFS(용수분배비율!P:P,용수분배비율!B:B,B:B,용수분배비율!D:D,D:D)</f>
        <v>190682.15174797099</v>
      </c>
      <c r="I30" s="183">
        <f>M30*SUMIFS(용수분배비율!Q:Q,용수분배비율!B:B,B:B,용수분배비율!D:D,D:D)</f>
        <v>1296899.0108168223</v>
      </c>
      <c r="J30" s="183">
        <f>M30*SUMIFS(용수분배비율!R:R,용수분배비율!B:B,B:B,용수분배비율!D:D,D:D)</f>
        <v>2140072.5967217595</v>
      </c>
      <c r="K30" s="183">
        <f>M30*SUMIFS(용수분배비율!S:S,용수분배비율!B:B,B:B,용수분배비율!D:D,D:D)</f>
        <v>1299502.8001230136</v>
      </c>
      <c r="L30" s="178">
        <f t="shared" si="0"/>
        <v>6202650</v>
      </c>
      <c r="M30" s="262">
        <v>6202650</v>
      </c>
      <c r="O30" s="178" t="s">
        <v>26</v>
      </c>
      <c r="P30" s="178" t="s">
        <v>258</v>
      </c>
      <c r="Q30" s="178" t="s">
        <v>16</v>
      </c>
      <c r="R30" s="178" t="s">
        <v>296</v>
      </c>
      <c r="S30" s="183">
        <f>Z30*SUMIFS(용수분배비율!N:N,용수분배비율!B:B,B:B,용수분배비율!D:D,D:D)</f>
        <v>4957123.3333007898</v>
      </c>
      <c r="T30" s="183">
        <f>Z30*SUMIFS(용수분배비율!O:O,용수분배비율!B:B,B:B,용수분배비율!D:D,D:D)</f>
        <v>59058.733025487905</v>
      </c>
      <c r="U30" s="183">
        <f>Z30*SUMIFS(용수분배비율!P:P,용수분배비율!B:B,B:B,용수분배비율!D:D,D:D)</f>
        <v>749903.02539220429</v>
      </c>
      <c r="V30" s="183">
        <f>Z30*SUMIFS(용수분배비율!Q:Q,용수분배비율!B:B,B:B,용수분배비율!D:D,D:D)</f>
        <v>5100364.5748928403</v>
      </c>
      <c r="W30" s="183">
        <f>Z30*SUMIFS(용수분배비율!R:R,용수분배비율!B:B,B:B,용수분배비율!D:D,D:D)</f>
        <v>8416345.7362373453</v>
      </c>
      <c r="X30" s="183">
        <f>Z30*SUMIFS(용수분배비율!S:S,용수분배비율!B:B,B:B,용수분배비율!D:D,D:D)</f>
        <v>5110604.5971513335</v>
      </c>
      <c r="Y30" s="178">
        <f t="shared" si="1"/>
        <v>24393400</v>
      </c>
      <c r="Z30" s="262">
        <v>24393400</v>
      </c>
      <c r="AB30" s="178" t="s">
        <v>26</v>
      </c>
      <c r="AC30" s="178" t="s">
        <v>258</v>
      </c>
      <c r="AD30" s="178" t="s">
        <v>16</v>
      </c>
      <c r="AE30" s="178" t="s">
        <v>298</v>
      </c>
      <c r="AF30" s="183">
        <f>AM30*SUMIFS(용수분배비율!N:N,용수분배비율!B:B,B:B,용수분배비율!D:D,D:D)</f>
        <v>4922596.9755840376</v>
      </c>
      <c r="AG30" s="183">
        <f>AM30*SUMIFS(용수분배비율!O:O,용수분배비율!B:B,B:B,용수분배비율!D:D,D:D)</f>
        <v>58647.389025019322</v>
      </c>
      <c r="AH30" s="183">
        <f>AM30*SUMIFS(용수분배비율!P:P,용수분배비율!B:B,B:B,용수분배비율!D:D,D:D)</f>
        <v>744679.95177335094</v>
      </c>
      <c r="AI30" s="183">
        <f>AM30*SUMIFS(용수분배비율!Q:Q,용수분배비율!B:B,B:B,용수분배비율!D:D,D:D)</f>
        <v>5064840.5421104366</v>
      </c>
      <c r="AJ30" s="183">
        <f>AM30*SUMIFS(용수분배비율!R:R,용수분배비율!B:B,B:B,용수분배비율!D:D,D:D)</f>
        <v>8357725.8988802433</v>
      </c>
      <c r="AK30" s="183">
        <f>AM30*SUMIFS(용수분배비율!S:S,용수분배비율!B:B,B:B,용수분배비율!D:D,D:D)</f>
        <v>5075009.2426269129</v>
      </c>
      <c r="AL30" s="178">
        <f t="shared" si="2"/>
        <v>24223500</v>
      </c>
      <c r="AM30" s="262">
        <v>24223500</v>
      </c>
    </row>
    <row r="31" spans="2:39">
      <c r="B31" s="178" t="s">
        <v>26</v>
      </c>
      <c r="C31" s="178" t="s">
        <v>318</v>
      </c>
      <c r="D31" s="178" t="s">
        <v>17</v>
      </c>
      <c r="E31" s="178" t="s">
        <v>295</v>
      </c>
      <c r="F31" s="183">
        <f>M31*SUMIFS(용수분배비율!N:N,용수분배비율!B:B,B:B,용수분배비율!D:D,D:D)</f>
        <v>1441092.8466821825</v>
      </c>
      <c r="G31" s="183">
        <f>M31*SUMIFS(용수분배비율!O:O,용수분배비율!B:B,B:B,용수분배비율!D:D,D:D)</f>
        <v>53268.89546360627</v>
      </c>
      <c r="H31" s="183">
        <f>M31*SUMIFS(용수분배비율!P:P,용수분배비율!B:B,B:B,용수분배비율!D:D,D:D)</f>
        <v>236104.81428550952</v>
      </c>
      <c r="I31" s="183">
        <f>M31*SUMIFS(용수분배비율!Q:Q,용수분배비율!B:B,B:B,용수분배비율!D:D,D:D)</f>
        <v>1649533.1517214049</v>
      </c>
      <c r="J31" s="183">
        <f>M31*SUMIFS(용수분배비율!R:R,용수분배비율!B:B,B:B,용수분배비율!D:D,D:D)</f>
        <v>1635075.5026073097</v>
      </c>
      <c r="K31" s="183">
        <f>M31*SUMIFS(용수분배비율!S:S,용수분배비율!B:B,B:B,용수분배비율!D:D,D:D)</f>
        <v>2681654.7892399868</v>
      </c>
      <c r="L31" s="178">
        <f t="shared" si="0"/>
        <v>7696729.9999999991</v>
      </c>
      <c r="M31" s="262">
        <v>7696730</v>
      </c>
      <c r="O31" s="178" t="s">
        <v>26</v>
      </c>
      <c r="P31" s="178" t="s">
        <v>258</v>
      </c>
      <c r="Q31" s="178" t="s">
        <v>17</v>
      </c>
      <c r="R31" s="178" t="s">
        <v>296</v>
      </c>
      <c r="S31" s="183">
        <f>Z31*SUMIFS(용수분배비율!N:N,용수분배비율!B:B,B:B,용수분배비율!D:D,D:D)</f>
        <v>4474700.639808042</v>
      </c>
      <c r="T31" s="183">
        <f>Z31*SUMIFS(용수분배비율!O:O,용수분배비율!B:B,B:B,용수분배비율!D:D,D:D)</f>
        <v>165403.8885569702</v>
      </c>
      <c r="U31" s="183">
        <f>Z31*SUMIFS(용수분배비율!P:P,용수분배비율!B:B,B:B,용수분배비율!D:D,D:D)</f>
        <v>733123.03643550561</v>
      </c>
      <c r="V31" s="183">
        <f>Z31*SUMIFS(용수분배비율!Q:Q,용수분배비율!B:B,B:B,용수분배비율!D:D,D:D)</f>
        <v>5121923.3142305519</v>
      </c>
      <c r="W31" s="183">
        <f>Z31*SUMIFS(용수분배비율!R:R,용수분배비율!B:B,B:B,용수분배비율!D:D,D:D)</f>
        <v>5077031.2367423419</v>
      </c>
      <c r="X31" s="183">
        <f>Z31*SUMIFS(용수분배비율!S:S,용수분배비율!B:B,B:B,용수분배비율!D:D,D:D)</f>
        <v>8326737.8842265885</v>
      </c>
      <c r="Y31" s="178">
        <f t="shared" si="1"/>
        <v>23898920</v>
      </c>
      <c r="Z31" s="262">
        <v>23898920</v>
      </c>
      <c r="AB31" s="178" t="s">
        <v>26</v>
      </c>
      <c r="AC31" s="178" t="s">
        <v>258</v>
      </c>
      <c r="AD31" s="178" t="s">
        <v>17</v>
      </c>
      <c r="AE31" s="178" t="s">
        <v>298</v>
      </c>
      <c r="AF31" s="183">
        <f>AM31*SUMIFS(용수분배비율!N:N,용수분배비율!B:B,B:B,용수분배비율!D:D,D:D)</f>
        <v>4019408.2958526653</v>
      </c>
      <c r="AG31" s="183">
        <f>AM31*SUMIFS(용수분배비율!O:O,용수분배비율!B:B,B:B,용수분배비율!D:D,D:D)</f>
        <v>148574.35510159531</v>
      </c>
      <c r="AH31" s="183">
        <f>AM31*SUMIFS(용수분배비율!P:P,용수분배비율!B:B,B:B,용수분배비율!D:D,D:D)</f>
        <v>658529.15127211215</v>
      </c>
      <c r="AI31" s="183">
        <f>AM31*SUMIFS(용수분배비율!Q:Q,용수분배비율!B:B,B:B,용수분배비율!D:D,D:D)</f>
        <v>4600777.2848068373</v>
      </c>
      <c r="AJ31" s="183">
        <f>AM31*SUMIFS(용수분배비율!R:R,용수분배비율!B:B,B:B,용수분배비율!D:D,D:D)</f>
        <v>4560452.8914677752</v>
      </c>
      <c r="AK31" s="183">
        <f>AM31*SUMIFS(용수분배비율!S:S,용수분배비율!B:B,B:B,용수분배비율!D:D,D:D)</f>
        <v>7479508.0214990145</v>
      </c>
      <c r="AL31" s="178">
        <f t="shared" si="2"/>
        <v>21467250</v>
      </c>
      <c r="AM31" s="262">
        <v>21467250</v>
      </c>
    </row>
    <row r="32" spans="2:39">
      <c r="B32" s="178" t="s">
        <v>26</v>
      </c>
      <c r="C32" s="178" t="s">
        <v>260</v>
      </c>
      <c r="D32" s="178" t="s">
        <v>18</v>
      </c>
      <c r="E32" s="178" t="s">
        <v>295</v>
      </c>
      <c r="F32" s="183" t="e">
        <f>M32*SUMIFS(용수분배비율!N:N,용수분배비율!B:B,B:B,용수분배비율!D:D,D:D)</f>
        <v>#DIV/0!</v>
      </c>
      <c r="G32" s="183" t="e">
        <f>M32*SUMIFS(용수분배비율!O:O,용수분배비율!B:B,B:B,용수분배비율!D:D,D:D)</f>
        <v>#DIV/0!</v>
      </c>
      <c r="H32" s="183" t="e">
        <f>M32*SUMIFS(용수분배비율!P:P,용수분배비율!B:B,B:B,용수분배비율!D:D,D:D)</f>
        <v>#DIV/0!</v>
      </c>
      <c r="I32" s="183" t="e">
        <f>M32*SUMIFS(용수분배비율!Q:Q,용수분배비율!B:B,B:B,용수분배비율!D:D,D:D)</f>
        <v>#DIV/0!</v>
      </c>
      <c r="J32" s="183" t="e">
        <f>M32*SUMIFS(용수분배비율!R:R,용수분배비율!B:B,B:B,용수분배비율!D:D,D:D)</f>
        <v>#DIV/0!</v>
      </c>
      <c r="K32" s="183" t="e">
        <f>M32*SUMIFS(용수분배비율!S:S,용수분배비율!B:B,B:B,용수분배비율!D:D,D:D)</f>
        <v>#DIV/0!</v>
      </c>
      <c r="L32" s="178" t="e">
        <f t="shared" si="0"/>
        <v>#DIV/0!</v>
      </c>
      <c r="O32" s="178" t="s">
        <v>26</v>
      </c>
      <c r="P32" s="178" t="s">
        <v>260</v>
      </c>
      <c r="Q32" s="178" t="s">
        <v>18</v>
      </c>
      <c r="R32" s="178" t="s">
        <v>296</v>
      </c>
      <c r="S32" s="183" t="e">
        <f>Z32*SUMIFS(용수분배비율!N:N,용수분배비율!B:B,B:B,용수분배비율!D:D,D:D)</f>
        <v>#DIV/0!</v>
      </c>
      <c r="T32" s="183" t="e">
        <f>Z32*SUMIFS(용수분배비율!O:O,용수분배비율!B:B,B:B,용수분배비율!D:D,D:D)</f>
        <v>#DIV/0!</v>
      </c>
      <c r="U32" s="183" t="e">
        <f>Z32*SUMIFS(용수분배비율!P:P,용수분배비율!B:B,B:B,용수분배비율!D:D,D:D)</f>
        <v>#DIV/0!</v>
      </c>
      <c r="V32" s="183" t="e">
        <f>Z32*SUMIFS(용수분배비율!Q:Q,용수분배비율!B:B,B:B,용수분배비율!D:D,D:D)</f>
        <v>#DIV/0!</v>
      </c>
      <c r="W32" s="183" t="e">
        <f>Z32*SUMIFS(용수분배비율!R:R,용수분배비율!B:B,B:B,용수분배비율!D:D,D:D)</f>
        <v>#DIV/0!</v>
      </c>
      <c r="X32" s="183" t="e">
        <f>Z32*SUMIFS(용수분배비율!S:S,용수분배비율!B:B,B:B,용수분배비율!D:D,D:D)</f>
        <v>#DIV/0!</v>
      </c>
      <c r="Y32" s="178" t="e">
        <f t="shared" si="1"/>
        <v>#DIV/0!</v>
      </c>
      <c r="AB32" s="178" t="s">
        <v>26</v>
      </c>
      <c r="AC32" s="178" t="s">
        <v>260</v>
      </c>
      <c r="AD32" s="178" t="s">
        <v>18</v>
      </c>
      <c r="AE32" s="178" t="s">
        <v>298</v>
      </c>
      <c r="AF32" s="183" t="e">
        <f>AM32*SUMIFS(용수분배비율!N:N,용수분배비율!B:B,B:B,용수분배비율!D:D,D:D)</f>
        <v>#DIV/0!</v>
      </c>
      <c r="AG32" s="183" t="e">
        <f>AM32*SUMIFS(용수분배비율!O:O,용수분배비율!B:B,B:B,용수분배비율!D:D,D:D)</f>
        <v>#DIV/0!</v>
      </c>
      <c r="AH32" s="183" t="e">
        <f>AM32*SUMIFS(용수분배비율!P:P,용수분배비율!B:B,B:B,용수분배비율!D:D,D:D)</f>
        <v>#DIV/0!</v>
      </c>
      <c r="AI32" s="183" t="e">
        <f>AM32*SUMIFS(용수분배비율!Q:Q,용수분배비율!B:B,B:B,용수분배비율!D:D,D:D)</f>
        <v>#DIV/0!</v>
      </c>
      <c r="AJ32" s="183" t="e">
        <f>AM32*SUMIFS(용수분배비율!R:R,용수분배비율!B:B,B:B,용수분배비율!D:D,D:D)</f>
        <v>#DIV/0!</v>
      </c>
      <c r="AK32" s="183" t="e">
        <f>AM32*SUMIFS(용수분배비율!S:S,용수분배비율!B:B,B:B,용수분배비율!D:D,D:D)</f>
        <v>#DIV/0!</v>
      </c>
      <c r="AL32" s="178" t="e">
        <f t="shared" si="2"/>
        <v>#DIV/0!</v>
      </c>
    </row>
    <row r="33" spans="2:38">
      <c r="B33" s="178" t="s">
        <v>26</v>
      </c>
      <c r="C33" s="178" t="s">
        <v>260</v>
      </c>
      <c r="D33" s="178" t="s">
        <v>19</v>
      </c>
      <c r="E33" s="178" t="s">
        <v>295</v>
      </c>
      <c r="F33" s="183" t="e">
        <f>M33*SUMIFS(용수분배비율!N:N,용수분배비율!B:B,B:B,용수분배비율!D:D,D:D)</f>
        <v>#DIV/0!</v>
      </c>
      <c r="G33" s="183" t="e">
        <f>M33*SUMIFS(용수분배비율!O:O,용수분배비율!B:B,B:B,용수분배비율!D:D,D:D)</f>
        <v>#DIV/0!</v>
      </c>
      <c r="H33" s="183" t="e">
        <f>M33*SUMIFS(용수분배비율!P:P,용수분배비율!B:B,B:B,용수분배비율!D:D,D:D)</f>
        <v>#DIV/0!</v>
      </c>
      <c r="I33" s="183" t="e">
        <f>M33*SUMIFS(용수분배비율!Q:Q,용수분배비율!B:B,B:B,용수분배비율!D:D,D:D)</f>
        <v>#DIV/0!</v>
      </c>
      <c r="J33" s="183" t="e">
        <f>M33*SUMIFS(용수분배비율!R:R,용수분배비율!B:B,B:B,용수분배비율!D:D,D:D)</f>
        <v>#DIV/0!</v>
      </c>
      <c r="K33" s="183" t="e">
        <f>M33*SUMIFS(용수분배비율!S:S,용수분배비율!B:B,B:B,용수분배비율!D:D,D:D)</f>
        <v>#DIV/0!</v>
      </c>
      <c r="L33" s="178" t="e">
        <f t="shared" si="0"/>
        <v>#DIV/0!</v>
      </c>
      <c r="O33" s="178" t="s">
        <v>26</v>
      </c>
      <c r="P33" s="178" t="s">
        <v>260</v>
      </c>
      <c r="Q33" s="178" t="s">
        <v>19</v>
      </c>
      <c r="R33" s="178" t="s">
        <v>296</v>
      </c>
      <c r="S33" s="183" t="e">
        <f>Z33*SUMIFS(용수분배비율!N:N,용수분배비율!B:B,B:B,용수분배비율!D:D,D:D)</f>
        <v>#DIV/0!</v>
      </c>
      <c r="T33" s="183" t="e">
        <f>Z33*SUMIFS(용수분배비율!O:O,용수분배비율!B:B,B:B,용수분배비율!D:D,D:D)</f>
        <v>#DIV/0!</v>
      </c>
      <c r="U33" s="183" t="e">
        <f>Z33*SUMIFS(용수분배비율!P:P,용수분배비율!B:B,B:B,용수분배비율!D:D,D:D)</f>
        <v>#DIV/0!</v>
      </c>
      <c r="V33" s="183" t="e">
        <f>Z33*SUMIFS(용수분배비율!Q:Q,용수분배비율!B:B,B:B,용수분배비율!D:D,D:D)</f>
        <v>#DIV/0!</v>
      </c>
      <c r="W33" s="183" t="e">
        <f>Z33*SUMIFS(용수분배비율!R:R,용수분배비율!B:B,B:B,용수분배비율!D:D,D:D)</f>
        <v>#DIV/0!</v>
      </c>
      <c r="X33" s="183" t="e">
        <f>Z33*SUMIFS(용수분배비율!S:S,용수분배비율!B:B,B:B,용수분배비율!D:D,D:D)</f>
        <v>#DIV/0!</v>
      </c>
      <c r="Y33" s="178" t="e">
        <f t="shared" si="1"/>
        <v>#DIV/0!</v>
      </c>
      <c r="AB33" s="178" t="s">
        <v>26</v>
      </c>
      <c r="AC33" s="178" t="s">
        <v>260</v>
      </c>
      <c r="AD33" s="178" t="s">
        <v>19</v>
      </c>
      <c r="AE33" s="178" t="s">
        <v>298</v>
      </c>
      <c r="AF33" s="183" t="e">
        <f>AM33*SUMIFS(용수분배비율!N:N,용수분배비율!B:B,B:B,용수분배비율!D:D,D:D)</f>
        <v>#DIV/0!</v>
      </c>
      <c r="AG33" s="183" t="e">
        <f>AM33*SUMIFS(용수분배비율!O:O,용수분배비율!B:B,B:B,용수분배비율!D:D,D:D)</f>
        <v>#DIV/0!</v>
      </c>
      <c r="AH33" s="183" t="e">
        <f>AM33*SUMIFS(용수분배비율!P:P,용수분배비율!B:B,B:B,용수분배비율!D:D,D:D)</f>
        <v>#DIV/0!</v>
      </c>
      <c r="AI33" s="183" t="e">
        <f>AM33*SUMIFS(용수분배비율!Q:Q,용수분배비율!B:B,B:B,용수분배비율!D:D,D:D)</f>
        <v>#DIV/0!</v>
      </c>
      <c r="AJ33" s="183" t="e">
        <f>AM33*SUMIFS(용수분배비율!R:R,용수분배비율!B:B,B:B,용수분배비율!D:D,D:D)</f>
        <v>#DIV/0!</v>
      </c>
      <c r="AK33" s="183" t="e">
        <f>AM33*SUMIFS(용수분배비율!S:S,용수분배비율!B:B,B:B,용수분배비율!D:D,D:D)</f>
        <v>#DIV/0!</v>
      </c>
      <c r="AL33" s="178" t="e">
        <f t="shared" si="2"/>
        <v>#DIV/0!</v>
      </c>
    </row>
    <row r="34" spans="2:38">
      <c r="B34" s="178" t="s">
        <v>26</v>
      </c>
      <c r="C34" s="178" t="s">
        <v>260</v>
      </c>
      <c r="D34" s="178" t="s">
        <v>20</v>
      </c>
      <c r="E34" s="178" t="s">
        <v>295</v>
      </c>
      <c r="F34" s="183" t="e">
        <f>M34*SUMIFS(용수분배비율!N:N,용수분배비율!B:B,B:B,용수분배비율!D:D,D:D)</f>
        <v>#DIV/0!</v>
      </c>
      <c r="G34" s="183" t="e">
        <f>M34*SUMIFS(용수분배비율!O:O,용수분배비율!B:B,B:B,용수분배비율!D:D,D:D)</f>
        <v>#DIV/0!</v>
      </c>
      <c r="H34" s="183" t="e">
        <f>M34*SUMIFS(용수분배비율!P:P,용수분배비율!B:B,B:B,용수분배비율!D:D,D:D)</f>
        <v>#DIV/0!</v>
      </c>
      <c r="I34" s="183" t="e">
        <f>M34*SUMIFS(용수분배비율!Q:Q,용수분배비율!B:B,B:B,용수분배비율!D:D,D:D)</f>
        <v>#DIV/0!</v>
      </c>
      <c r="J34" s="183" t="e">
        <f>M34*SUMIFS(용수분배비율!R:R,용수분배비율!B:B,B:B,용수분배비율!D:D,D:D)</f>
        <v>#DIV/0!</v>
      </c>
      <c r="K34" s="183" t="e">
        <f>M34*SUMIFS(용수분배비율!S:S,용수분배비율!B:B,B:B,용수분배비율!D:D,D:D)</f>
        <v>#DIV/0!</v>
      </c>
      <c r="L34" s="178" t="e">
        <f t="shared" si="0"/>
        <v>#DIV/0!</v>
      </c>
      <c r="O34" s="178" t="s">
        <v>26</v>
      </c>
      <c r="P34" s="178" t="s">
        <v>260</v>
      </c>
      <c r="Q34" s="178" t="s">
        <v>20</v>
      </c>
      <c r="R34" s="178" t="s">
        <v>296</v>
      </c>
      <c r="S34" s="183" t="e">
        <f>Z34*SUMIFS(용수분배비율!N:N,용수분배비율!B:B,B:B,용수분배비율!D:D,D:D)</f>
        <v>#DIV/0!</v>
      </c>
      <c r="T34" s="183" t="e">
        <f>Z34*SUMIFS(용수분배비율!O:O,용수분배비율!B:B,B:B,용수분배비율!D:D,D:D)</f>
        <v>#DIV/0!</v>
      </c>
      <c r="U34" s="183" t="e">
        <f>Z34*SUMIFS(용수분배비율!P:P,용수분배비율!B:B,B:B,용수분배비율!D:D,D:D)</f>
        <v>#DIV/0!</v>
      </c>
      <c r="V34" s="183" t="e">
        <f>Z34*SUMIFS(용수분배비율!Q:Q,용수분배비율!B:B,B:B,용수분배비율!D:D,D:D)</f>
        <v>#DIV/0!</v>
      </c>
      <c r="W34" s="183" t="e">
        <f>Z34*SUMIFS(용수분배비율!R:R,용수분배비율!B:B,B:B,용수분배비율!D:D,D:D)</f>
        <v>#DIV/0!</v>
      </c>
      <c r="X34" s="183" t="e">
        <f>Z34*SUMIFS(용수분배비율!S:S,용수분배비율!B:B,B:B,용수분배비율!D:D,D:D)</f>
        <v>#DIV/0!</v>
      </c>
      <c r="Y34" s="178" t="e">
        <f t="shared" si="1"/>
        <v>#DIV/0!</v>
      </c>
      <c r="AB34" s="178" t="s">
        <v>26</v>
      </c>
      <c r="AC34" s="178" t="s">
        <v>260</v>
      </c>
      <c r="AD34" s="178" t="s">
        <v>20</v>
      </c>
      <c r="AE34" s="178" t="s">
        <v>298</v>
      </c>
      <c r="AF34" s="183" t="e">
        <f>AM34*SUMIFS(용수분배비율!N:N,용수분배비율!B:B,B:B,용수분배비율!D:D,D:D)</f>
        <v>#DIV/0!</v>
      </c>
      <c r="AG34" s="183" t="e">
        <f>AM34*SUMIFS(용수분배비율!O:O,용수분배비율!B:B,B:B,용수분배비율!D:D,D:D)</f>
        <v>#DIV/0!</v>
      </c>
      <c r="AH34" s="183" t="e">
        <f>AM34*SUMIFS(용수분배비율!P:P,용수분배비율!B:B,B:B,용수분배비율!D:D,D:D)</f>
        <v>#DIV/0!</v>
      </c>
      <c r="AI34" s="183" t="e">
        <f>AM34*SUMIFS(용수분배비율!Q:Q,용수분배비율!B:B,B:B,용수분배비율!D:D,D:D)</f>
        <v>#DIV/0!</v>
      </c>
      <c r="AJ34" s="183" t="e">
        <f>AM34*SUMIFS(용수분배비율!R:R,용수분배비율!B:B,B:B,용수분배비율!D:D,D:D)</f>
        <v>#DIV/0!</v>
      </c>
      <c r="AK34" s="183" t="e">
        <f>AM34*SUMIFS(용수분배비율!S:S,용수분배비율!B:B,B:B,용수분배비율!D:D,D:D)</f>
        <v>#DIV/0!</v>
      </c>
      <c r="AL34" s="178" t="e">
        <f t="shared" si="2"/>
        <v>#DIV/0!</v>
      </c>
    </row>
    <row r="35" spans="2:38">
      <c r="B35" s="178" t="s">
        <v>26</v>
      </c>
      <c r="C35" s="178" t="s">
        <v>262</v>
      </c>
      <c r="D35" s="178" t="s">
        <v>21</v>
      </c>
      <c r="E35" s="178" t="s">
        <v>295</v>
      </c>
      <c r="F35" s="183" t="e">
        <f>M35*SUMIFS(용수분배비율!N:N,용수분배비율!B:B,B:B,용수분배비율!D:D,D:D)</f>
        <v>#DIV/0!</v>
      </c>
      <c r="G35" s="183" t="e">
        <f>M35*SUMIFS(용수분배비율!O:O,용수분배비율!B:B,B:B,용수분배비율!D:D,D:D)</f>
        <v>#DIV/0!</v>
      </c>
      <c r="H35" s="183" t="e">
        <f>M35*SUMIFS(용수분배비율!P:P,용수분배비율!B:B,B:B,용수분배비율!D:D,D:D)</f>
        <v>#DIV/0!</v>
      </c>
      <c r="I35" s="183" t="e">
        <f>M35*SUMIFS(용수분배비율!Q:Q,용수분배비율!B:B,B:B,용수분배비율!D:D,D:D)</f>
        <v>#DIV/0!</v>
      </c>
      <c r="J35" s="183" t="e">
        <f>M35*SUMIFS(용수분배비율!R:R,용수분배비율!B:B,B:B,용수분배비율!D:D,D:D)</f>
        <v>#DIV/0!</v>
      </c>
      <c r="K35" s="183" t="e">
        <f>M35*SUMIFS(용수분배비율!S:S,용수분배비율!B:B,B:B,용수분배비율!D:D,D:D)</f>
        <v>#DIV/0!</v>
      </c>
      <c r="L35" s="178" t="e">
        <f t="shared" si="0"/>
        <v>#DIV/0!</v>
      </c>
      <c r="O35" s="178" t="s">
        <v>26</v>
      </c>
      <c r="P35" s="178" t="s">
        <v>262</v>
      </c>
      <c r="Q35" s="178" t="s">
        <v>21</v>
      </c>
      <c r="R35" s="178" t="s">
        <v>296</v>
      </c>
      <c r="S35" s="183" t="e">
        <f>Z35*SUMIFS(용수분배비율!N:N,용수분배비율!B:B,B:B,용수분배비율!D:D,D:D)</f>
        <v>#DIV/0!</v>
      </c>
      <c r="T35" s="183" t="e">
        <f>Z35*SUMIFS(용수분배비율!O:O,용수분배비율!B:B,B:B,용수분배비율!D:D,D:D)</f>
        <v>#DIV/0!</v>
      </c>
      <c r="U35" s="183" t="e">
        <f>Z35*SUMIFS(용수분배비율!P:P,용수분배비율!B:B,B:B,용수분배비율!D:D,D:D)</f>
        <v>#DIV/0!</v>
      </c>
      <c r="V35" s="183" t="e">
        <f>Z35*SUMIFS(용수분배비율!Q:Q,용수분배비율!B:B,B:B,용수분배비율!D:D,D:D)</f>
        <v>#DIV/0!</v>
      </c>
      <c r="W35" s="183" t="e">
        <f>Z35*SUMIFS(용수분배비율!R:R,용수분배비율!B:B,B:B,용수분배비율!D:D,D:D)</f>
        <v>#DIV/0!</v>
      </c>
      <c r="X35" s="183" t="e">
        <f>Z35*SUMIFS(용수분배비율!S:S,용수분배비율!B:B,B:B,용수분배비율!D:D,D:D)</f>
        <v>#DIV/0!</v>
      </c>
      <c r="Y35" s="178" t="e">
        <f t="shared" si="1"/>
        <v>#DIV/0!</v>
      </c>
      <c r="AB35" s="178" t="s">
        <v>26</v>
      </c>
      <c r="AC35" s="178" t="s">
        <v>262</v>
      </c>
      <c r="AD35" s="178" t="s">
        <v>21</v>
      </c>
      <c r="AE35" s="178" t="s">
        <v>298</v>
      </c>
      <c r="AF35" s="183" t="e">
        <f>AM35*SUMIFS(용수분배비율!N:N,용수분배비율!B:B,B:B,용수분배비율!D:D,D:D)</f>
        <v>#DIV/0!</v>
      </c>
      <c r="AG35" s="183" t="e">
        <f>AM35*SUMIFS(용수분배비율!O:O,용수분배비율!B:B,B:B,용수분배비율!D:D,D:D)</f>
        <v>#DIV/0!</v>
      </c>
      <c r="AH35" s="183" t="e">
        <f>AM35*SUMIFS(용수분배비율!P:P,용수분배비율!B:B,B:B,용수분배비율!D:D,D:D)</f>
        <v>#DIV/0!</v>
      </c>
      <c r="AI35" s="183" t="e">
        <f>AM35*SUMIFS(용수분배비율!Q:Q,용수분배비율!B:B,B:B,용수분배비율!D:D,D:D)</f>
        <v>#DIV/0!</v>
      </c>
      <c r="AJ35" s="183" t="e">
        <f>AM35*SUMIFS(용수분배비율!R:R,용수분배비율!B:B,B:B,용수분배비율!D:D,D:D)</f>
        <v>#DIV/0!</v>
      </c>
      <c r="AK35" s="183" t="e">
        <f>AM35*SUMIFS(용수분배비율!S:S,용수분배비율!B:B,B:B,용수분배비율!D:D,D:D)</f>
        <v>#DIV/0!</v>
      </c>
      <c r="AL35" s="178" t="e">
        <f t="shared" si="2"/>
        <v>#DIV/0!</v>
      </c>
    </row>
    <row r="36" spans="2:38">
      <c r="B36" s="178" t="s">
        <v>26</v>
      </c>
      <c r="C36" s="178" t="s">
        <v>262</v>
      </c>
      <c r="D36" s="178" t="s">
        <v>22</v>
      </c>
      <c r="E36" s="178" t="s">
        <v>295</v>
      </c>
      <c r="F36" s="183" t="e">
        <f>M36*SUMIFS(용수분배비율!N:N,용수분배비율!B:B,B:B,용수분배비율!D:D,D:D)</f>
        <v>#DIV/0!</v>
      </c>
      <c r="G36" s="183" t="e">
        <f>M36*SUMIFS(용수분배비율!O:O,용수분배비율!B:B,B:B,용수분배비율!D:D,D:D)</f>
        <v>#DIV/0!</v>
      </c>
      <c r="H36" s="183" t="e">
        <f>M36*SUMIFS(용수분배비율!P:P,용수분배비율!B:B,B:B,용수분배비율!D:D,D:D)</f>
        <v>#DIV/0!</v>
      </c>
      <c r="I36" s="183" t="e">
        <f>M36*SUMIFS(용수분배비율!Q:Q,용수분배비율!B:B,B:B,용수분배비율!D:D,D:D)</f>
        <v>#DIV/0!</v>
      </c>
      <c r="J36" s="183" t="e">
        <f>M36*SUMIFS(용수분배비율!R:R,용수분배비율!B:B,B:B,용수분배비율!D:D,D:D)</f>
        <v>#DIV/0!</v>
      </c>
      <c r="K36" s="183" t="e">
        <f>M36*SUMIFS(용수분배비율!S:S,용수분배비율!B:B,B:B,용수분배비율!D:D,D:D)</f>
        <v>#DIV/0!</v>
      </c>
      <c r="L36" s="178" t="e">
        <f t="shared" si="0"/>
        <v>#DIV/0!</v>
      </c>
      <c r="O36" s="178" t="s">
        <v>26</v>
      </c>
      <c r="P36" s="178" t="s">
        <v>262</v>
      </c>
      <c r="Q36" s="178" t="s">
        <v>22</v>
      </c>
      <c r="R36" s="178" t="s">
        <v>296</v>
      </c>
      <c r="S36" s="183" t="e">
        <f>Z36*SUMIFS(용수분배비율!N:N,용수분배비율!B:B,B:B,용수분배비율!D:D,D:D)</f>
        <v>#DIV/0!</v>
      </c>
      <c r="T36" s="183" t="e">
        <f>Z36*SUMIFS(용수분배비율!O:O,용수분배비율!B:B,B:B,용수분배비율!D:D,D:D)</f>
        <v>#DIV/0!</v>
      </c>
      <c r="U36" s="183" t="e">
        <f>Z36*SUMIFS(용수분배비율!P:P,용수분배비율!B:B,B:B,용수분배비율!D:D,D:D)</f>
        <v>#DIV/0!</v>
      </c>
      <c r="V36" s="183" t="e">
        <f>Z36*SUMIFS(용수분배비율!Q:Q,용수분배비율!B:B,B:B,용수분배비율!D:D,D:D)</f>
        <v>#DIV/0!</v>
      </c>
      <c r="W36" s="183" t="e">
        <f>Z36*SUMIFS(용수분배비율!R:R,용수분배비율!B:B,B:B,용수분배비율!D:D,D:D)</f>
        <v>#DIV/0!</v>
      </c>
      <c r="X36" s="183" t="e">
        <f>Z36*SUMIFS(용수분배비율!S:S,용수분배비율!B:B,B:B,용수분배비율!D:D,D:D)</f>
        <v>#DIV/0!</v>
      </c>
      <c r="Y36" s="178" t="e">
        <f t="shared" si="1"/>
        <v>#DIV/0!</v>
      </c>
      <c r="AB36" s="178" t="s">
        <v>26</v>
      </c>
      <c r="AC36" s="178" t="s">
        <v>262</v>
      </c>
      <c r="AD36" s="178" t="s">
        <v>22</v>
      </c>
      <c r="AE36" s="178" t="s">
        <v>298</v>
      </c>
      <c r="AF36" s="183" t="e">
        <f>AM36*SUMIFS(용수분배비율!N:N,용수분배비율!B:B,B:B,용수분배비율!D:D,D:D)</f>
        <v>#DIV/0!</v>
      </c>
      <c r="AG36" s="183" t="e">
        <f>AM36*SUMIFS(용수분배비율!O:O,용수분배비율!B:B,B:B,용수분배비율!D:D,D:D)</f>
        <v>#DIV/0!</v>
      </c>
      <c r="AH36" s="183" t="e">
        <f>AM36*SUMIFS(용수분배비율!P:P,용수분배비율!B:B,B:B,용수분배비율!D:D,D:D)</f>
        <v>#DIV/0!</v>
      </c>
      <c r="AI36" s="183" t="e">
        <f>AM36*SUMIFS(용수분배비율!Q:Q,용수분배비율!B:B,B:B,용수분배비율!D:D,D:D)</f>
        <v>#DIV/0!</v>
      </c>
      <c r="AJ36" s="183" t="e">
        <f>AM36*SUMIFS(용수분배비율!R:R,용수분배비율!B:B,B:B,용수분배비율!D:D,D:D)</f>
        <v>#DIV/0!</v>
      </c>
      <c r="AK36" s="183" t="e">
        <f>AM36*SUMIFS(용수분배비율!S:S,용수분배비율!B:B,B:B,용수분배비율!D:D,D:D)</f>
        <v>#DIV/0!</v>
      </c>
      <c r="AL36" s="178" t="e">
        <f t="shared" si="2"/>
        <v>#DIV/0!</v>
      </c>
    </row>
    <row r="37" spans="2:38">
      <c r="B37" s="178" t="s">
        <v>26</v>
      </c>
      <c r="C37" s="178" t="s">
        <v>262</v>
      </c>
      <c r="D37" s="178" t="s">
        <v>23</v>
      </c>
      <c r="E37" s="178" t="s">
        <v>295</v>
      </c>
      <c r="F37" s="183" t="e">
        <f>M37*SUMIFS(용수분배비율!N:N,용수분배비율!B:B,B:B,용수분배비율!D:D,D:D)</f>
        <v>#DIV/0!</v>
      </c>
      <c r="G37" s="183" t="e">
        <f>M37*SUMIFS(용수분배비율!O:O,용수분배비율!B:B,B:B,용수분배비율!D:D,D:D)</f>
        <v>#DIV/0!</v>
      </c>
      <c r="H37" s="183" t="e">
        <f>M37*SUMIFS(용수분배비율!P:P,용수분배비율!B:B,B:B,용수분배비율!D:D,D:D)</f>
        <v>#DIV/0!</v>
      </c>
      <c r="I37" s="183" t="e">
        <f>M37*SUMIFS(용수분배비율!Q:Q,용수분배비율!B:B,B:B,용수분배비율!D:D,D:D)</f>
        <v>#DIV/0!</v>
      </c>
      <c r="J37" s="183" t="e">
        <f>M37*SUMIFS(용수분배비율!R:R,용수분배비율!B:B,B:B,용수분배비율!D:D,D:D)</f>
        <v>#DIV/0!</v>
      </c>
      <c r="K37" s="183" t="e">
        <f>M37*SUMIFS(용수분배비율!S:S,용수분배비율!B:B,B:B,용수분배비율!D:D,D:D)</f>
        <v>#DIV/0!</v>
      </c>
      <c r="L37" s="178" t="e">
        <f t="shared" si="0"/>
        <v>#DIV/0!</v>
      </c>
      <c r="O37" s="178" t="s">
        <v>26</v>
      </c>
      <c r="P37" s="178" t="s">
        <v>262</v>
      </c>
      <c r="Q37" s="178" t="s">
        <v>23</v>
      </c>
      <c r="R37" s="178" t="s">
        <v>296</v>
      </c>
      <c r="S37" s="183" t="e">
        <f>Z37*SUMIFS(용수분배비율!N:N,용수분배비율!B:B,B:B,용수분배비율!D:D,D:D)</f>
        <v>#DIV/0!</v>
      </c>
      <c r="T37" s="183" t="e">
        <f>Z37*SUMIFS(용수분배비율!O:O,용수분배비율!B:B,B:B,용수분배비율!D:D,D:D)</f>
        <v>#DIV/0!</v>
      </c>
      <c r="U37" s="183" t="e">
        <f>Z37*SUMIFS(용수분배비율!P:P,용수분배비율!B:B,B:B,용수분배비율!D:D,D:D)</f>
        <v>#DIV/0!</v>
      </c>
      <c r="V37" s="183" t="e">
        <f>Z37*SUMIFS(용수분배비율!Q:Q,용수분배비율!B:B,B:B,용수분배비율!D:D,D:D)</f>
        <v>#DIV/0!</v>
      </c>
      <c r="W37" s="183" t="e">
        <f>Z37*SUMIFS(용수분배비율!R:R,용수분배비율!B:B,B:B,용수분배비율!D:D,D:D)</f>
        <v>#DIV/0!</v>
      </c>
      <c r="X37" s="183" t="e">
        <f>Z37*SUMIFS(용수분배비율!S:S,용수분배비율!B:B,B:B,용수분배비율!D:D,D:D)</f>
        <v>#DIV/0!</v>
      </c>
      <c r="Y37" s="178" t="e">
        <f t="shared" si="1"/>
        <v>#DIV/0!</v>
      </c>
      <c r="AB37" s="178" t="s">
        <v>26</v>
      </c>
      <c r="AC37" s="178" t="s">
        <v>262</v>
      </c>
      <c r="AD37" s="178" t="s">
        <v>23</v>
      </c>
      <c r="AE37" s="178" t="s">
        <v>298</v>
      </c>
      <c r="AF37" s="183" t="e">
        <f>AM37*SUMIFS(용수분배비율!N:N,용수분배비율!B:B,B:B,용수분배비율!D:D,D:D)</f>
        <v>#DIV/0!</v>
      </c>
      <c r="AG37" s="183" t="e">
        <f>AM37*SUMIFS(용수분배비율!O:O,용수분배비율!B:B,B:B,용수분배비율!D:D,D:D)</f>
        <v>#DIV/0!</v>
      </c>
      <c r="AH37" s="183" t="e">
        <f>AM37*SUMIFS(용수분배비율!P:P,용수분배비율!B:B,B:B,용수분배비율!D:D,D:D)</f>
        <v>#DIV/0!</v>
      </c>
      <c r="AI37" s="183" t="e">
        <f>AM37*SUMIFS(용수분배비율!Q:Q,용수분배비율!B:B,B:B,용수분배비율!D:D,D:D)</f>
        <v>#DIV/0!</v>
      </c>
      <c r="AJ37" s="183" t="e">
        <f>AM37*SUMIFS(용수분배비율!R:R,용수분배비율!B:B,B:B,용수분배비율!D:D,D:D)</f>
        <v>#DIV/0!</v>
      </c>
      <c r="AK37" s="183" t="e">
        <f>AM37*SUMIFS(용수분배비율!S:S,용수분배비율!B:B,B:B,용수분배비율!D:D,D:D)</f>
        <v>#DIV/0!</v>
      </c>
      <c r="AL37" s="178" t="e">
        <f t="shared" si="2"/>
        <v>#DIV/0!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6"/>
  <sheetViews>
    <sheetView workbookViewId="0">
      <selection activeCell="H26" sqref="H26"/>
    </sheetView>
  </sheetViews>
  <sheetFormatPr defaultRowHeight="16.5"/>
  <cols>
    <col min="1" max="1" width="9" style="183"/>
    <col min="2" max="2" width="11.25" bestFit="1" customWidth="1"/>
    <col min="5" max="5" width="13.625" bestFit="1" customWidth="1"/>
    <col min="6" max="6" width="10.875" bestFit="1" customWidth="1"/>
    <col min="7" max="7" width="11.875" bestFit="1" customWidth="1"/>
    <col min="8" max="8" width="12.375" bestFit="1" customWidth="1"/>
    <col min="9" max="9" width="7.75" style="183" customWidth="1"/>
    <col min="10" max="10" width="13" bestFit="1" customWidth="1"/>
    <col min="12" max="12" width="9.375" bestFit="1" customWidth="1"/>
    <col min="13" max="13" width="13.625" bestFit="1" customWidth="1"/>
  </cols>
  <sheetData>
    <row r="1" spans="2:15">
      <c r="B1" s="182"/>
      <c r="C1" s="182"/>
      <c r="D1" s="182"/>
      <c r="E1" s="182"/>
    </row>
    <row r="2" spans="2:15">
      <c r="B2" s="201"/>
      <c r="C2" s="201"/>
      <c r="D2" s="201"/>
      <c r="E2" s="201"/>
    </row>
    <row r="3" spans="2:15">
      <c r="B3" s="339" t="s">
        <v>404</v>
      </c>
      <c r="C3" s="202"/>
      <c r="D3" s="202"/>
      <c r="E3" s="207" t="s">
        <v>398</v>
      </c>
      <c r="F3" s="338" t="s">
        <v>399</v>
      </c>
      <c r="G3" s="338"/>
      <c r="H3" s="338"/>
      <c r="I3" s="330" t="s">
        <v>400</v>
      </c>
      <c r="J3" s="330"/>
      <c r="K3" s="330" t="s">
        <v>401</v>
      </c>
      <c r="L3" s="330"/>
      <c r="N3" s="183" t="s">
        <v>408</v>
      </c>
    </row>
    <row r="4" spans="2:15">
      <c r="B4" s="339"/>
      <c r="C4" s="202" t="s">
        <v>391</v>
      </c>
      <c r="D4" s="202" t="s">
        <v>392</v>
      </c>
      <c r="E4" s="203">
        <v>1785</v>
      </c>
      <c r="F4" s="202" t="s">
        <v>399</v>
      </c>
      <c r="G4" s="202" t="s">
        <v>392</v>
      </c>
      <c r="H4" s="203">
        <f>E4</f>
        <v>1785</v>
      </c>
      <c r="I4" s="209" t="s">
        <v>6</v>
      </c>
      <c r="J4" s="203">
        <f>E4</f>
        <v>1785</v>
      </c>
      <c r="N4" s="183"/>
    </row>
    <row r="5" spans="2:15">
      <c r="B5" s="202" t="s">
        <v>393</v>
      </c>
      <c r="C5" s="202">
        <v>50</v>
      </c>
      <c r="D5" s="204">
        <v>1040</v>
      </c>
      <c r="E5" s="205">
        <f>C5*D5</f>
        <v>52000</v>
      </c>
      <c r="F5" s="202">
        <v>30</v>
      </c>
      <c r="G5" s="204">
        <v>760</v>
      </c>
      <c r="H5" s="205">
        <f>F5*G5</f>
        <v>22800</v>
      </c>
      <c r="I5" s="205">
        <v>170</v>
      </c>
      <c r="J5" s="268">
        <f>I5*J4</f>
        <v>303450</v>
      </c>
      <c r="N5" s="183"/>
    </row>
    <row r="6" spans="2:15">
      <c r="B6" s="202" t="s">
        <v>394</v>
      </c>
      <c r="C6" s="202">
        <v>50</v>
      </c>
      <c r="D6" s="204">
        <v>1450</v>
      </c>
      <c r="E6" s="205">
        <f t="shared" ref="E6:E9" si="0">C6*D6</f>
        <v>72500</v>
      </c>
      <c r="F6" s="202">
        <v>20</v>
      </c>
      <c r="G6" s="204">
        <v>1080</v>
      </c>
      <c r="H6" s="205">
        <f t="shared" ref="H6:H9" si="1">F6*G6</f>
        <v>21600</v>
      </c>
      <c r="I6" s="205"/>
      <c r="K6" t="s">
        <v>402</v>
      </c>
      <c r="L6">
        <v>15390</v>
      </c>
      <c r="N6" s="183"/>
    </row>
    <row r="7" spans="2:15">
      <c r="B7" s="202" t="s">
        <v>395</v>
      </c>
      <c r="C7" s="202">
        <v>200</v>
      </c>
      <c r="D7" s="204">
        <v>1860</v>
      </c>
      <c r="E7" s="205">
        <f t="shared" si="0"/>
        <v>372000</v>
      </c>
      <c r="F7" s="202">
        <v>50</v>
      </c>
      <c r="G7" s="204">
        <v>1295</v>
      </c>
      <c r="H7" s="205">
        <f t="shared" si="1"/>
        <v>64750</v>
      </c>
      <c r="I7" s="205"/>
      <c r="K7" t="s">
        <v>403</v>
      </c>
      <c r="L7">
        <v>8290</v>
      </c>
      <c r="N7" s="190"/>
    </row>
    <row r="8" spans="2:15">
      <c r="B8" s="202" t="s">
        <v>396</v>
      </c>
      <c r="C8" s="202">
        <v>700</v>
      </c>
      <c r="D8" s="204">
        <v>2010</v>
      </c>
      <c r="E8" s="205">
        <f t="shared" si="0"/>
        <v>1407000</v>
      </c>
      <c r="F8" s="208">
        <v>400</v>
      </c>
      <c r="G8" s="204">
        <v>1745</v>
      </c>
      <c r="H8" s="205">
        <f t="shared" si="1"/>
        <v>698000</v>
      </c>
      <c r="I8" s="205"/>
      <c r="K8" t="s">
        <v>451</v>
      </c>
      <c r="L8">
        <v>-5000</v>
      </c>
    </row>
    <row r="9" spans="2:15">
      <c r="B9" s="202" t="s">
        <v>397</v>
      </c>
      <c r="C9" s="202">
        <f>E4-1000</f>
        <v>785</v>
      </c>
      <c r="D9" s="204">
        <v>2160</v>
      </c>
      <c r="E9" s="205">
        <f t="shared" si="0"/>
        <v>1695600</v>
      </c>
      <c r="F9" s="202">
        <f>H4-500</f>
        <v>1285</v>
      </c>
      <c r="G9" s="204">
        <v>2310</v>
      </c>
      <c r="H9" s="205">
        <f t="shared" si="1"/>
        <v>2968350</v>
      </c>
      <c r="I9" s="205"/>
    </row>
    <row r="10" spans="2:15">
      <c r="B10" s="202"/>
      <c r="C10" s="202"/>
      <c r="D10" s="202"/>
      <c r="E10" s="206">
        <f>SUM(E5:E9)</f>
        <v>3599100</v>
      </c>
      <c r="F10" s="202"/>
      <c r="G10" s="202"/>
      <c r="H10" s="206">
        <f>SUM(H5:H9)</f>
        <v>3775500</v>
      </c>
      <c r="I10" s="206"/>
      <c r="J10" s="206">
        <f>SUM(J5:J9)</f>
        <v>303450</v>
      </c>
      <c r="L10" s="206">
        <f>SUM(L5:L9)</f>
        <v>18680</v>
      </c>
      <c r="M10" s="210">
        <f>SUM(E10:L10)</f>
        <v>7696730</v>
      </c>
      <c r="O10" s="173"/>
    </row>
    <row r="11" spans="2:15">
      <c r="B11" s="200"/>
      <c r="C11" s="200"/>
      <c r="D11" s="200"/>
      <c r="E11" s="200"/>
    </row>
    <row r="12" spans="2:15">
      <c r="E12" s="207" t="s">
        <v>405</v>
      </c>
      <c r="G12" t="s">
        <v>408</v>
      </c>
      <c r="I12" s="330" t="s">
        <v>400</v>
      </c>
      <c r="J12" s="330"/>
      <c r="K12" s="330" t="s">
        <v>401</v>
      </c>
      <c r="L12" s="330"/>
    </row>
    <row r="13" spans="2:15">
      <c r="B13" t="s">
        <v>297</v>
      </c>
      <c r="D13" t="s">
        <v>6</v>
      </c>
      <c r="E13" s="203">
        <v>42722</v>
      </c>
      <c r="I13" s="209" t="s">
        <v>6</v>
      </c>
      <c r="J13" s="203">
        <f>E13</f>
        <v>42722</v>
      </c>
      <c r="K13" s="183" t="s">
        <v>406</v>
      </c>
      <c r="L13" s="183">
        <v>14210</v>
      </c>
    </row>
    <row r="14" spans="2:15">
      <c r="C14">
        <v>1000</v>
      </c>
      <c r="D14">
        <v>340</v>
      </c>
      <c r="E14" s="186">
        <f>C14*D14</f>
        <v>340000</v>
      </c>
      <c r="G14">
        <v>-5000</v>
      </c>
      <c r="I14" s="183">
        <v>170</v>
      </c>
      <c r="J14" s="154">
        <f>I14*J13</f>
        <v>7262740</v>
      </c>
      <c r="K14" s="183" t="s">
        <v>407</v>
      </c>
      <c r="L14">
        <v>15390</v>
      </c>
    </row>
    <row r="15" spans="2:15">
      <c r="C15">
        <f>E13-C14</f>
        <v>41722</v>
      </c>
      <c r="D15">
        <v>390</v>
      </c>
      <c r="E15" s="186">
        <f>C15*D15</f>
        <v>16271580</v>
      </c>
    </row>
    <row r="16" spans="2:15">
      <c r="E16" s="190">
        <f>SUM(E14:E15)</f>
        <v>16611580</v>
      </c>
      <c r="G16" s="190">
        <f>SUM(G14:G15)</f>
        <v>-5000</v>
      </c>
      <c r="J16" s="190">
        <f>SUM(J14:J15)</f>
        <v>7262740</v>
      </c>
      <c r="L16" s="190">
        <f>SUM(L13:L15)</f>
        <v>29600</v>
      </c>
      <c r="M16" s="210">
        <f>SUM(E16:L16)</f>
        <v>23898920</v>
      </c>
    </row>
    <row r="18" spans="2:13">
      <c r="E18" s="207" t="s">
        <v>409</v>
      </c>
    </row>
    <row r="19" spans="2:13">
      <c r="B19" t="s">
        <v>399</v>
      </c>
      <c r="C19" t="s">
        <v>399</v>
      </c>
      <c r="D19" t="s">
        <v>6</v>
      </c>
      <c r="E19" s="211">
        <v>24534</v>
      </c>
    </row>
    <row r="20" spans="2:13">
      <c r="D20">
        <f>700*1.25</f>
        <v>875</v>
      </c>
      <c r="E20" s="186">
        <f>D20*E19</f>
        <v>21467250</v>
      </c>
    </row>
    <row r="22" spans="2:13">
      <c r="E22" s="190">
        <f>SUM(E20:E21)</f>
        <v>21467250</v>
      </c>
      <c r="M22" s="210">
        <f>SUM(E22:L22)</f>
        <v>21467250</v>
      </c>
    </row>
    <row r="23" spans="2:13">
      <c r="M23" s="212">
        <f>SUM(M10:M22)</f>
        <v>53062900</v>
      </c>
    </row>
    <row r="24" spans="2:13">
      <c r="F24" t="s">
        <v>295</v>
      </c>
      <c r="G24" t="s">
        <v>412</v>
      </c>
      <c r="H24" t="s">
        <v>299</v>
      </c>
      <c r="J24" s="183" t="s">
        <v>132</v>
      </c>
    </row>
    <row r="25" spans="2:13">
      <c r="E25" t="s">
        <v>410</v>
      </c>
      <c r="F25">
        <f>E4</f>
        <v>1785</v>
      </c>
      <c r="G25">
        <f>E13</f>
        <v>42722</v>
      </c>
      <c r="H25" s="173">
        <f>E19</f>
        <v>24534</v>
      </c>
    </row>
    <row r="26" spans="2:13">
      <c r="E26" t="s">
        <v>411</v>
      </c>
      <c r="F26" s="173">
        <f>M10</f>
        <v>7696730</v>
      </c>
      <c r="G26" s="173">
        <f>M16</f>
        <v>23898920</v>
      </c>
      <c r="H26" s="173">
        <f>M22</f>
        <v>21467250</v>
      </c>
      <c r="I26" s="173"/>
      <c r="J26" s="173">
        <f>SUM(F26:H26)</f>
        <v>53062900</v>
      </c>
    </row>
  </sheetData>
  <mergeCells count="6">
    <mergeCell ref="F3:H3"/>
    <mergeCell ref="I3:J3"/>
    <mergeCell ref="K3:L3"/>
    <mergeCell ref="B3:B4"/>
    <mergeCell ref="I12:J12"/>
    <mergeCell ref="K12:L12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T25"/>
  <sheetViews>
    <sheetView topLeftCell="D1" workbookViewId="0">
      <selection activeCell="L29" sqref="L29"/>
    </sheetView>
  </sheetViews>
  <sheetFormatPr defaultRowHeight="16.5"/>
  <cols>
    <col min="3" max="3" width="9" style="169"/>
    <col min="5" max="5" width="9" style="170"/>
    <col min="6" max="11" width="9" style="198"/>
    <col min="20" max="20" width="9.875" bestFit="1" customWidth="1"/>
  </cols>
  <sheetData>
    <row r="1" spans="2:20">
      <c r="B1" s="169" t="s">
        <v>1</v>
      </c>
      <c r="C1" s="169" t="s">
        <v>316</v>
      </c>
      <c r="D1" s="169" t="s">
        <v>3</v>
      </c>
      <c r="E1" s="170" t="s">
        <v>94</v>
      </c>
      <c r="F1" s="198" t="s">
        <v>275</v>
      </c>
      <c r="G1" s="198" t="s">
        <v>120</v>
      </c>
      <c r="H1" s="198" t="s">
        <v>277</v>
      </c>
      <c r="I1" s="198" t="s">
        <v>117</v>
      </c>
      <c r="J1" s="198" t="s">
        <v>279</v>
      </c>
      <c r="K1" s="198" t="s">
        <v>281</v>
      </c>
      <c r="L1" t="s">
        <v>132</v>
      </c>
      <c r="N1" s="170" t="s">
        <v>275</v>
      </c>
      <c r="O1" s="170" t="s">
        <v>120</v>
      </c>
      <c r="P1" s="170" t="s">
        <v>277</v>
      </c>
      <c r="Q1" s="170" t="s">
        <v>117</v>
      </c>
      <c r="R1" s="170" t="s">
        <v>279</v>
      </c>
      <c r="S1" s="170" t="s">
        <v>281</v>
      </c>
      <c r="T1" s="170" t="s">
        <v>132</v>
      </c>
    </row>
    <row r="2" spans="2:20">
      <c r="B2" s="169" t="s">
        <v>25</v>
      </c>
      <c r="C2" s="169" t="s">
        <v>317</v>
      </c>
      <c r="D2" s="169" t="s">
        <v>9</v>
      </c>
      <c r="E2" s="170" t="s">
        <v>390</v>
      </c>
    </row>
    <row r="3" spans="2:20">
      <c r="B3" s="169" t="s">
        <v>25</v>
      </c>
      <c r="C3" s="169" t="s">
        <v>317</v>
      </c>
      <c r="D3" s="169" t="s">
        <v>13</v>
      </c>
      <c r="E3" s="170" t="s">
        <v>390</v>
      </c>
    </row>
    <row r="4" spans="2:20">
      <c r="B4" s="169" t="s">
        <v>25</v>
      </c>
      <c r="C4" s="169" t="s">
        <v>317</v>
      </c>
      <c r="D4" s="169" t="s">
        <v>14</v>
      </c>
      <c r="E4" s="170" t="s">
        <v>390</v>
      </c>
    </row>
    <row r="5" spans="2:20">
      <c r="B5" s="169" t="s">
        <v>25</v>
      </c>
      <c r="C5" s="169" t="s">
        <v>318</v>
      </c>
      <c r="D5" s="169" t="s">
        <v>15</v>
      </c>
      <c r="E5" s="170" t="s">
        <v>390</v>
      </c>
      <c r="F5" s="264">
        <v>2411</v>
      </c>
      <c r="G5" s="264">
        <v>905</v>
      </c>
      <c r="H5" s="264">
        <v>516</v>
      </c>
      <c r="I5" s="264">
        <v>1499</v>
      </c>
      <c r="J5" s="264">
        <v>3029</v>
      </c>
      <c r="K5" s="264">
        <v>2763</v>
      </c>
      <c r="L5" s="173">
        <f>SUM(F5:K5)</f>
        <v>11123</v>
      </c>
      <c r="N5" s="172">
        <f>F5/L5</f>
        <v>0.21675806886631305</v>
      </c>
      <c r="O5" s="172">
        <f>G5/L5</f>
        <v>8.1362941652431894E-2</v>
      </c>
      <c r="P5" s="172">
        <f>H5/L5</f>
        <v>4.6390362312325809E-2</v>
      </c>
      <c r="Q5" s="172">
        <f>I5/L5</f>
        <v>0.1347658005933651</v>
      </c>
      <c r="R5" s="172">
        <f>J5/L5</f>
        <v>0.27231861907758698</v>
      </c>
      <c r="S5" s="172">
        <f>K5/L5</f>
        <v>0.24840420749797718</v>
      </c>
      <c r="T5" s="171">
        <f>SUM(N5:S5)</f>
        <v>1</v>
      </c>
    </row>
    <row r="6" spans="2:20">
      <c r="B6" s="169" t="s">
        <v>25</v>
      </c>
      <c r="C6" s="169" t="s">
        <v>318</v>
      </c>
      <c r="D6" s="169" t="s">
        <v>16</v>
      </c>
      <c r="E6" s="170" t="s">
        <v>390</v>
      </c>
      <c r="F6" s="264">
        <v>3383</v>
      </c>
      <c r="G6" s="264">
        <v>3089</v>
      </c>
      <c r="H6" s="264">
        <v>850</v>
      </c>
      <c r="I6" s="264">
        <v>1538</v>
      </c>
      <c r="J6" s="264">
        <v>3271</v>
      </c>
      <c r="K6" s="264">
        <v>3956</v>
      </c>
      <c r="L6" s="173">
        <f>SUM(F6:K6)</f>
        <v>16087</v>
      </c>
      <c r="N6" s="172">
        <f t="shared" ref="N6:N25" si="0">F6/L6</f>
        <v>0.21029402623236154</v>
      </c>
      <c r="O6" s="172">
        <f t="shared" ref="O6:O25" si="1">G6/L6</f>
        <v>0.1920183999502704</v>
      </c>
      <c r="P6" s="172">
        <f t="shared" ref="P6:P25" si="2">H6/L6</f>
        <v>5.2837695033256665E-2</v>
      </c>
      <c r="Q6" s="172">
        <f t="shared" ref="Q6:Q25" si="3">I6/L6</f>
        <v>9.5605147013116176E-2</v>
      </c>
      <c r="R6" s="172">
        <f t="shared" ref="R6:R25" si="4">J6/L6</f>
        <v>0.20333188288680301</v>
      </c>
      <c r="S6" s="172">
        <f t="shared" ref="S6:S25" si="5">K6/L6</f>
        <v>0.24591284888419221</v>
      </c>
      <c r="T6" s="171">
        <f t="shared" ref="T6:T25" si="6">SUM(N6:S6)</f>
        <v>1</v>
      </c>
    </row>
    <row r="7" spans="2:20">
      <c r="B7" s="169" t="s">
        <v>25</v>
      </c>
      <c r="C7" s="169" t="s">
        <v>318</v>
      </c>
      <c r="D7" s="169" t="s">
        <v>17</v>
      </c>
      <c r="E7" s="170" t="s">
        <v>390</v>
      </c>
      <c r="F7" s="264">
        <v>4303</v>
      </c>
      <c r="G7" s="264">
        <v>1791</v>
      </c>
      <c r="H7" s="264">
        <v>239</v>
      </c>
      <c r="I7" s="264">
        <v>1989</v>
      </c>
      <c r="J7" s="264">
        <v>4225</v>
      </c>
      <c r="K7" s="264">
        <v>4939</v>
      </c>
      <c r="L7" s="173">
        <f t="shared" ref="L7:L25" si="7">SUM(F7:K7)</f>
        <v>17486</v>
      </c>
      <c r="N7" s="172">
        <f t="shared" si="0"/>
        <v>0.24608258034999428</v>
      </c>
      <c r="O7" s="172">
        <f t="shared" si="1"/>
        <v>0.10242479698044149</v>
      </c>
      <c r="P7" s="172">
        <f t="shared" si="2"/>
        <v>1.3668077318998056E-2</v>
      </c>
      <c r="Q7" s="172">
        <f t="shared" si="3"/>
        <v>0.11374814137023904</v>
      </c>
      <c r="R7" s="172">
        <f t="shared" si="4"/>
        <v>0.2416218689237104</v>
      </c>
      <c r="S7" s="172">
        <f t="shared" si="5"/>
        <v>0.28245453505661672</v>
      </c>
      <c r="T7" s="171">
        <f t="shared" si="6"/>
        <v>1</v>
      </c>
    </row>
    <row r="8" spans="2:20">
      <c r="B8" s="169" t="s">
        <v>25</v>
      </c>
      <c r="C8" s="169" t="s">
        <v>319</v>
      </c>
      <c r="D8" s="169" t="s">
        <v>18</v>
      </c>
      <c r="E8" s="170" t="s">
        <v>390</v>
      </c>
      <c r="F8" s="264">
        <v>4183.2000000000116</v>
      </c>
      <c r="G8" s="264">
        <v>2025.8000000000029</v>
      </c>
      <c r="H8" s="264">
        <v>597.79999999999927</v>
      </c>
      <c r="I8" s="264">
        <v>2202.7000000000007</v>
      </c>
      <c r="J8" s="264">
        <v>4078.7999999999884</v>
      </c>
      <c r="K8" s="264">
        <v>4434.9000000000233</v>
      </c>
      <c r="L8" s="173">
        <f t="shared" si="7"/>
        <v>17523.200000000026</v>
      </c>
      <c r="N8" s="172">
        <f t="shared" si="0"/>
        <v>0.23872352081811571</v>
      </c>
      <c r="O8" s="172">
        <f t="shared" si="1"/>
        <v>0.11560673849525201</v>
      </c>
      <c r="P8" s="172">
        <f t="shared" si="2"/>
        <v>3.4114773557341035E-2</v>
      </c>
      <c r="Q8" s="172">
        <f t="shared" si="3"/>
        <v>0.12570192658875076</v>
      </c>
      <c r="R8" s="172">
        <f t="shared" si="4"/>
        <v>0.23276570489408227</v>
      </c>
      <c r="S8" s="172">
        <f t="shared" si="5"/>
        <v>0.25308733564645824</v>
      </c>
      <c r="T8" s="171">
        <f t="shared" si="6"/>
        <v>1</v>
      </c>
    </row>
    <row r="9" spans="2:20">
      <c r="B9" s="169" t="s">
        <v>25</v>
      </c>
      <c r="C9" s="169" t="s">
        <v>319</v>
      </c>
      <c r="D9" s="169" t="s">
        <v>19</v>
      </c>
      <c r="E9" s="170" t="s">
        <v>390</v>
      </c>
      <c r="F9" s="264">
        <v>3417.7999999999884</v>
      </c>
      <c r="G9" s="264">
        <v>1220</v>
      </c>
      <c r="H9" s="264">
        <v>488.60000000000218</v>
      </c>
      <c r="I9" s="264">
        <v>704</v>
      </c>
      <c r="J9" s="264">
        <v>5331.2000000000116</v>
      </c>
      <c r="K9" s="264">
        <v>1992.7999999999884</v>
      </c>
      <c r="L9" s="173">
        <f t="shared" si="7"/>
        <v>13154.399999999991</v>
      </c>
      <c r="N9" s="172">
        <f t="shared" si="0"/>
        <v>0.25982180867238269</v>
      </c>
      <c r="O9" s="172">
        <f t="shared" si="1"/>
        <v>9.2744632974518099E-2</v>
      </c>
      <c r="P9" s="172">
        <f t="shared" si="2"/>
        <v>3.7143465304385039E-2</v>
      </c>
      <c r="Q9" s="172">
        <f t="shared" si="3"/>
        <v>5.3518214437754709E-2</v>
      </c>
      <c r="R9" s="172">
        <f t="shared" si="4"/>
        <v>0.40527884206045245</v>
      </c>
      <c r="S9" s="172">
        <f t="shared" si="5"/>
        <v>0.15149303655050703</v>
      </c>
      <c r="T9" s="171">
        <f t="shared" si="6"/>
        <v>1</v>
      </c>
    </row>
    <row r="10" spans="2:20">
      <c r="B10" s="169" t="s">
        <v>25</v>
      </c>
      <c r="C10" s="169" t="s">
        <v>319</v>
      </c>
      <c r="D10" s="169" t="s">
        <v>20</v>
      </c>
      <c r="E10" s="170" t="s">
        <v>390</v>
      </c>
      <c r="F10" s="264">
        <v>3855</v>
      </c>
      <c r="G10" s="264">
        <v>747.69999999999709</v>
      </c>
      <c r="H10" s="264">
        <v>592.39999999999782</v>
      </c>
      <c r="I10" s="264">
        <v>2118.6999999999989</v>
      </c>
      <c r="J10" s="264">
        <v>5177.9000000000233</v>
      </c>
      <c r="K10" s="264">
        <v>3431.5999999999767</v>
      </c>
      <c r="L10" s="173">
        <f t="shared" si="7"/>
        <v>15923.299999999994</v>
      </c>
      <c r="N10" s="172">
        <f t="shared" si="0"/>
        <v>0.24209805756344485</v>
      </c>
      <c r="O10" s="172">
        <f t="shared" si="1"/>
        <v>4.6956346988375364E-2</v>
      </c>
      <c r="P10" s="172">
        <f t="shared" si="2"/>
        <v>3.7203343528037405E-2</v>
      </c>
      <c r="Q10" s="172">
        <f t="shared" si="3"/>
        <v>0.13305659002844886</v>
      </c>
      <c r="R10" s="172">
        <f t="shared" si="4"/>
        <v>0.32517756997607439</v>
      </c>
      <c r="S10" s="172">
        <f t="shared" si="5"/>
        <v>0.21550809191561912</v>
      </c>
      <c r="T10" s="171">
        <f t="shared" si="6"/>
        <v>1</v>
      </c>
    </row>
    <row r="11" spans="2:20">
      <c r="B11" s="169" t="s">
        <v>25</v>
      </c>
      <c r="C11" s="169" t="s">
        <v>320</v>
      </c>
      <c r="D11" s="169" t="s">
        <v>21</v>
      </c>
      <c r="E11" s="170" t="s">
        <v>390</v>
      </c>
      <c r="F11" s="264">
        <v>3724.7000000000116</v>
      </c>
      <c r="G11" s="264">
        <v>261.59999999999854</v>
      </c>
      <c r="H11" s="264">
        <v>639.90000000000146</v>
      </c>
      <c r="I11" s="264">
        <v>1950.7000000000007</v>
      </c>
      <c r="J11" s="264">
        <v>3641.8999999999651</v>
      </c>
      <c r="K11" s="264">
        <v>4250.1000000000349</v>
      </c>
      <c r="L11" s="173">
        <f t="shared" si="7"/>
        <v>14468.900000000012</v>
      </c>
      <c r="N11" s="172">
        <f t="shared" si="0"/>
        <v>0.25742800074642913</v>
      </c>
      <c r="O11" s="172">
        <f t="shared" si="1"/>
        <v>1.8080158132269788E-2</v>
      </c>
      <c r="P11" s="172">
        <f t="shared" si="2"/>
        <v>4.4225891394646513E-2</v>
      </c>
      <c r="Q11" s="172">
        <f t="shared" si="3"/>
        <v>0.134820200568115</v>
      </c>
      <c r="R11" s="172">
        <f t="shared" si="4"/>
        <v>0.25170538188804692</v>
      </c>
      <c r="S11" s="172">
        <f t="shared" si="5"/>
        <v>0.29374036727049269</v>
      </c>
      <c r="T11" s="171">
        <f t="shared" si="6"/>
        <v>1</v>
      </c>
    </row>
    <row r="12" spans="2:20">
      <c r="B12" s="169" t="s">
        <v>25</v>
      </c>
      <c r="C12" s="169" t="s">
        <v>320</v>
      </c>
      <c r="D12" s="169" t="s">
        <v>22</v>
      </c>
      <c r="E12" s="170" t="s">
        <v>390</v>
      </c>
      <c r="F12" s="264">
        <v>3865</v>
      </c>
      <c r="G12" s="264">
        <v>458.5</v>
      </c>
      <c r="H12" s="264">
        <v>640.20000000000073</v>
      </c>
      <c r="I12" s="264">
        <v>77</v>
      </c>
      <c r="J12" s="264">
        <v>5059.2000000000116</v>
      </c>
      <c r="K12" s="264">
        <v>4899</v>
      </c>
      <c r="L12" s="173">
        <f t="shared" si="7"/>
        <v>14998.900000000012</v>
      </c>
      <c r="N12" s="172">
        <f t="shared" si="0"/>
        <v>0.25768556360799771</v>
      </c>
      <c r="O12" s="172">
        <f t="shared" si="1"/>
        <v>3.0568908386614992E-2</v>
      </c>
      <c r="P12" s="172">
        <f t="shared" si="2"/>
        <v>4.268313009620707E-2</v>
      </c>
      <c r="Q12" s="172">
        <f t="shared" si="3"/>
        <v>5.1337098053857244E-3</v>
      </c>
      <c r="R12" s="172">
        <f t="shared" si="4"/>
        <v>0.33730473568061708</v>
      </c>
      <c r="S12" s="172">
        <f t="shared" si="5"/>
        <v>0.32662395242317743</v>
      </c>
      <c r="T12" s="171">
        <f t="shared" si="6"/>
        <v>1</v>
      </c>
    </row>
    <row r="13" spans="2:20">
      <c r="B13" s="169" t="s">
        <v>25</v>
      </c>
      <c r="C13" s="169" t="s">
        <v>320</v>
      </c>
      <c r="D13" s="169" t="s">
        <v>23</v>
      </c>
      <c r="E13" s="170" t="s">
        <v>390</v>
      </c>
      <c r="F13" s="264">
        <v>0</v>
      </c>
      <c r="G13" s="264">
        <v>0</v>
      </c>
      <c r="H13" s="264">
        <v>0</v>
      </c>
      <c r="I13" s="264">
        <v>0</v>
      </c>
      <c r="J13" s="264">
        <v>7213.0999999999767</v>
      </c>
      <c r="K13" s="264">
        <v>4853.7999999999884</v>
      </c>
      <c r="L13" s="173">
        <f t="shared" si="7"/>
        <v>12066.899999999965</v>
      </c>
      <c r="N13" s="172">
        <f t="shared" si="0"/>
        <v>0</v>
      </c>
      <c r="O13" s="172">
        <f t="shared" si="1"/>
        <v>0</v>
      </c>
      <c r="P13" s="172">
        <f t="shared" si="2"/>
        <v>0</v>
      </c>
      <c r="Q13" s="172">
        <f t="shared" si="3"/>
        <v>0</v>
      </c>
      <c r="R13" s="172">
        <f t="shared" si="4"/>
        <v>0.59775915935327195</v>
      </c>
      <c r="S13" s="172">
        <f t="shared" si="5"/>
        <v>0.40224084064672805</v>
      </c>
      <c r="T13" s="171">
        <f t="shared" si="6"/>
        <v>1</v>
      </c>
    </row>
    <row r="14" spans="2:20">
      <c r="B14" s="169" t="s">
        <v>26</v>
      </c>
      <c r="C14" s="169" t="s">
        <v>317</v>
      </c>
      <c r="D14" s="169" t="s">
        <v>9</v>
      </c>
      <c r="E14" s="170" t="s">
        <v>390</v>
      </c>
      <c r="F14" s="262">
        <f>426651-421592</f>
        <v>5059</v>
      </c>
      <c r="G14" s="262">
        <f>52217-51652.5</f>
        <v>564.5</v>
      </c>
      <c r="H14" s="262">
        <f>22739-21943.8</f>
        <v>795.20000000000073</v>
      </c>
      <c r="I14" s="262">
        <f>15295-15183</f>
        <v>112</v>
      </c>
      <c r="J14" s="262">
        <f>(333083-320262)/2</f>
        <v>6410.5</v>
      </c>
      <c r="K14" s="262">
        <f>(292701-283673)/2</f>
        <v>4514</v>
      </c>
      <c r="L14" s="173">
        <f t="shared" si="7"/>
        <v>17455.2</v>
      </c>
      <c r="N14" s="172">
        <f t="shared" si="0"/>
        <v>0.28982767312892432</v>
      </c>
      <c r="O14" s="172">
        <f t="shared" si="1"/>
        <v>3.2339933085842612E-2</v>
      </c>
      <c r="P14" s="172">
        <f t="shared" si="2"/>
        <v>4.5556624959897374E-2</v>
      </c>
      <c r="Q14" s="172">
        <f t="shared" si="3"/>
        <v>6.4164260506897651E-3</v>
      </c>
      <c r="R14" s="172">
        <f t="shared" si="4"/>
        <v>0.36725445712452448</v>
      </c>
      <c r="S14" s="172">
        <f t="shared" si="5"/>
        <v>0.25860488565012146</v>
      </c>
      <c r="T14" s="171">
        <f t="shared" si="6"/>
        <v>1</v>
      </c>
    </row>
    <row r="15" spans="2:20">
      <c r="B15" s="169" t="s">
        <v>26</v>
      </c>
      <c r="C15" s="169" t="s">
        <v>317</v>
      </c>
      <c r="D15" s="169" t="s">
        <v>13</v>
      </c>
      <c r="E15" s="170" t="s">
        <v>390</v>
      </c>
      <c r="F15" s="262">
        <f>426265.3-425651</f>
        <v>614.29999999998836</v>
      </c>
      <c r="G15" s="262">
        <f>52425.5-52217</f>
        <v>208.5</v>
      </c>
      <c r="H15" s="262">
        <f>22789.9-22739</f>
        <v>50.900000000001455</v>
      </c>
      <c r="I15" s="262">
        <f>15313.8-15295</f>
        <v>18.799999999999272</v>
      </c>
      <c r="J15" s="262">
        <f>340066.9-333083</f>
        <v>6983.9000000000233</v>
      </c>
      <c r="K15" s="262">
        <f>297704.7-292701</f>
        <v>5003.7000000000116</v>
      </c>
      <c r="L15" s="173">
        <f t="shared" si="7"/>
        <v>12880.100000000024</v>
      </c>
      <c r="N15" s="172">
        <f t="shared" si="0"/>
        <v>4.7693729085953311E-2</v>
      </c>
      <c r="O15" s="172">
        <f t="shared" si="1"/>
        <v>1.618776251737173E-2</v>
      </c>
      <c r="P15" s="172">
        <f t="shared" si="2"/>
        <v>3.9518326721066886E-3</v>
      </c>
      <c r="Q15" s="172">
        <f t="shared" si="3"/>
        <v>1.4596159967701521E-3</v>
      </c>
      <c r="R15" s="172">
        <f t="shared" si="4"/>
        <v>0.54222405105550497</v>
      </c>
      <c r="S15" s="172">
        <f t="shared" si="5"/>
        <v>0.38848300867229307</v>
      </c>
      <c r="T15" s="171">
        <f t="shared" si="6"/>
        <v>1</v>
      </c>
    </row>
    <row r="16" spans="2:20">
      <c r="B16" s="169" t="s">
        <v>26</v>
      </c>
      <c r="C16" s="169" t="s">
        <v>317</v>
      </c>
      <c r="D16" s="169" t="s">
        <v>14</v>
      </c>
      <c r="E16" s="170" t="s">
        <v>390</v>
      </c>
      <c r="F16" s="262">
        <f>429511.7-426265.3</f>
        <v>3246.4000000000233</v>
      </c>
      <c r="G16" s="262">
        <f>52607.4-52425.5</f>
        <v>181.90000000000146</v>
      </c>
      <c r="H16" s="262">
        <f>23425.4-22789.9</f>
        <v>635.5</v>
      </c>
      <c r="I16" s="289">
        <f>(20006.7-15313.8)</f>
        <v>4692.9000000000015</v>
      </c>
      <c r="J16" s="262">
        <f>348318.8-340066.9</f>
        <v>8251.8999999999651</v>
      </c>
      <c r="K16" s="262">
        <f>303166.2-297704.7</f>
        <v>5461.5</v>
      </c>
      <c r="L16" s="173">
        <f t="shared" si="7"/>
        <v>22470.099999999991</v>
      </c>
      <c r="N16" s="172">
        <f t="shared" si="0"/>
        <v>0.14447643757704792</v>
      </c>
      <c r="O16" s="172">
        <f t="shared" si="1"/>
        <v>8.0952020685266871E-3</v>
      </c>
      <c r="P16" s="172">
        <f t="shared" si="2"/>
        <v>2.8282028117364865E-2</v>
      </c>
      <c r="Q16" s="172">
        <f t="shared" si="3"/>
        <v>0.20885087293781529</v>
      </c>
      <c r="R16" s="172">
        <f t="shared" si="4"/>
        <v>0.36723913111200968</v>
      </c>
      <c r="S16" s="172">
        <f t="shared" si="5"/>
        <v>0.24305632818723558</v>
      </c>
      <c r="T16" s="171">
        <f t="shared" si="6"/>
        <v>1</v>
      </c>
    </row>
    <row r="17" spans="2:20">
      <c r="B17" s="169" t="s">
        <v>26</v>
      </c>
      <c r="C17" s="169" t="s">
        <v>318</v>
      </c>
      <c r="D17" s="169" t="s">
        <v>15</v>
      </c>
      <c r="E17" s="170" t="s">
        <v>390</v>
      </c>
      <c r="F17" s="262">
        <f>433257.8-429511.7</f>
        <v>3746.0999999999767</v>
      </c>
      <c r="G17" s="262">
        <f>52661.9-52607.4</f>
        <v>54.5</v>
      </c>
      <c r="H17" s="262">
        <f>24114-23425.4</f>
        <v>688.59999999999854</v>
      </c>
      <c r="I17" s="262">
        <f>25352.9-20006.7</f>
        <v>5346.2000000000007</v>
      </c>
      <c r="J17" s="262">
        <f>356514-348318.8</f>
        <v>8195.2000000000116</v>
      </c>
      <c r="K17" s="262">
        <f>307462.1-303166.2</f>
        <v>4295.8999999999651</v>
      </c>
      <c r="L17" s="173">
        <f t="shared" si="7"/>
        <v>22326.499999999953</v>
      </c>
      <c r="N17" s="172">
        <f t="shared" si="0"/>
        <v>0.16778715875752961</v>
      </c>
      <c r="O17" s="172">
        <f t="shared" si="1"/>
        <v>2.4410453944863778E-3</v>
      </c>
      <c r="P17" s="172">
        <f t="shared" si="2"/>
        <v>3.084227263565718E-2</v>
      </c>
      <c r="Q17" s="172">
        <f t="shared" si="3"/>
        <v>0.2394553557431757</v>
      </c>
      <c r="R17" s="172">
        <f t="shared" si="4"/>
        <v>0.3670615636127485</v>
      </c>
      <c r="S17" s="172">
        <f t="shared" si="5"/>
        <v>0.19241260385640266</v>
      </c>
      <c r="T17" s="171">
        <f t="shared" si="6"/>
        <v>1</v>
      </c>
    </row>
    <row r="18" spans="2:20">
      <c r="B18" s="169" t="s">
        <v>26</v>
      </c>
      <c r="C18" s="169" t="s">
        <v>318</v>
      </c>
      <c r="D18" s="169" t="s">
        <v>16</v>
      </c>
      <c r="E18" s="170" t="s">
        <v>390</v>
      </c>
      <c r="F18" s="262">
        <f>437421-433257.8</f>
        <v>4163.2000000000116</v>
      </c>
      <c r="G18" s="262">
        <f>52711.5-52661.9</f>
        <v>49.599999999998545</v>
      </c>
      <c r="H18" s="262">
        <f>24743.8-24114</f>
        <v>629.79999999999927</v>
      </c>
      <c r="I18" s="262">
        <f>29636.4-25352.9</f>
        <v>4283.5</v>
      </c>
      <c r="J18" s="262">
        <f>363582.4-356514</f>
        <v>7068.4000000000233</v>
      </c>
      <c r="K18" s="262">
        <f>311754.2-307462.1</f>
        <v>4292.1000000000349</v>
      </c>
      <c r="L18" s="173">
        <f t="shared" si="7"/>
        <v>20486.600000000068</v>
      </c>
      <c r="N18" s="172">
        <f t="shared" si="0"/>
        <v>0.20321576054591772</v>
      </c>
      <c r="O18" s="172">
        <f t="shared" si="1"/>
        <v>2.421094764382493E-3</v>
      </c>
      <c r="P18" s="172">
        <f t="shared" si="2"/>
        <v>3.0742046020325344E-2</v>
      </c>
      <c r="Q18" s="172">
        <f t="shared" si="3"/>
        <v>0.20908789159743374</v>
      </c>
      <c r="R18" s="172">
        <f t="shared" si="4"/>
        <v>0.34502552888229376</v>
      </c>
      <c r="S18" s="172">
        <f t="shared" si="5"/>
        <v>0.20950767818964694</v>
      </c>
      <c r="T18" s="171">
        <f t="shared" si="6"/>
        <v>1</v>
      </c>
    </row>
    <row r="19" spans="2:20">
      <c r="B19" s="169" t="s">
        <v>26</v>
      </c>
      <c r="C19" s="169" t="s">
        <v>318</v>
      </c>
      <c r="D19" s="169" t="s">
        <v>17</v>
      </c>
      <c r="E19" s="170" t="s">
        <v>390</v>
      </c>
      <c r="F19" s="262">
        <f>441338.3-437421</f>
        <v>3917.2999999999884</v>
      </c>
      <c r="G19" s="262">
        <f>52856.3-52711.5</f>
        <v>144.80000000000291</v>
      </c>
      <c r="H19" s="262">
        <f>25385.6-24743.8</f>
        <v>641.79999999999927</v>
      </c>
      <c r="I19" s="262">
        <f>34120.3-29636.4</f>
        <v>4483.9000000000015</v>
      </c>
      <c r="J19" s="262">
        <f>368027-363582.4</f>
        <v>4444.5999999999767</v>
      </c>
      <c r="K19" s="262">
        <f>319043.7-311754.2</f>
        <v>7289.5</v>
      </c>
      <c r="L19" s="173">
        <f t="shared" si="7"/>
        <v>20921.899999999969</v>
      </c>
      <c r="N19" s="172">
        <f t="shared" si="0"/>
        <v>0.18723442899545426</v>
      </c>
      <c r="O19" s="172">
        <f t="shared" si="1"/>
        <v>6.9209775402809077E-3</v>
      </c>
      <c r="P19" s="172">
        <f t="shared" si="2"/>
        <v>3.0675990230332819E-2</v>
      </c>
      <c r="Q19" s="172">
        <f t="shared" si="3"/>
        <v>0.21431609939823859</v>
      </c>
      <c r="R19" s="172">
        <f t="shared" si="4"/>
        <v>0.21243768491389325</v>
      </c>
      <c r="S19" s="172">
        <f t="shared" si="5"/>
        <v>0.34841481892180015</v>
      </c>
      <c r="T19" s="171">
        <f t="shared" si="6"/>
        <v>1</v>
      </c>
    </row>
    <row r="20" spans="2:20">
      <c r="B20" s="169" t="s">
        <v>26</v>
      </c>
      <c r="C20" s="169" t="s">
        <v>319</v>
      </c>
      <c r="D20" s="169" t="s">
        <v>18</v>
      </c>
      <c r="E20" s="170" t="s">
        <v>390</v>
      </c>
      <c r="F20" s="262"/>
      <c r="G20" s="262"/>
      <c r="H20" s="262"/>
      <c r="I20" s="262"/>
      <c r="J20" s="262"/>
      <c r="K20" s="262"/>
      <c r="L20" s="173">
        <f t="shared" si="7"/>
        <v>0</v>
      </c>
      <c r="N20" s="172" t="e">
        <f t="shared" si="0"/>
        <v>#DIV/0!</v>
      </c>
      <c r="O20" s="172" t="e">
        <f t="shared" si="1"/>
        <v>#DIV/0!</v>
      </c>
      <c r="P20" s="172" t="e">
        <f t="shared" si="2"/>
        <v>#DIV/0!</v>
      </c>
      <c r="Q20" s="172" t="e">
        <f t="shared" si="3"/>
        <v>#DIV/0!</v>
      </c>
      <c r="R20" s="172" t="e">
        <f t="shared" si="4"/>
        <v>#DIV/0!</v>
      </c>
      <c r="S20" s="172" t="e">
        <f t="shared" si="5"/>
        <v>#DIV/0!</v>
      </c>
      <c r="T20" s="171" t="e">
        <f t="shared" si="6"/>
        <v>#DIV/0!</v>
      </c>
    </row>
    <row r="21" spans="2:20">
      <c r="B21" s="169" t="s">
        <v>26</v>
      </c>
      <c r="C21" s="169" t="s">
        <v>319</v>
      </c>
      <c r="D21" s="169" t="s">
        <v>19</v>
      </c>
      <c r="E21" s="170" t="s">
        <v>390</v>
      </c>
      <c r="F21" s="262"/>
      <c r="G21" s="262"/>
      <c r="H21" s="262"/>
      <c r="I21" s="262"/>
      <c r="J21" s="262"/>
      <c r="K21" s="262"/>
      <c r="L21" s="173">
        <f t="shared" si="7"/>
        <v>0</v>
      </c>
      <c r="N21" s="172" t="e">
        <f t="shared" si="0"/>
        <v>#DIV/0!</v>
      </c>
      <c r="O21" s="172" t="e">
        <f t="shared" si="1"/>
        <v>#DIV/0!</v>
      </c>
      <c r="P21" s="172" t="e">
        <f t="shared" si="2"/>
        <v>#DIV/0!</v>
      </c>
      <c r="Q21" s="172" t="e">
        <f t="shared" si="3"/>
        <v>#DIV/0!</v>
      </c>
      <c r="R21" s="172" t="e">
        <f t="shared" si="4"/>
        <v>#DIV/0!</v>
      </c>
      <c r="S21" s="172" t="e">
        <f t="shared" si="5"/>
        <v>#DIV/0!</v>
      </c>
      <c r="T21" s="171" t="e">
        <f t="shared" si="6"/>
        <v>#DIV/0!</v>
      </c>
    </row>
    <row r="22" spans="2:20">
      <c r="B22" s="169" t="s">
        <v>26</v>
      </c>
      <c r="C22" s="169" t="s">
        <v>319</v>
      </c>
      <c r="D22" s="169" t="s">
        <v>20</v>
      </c>
      <c r="E22" s="170" t="s">
        <v>390</v>
      </c>
      <c r="F22" s="262"/>
      <c r="G22" s="262"/>
      <c r="H22" s="262"/>
      <c r="I22" s="262"/>
      <c r="J22" s="262"/>
      <c r="K22" s="262"/>
      <c r="L22" s="173">
        <f t="shared" si="7"/>
        <v>0</v>
      </c>
      <c r="N22" s="172" t="e">
        <f t="shared" si="0"/>
        <v>#DIV/0!</v>
      </c>
      <c r="O22" s="172" t="e">
        <f t="shared" si="1"/>
        <v>#DIV/0!</v>
      </c>
      <c r="P22" s="172" t="e">
        <f t="shared" si="2"/>
        <v>#DIV/0!</v>
      </c>
      <c r="Q22" s="172" t="e">
        <f t="shared" si="3"/>
        <v>#DIV/0!</v>
      </c>
      <c r="R22" s="172" t="e">
        <f t="shared" si="4"/>
        <v>#DIV/0!</v>
      </c>
      <c r="S22" s="172" t="e">
        <f t="shared" si="5"/>
        <v>#DIV/0!</v>
      </c>
      <c r="T22" s="171" t="e">
        <f t="shared" si="6"/>
        <v>#DIV/0!</v>
      </c>
    </row>
    <row r="23" spans="2:20">
      <c r="B23" s="169" t="s">
        <v>26</v>
      </c>
      <c r="C23" s="169" t="s">
        <v>320</v>
      </c>
      <c r="D23" s="169" t="s">
        <v>21</v>
      </c>
      <c r="E23" s="170" t="s">
        <v>390</v>
      </c>
      <c r="F23" s="262"/>
      <c r="G23" s="262"/>
      <c r="H23" s="262"/>
      <c r="I23" s="262"/>
      <c r="J23" s="262"/>
      <c r="K23" s="262"/>
      <c r="L23" s="173">
        <f t="shared" si="7"/>
        <v>0</v>
      </c>
      <c r="N23" s="172" t="e">
        <f t="shared" si="0"/>
        <v>#DIV/0!</v>
      </c>
      <c r="O23" s="172" t="e">
        <f t="shared" si="1"/>
        <v>#DIV/0!</v>
      </c>
      <c r="P23" s="172" t="e">
        <f t="shared" si="2"/>
        <v>#DIV/0!</v>
      </c>
      <c r="Q23" s="172" t="e">
        <f t="shared" si="3"/>
        <v>#DIV/0!</v>
      </c>
      <c r="R23" s="172" t="e">
        <f t="shared" si="4"/>
        <v>#DIV/0!</v>
      </c>
      <c r="S23" s="172" t="e">
        <f t="shared" si="5"/>
        <v>#DIV/0!</v>
      </c>
      <c r="T23" s="171" t="e">
        <f t="shared" si="6"/>
        <v>#DIV/0!</v>
      </c>
    </row>
    <row r="24" spans="2:20">
      <c r="B24" s="169" t="s">
        <v>26</v>
      </c>
      <c r="C24" s="169" t="s">
        <v>320</v>
      </c>
      <c r="D24" s="169" t="s">
        <v>22</v>
      </c>
      <c r="E24" s="170" t="s">
        <v>390</v>
      </c>
      <c r="F24" s="262"/>
      <c r="G24" s="262"/>
      <c r="H24" s="262"/>
      <c r="I24" s="262"/>
      <c r="J24" s="262"/>
      <c r="K24" s="262"/>
      <c r="L24" s="173">
        <f t="shared" si="7"/>
        <v>0</v>
      </c>
      <c r="N24" s="172" t="e">
        <f t="shared" si="0"/>
        <v>#DIV/0!</v>
      </c>
      <c r="O24" s="172" t="e">
        <f t="shared" si="1"/>
        <v>#DIV/0!</v>
      </c>
      <c r="P24" s="172" t="e">
        <f t="shared" si="2"/>
        <v>#DIV/0!</v>
      </c>
      <c r="Q24" s="172" t="e">
        <f t="shared" si="3"/>
        <v>#DIV/0!</v>
      </c>
      <c r="R24" s="172" t="e">
        <f t="shared" si="4"/>
        <v>#DIV/0!</v>
      </c>
      <c r="S24" s="172" t="e">
        <f t="shared" si="5"/>
        <v>#DIV/0!</v>
      </c>
      <c r="T24" s="171" t="e">
        <f t="shared" si="6"/>
        <v>#DIV/0!</v>
      </c>
    </row>
    <row r="25" spans="2:20">
      <c r="B25" s="169" t="s">
        <v>26</v>
      </c>
      <c r="C25" s="169" t="s">
        <v>320</v>
      </c>
      <c r="D25" s="169" t="s">
        <v>23</v>
      </c>
      <c r="E25" s="170" t="s">
        <v>390</v>
      </c>
      <c r="F25" s="262"/>
      <c r="G25" s="262"/>
      <c r="H25" s="262"/>
      <c r="I25" s="262"/>
      <c r="J25" s="262"/>
      <c r="K25" s="262"/>
      <c r="L25" s="173">
        <f t="shared" si="7"/>
        <v>0</v>
      </c>
      <c r="N25" s="172" t="e">
        <f t="shared" si="0"/>
        <v>#DIV/0!</v>
      </c>
      <c r="O25" s="172" t="e">
        <f t="shared" si="1"/>
        <v>#DIV/0!</v>
      </c>
      <c r="P25" s="172" t="e">
        <f t="shared" si="2"/>
        <v>#DIV/0!</v>
      </c>
      <c r="Q25" s="172" t="e">
        <f t="shared" si="3"/>
        <v>#DIV/0!</v>
      </c>
      <c r="R25" s="172" t="e">
        <f t="shared" si="4"/>
        <v>#DIV/0!</v>
      </c>
      <c r="S25" s="172" t="e">
        <f t="shared" si="5"/>
        <v>#DIV/0!</v>
      </c>
      <c r="T25" s="171" t="e">
        <f t="shared" si="6"/>
        <v>#DIV/0!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workbookViewId="0">
      <selection activeCell="K17" sqref="K17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416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S7" s="133" t="s">
        <v>302</v>
      </c>
      <c r="T7" s="133"/>
      <c r="U7" s="186" t="s">
        <v>288</v>
      </c>
      <c r="V7" s="183" t="s">
        <v>289</v>
      </c>
      <c r="W7" s="183" t="s">
        <v>290</v>
      </c>
      <c r="X7" s="183" t="s">
        <v>291</v>
      </c>
    </row>
    <row r="8" spans="1:33" ht="24.95" customHeight="1" thickTop="1">
      <c r="A8" s="184" t="s">
        <v>2</v>
      </c>
      <c r="B8" s="130" t="s">
        <v>85</v>
      </c>
      <c r="D8" s="337" t="s">
        <v>274</v>
      </c>
      <c r="E8" s="197" t="s">
        <v>265</v>
      </c>
      <c r="F8" s="137">
        <f>SUMIFS(생산량!E:E,생산량!B:B,B8,생산량!D:D,B9)</f>
        <v>0</v>
      </c>
      <c r="G8" s="137"/>
      <c r="H8" s="137">
        <f>SUMIFS(생산량!F:F,생산량!B:B,B8,생산량!D:D,B9)</f>
        <v>0</v>
      </c>
      <c r="I8" s="137">
        <f>SUMIFS(생산량!G:G,생산량!B:B,B8,생산량!D:D,B9)</f>
        <v>0</v>
      </c>
      <c r="J8" s="137">
        <f>SUMIFS(생산량!H:H,생산량!B:B,B8,생산량!D:D,B9)</f>
        <v>12661.9</v>
      </c>
      <c r="K8" s="137">
        <f>SUMIFS(생산량!I:I,생산량!B:B,B8,생산량!D:D,B9)</f>
        <v>4664.7700000000004</v>
      </c>
      <c r="L8" s="137">
        <f>SUMIFS(생산량!J:J,생산량!B:B,B8,생산량!D:D,B9)</f>
        <v>2033.2829999999999</v>
      </c>
      <c r="M8" s="137"/>
      <c r="N8" s="137">
        <f t="shared" ref="N8:N13" si="0">SUM(F8:M8)</f>
        <v>19359.952999999998</v>
      </c>
      <c r="O8" s="187"/>
      <c r="S8" s="199"/>
      <c r="T8" s="199"/>
    </row>
    <row r="9" spans="1:33" ht="24.95" customHeight="1">
      <c r="A9" s="184" t="s">
        <v>4</v>
      </c>
      <c r="B9" s="131" t="s">
        <v>417</v>
      </c>
      <c r="D9" s="337"/>
      <c r="E9" s="197" t="s">
        <v>267</v>
      </c>
      <c r="F9" s="138">
        <f>SUM(F10:F11)</f>
        <v>76492</v>
      </c>
      <c r="G9" s="138">
        <f t="shared" ref="G9:L9" si="1">SUM(G10:G11)</f>
        <v>598</v>
      </c>
      <c r="H9" s="138">
        <f t="shared" si="1"/>
        <v>187389</v>
      </c>
      <c r="I9" s="138">
        <f t="shared" si="1"/>
        <v>336989</v>
      </c>
      <c r="J9" s="138">
        <f t="shared" si="1"/>
        <v>763432.999999983</v>
      </c>
      <c r="K9" s="138">
        <f t="shared" si="1"/>
        <v>567348</v>
      </c>
      <c r="L9" s="138">
        <f t="shared" si="1"/>
        <v>17512</v>
      </c>
      <c r="M9" s="138"/>
      <c r="N9" s="138">
        <f t="shared" si="0"/>
        <v>1949760.999999983</v>
      </c>
      <c r="O9" s="138"/>
      <c r="S9" s="199"/>
      <c r="T9" s="199"/>
    </row>
    <row r="10" spans="1:33" ht="24.95" customHeight="1">
      <c r="A10" s="330" t="s">
        <v>301</v>
      </c>
      <c r="B10" s="131" t="s">
        <v>295</v>
      </c>
      <c r="D10" s="337"/>
      <c r="E10" s="197" t="s">
        <v>266</v>
      </c>
      <c r="F10" s="188">
        <f>SUMIFS(라인분배전력량!E:E,라인분배전력량!B:B,B8,라인분배전력량!D:D,B9)</f>
        <v>69304</v>
      </c>
      <c r="G10" s="188">
        <f>SUMIFS(라인분배전력량!F:F,라인분배전력량!B:B,B8,라인분배전력량!D:D,B9)</f>
        <v>542</v>
      </c>
      <c r="H10" s="188">
        <f>SUMIFS(라인분배전력량!G:G,라인분배전력량!B:B,B8,라인분배전력량!D:D,B9)</f>
        <v>169780</v>
      </c>
      <c r="I10" s="188">
        <f>SUMIFS(라인분배전력량!H:H,라인분배전력량!B:B,B8,라인분배전력량!D:D,B9)</f>
        <v>305322</v>
      </c>
      <c r="J10" s="188">
        <f>SUMIFS(라인분배전력량!I:I,라인분배전력량!B:B,B8,라인분배전력량!D:D,B9)+T10</f>
        <v>691693.75999998255</v>
      </c>
      <c r="K10" s="188">
        <f>SUMIFS(라인분배전력량!J:J,라인분배전력량!B:B,B8,라인분배전력량!D:D,B9)</f>
        <v>514035</v>
      </c>
      <c r="L10" s="188">
        <f>SUMIFS(라인분배전력량!K:K,라인분배전력량!B:B,B8,라인분배전력량!D:D,B9)</f>
        <v>15866</v>
      </c>
      <c r="M10" s="188"/>
      <c r="N10" s="188">
        <f t="shared" si="0"/>
        <v>1766542.7599999825</v>
      </c>
      <c r="O10" s="188"/>
      <c r="S10" s="134">
        <f>총전력량!G38-'20.12월'!N10</f>
        <v>281139</v>
      </c>
      <c r="T10" s="134">
        <v>0.75999998254701495</v>
      </c>
      <c r="U10" s="186">
        <f>F10+G10</f>
        <v>69846</v>
      </c>
      <c r="W10" s="186">
        <f>ROUND(L10*0.6,0)</f>
        <v>9520</v>
      </c>
      <c r="X10" s="186">
        <f>L10-W10</f>
        <v>6346</v>
      </c>
    </row>
    <row r="11" spans="1:33" ht="24.95" customHeight="1">
      <c r="A11" s="330"/>
      <c r="B11" s="131" t="s">
        <v>297</v>
      </c>
      <c r="D11" s="337"/>
      <c r="E11" s="197" t="s">
        <v>303</v>
      </c>
      <c r="F11" s="188">
        <f>SUMIFS(라인분배전력량!S:S,라인분배전력량!B:B,B8,라인분배전력량!D:D,B9)</f>
        <v>7188</v>
      </c>
      <c r="G11" s="188">
        <f>SUMIFS(라인분배전력량!T:T,라인분배전력량!B:B,B8,라인분배전력량!D:D,B9)</f>
        <v>56</v>
      </c>
      <c r="H11" s="188">
        <f>SUMIFS(라인분배전력량!U:U,라인분배전력량!B:B,B8,라인분배전력량!D:D,B9)</f>
        <v>17609</v>
      </c>
      <c r="I11" s="188">
        <f>SUMIFS(라인분배전력량!V:V,라인분배전력량!B:B,B8,라인분배전력량!D:D,B9)</f>
        <v>31667</v>
      </c>
      <c r="J11" s="188">
        <f>SUMIFS(라인분배전력량!W:W,라인분배전력량!B:B,B8,라인분배전력량!D:D,B9)+T11</f>
        <v>71739.240000000515</v>
      </c>
      <c r="K11" s="188">
        <f>SUMIFS(라인분배전력량!X:X,라인분배전력량!B:B,B8,라인분배전력량!D:D,B9)</f>
        <v>53313</v>
      </c>
      <c r="L11" s="188">
        <f>SUMIFS(라인분배전력량!Y:Y,라인분배전력량!B:B,B8,라인분배전력량!D:D,B9)</f>
        <v>1646</v>
      </c>
      <c r="M11" s="188"/>
      <c r="N11" s="188">
        <f t="shared" si="0"/>
        <v>183218.24000000051</v>
      </c>
      <c r="O11" s="188"/>
      <c r="S11" s="134">
        <f>ESS전력량!G38-'20.12월'!N11</f>
        <v>-19444</v>
      </c>
      <c r="T11" s="134">
        <v>0.24000000051455572</v>
      </c>
      <c r="U11" s="186">
        <f t="shared" ref="U11:U13" si="2">F11+G11</f>
        <v>7244</v>
      </c>
      <c r="W11" s="186">
        <f t="shared" ref="W11:W13" si="3">ROUND(L11*0.6,0)</f>
        <v>988</v>
      </c>
      <c r="X11" s="186">
        <f t="shared" ref="X11:X13" si="4">L11-W11</f>
        <v>658</v>
      </c>
    </row>
    <row r="12" spans="1:33" ht="24.95" customHeight="1" thickBot="1">
      <c r="A12" s="330"/>
      <c r="B12" s="132" t="s">
        <v>299</v>
      </c>
      <c r="D12" s="337"/>
      <c r="E12" s="197" t="s">
        <v>268</v>
      </c>
      <c r="F12" s="188">
        <f>SUMIFS(라인분배전력금액!E:E,라인분배전력금액!B:B,B8,라인분배전력금액!D:D,B9)</f>
        <v>7822205.2471062019</v>
      </c>
      <c r="G12" s="188">
        <f>SUMIFS(라인분배전력금액!F:F,라인분배전력금액!B:B,B8,라인분배전력금액!D:D,B9)</f>
        <v>61152.332454250776</v>
      </c>
      <c r="H12" s="188">
        <f>SUMIFS(라인분배전력금액!G:G,라인분배전력금액!B:B,B8,라인분배전력금액!D:D,B9)</f>
        <v>19162693.108292043</v>
      </c>
      <c r="I12" s="188">
        <f>SUMIFS(라인분배전력금액!H:H,라인분배전력금액!B:B,B8,라인분배전력금액!D:D,B9)</f>
        <v>34460942.285812199</v>
      </c>
      <c r="J12" s="188">
        <f>SUMIFS(라인분배전력금액!I:I,라인분배전력금액!B:B,B8,라인분배전력금액!D:D,B9)+T12</f>
        <v>78069642.042486697</v>
      </c>
      <c r="K12" s="188">
        <f>SUMIFS(라인분배전력금액!J:J,라인분배전력금액!B:B,B8,라인분배전력금액!D:D,B9)</f>
        <v>58017799.900341809</v>
      </c>
      <c r="L12" s="188">
        <f>SUMIFS(라인분배전력금액!K:K,라인분배전력금액!B:B,B8,라인분배전력금액!D:D,B9)</f>
        <v>1790802.0835097651</v>
      </c>
      <c r="M12" s="188"/>
      <c r="N12" s="188">
        <f t="shared" si="0"/>
        <v>199385237.00000298</v>
      </c>
      <c r="O12" s="187"/>
      <c r="S12" s="135">
        <f>총전력량!AF38-'20.12월'!N12</f>
        <v>70223723.99999702</v>
      </c>
      <c r="T12" s="136">
        <v>0</v>
      </c>
      <c r="U12" s="186">
        <f t="shared" si="2"/>
        <v>7883357.5795604531</v>
      </c>
      <c r="W12" s="186">
        <f t="shared" si="3"/>
        <v>1074481</v>
      </c>
      <c r="X12" s="186">
        <f t="shared" si="4"/>
        <v>716321.0835097651</v>
      </c>
    </row>
    <row r="13" spans="1:33" ht="24.95" customHeight="1" thickTop="1">
      <c r="D13" s="337"/>
      <c r="E13" s="197" t="s">
        <v>269</v>
      </c>
      <c r="F13" s="188">
        <f>SUMIFS(라인분배전력금액!U:U,라인분배전력금액!R:R,B8,라인분배전력금액!T:T,B9)</f>
        <v>190829</v>
      </c>
      <c r="G13" s="188">
        <f>SUMIFS(라인분배전력금액!V:V,라인분배전력금액!R:R,B8,라인분배전력금액!T:T,B9)</f>
        <v>1492</v>
      </c>
      <c r="H13" s="188">
        <f>SUMIFS(라인분배전력금액!W:W,라인분배전력금액!R:R,B8,라인분배전력금액!T:T,B9)</f>
        <v>467489</v>
      </c>
      <c r="I13" s="188">
        <f>SUMIFS(라인분배전력금액!X:X,라인분배전력금액!R:R,B8,라인분배전력금액!T:T,B9)</f>
        <v>840701</v>
      </c>
      <c r="J13" s="188">
        <f>SUMIFS(라인분배전력금액!Y:Y,라인분배전력금액!R:R,B8,라인분배전력금액!T:T,B9)+T13</f>
        <v>1904569</v>
      </c>
      <c r="K13" s="188">
        <f>SUMIFS(라인분배전력금액!Z:Z,라인분배전력금액!R:R,B8,라인분배전력금액!T:T,B9)</f>
        <v>1415389</v>
      </c>
      <c r="L13" s="188">
        <f>SUMIFS(라인분배전력금액!AA:AA,라인분배전력금액!R:R,B8,라인분배전력금액!T:T,B9)</f>
        <v>43688</v>
      </c>
      <c r="M13" s="188"/>
      <c r="N13" s="188">
        <f t="shared" si="0"/>
        <v>4864157</v>
      </c>
      <c r="O13" s="187"/>
      <c r="S13" s="135">
        <f>총전력량!AR38-'20.12월'!N13</f>
        <v>5434750</v>
      </c>
      <c r="T13" s="136">
        <v>0</v>
      </c>
      <c r="U13" s="186">
        <f t="shared" si="2"/>
        <v>192321</v>
      </c>
      <c r="W13" s="186">
        <f t="shared" si="3"/>
        <v>26213</v>
      </c>
      <c r="X13" s="186">
        <f t="shared" si="4"/>
        <v>17475</v>
      </c>
    </row>
    <row r="14" spans="1:33" ht="24.95" customHeight="1">
      <c r="D14" s="337"/>
      <c r="E14" s="197" t="s">
        <v>270</v>
      </c>
      <c r="F14" s="138">
        <f>SUM(F12:F13)</f>
        <v>8013034.2471062019</v>
      </c>
      <c r="G14" s="138">
        <f t="shared" ref="G14:N14" si="5">SUM(G12:G13)</f>
        <v>62644.332454250776</v>
      </c>
      <c r="H14" s="138">
        <f t="shared" si="5"/>
        <v>19630182.108292043</v>
      </c>
      <c r="I14" s="138">
        <f t="shared" si="5"/>
        <v>35301643.285812199</v>
      </c>
      <c r="J14" s="138">
        <f t="shared" si="5"/>
        <v>79974211.042486697</v>
      </c>
      <c r="K14" s="138">
        <f t="shared" si="5"/>
        <v>59433188.900341809</v>
      </c>
      <c r="L14" s="138">
        <f t="shared" si="5"/>
        <v>1834490.0835097651</v>
      </c>
      <c r="M14" s="138">
        <f t="shared" si="5"/>
        <v>0</v>
      </c>
      <c r="N14" s="138">
        <f t="shared" si="5"/>
        <v>204249394.00000298</v>
      </c>
      <c r="O14" s="139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304</v>
      </c>
      <c r="AE14" s="183" t="s">
        <v>305</v>
      </c>
      <c r="AF14" s="183" t="s">
        <v>306</v>
      </c>
      <c r="AG14" s="183" t="s">
        <v>132</v>
      </c>
    </row>
    <row r="15" spans="1:33" ht="24.95" customHeight="1">
      <c r="D15" s="337"/>
      <c r="E15" s="197" t="s">
        <v>271</v>
      </c>
      <c r="F15" s="140">
        <f>F14+Z15</f>
        <v>11455431.779940166</v>
      </c>
      <c r="G15" s="140">
        <f t="shared" ref="G15:L15" si="6">G14+AA15</f>
        <v>89556.262238429335</v>
      </c>
      <c r="H15" s="140">
        <f t="shared" si="6"/>
        <v>28063303.637907069</v>
      </c>
      <c r="I15" s="140">
        <f t="shared" si="6"/>
        <v>50467221.144779742</v>
      </c>
      <c r="J15" s="140">
        <f t="shared" si="6"/>
        <v>114331113.56121169</v>
      </c>
      <c r="K15" s="140">
        <f t="shared" si="6"/>
        <v>84965673.018075377</v>
      </c>
      <c r="L15" s="140">
        <f t="shared" si="6"/>
        <v>2622586.5958517967</v>
      </c>
      <c r="M15" s="140"/>
      <c r="N15" s="140">
        <f>SUM(F15:L15)</f>
        <v>291994886.00000429</v>
      </c>
      <c r="O15" s="187"/>
      <c r="S15" s="136"/>
      <c r="T15" s="136"/>
      <c r="Z15" s="198">
        <f>SUMIFS(라인별전력적용비율!E:E,라인별전력적용비율!B:B,B8,라인별전력적용비율!D:D,B9)*AG15</f>
        <v>3442397.5328339646</v>
      </c>
      <c r="AA15" s="198">
        <f>SUMIFS(라인별전력적용비율!F:F,라인별전력적용비율!B:B,B8,라인별전력적용비율!D:D,B9)*AG15</f>
        <v>26911.929784178566</v>
      </c>
      <c r="AB15" s="198">
        <f>SUMIFS(라인별전력적용비율!G:G,라인별전력적용비율!B:B,B8,라인별전력적용비율!D:D,B9)*AG15</f>
        <v>8433121.529615026</v>
      </c>
      <c r="AC15" s="198">
        <f>SUMIFS(라인별전력적용비율!H:H,라인별전력적용비율!B:B,B8,라인별전력적용비율!D:D,B9)*AG15</f>
        <v>15165577.858967543</v>
      </c>
      <c r="AD15" s="198">
        <f>SUMIFS(라인별전력적용비율!I:I,라인별전력적용비율!B:B,B8,라인별전력적용비율!D:D,B9)*AG15</f>
        <v>34356902.518724993</v>
      </c>
      <c r="AE15" s="198">
        <f>SUMIFS(라인별전력적용비율!J:J,라인별전력적용비율!B:B,B8,라인별전력적용비율!D:D,B9)*AG15</f>
        <v>25532484.117733568</v>
      </c>
      <c r="AF15" s="198">
        <f>SUMIFS(라인별전력적용비율!K:K,라인별전력적용비율!B:B,B8,라인별전력적용비율!D:D,B9)*AG15</f>
        <v>788096.51234203181</v>
      </c>
      <c r="AG15" s="198">
        <f>ROUND(SUMIFS(리스추정치!E:E,리스추정치!B:B,B8,리스추정치!D:D,B9),0)</f>
        <v>87745492</v>
      </c>
    </row>
    <row r="16" spans="1:33" ht="24.95" customHeight="1">
      <c r="D16" s="337"/>
      <c r="E16" s="141" t="s">
        <v>272</v>
      </c>
      <c r="F16" s="188">
        <f>IFERROR(F15/F8,0)</f>
        <v>0</v>
      </c>
      <c r="G16" s="188">
        <f t="shared" ref="G16:N16" si="7">IFERROR(G15/G8,0)</f>
        <v>0</v>
      </c>
      <c r="H16" s="188">
        <f t="shared" si="7"/>
        <v>0</v>
      </c>
      <c r="I16" s="188">
        <f t="shared" si="7"/>
        <v>0</v>
      </c>
      <c r="J16" s="188">
        <f t="shared" si="7"/>
        <v>9029.53850221623</v>
      </c>
      <c r="K16" s="188">
        <f t="shared" si="7"/>
        <v>18214.332757686952</v>
      </c>
      <c r="L16" s="188">
        <f t="shared" si="7"/>
        <v>1289.828615028895</v>
      </c>
      <c r="M16" s="188">
        <f t="shared" si="7"/>
        <v>0</v>
      </c>
      <c r="N16" s="188">
        <f t="shared" si="7"/>
        <v>15082.417090578903</v>
      </c>
      <c r="O16" s="187"/>
      <c r="S16" s="136"/>
      <c r="T16" s="136"/>
    </row>
    <row r="17" spans="4:20" ht="24.95" customHeight="1">
      <c r="D17" s="337"/>
      <c r="E17" s="141" t="s">
        <v>273</v>
      </c>
      <c r="F17" s="137">
        <f>IFERROR(F9/F8,0)</f>
        <v>0</v>
      </c>
      <c r="G17" s="137">
        <f t="shared" ref="G17:N17" si="8">IFERROR(G9/G8,0)</f>
        <v>0</v>
      </c>
      <c r="H17" s="137">
        <f t="shared" si="8"/>
        <v>0</v>
      </c>
      <c r="I17" s="137">
        <f t="shared" si="8"/>
        <v>0</v>
      </c>
      <c r="J17" s="137">
        <f t="shared" si="8"/>
        <v>60.293715793047099</v>
      </c>
      <c r="K17" s="137">
        <f t="shared" si="8"/>
        <v>121.62400289832081</v>
      </c>
      <c r="L17" s="137">
        <f t="shared" si="8"/>
        <v>8.6126722153286099</v>
      </c>
      <c r="M17" s="137">
        <f t="shared" si="8"/>
        <v>0</v>
      </c>
      <c r="N17" s="137">
        <f t="shared" si="8"/>
        <v>100.71103994932132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SUMIFS(LNG사용량!E:E,LNG사용량!B:B,B8,LNG사용량!D:D,B9)</f>
        <v>2315.7896316290598</v>
      </c>
      <c r="G18" s="188">
        <f>SUMIFS(LNG사용량!F:F,LNG사용량!B:B,B8,LNG사용량!D:D,B9)</f>
        <v>0</v>
      </c>
      <c r="H18" s="188"/>
      <c r="I18" s="188">
        <f>SUMIFS(LNG사용량!G:G,LNG사용량!B:B,B8,LNG사용량!D:D,B9)</f>
        <v>0</v>
      </c>
      <c r="J18" s="188">
        <f>SUMIFS(LNG사용량!H:H,LNG사용량!B:B,B8,LNG사용량!D:D,B9)</f>
        <v>371261</v>
      </c>
      <c r="K18" s="188">
        <f>SUMIFS(LNG사용량!I:I,LNG사용량!B:B,B8,LNG사용량!D:D,B9)</f>
        <v>353704.21036837093</v>
      </c>
      <c r="L18" s="188"/>
      <c r="M18" s="188">
        <f>SUMIFS(LNG사용량!J:J,LNG사용량!B:B,B8,LNG사용량!D:D,B9)</f>
        <v>5380.8369999999995</v>
      </c>
      <c r="N18" s="188">
        <f>SUM(F18:M18)</f>
        <v>732661.83700000006</v>
      </c>
      <c r="O18" s="187"/>
    </row>
    <row r="19" spans="4:20" ht="24.95" customHeight="1">
      <c r="D19" s="337"/>
      <c r="E19" s="164" t="s">
        <v>370</v>
      </c>
      <c r="F19" s="138">
        <f>SUMIFS(LNG금액!E:E,LNG금액!B:B,B8,LNG금액!D:D,B9)</f>
        <v>1167878.4451148412</v>
      </c>
      <c r="G19" s="138">
        <f>SUMIFS(LNG금액!F:F,LNG금액!B:B,B8,LNG금액!D:D,B9)</f>
        <v>0</v>
      </c>
      <c r="H19" s="138"/>
      <c r="I19" s="138">
        <f>SUMIFS(LNG금액!G:G,LNG금액!B:B,B8,LNG금액!D:D,B9)</f>
        <v>0</v>
      </c>
      <c r="J19" s="138">
        <f>SUMIFS(LNG금액!H:H,LNG금액!B:B,B8,LNG금액!D:D,B9)</f>
        <v>187231047.88528243</v>
      </c>
      <c r="K19" s="138">
        <f>SUMIFS(LNG금액!I:I,LNG금액!B:B,B8,LNG금액!D:D,B9)</f>
        <v>178376963.77671358</v>
      </c>
      <c r="L19" s="138"/>
      <c r="M19" s="138">
        <f>SUMIFS(LNG금액!J:J,LNG금액!B:B,B8,LNG금액!D:D,B9)</f>
        <v>2713615.8928890978</v>
      </c>
      <c r="N19" s="138">
        <f>SUM(F19:M19)</f>
        <v>369489505.99999994</v>
      </c>
      <c r="O19" s="187"/>
    </row>
    <row r="20" spans="4:20" ht="24.95" customHeight="1">
      <c r="D20" s="337"/>
      <c r="E20" s="164" t="s">
        <v>371</v>
      </c>
      <c r="F20" s="188" t="e">
        <f>F19/F8</f>
        <v>#DIV/0!</v>
      </c>
      <c r="G20" s="188">
        <f>IFERROR(G19/G8,0)</f>
        <v>0</v>
      </c>
      <c r="H20" s="188"/>
      <c r="I20" s="188">
        <f>IFERROR(I19/I8,0)</f>
        <v>0</v>
      </c>
      <c r="J20" s="188">
        <f t="shared" ref="J20:N20" si="9">J19/J8</f>
        <v>14786.963084946368</v>
      </c>
      <c r="K20" s="188">
        <f t="shared" si="9"/>
        <v>38239.176588923692</v>
      </c>
      <c r="L20" s="188"/>
      <c r="M20" s="188"/>
      <c r="N20" s="188">
        <f t="shared" si="9"/>
        <v>19085.248089186993</v>
      </c>
      <c r="O20" s="187"/>
    </row>
    <row r="21" spans="4:20" ht="24.95" customHeight="1">
      <c r="D21" s="337"/>
      <c r="E21" s="164" t="s">
        <v>372</v>
      </c>
      <c r="F21" s="137" t="e">
        <f>F18/F8</f>
        <v>#DIV/0!</v>
      </c>
      <c r="G21" s="137">
        <f>IFERROR(G18/G8,0)</f>
        <v>0</v>
      </c>
      <c r="H21" s="137"/>
      <c r="I21" s="137">
        <f>IFERROR(I18/I8,0)</f>
        <v>0</v>
      </c>
      <c r="J21" s="137">
        <f t="shared" ref="J21:N21" si="10">J18/J8</f>
        <v>29.321112945134619</v>
      </c>
      <c r="K21" s="137">
        <f t="shared" si="10"/>
        <v>75.824576639013472</v>
      </c>
      <c r="L21" s="137"/>
      <c r="M21" s="137"/>
      <c r="N21" s="137">
        <f t="shared" si="10"/>
        <v>37.844195024647021</v>
      </c>
      <c r="O21" s="187"/>
    </row>
    <row r="22" spans="4:20" ht="24.95" customHeight="1">
      <c r="D22" s="197" t="s">
        <v>374</v>
      </c>
      <c r="E22" s="164" t="s">
        <v>375</v>
      </c>
      <c r="F22" s="187">
        <f>SUMIFS(LNG사용량!M:M,LNG사용량!B:B,B8,LNG사용량!D:D,B9)</f>
        <v>28882</v>
      </c>
      <c r="G22" s="187"/>
      <c r="H22" s="187"/>
      <c r="I22" s="187"/>
      <c r="J22" s="187"/>
      <c r="K22" s="187">
        <f>SUMIFS(LNG사용량!N:N,LNG사용량!B:B,B8,LNG사용량!D:D,B9)</f>
        <v>1078100</v>
      </c>
      <c r="L22" s="187"/>
      <c r="M22" s="187"/>
      <c r="N22" s="188">
        <f>SUM(F22:M22)</f>
        <v>1106982</v>
      </c>
      <c r="O22" s="187"/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SUMIFS(용수사용량!F:F,용수사용량!B:B,B8,용수사용량!D:D,B9,용수사용량!E:E,'20.12월'!B10)</f>
        <v>0</v>
      </c>
      <c r="G23" s="188">
        <f>SUMIFS(용수사용량!G:G,용수사용량!B:B,B8,용수사용량!D:D,B9,용수사용량!E:E,'20.12월'!B10)</f>
        <v>0</v>
      </c>
      <c r="H23" s="188">
        <f>SUMIFS(용수사용량!H:H,용수사용량!B:B,B8,용수사용량!D:D,B9,용수사용량!E:E,'20.12월'!B10)</f>
        <v>0</v>
      </c>
      <c r="I23" s="188">
        <f>SUMIFS(용수사용량!I:I,용수사용량!B:B,B8,용수사용량!D:D,B9,용수사용량!E:E,'20.12월'!B10)</f>
        <v>0</v>
      </c>
      <c r="J23" s="188">
        <f>SUMIFS(용수사용량!J:J,용수사용량!B:B,B8,용수사용량!D:D,B9,용수사용량!E:E,'20.12월'!B10)</f>
        <v>1066.4023402862372</v>
      </c>
      <c r="K23" s="188">
        <f>SUMIFS(용수사용량!K:K,용수사용량!B:B,B8,용수사용량!D:D,B9,용수사용량!E:E,'20.12월'!B10)</f>
        <v>717.59765971376282</v>
      </c>
      <c r="L23" s="188"/>
      <c r="M23" s="188"/>
      <c r="N23" s="188">
        <f>SUM(F23:M23)</f>
        <v>1784</v>
      </c>
      <c r="O23" s="187"/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SUMIFS(용수금액!F:F,용수사용량!B:B,B8,용수사용량!D:D,B9,용수사용량!E:E,'20.12월'!B10)</f>
        <v>0</v>
      </c>
      <c r="G24" s="188">
        <f>SUMIFS(용수금액!G:G,용수사용량!B:B,B8,용수사용량!D:D,B9,용수사용량!E:E,'20.12월'!B10)</f>
        <v>0</v>
      </c>
      <c r="H24" s="188">
        <f>SUMIFS(용수금액!H:H,용수사용량!B:B,B8,용수사용량!D:D,B9,용수사용량!E:E,'20.12월'!B10)</f>
        <v>0</v>
      </c>
      <c r="I24" s="188">
        <f>SUMIFS(용수금액!I:I,용수사용량!B:B,B8,용수사용량!D:D,B9,용수사용량!E:E,'20.12월'!B10)</f>
        <v>0</v>
      </c>
      <c r="J24" s="188">
        <f>SUMIFS(용수금액!J:J,용수사용량!B:B,B8,용수사용량!D:D,B9,용수사용량!E:E,'20.12월'!B10)</f>
        <v>4598017.2520697098</v>
      </c>
      <c r="K24" s="188">
        <f>SUMIFS(용수금액!K:K,용수사용량!B:B,B8,용수사용량!D:D,B9,용수사용량!E:E,'20.12월'!B10)</f>
        <v>3094072.7479302902</v>
      </c>
      <c r="L24" s="188"/>
      <c r="M24" s="188"/>
      <c r="N24" s="189">
        <f>SUM(F24:M24)</f>
        <v>7692090</v>
      </c>
      <c r="O24" s="187"/>
    </row>
    <row r="25" spans="4:20" ht="24.95" customHeight="1">
      <c r="D25" s="337"/>
      <c r="E25" s="164" t="s">
        <v>371</v>
      </c>
      <c r="F25" s="188" t="e">
        <f>F24/F8</f>
        <v>#DIV/0!</v>
      </c>
      <c r="G25" s="188" t="e">
        <f>G24/F8</f>
        <v>#DIV/0!</v>
      </c>
      <c r="H25" s="188" t="e">
        <f>H24/H8</f>
        <v>#DIV/0!</v>
      </c>
      <c r="I25" s="188">
        <f>IFERROR(I24/I8,0)</f>
        <v>0</v>
      </c>
      <c r="J25" s="188">
        <f t="shared" ref="J25:K25" si="11">J24/J8</f>
        <v>363.1380165748987</v>
      </c>
      <c r="K25" s="188">
        <f t="shared" si="11"/>
        <v>663.2851668850318</v>
      </c>
      <c r="L25" s="188"/>
      <c r="M25" s="188"/>
      <c r="N25" s="188">
        <f t="shared" ref="N25" si="12">N24/N8</f>
        <v>397.31966291447094</v>
      </c>
      <c r="O25" s="187"/>
    </row>
    <row r="26" spans="4:20" ht="24.95" customHeight="1">
      <c r="D26" s="337"/>
      <c r="E26" s="164" t="s">
        <v>379</v>
      </c>
      <c r="F26" s="137" t="e">
        <f>F23/F8</f>
        <v>#DIV/0!</v>
      </c>
      <c r="G26" s="137" t="e">
        <f>G23/F8</f>
        <v>#DIV/0!</v>
      </c>
      <c r="H26" s="137" t="e">
        <f>H23/H8</f>
        <v>#DIV/0!</v>
      </c>
      <c r="I26" s="137">
        <f>IFERROR(I23/I8,0)</f>
        <v>0</v>
      </c>
      <c r="J26" s="137">
        <f t="shared" ref="J26:K26" si="13">J23/J8</f>
        <v>8.4221352268319699E-2</v>
      </c>
      <c r="K26" s="137">
        <f t="shared" si="13"/>
        <v>0.15383344939059435</v>
      </c>
      <c r="L26" s="137"/>
      <c r="M26" s="137"/>
      <c r="N26" s="137">
        <f t="shared" ref="N26" si="14">N23/N8</f>
        <v>9.2148984039372425E-2</v>
      </c>
      <c r="O26" s="187"/>
    </row>
    <row r="27" spans="4:20" ht="24.95" customHeight="1">
      <c r="D27" s="337" t="s">
        <v>383</v>
      </c>
      <c r="E27" s="164" t="s">
        <v>369</v>
      </c>
      <c r="F27" s="188">
        <f>SUMIFS(용수사용량!S:S,용수사용량!O:O,B8,용수사용량!Q:Q,B9,용수사용량!R:R,'20.12월'!B11)</f>
        <v>0</v>
      </c>
      <c r="G27" s="188">
        <f>SUMIFS(용수사용량!T:T,용수사용량!O:O,B8,용수사용량!Q:Q,B9,용수사용량!R:R,'20.12월'!B11)</f>
        <v>0</v>
      </c>
      <c r="H27" s="188">
        <f>SUMIFS(용수사용량!U:U,용수사용량!O:O,B8,용수사용량!Q:Q,B9,용수사용량!R:R,'20.12월'!B11)</f>
        <v>0</v>
      </c>
      <c r="I27" s="188">
        <f>SUMIFS(용수사용량!V:V,용수사용량!O:O,B8,용수사용량!Q:Q,B9,용수사용량!R:R,'20.12월'!B11)</f>
        <v>0</v>
      </c>
      <c r="J27" s="188">
        <f>SUMIFS(용수사용량!W:W,용수사용량!O:O,B8,용수사용량!Q:Q,B9,용수사용량!R:R,'20.12월'!B11)</f>
        <v>15712.099503600753</v>
      </c>
      <c r="K27" s="188">
        <f>SUMIFS(용수사용량!X:X,용수사용량!O:O,B8,용수사용량!Q:Q,B9,용수사용량!R:R,'20.12월'!B11)</f>
        <v>10572.900496399247</v>
      </c>
      <c r="L27" s="188"/>
      <c r="M27" s="188"/>
      <c r="N27" s="188">
        <f>SUM(F27:M27)</f>
        <v>26285</v>
      </c>
      <c r="O27" s="187"/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SUMIFS(용수금액!S:S,용수사용량!O:O,B8,용수사용량!Q:Q,B9,용수사용량!R:R,'20.12월'!B11)</f>
        <v>0</v>
      </c>
      <c r="G28" s="213">
        <f>SUMIFS(용수금액!T:T,용수사용량!O:O,B8,용수사용량!Q:Q,B9,용수사용량!R:R,'20.12월'!B11)</f>
        <v>0</v>
      </c>
      <c r="H28" s="213">
        <f>SUMIFS(용수금액!U:U,용수사용량!O:O,B8,용수사용량!Q:Q,B9,용수사용량!R:R,'20.12월'!B11)</f>
        <v>0</v>
      </c>
      <c r="I28" s="213">
        <f>SUMIFS(용수금액!V:V,용수사용량!O:O,B8,용수사용량!Q:Q,B9,용수사용량!R:R,'20.12월'!B11)</f>
        <v>0</v>
      </c>
      <c r="J28" s="213">
        <f>SUMIFS(용수금액!W:W,용수사용량!O:O,B8,용수사용량!Q:Q,B9,용수사용량!R:R,'20.12월'!B11)</f>
        <v>8783592.6393688489</v>
      </c>
      <c r="K28" s="213">
        <f>SUMIFS(용수금액!X:X,용수사용량!O:O,B8,용수사용량!Q:Q,B9,용수사용량!R:R,'20.12월'!B11)</f>
        <v>5910607.3606311511</v>
      </c>
      <c r="L28" s="213"/>
      <c r="M28" s="213"/>
      <c r="N28" s="213">
        <f>SUM(F28:M28)</f>
        <v>14694200</v>
      </c>
      <c r="O28" s="187"/>
    </row>
    <row r="29" spans="4:20" ht="24.95" customHeight="1">
      <c r="D29" s="337"/>
      <c r="E29" s="164" t="s">
        <v>371</v>
      </c>
      <c r="F29" s="188" t="e">
        <f>F28/F8</f>
        <v>#DIV/0!</v>
      </c>
      <c r="G29" s="188" t="e">
        <f>G28/F8</f>
        <v>#DIV/0!</v>
      </c>
      <c r="H29" s="188" t="e">
        <f t="shared" ref="H29:N29" si="15">H28/H8</f>
        <v>#DIV/0!</v>
      </c>
      <c r="I29" s="188">
        <f>IFERROR(I28/I8,0)</f>
        <v>0</v>
      </c>
      <c r="J29" s="188">
        <f t="shared" si="15"/>
        <v>693.70257539301758</v>
      </c>
      <c r="K29" s="188">
        <f t="shared" si="15"/>
        <v>1267.0736950870355</v>
      </c>
      <c r="L29" s="188"/>
      <c r="M29" s="188"/>
      <c r="N29" s="188">
        <f t="shared" si="15"/>
        <v>758.99977649739139</v>
      </c>
      <c r="O29" s="187"/>
    </row>
    <row r="30" spans="4:20" ht="24.95" customHeight="1">
      <c r="D30" s="337"/>
      <c r="E30" s="164" t="s">
        <v>377</v>
      </c>
      <c r="F30" s="137" t="e">
        <f>F27/F8</f>
        <v>#DIV/0!</v>
      </c>
      <c r="G30" s="137" t="e">
        <f>G27/F8</f>
        <v>#DIV/0!</v>
      </c>
      <c r="H30" s="137" t="e">
        <f t="shared" ref="H30:N30" si="16">H27/H8</f>
        <v>#DIV/0!</v>
      </c>
      <c r="I30" s="137">
        <f>IFERROR(I27/I8,0)</f>
        <v>0</v>
      </c>
      <c r="J30" s="137">
        <f t="shared" si="16"/>
        <v>1.2408958768905736</v>
      </c>
      <c r="K30" s="137">
        <f t="shared" si="16"/>
        <v>2.2665427226635493</v>
      </c>
      <c r="L30" s="137"/>
      <c r="M30" s="137"/>
      <c r="N30" s="137">
        <f t="shared" si="16"/>
        <v>1.3576995770599238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SUMIFS(용수사용량!AF:AF,용수사용량!AB:AB,B8,용수사용량!AD:AD,B9,용수사용량!AE:AE,'20.12월'!B12)</f>
        <v>0</v>
      </c>
      <c r="G31" s="188">
        <f>SUMIFS(용수사용량!AG:AG,용수사용량!AB:AB,B8,용수사용량!AD:AD,B9,용수사용량!AE:AE,'20.12월'!B12)</f>
        <v>0</v>
      </c>
      <c r="H31" s="188">
        <f>SUMIFS(용수사용량!AH:AH,용수사용량!AB:AB,B8,용수사용량!AD:AD,B9,용수사용량!AE:AE,'20.12월'!B12)</f>
        <v>0</v>
      </c>
      <c r="I31" s="188">
        <f>SUMIFS(용수사용량!AI:AI,용수사용량!AB:AB,B8,용수사용량!AD:AD,B9,용수사용량!AE:AE,'20.12월'!B12)</f>
        <v>0</v>
      </c>
      <c r="J31" s="188">
        <f>SUMIFS(용수사용량!AJ:AJ,용수사용량!AB:AB,B8,용수사용량!AD:AD,B9,용수사용량!AE:AE,'20.12월'!B12)</f>
        <v>11496.701911841479</v>
      </c>
      <c r="K31" s="188">
        <f>SUMIFS(용수사용량!AK:AK,용수사용량!AB:AB,B8,용수사용량!AD:AD,B9,용수사용량!AE:AE,'20.12월'!B12)</f>
        <v>7736.2980881585208</v>
      </c>
      <c r="L31" s="188"/>
      <c r="M31" s="188"/>
      <c r="N31" s="188">
        <f>SUM(F31:M31)</f>
        <v>19233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SUMIFS(용수금액!AF:AF,용수금액!AB:AB,B8,용수금액!AD:AD,B9,용수금액!AE:AE,'20.12월'!B12)</f>
        <v>0</v>
      </c>
      <c r="G32" s="188">
        <f>SUMIFS(용수금액!AG:AG,용수금액!AB:AB,B8,용수금액!AD:AD,B9,용수금액!AE:AE,'20.12월'!B12)</f>
        <v>0</v>
      </c>
      <c r="H32" s="188">
        <f>SUMIFS(용수금액!AH:AH,용수금액!AB:AB,B8,용수금액!AD:AD,B9,용수금액!AE:AE,'20.12월'!B12)</f>
        <v>0</v>
      </c>
      <c r="I32" s="188">
        <f>SUMIFS(용수금액!AI:AI,용수금액!AB:AB,B8,용수금액!AD:AD,B9,용수금액!AE:AE,'20.12월'!B12)</f>
        <v>0</v>
      </c>
      <c r="J32" s="188">
        <f>SUMIFS(용수금액!AJ:AJ,용수금액!AB:AB,B8,용수금액!AD:AD,B9,용수금액!AE:AE,'20.12월'!B12)</f>
        <v>8047691.3382890355</v>
      </c>
      <c r="K32" s="188">
        <f>SUMIFS(용수금액!AK:AK,용수금액!AB:AB,B8,용수금액!AD:AD,B9,용수금액!AE:AE,'20.12월'!B12)</f>
        <v>5415408.6617109645</v>
      </c>
      <c r="L32" s="188"/>
      <c r="M32" s="188"/>
      <c r="N32" s="188">
        <f>SUM(F32:M32)</f>
        <v>13463100</v>
      </c>
      <c r="O32" s="187"/>
    </row>
    <row r="33" spans="4:15" ht="24.95" customHeight="1">
      <c r="D33" s="337"/>
      <c r="E33" s="164" t="s">
        <v>371</v>
      </c>
      <c r="F33" s="188" t="e">
        <f>F32/F8</f>
        <v>#DIV/0!</v>
      </c>
      <c r="G33" s="188" t="e">
        <f>G32/F8</f>
        <v>#DIV/0!</v>
      </c>
      <c r="H33" s="188" t="e">
        <f t="shared" ref="H33:N33" si="17">H32/H8</f>
        <v>#DIV/0!</v>
      </c>
      <c r="I33" s="188">
        <f>IFERROR(I32/I8,0)</f>
        <v>0</v>
      </c>
      <c r="J33" s="188">
        <f t="shared" si="17"/>
        <v>635.58323302893211</v>
      </c>
      <c r="K33" s="188">
        <f t="shared" si="17"/>
        <v>1160.9165428758467</v>
      </c>
      <c r="L33" s="188"/>
      <c r="M33" s="188"/>
      <c r="N33" s="188">
        <f t="shared" si="17"/>
        <v>695.40974608771012</v>
      </c>
      <c r="O33" s="187"/>
    </row>
    <row r="34" spans="4:15" ht="24.95" customHeight="1">
      <c r="D34" s="337"/>
      <c r="E34" s="164" t="s">
        <v>381</v>
      </c>
      <c r="F34" s="137">
        <f>IFERROR(F31/F8,0)</f>
        <v>0</v>
      </c>
      <c r="G34" s="137">
        <f>IFERROR(G31/F8,0)</f>
        <v>0</v>
      </c>
      <c r="H34" s="137">
        <f t="shared" ref="H34:N34" si="18">IFERROR(H31/H8,0)</f>
        <v>0</v>
      </c>
      <c r="I34" s="137">
        <f t="shared" si="18"/>
        <v>0</v>
      </c>
      <c r="J34" s="137">
        <f t="shared" si="18"/>
        <v>0.90797604718418878</v>
      </c>
      <c r="K34" s="137">
        <f t="shared" si="18"/>
        <v>1.6584522041083527</v>
      </c>
      <c r="L34" s="137">
        <f t="shared" si="18"/>
        <v>0</v>
      </c>
      <c r="M34" s="137">
        <f t="shared" si="18"/>
        <v>0</v>
      </c>
      <c r="N34" s="137">
        <f t="shared" si="18"/>
        <v>0.9934424944110144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D23:D26"/>
    <mergeCell ref="D27:D30"/>
    <mergeCell ref="D31:D34"/>
    <mergeCell ref="D4:L5"/>
    <mergeCell ref="D7:E7"/>
    <mergeCell ref="D8:D17"/>
    <mergeCell ref="A10:A12"/>
    <mergeCell ref="D18:D21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workbookViewId="0">
      <selection activeCell="F17" sqref="F17:G17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7" width="9" style="183"/>
    <col min="28" max="31" width="9.5" style="183" bestFit="1" customWidth="1"/>
    <col min="32" max="32" width="9" style="183"/>
    <col min="33" max="33" width="10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416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S7" s="133" t="s">
        <v>302</v>
      </c>
      <c r="T7" s="133"/>
      <c r="U7" s="186" t="s">
        <v>288</v>
      </c>
      <c r="V7" s="183" t="s">
        <v>289</v>
      </c>
      <c r="W7" s="183" t="s">
        <v>290</v>
      </c>
      <c r="X7" s="183" t="s">
        <v>291</v>
      </c>
    </row>
    <row r="8" spans="1:33" ht="24.95" customHeight="1" thickTop="1">
      <c r="A8" s="184" t="s">
        <v>2</v>
      </c>
      <c r="B8" s="130" t="s">
        <v>85</v>
      </c>
      <c r="D8" s="337" t="s">
        <v>274</v>
      </c>
      <c r="E8" s="197" t="s">
        <v>265</v>
      </c>
      <c r="F8" s="137">
        <f>SUMIFS(생산량!E:E,생산량!B:B,B8)</f>
        <v>281712.78499999997</v>
      </c>
      <c r="G8" s="137"/>
      <c r="H8" s="137">
        <f>SUMIFS(생산량!F:F,생산량!B:B,B8)</f>
        <v>264537.17499999999</v>
      </c>
      <c r="I8" s="137">
        <f>SUMIFS(생산량!G:G,생산량!B:B,B8)</f>
        <v>265170.34400000004</v>
      </c>
      <c r="J8" s="137">
        <f>SUMIFS(생산량!H:H,생산량!B:B,B8)</f>
        <v>157631.48799999998</v>
      </c>
      <c r="K8" s="137">
        <f>SUMIFS(생산량!I:I,생산량!B:B,B8)</f>
        <v>56112.341</v>
      </c>
      <c r="L8" s="137">
        <f>SUMIFS(생산량!J:J,생산량!B:B,B8)</f>
        <v>26221.403999999999</v>
      </c>
      <c r="M8" s="137"/>
      <c r="N8" s="137">
        <f t="shared" ref="N8:N13" si="0">SUM(F8:M8)</f>
        <v>1051385.537</v>
      </c>
      <c r="O8" s="187"/>
      <c r="S8" s="199"/>
      <c r="T8" s="199"/>
    </row>
    <row r="9" spans="1:33" ht="24.95" customHeight="1">
      <c r="A9" s="184" t="s">
        <v>4</v>
      </c>
      <c r="B9" s="131"/>
      <c r="D9" s="337"/>
      <c r="E9" s="197" t="s">
        <v>267</v>
      </c>
      <c r="F9" s="138">
        <f>SUM(F10:F11)</f>
        <v>3330265</v>
      </c>
      <c r="G9" s="138">
        <f t="shared" ref="G9:L9" si="1">SUM(G10:G11)</f>
        <v>658059</v>
      </c>
      <c r="H9" s="138">
        <f t="shared" si="1"/>
        <v>20506485</v>
      </c>
      <c r="I9" s="138">
        <f t="shared" si="1"/>
        <v>20468913</v>
      </c>
      <c r="J9" s="138">
        <f t="shared" si="1"/>
        <v>9760776.9999999832</v>
      </c>
      <c r="K9" s="138">
        <f t="shared" si="1"/>
        <v>6812218</v>
      </c>
      <c r="L9" s="138">
        <f t="shared" si="1"/>
        <v>211065</v>
      </c>
      <c r="M9" s="138"/>
      <c r="N9" s="138">
        <f t="shared" si="0"/>
        <v>61747781.999999985</v>
      </c>
      <c r="O9" s="138"/>
      <c r="S9" s="199"/>
      <c r="T9" s="199"/>
    </row>
    <row r="10" spans="1:33" ht="24.95" customHeight="1">
      <c r="A10" s="330" t="s">
        <v>301</v>
      </c>
      <c r="B10" s="131" t="s">
        <v>295</v>
      </c>
      <c r="D10" s="337"/>
      <c r="E10" s="197" t="s">
        <v>266</v>
      </c>
      <c r="F10" s="188">
        <f>SUMIFS(라인분배전력량!E:E,라인분배전력량!B:B,B8)</f>
        <v>3212494</v>
      </c>
      <c r="G10" s="188">
        <f>SUMIFS(라인분배전력량!F:F,라인분배전력량!B:B,B8)</f>
        <v>635896</v>
      </c>
      <c r="H10" s="188">
        <f>SUMIFS(라인분배전력량!G:G,라인분배전력량!B:B,B8)</f>
        <v>19806693</v>
      </c>
      <c r="I10" s="188">
        <f>SUMIFS(라인분배전력량!H:H,라인분배전력량!B:B,B8)</f>
        <v>19751505</v>
      </c>
      <c r="J10" s="188">
        <f>SUMIFS(라인분배전력량!I:I,라인분배전력량!B:B,B8)+T10</f>
        <v>9359808.759999983</v>
      </c>
      <c r="K10" s="188">
        <f>SUMIFS(라인분배전력량!J:J,라인분배전력량!B:B,B8)</f>
        <v>6525973</v>
      </c>
      <c r="L10" s="188">
        <f>SUMIFS(라인분배전력량!K:K,라인분배전력량!B:B,B8)</f>
        <v>202028</v>
      </c>
      <c r="M10" s="188"/>
      <c r="N10" s="188">
        <f t="shared" si="0"/>
        <v>59494397.759999983</v>
      </c>
      <c r="O10" s="188"/>
      <c r="S10" s="134">
        <f>총전력량!G38-'20년누적'!N10</f>
        <v>-57446716</v>
      </c>
      <c r="T10" s="134">
        <v>0.75999998254701495</v>
      </c>
      <c r="U10" s="186">
        <f>F10+G10</f>
        <v>3848390</v>
      </c>
      <c r="W10" s="186">
        <f>ROUND(L10*0.6,0)</f>
        <v>121217</v>
      </c>
      <c r="X10" s="186">
        <f>L10-W10</f>
        <v>80811</v>
      </c>
    </row>
    <row r="11" spans="1:33" ht="24.95" customHeight="1">
      <c r="A11" s="330"/>
      <c r="B11" s="131" t="s">
        <v>297</v>
      </c>
      <c r="D11" s="337"/>
      <c r="E11" s="197" t="s">
        <v>303</v>
      </c>
      <c r="F11" s="188">
        <f>SUMIFS(라인분배전력량!S:S,라인분배전력량!B:B,B8)</f>
        <v>117771</v>
      </c>
      <c r="G11" s="188">
        <f>SUMIFS(라인분배전력량!T:T,라인분배전력량!B:B,B8)</f>
        <v>22163</v>
      </c>
      <c r="H11" s="188">
        <f>SUMIFS(라인분배전력량!U:U,라인분배전력량!B:B,B8)</f>
        <v>699792</v>
      </c>
      <c r="I11" s="188">
        <f>SUMIFS(라인분배전력량!V:V,라인분배전력량!B:B,B8)</f>
        <v>717408</v>
      </c>
      <c r="J11" s="188">
        <f>SUMIFS(라인분배전력량!W:W,라인분배전력량!B:B,B8)+T11</f>
        <v>400968.24000000051</v>
      </c>
      <c r="K11" s="188">
        <f>SUMIFS(라인분배전력량!X:X,라인분배전력량!B:B,B8)</f>
        <v>286245</v>
      </c>
      <c r="L11" s="188">
        <f>SUMIFS(라인분배전력량!Y:Y,라인분배전력량!B:B,B8)</f>
        <v>9037</v>
      </c>
      <c r="M11" s="188"/>
      <c r="N11" s="188">
        <f t="shared" si="0"/>
        <v>2253384.2400000002</v>
      </c>
      <c r="O11" s="188"/>
      <c r="S11" s="134">
        <f>ESS전력량!G38-'20년누적'!N11</f>
        <v>-2089609.9999999998</v>
      </c>
      <c r="T11" s="134">
        <v>0.24000000051455572</v>
      </c>
      <c r="U11" s="186">
        <f t="shared" ref="U11:U13" si="2">F11+G11</f>
        <v>139934</v>
      </c>
      <c r="W11" s="186">
        <f t="shared" ref="W11:W13" si="3">ROUND(L11*0.6,0)</f>
        <v>5422</v>
      </c>
      <c r="X11" s="186">
        <f t="shared" ref="X11:X13" si="4">L11-W11</f>
        <v>3615</v>
      </c>
    </row>
    <row r="12" spans="1:33" ht="24.95" customHeight="1" thickBot="1">
      <c r="A12" s="330"/>
      <c r="B12" s="132" t="s">
        <v>299</v>
      </c>
      <c r="D12" s="337"/>
      <c r="E12" s="197" t="s">
        <v>268</v>
      </c>
      <c r="F12" s="188">
        <f>SUMIFS(라인분배전력금액!E:E,라인분배전력금액!B:B,B8)</f>
        <v>292932101.41426295</v>
      </c>
      <c r="G12" s="188">
        <f>SUMIFS(라인분배전력금액!F:F,라인분배전력금액!B:B,B8)</f>
        <v>57907220.126182988</v>
      </c>
      <c r="H12" s="188">
        <f>SUMIFS(라인분배전력금액!G:G,라인분배전력금액!B:B,B8)</f>
        <v>1805165906.963022</v>
      </c>
      <c r="I12" s="188">
        <f>SUMIFS(라인분배전력금액!H:H,라인분배전력금액!B:B,B8)</f>
        <v>1809129429.1035681</v>
      </c>
      <c r="J12" s="188">
        <f>SUMIFS(라인분배전력금액!I:I,라인분배전력금액!B:B,B8)+T12</f>
        <v>881662383.79271936</v>
      </c>
      <c r="K12" s="188">
        <f>SUMIFS(라인분배전력금액!J:J,라인분배전력금액!B:B,B8)</f>
        <v>613355577.00339746</v>
      </c>
      <c r="L12" s="188">
        <f>SUMIFS(라인분배전력금액!K:K,라인분배전력금액!B:B,B8)</f>
        <v>18909700.351462469</v>
      </c>
      <c r="M12" s="188"/>
      <c r="N12" s="188">
        <f t="shared" si="0"/>
        <v>5479062318.7546148</v>
      </c>
      <c r="O12" s="187"/>
      <c r="S12" s="135">
        <f>총전력량!AF38-'20년누적'!N12</f>
        <v>-5209453357.7546148</v>
      </c>
      <c r="T12" s="136">
        <v>0</v>
      </c>
      <c r="U12" s="186">
        <f t="shared" si="2"/>
        <v>350839321.54044592</v>
      </c>
      <c r="W12" s="186">
        <f t="shared" si="3"/>
        <v>11345820</v>
      </c>
      <c r="X12" s="186">
        <f t="shared" si="4"/>
        <v>7563880.3514624685</v>
      </c>
    </row>
    <row r="13" spans="1:33" ht="24.95" customHeight="1" thickTop="1">
      <c r="D13" s="337"/>
      <c r="E13" s="197" t="s">
        <v>269</v>
      </c>
      <c r="F13" s="188">
        <f>SUMIFS(라인분배전력금액!U:U,라인분배전력금액!R:R,B8)</f>
        <v>2860498</v>
      </c>
      <c r="G13" s="188">
        <f>SUMIFS(라인분배전력금액!V:V,라인분배전력금액!R:R,B8)</f>
        <v>535479</v>
      </c>
      <c r="H13" s="188">
        <f>SUMIFS(라인분배전력금액!W:W,라인분배전력금액!R:R,B8)</f>
        <v>16940195</v>
      </c>
      <c r="I13" s="188">
        <f>SUMIFS(라인분배전력금액!X:X,라인분배전력금액!R:R,B8)</f>
        <v>17439892</v>
      </c>
      <c r="J13" s="188">
        <f>SUMIFS(라인분배전력금액!Y:Y,라인분배전력금액!R:R,B8)+T13</f>
        <v>10000827</v>
      </c>
      <c r="K13" s="188">
        <f>SUMIFS(라인분배전력금액!Z:Z,라인분배전력금액!R:R,B8)</f>
        <v>7138198</v>
      </c>
      <c r="L13" s="188">
        <f>SUMIFS(라인분배전력금액!AA:AA,라인분배전력금액!R:R,B8)</f>
        <v>225340</v>
      </c>
      <c r="M13" s="188"/>
      <c r="N13" s="188">
        <f t="shared" si="0"/>
        <v>55140429</v>
      </c>
      <c r="O13" s="187"/>
      <c r="S13" s="135">
        <f>총전력량!AR38-'20년누적'!N13</f>
        <v>-44841522</v>
      </c>
      <c r="T13" s="136">
        <v>0</v>
      </c>
      <c r="U13" s="186">
        <f t="shared" si="2"/>
        <v>3395977</v>
      </c>
      <c r="W13" s="186">
        <f t="shared" si="3"/>
        <v>135204</v>
      </c>
      <c r="X13" s="186">
        <f t="shared" si="4"/>
        <v>90136</v>
      </c>
    </row>
    <row r="14" spans="1:33" ht="24.95" customHeight="1">
      <c r="D14" s="337"/>
      <c r="E14" s="197" t="s">
        <v>270</v>
      </c>
      <c r="F14" s="138">
        <f>SUM(F12:F13)</f>
        <v>295792599.41426295</v>
      </c>
      <c r="G14" s="138">
        <f t="shared" ref="G14:N14" si="5">SUM(G12:G13)</f>
        <v>58442699.126182988</v>
      </c>
      <c r="H14" s="138">
        <f t="shared" si="5"/>
        <v>1822106101.963022</v>
      </c>
      <c r="I14" s="138">
        <f t="shared" si="5"/>
        <v>1826569321.1035681</v>
      </c>
      <c r="J14" s="138">
        <f t="shared" si="5"/>
        <v>891663210.79271936</v>
      </c>
      <c r="K14" s="138">
        <f t="shared" si="5"/>
        <v>620493775.00339746</v>
      </c>
      <c r="L14" s="138">
        <f t="shared" si="5"/>
        <v>19135040.351462469</v>
      </c>
      <c r="M14" s="138">
        <f t="shared" si="5"/>
        <v>0</v>
      </c>
      <c r="N14" s="138">
        <f t="shared" si="5"/>
        <v>5534202747.7546148</v>
      </c>
      <c r="O14" s="139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304</v>
      </c>
      <c r="AE14" s="183" t="s">
        <v>305</v>
      </c>
      <c r="AF14" s="183" t="s">
        <v>306</v>
      </c>
      <c r="AG14" s="183" t="s">
        <v>132</v>
      </c>
    </row>
    <row r="15" spans="1:33" ht="24.95" customHeight="1">
      <c r="D15" s="337"/>
      <c r="E15" s="197" t="s">
        <v>271</v>
      </c>
      <c r="F15" s="140">
        <f>F14+Z15</f>
        <v>940464384.06640506</v>
      </c>
      <c r="G15" s="140">
        <f t="shared" ref="G15:L15" si="6">G14+AA15</f>
        <v>178550258.84843493</v>
      </c>
      <c r="H15" s="140">
        <f t="shared" si="6"/>
        <v>5618081164.6690712</v>
      </c>
      <c r="I15" s="140">
        <f t="shared" si="6"/>
        <v>5735419333.8620872</v>
      </c>
      <c r="J15" s="140">
        <f t="shared" si="6"/>
        <v>3119282202.955039</v>
      </c>
      <c r="K15" s="140">
        <f t="shared" si="6"/>
        <v>2204300976.5018253</v>
      </c>
      <c r="L15" s="140">
        <f t="shared" si="6"/>
        <v>68984147.034420282</v>
      </c>
      <c r="M15" s="140"/>
      <c r="N15" s="140">
        <f>SUM(F15:L15)</f>
        <v>17865082467.937283</v>
      </c>
      <c r="O15" s="187"/>
      <c r="S15" s="136"/>
      <c r="T15" s="136"/>
      <c r="Z15" s="198">
        <f>SUMIFS(라인별전력적용비율!E:E,라인별전력적용비율!B:B,B8)*AG15</f>
        <v>644671784.65214217</v>
      </c>
      <c r="AA15" s="198">
        <f>SUMIFS(라인별전력적용비율!F:F,라인별전력적용비율!B:B,B8)*AG15</f>
        <v>120107559.72225192</v>
      </c>
      <c r="AB15" s="198">
        <f>SUMIFS(라인별전력적용비율!G:G,라인별전력적용비율!B:B,B8)*AG15</f>
        <v>3795975062.706049</v>
      </c>
      <c r="AC15" s="198">
        <f>SUMIFS(라인별전력적용비율!H:H,라인별전력적용비율!B:B,B8)*AG15</f>
        <v>3908850012.7585196</v>
      </c>
      <c r="AD15" s="198">
        <f>SUMIFS(라인별전력적용비율!I:I,라인별전력적용비율!B:B,B8)*AG15</f>
        <v>2227618992.1623197</v>
      </c>
      <c r="AE15" s="198">
        <f>SUMIFS(라인별전력적용비율!J:J,라인별전력적용비율!B:B,B8)*AG15</f>
        <v>1583807201.4984276</v>
      </c>
      <c r="AF15" s="198">
        <f>SUMIFS(라인별전력적용비율!K:K,라인별전력적용비율!B:B,B8)*AG15</f>
        <v>49849106.682957821</v>
      </c>
      <c r="AG15" s="198">
        <f>ROUND(SUMIFS(리스추정치!E:E,리스추정치!B:B,B8),0)</f>
        <v>1027573235</v>
      </c>
    </row>
    <row r="16" spans="1:33" ht="24.95" customHeight="1">
      <c r="D16" s="337"/>
      <c r="E16" s="141" t="s">
        <v>272</v>
      </c>
      <c r="F16" s="188">
        <f>IFERROR(F15/F8,0)</f>
        <v>3338.3802019010432</v>
      </c>
      <c r="G16" s="188">
        <f t="shared" ref="G16:N16" si="7">IFERROR(G15/G8,0)</f>
        <v>0</v>
      </c>
      <c r="H16" s="188">
        <f t="shared" si="7"/>
        <v>21237.397597026094</v>
      </c>
      <c r="I16" s="188">
        <f t="shared" si="7"/>
        <v>21629.188420338913</v>
      </c>
      <c r="J16" s="188">
        <f t="shared" si="7"/>
        <v>19788.446093683004</v>
      </c>
      <c r="K16" s="188">
        <f t="shared" si="7"/>
        <v>39283.710806181218</v>
      </c>
      <c r="L16" s="188">
        <f t="shared" si="7"/>
        <v>2630.8334608787645</v>
      </c>
      <c r="M16" s="188">
        <f t="shared" si="7"/>
        <v>0</v>
      </c>
      <c r="N16" s="188">
        <f t="shared" si="7"/>
        <v>16991.942383869107</v>
      </c>
      <c r="O16" s="187"/>
      <c r="S16" s="136"/>
      <c r="T16" s="136"/>
    </row>
    <row r="17" spans="4:20" ht="24.95" customHeight="1">
      <c r="D17" s="337"/>
      <c r="E17" s="141" t="s">
        <v>273</v>
      </c>
      <c r="F17" s="137">
        <f>IFERROR(F9/F8,0)</f>
        <v>11.821490458801861</v>
      </c>
      <c r="G17" s="137">
        <f t="shared" ref="G17:N17" si="8">IFERROR(G9/G8,0)</f>
        <v>0</v>
      </c>
      <c r="H17" s="137">
        <f t="shared" si="8"/>
        <v>77.518348791620696</v>
      </c>
      <c r="I17" s="137">
        <f t="shared" si="8"/>
        <v>77.191561813563879</v>
      </c>
      <c r="J17" s="137">
        <f t="shared" si="8"/>
        <v>61.921492487592225</v>
      </c>
      <c r="K17" s="137">
        <f t="shared" si="8"/>
        <v>121.40320433253711</v>
      </c>
      <c r="L17" s="137">
        <f t="shared" si="8"/>
        <v>8.049340149749419</v>
      </c>
      <c r="M17" s="137">
        <f t="shared" si="8"/>
        <v>0</v>
      </c>
      <c r="N17" s="137">
        <f t="shared" si="8"/>
        <v>58.729913839398748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SUMIFS(LNG사용량!E:E,LNG사용량!B:B,B8)</f>
        <v>902505.12930858263</v>
      </c>
      <c r="G18" s="188">
        <f>SUMIFS(LNG사용량!F:F,LNG사용량!B:B,B8)</f>
        <v>822622</v>
      </c>
      <c r="H18" s="188"/>
      <c r="I18" s="188">
        <f>SUMIFS(LNG사용량!G:G,LNG사용량!B:B,B8)</f>
        <v>5267366</v>
      </c>
      <c r="J18" s="188">
        <f>SUMIFS(LNG사용량!H:H,LNG사용량!B:B,B8)</f>
        <v>4022446</v>
      </c>
      <c r="K18" s="188">
        <f>SUMIFS(LNG사용량!I:I,LNG사용량!B:B,B8)</f>
        <v>3459134.8706914182</v>
      </c>
      <c r="L18" s="188"/>
      <c r="M18" s="188">
        <f>SUMIFS(LNG사용량!J:J,LNG사용량!B:B,B8)</f>
        <v>44360.458800000008</v>
      </c>
      <c r="N18" s="188">
        <f>SUM(F18:M18)</f>
        <v>14518434.458800001</v>
      </c>
      <c r="O18" s="187"/>
    </row>
    <row r="19" spans="4:20" ht="24.95" customHeight="1">
      <c r="D19" s="337"/>
      <c r="E19" s="164" t="s">
        <v>370</v>
      </c>
      <c r="F19" s="138">
        <f>SUMIFS(LNG금액!E:E,LNG금액!B:B,B8)</f>
        <v>520088258.73327696</v>
      </c>
      <c r="G19" s="138">
        <f>SUMIFS(LNG금액!F:F,LNG금액!B:B,B8)</f>
        <v>464806471.13271391</v>
      </c>
      <c r="H19" s="138"/>
      <c r="I19" s="138">
        <f>SUMIFS(LNG금액!G:G,LNG금액!B:B,B8)</f>
        <v>2981091753.398706</v>
      </c>
      <c r="J19" s="138">
        <f>SUMIFS(LNG금액!H:H,LNG금액!B:B,B8)</f>
        <v>2222130571.5886469</v>
      </c>
      <c r="K19" s="138">
        <f>SUMIFS(LNG금액!I:I,LNG금액!B:B,B8)</f>
        <v>1915165062.4877546</v>
      </c>
      <c r="L19" s="138"/>
      <c r="M19" s="138">
        <f>SUMIFS(LNG금액!J:J,LNG금액!B:B,B8)</f>
        <v>24898088.982219838</v>
      </c>
      <c r="N19" s="138">
        <f>SUM(F19:M19)</f>
        <v>8128180206.3233185</v>
      </c>
      <c r="O19" s="187"/>
    </row>
    <row r="20" spans="4:20" ht="24.95" customHeight="1">
      <c r="D20" s="337"/>
      <c r="E20" s="164" t="s">
        <v>371</v>
      </c>
      <c r="F20" s="188">
        <f>F19/F8</f>
        <v>1846.1649113059495</v>
      </c>
      <c r="G20" s="188">
        <f>IFERROR(G19/G8,0)</f>
        <v>0</v>
      </c>
      <c r="H20" s="188"/>
      <c r="I20" s="188">
        <f>IFERROR(I19/I8,0)</f>
        <v>11242.176287249926</v>
      </c>
      <c r="J20" s="188">
        <f t="shared" ref="J20:N20" si="9">J19/J8</f>
        <v>14096.996734489032</v>
      </c>
      <c r="K20" s="188">
        <f t="shared" si="9"/>
        <v>34130.906470071437</v>
      </c>
      <c r="L20" s="188"/>
      <c r="M20" s="188"/>
      <c r="N20" s="188">
        <f t="shared" si="9"/>
        <v>7730.9225971626793</v>
      </c>
      <c r="O20" s="187"/>
    </row>
    <row r="21" spans="4:20" ht="24.95" customHeight="1">
      <c r="D21" s="337"/>
      <c r="E21" s="164" t="s">
        <v>372</v>
      </c>
      <c r="F21" s="137">
        <f>F18/F8</f>
        <v>3.2036356791850351</v>
      </c>
      <c r="G21" s="137">
        <f>IFERROR(G18/G8,0)</f>
        <v>0</v>
      </c>
      <c r="H21" s="137"/>
      <c r="I21" s="137">
        <f>IFERROR(I18/I8,0)</f>
        <v>19.864084047045619</v>
      </c>
      <c r="J21" s="137">
        <f t="shared" ref="J21:N21" si="10">J18/J8</f>
        <v>25.518036091875249</v>
      </c>
      <c r="K21" s="137">
        <f t="shared" si="10"/>
        <v>61.646596970378013</v>
      </c>
      <c r="L21" s="137"/>
      <c r="M21" s="137"/>
      <c r="N21" s="137">
        <f t="shared" si="10"/>
        <v>13.808858832342869</v>
      </c>
      <c r="O21" s="187"/>
    </row>
    <row r="22" spans="4:20" ht="24.95" customHeight="1">
      <c r="D22" s="197" t="s">
        <v>374</v>
      </c>
      <c r="E22" s="164" t="s">
        <v>375</v>
      </c>
      <c r="F22" s="187">
        <f>SUMIFS(LNG사용량!M:M,LNG사용량!B:B,B8,LNG사용량!D:D,B9)</f>
        <v>0</v>
      </c>
      <c r="G22" s="187"/>
      <c r="H22" s="187"/>
      <c r="I22" s="187"/>
      <c r="J22" s="187"/>
      <c r="K22" s="187">
        <f>SUMIFS(LNG사용량!N:N,LNG사용량!B:B,B8,LNG사용량!D:D,B9)</f>
        <v>0</v>
      </c>
      <c r="L22" s="187"/>
      <c r="M22" s="187"/>
      <c r="N22" s="188">
        <f>SUM(F22:M22)</f>
        <v>0</v>
      </c>
      <c r="O22" s="187"/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SUMIFS(용수사용량!F:F,용수사용량!B:B,B8,용수사용량!E:E,'20년누적'!B10)</f>
        <v>9627.1344089648683</v>
      </c>
      <c r="G23" s="188">
        <f>SUMIFS(용수사용량!G:G,용수사용량!B:B,B8,용수사용량!E:E,'20년누적'!B10)</f>
        <v>2432.8077067598479</v>
      </c>
      <c r="H23" s="188">
        <f>SUMIFS(용수사용량!H:H,용수사용량!B:B,B8,용수사용량!E:E,'20년누적'!B10)</f>
        <v>1457.4158032409605</v>
      </c>
      <c r="I23" s="188">
        <f>SUMIFS(용수사용량!I:I,용수사용량!B:B,B8,용수사용량!E:E,'20년누적'!B10)</f>
        <v>3959.3327437073081</v>
      </c>
      <c r="J23" s="188">
        <f>SUMIFS(용수사용량!J:J,용수사용량!B:B,B8,용수사용량!E:E,'20년누적'!B10)</f>
        <v>10746.542826676336</v>
      </c>
      <c r="K23" s="188">
        <f>SUMIFS(용수사용량!K:K,용수사용량!B:B,B8,용수사용량!E:E,'20년누적'!B10)</f>
        <v>9557.7665106506811</v>
      </c>
      <c r="L23" s="188"/>
      <c r="M23" s="188"/>
      <c r="N23" s="188">
        <f>SUM(F23:M23)</f>
        <v>37781.000000000007</v>
      </c>
      <c r="O23" s="187"/>
    </row>
    <row r="24" spans="4:20" ht="24.95" customHeight="1">
      <c r="D24" s="337"/>
      <c r="E24" s="164" t="s">
        <v>378</v>
      </c>
      <c r="F24" s="188">
        <f>SUMIFS(용수금액!F:F,용수사용량!B:B,B8,용수사용량!E:E,'20년누적'!B10)</f>
        <v>42954539.698495619</v>
      </c>
      <c r="G24" s="188">
        <f>SUMIFS(용수금액!G:G,용수사용량!B:B,B8,용수사용량!E:E,'20년누적'!B10)</f>
        <v>10890111.007924207</v>
      </c>
      <c r="H24" s="188">
        <f>SUMIFS(용수금액!H:H,용수사용량!B:B,B8,용수사용량!E:E,'20년누적'!B10)</f>
        <v>6499872.9462742908</v>
      </c>
      <c r="I24" s="188">
        <f>SUMIFS(용수금액!I:I,용수사용량!B:B,B8,용수사용량!E:E,'20년누적'!B10)</f>
        <v>17688207.884195514</v>
      </c>
      <c r="J24" s="188">
        <f>SUMIFS(용수금액!J:J,용수사용량!B:B,B8,용수사용량!E:E,'20년누적'!B10)</f>
        <v>47739579.14668256</v>
      </c>
      <c r="K24" s="188">
        <f>SUMIFS(용수금액!K:K,용수사용량!B:B,B8,용수사용량!E:E,'20년누적'!B10)</f>
        <v>42503489.316427812</v>
      </c>
      <c r="L24" s="188"/>
      <c r="M24" s="188"/>
      <c r="N24" s="189">
        <f>SUM(F24:M24)</f>
        <v>168275800</v>
      </c>
      <c r="O24" s="187"/>
    </row>
    <row r="25" spans="4:20" ht="24.95" customHeight="1">
      <c r="D25" s="337"/>
      <c r="E25" s="164" t="s">
        <v>371</v>
      </c>
      <c r="F25" s="188">
        <f>F24/F8</f>
        <v>152.47635885071961</v>
      </c>
      <c r="G25" s="188">
        <f>G24/F8</f>
        <v>38.65678658469195</v>
      </c>
      <c r="H25" s="188">
        <f>H24/H8</f>
        <v>24.570735460051282</v>
      </c>
      <c r="I25" s="188">
        <f>IFERROR(I24/I8,0)</f>
        <v>66.705075753853947</v>
      </c>
      <c r="J25" s="188">
        <f t="shared" ref="J25:K25" si="11">J24/J8</f>
        <v>302.85560170999952</v>
      </c>
      <c r="K25" s="188">
        <f t="shared" si="11"/>
        <v>757.47132554009488</v>
      </c>
      <c r="L25" s="188"/>
      <c r="M25" s="188"/>
      <c r="N25" s="188">
        <f t="shared" ref="N25" si="12">N24/N8</f>
        <v>160.05146930226414</v>
      </c>
      <c r="O25" s="187"/>
    </row>
    <row r="26" spans="4:20" ht="24.95" customHeight="1">
      <c r="D26" s="337"/>
      <c r="E26" s="164" t="s">
        <v>379</v>
      </c>
      <c r="F26" s="137">
        <f>F23/F8</f>
        <v>3.4173580048789301E-2</v>
      </c>
      <c r="G26" s="137">
        <f>G23/F8</f>
        <v>8.6357731572596109E-3</v>
      </c>
      <c r="H26" s="137">
        <f>H23/H8</f>
        <v>5.5093043283650422E-3</v>
      </c>
      <c r="I26" s="137">
        <f>IFERROR(I23/I8,0)</f>
        <v>1.4931280338450318E-2</v>
      </c>
      <c r="J26" s="137">
        <f t="shared" ref="J26:K26" si="13">J23/J8</f>
        <v>6.8175102341711938E-2</v>
      </c>
      <c r="K26" s="137">
        <f t="shared" si="13"/>
        <v>0.17033269937268669</v>
      </c>
      <c r="L26" s="137"/>
      <c r="M26" s="137"/>
      <c r="N26" s="137">
        <f t="shared" ref="N26" si="14">N23/N8</f>
        <v>3.5934487084351062E-2</v>
      </c>
      <c r="O26" s="187"/>
    </row>
    <row r="27" spans="4:20" ht="24.95" customHeight="1">
      <c r="D27" s="337" t="s">
        <v>383</v>
      </c>
      <c r="E27" s="164" t="s">
        <v>369</v>
      </c>
      <c r="F27" s="188">
        <f>SUMIFS(용수사용량!S:S,용수사용량!O:O,B8,용수사용량!R:R,'20년누적'!B11)</f>
        <v>96703.071928591409</v>
      </c>
      <c r="G27" s="188">
        <f>SUMIFS(용수사용량!T:T,용수사용량!O:O,B8,용수사용량!R:R,'20년누적'!B11)</f>
        <v>21335.882701963466</v>
      </c>
      <c r="H27" s="188">
        <f>SUMIFS(용수사용량!U:U,용수사용량!O:O,B8,용수사용량!R:R,'20년누적'!B11)</f>
        <v>14765.145229815804</v>
      </c>
      <c r="I27" s="188">
        <f>SUMIFS(용수사용량!V:V,용수사용량!O:O,B8,용수사용량!R:R,'20년누적'!B11)</f>
        <v>38666.278973586464</v>
      </c>
      <c r="J27" s="188">
        <f>SUMIFS(용수사용량!W:W,용수사용량!O:O,B8,용수사용량!R:R,'20년누적'!B11)</f>
        <v>115496.58426535188</v>
      </c>
      <c r="K27" s="188">
        <f>SUMIFS(용수사용량!X:X,용수사용량!O:O,B8,용수사용량!R:R,'20년누적'!B11)</f>
        <v>101349.03690069098</v>
      </c>
      <c r="L27" s="188"/>
      <c r="M27" s="188"/>
      <c r="N27" s="188">
        <f>SUM(F27:M27)</f>
        <v>388316</v>
      </c>
      <c r="O27" s="187"/>
    </row>
    <row r="28" spans="4:20" ht="24.95" customHeight="1">
      <c r="D28" s="337"/>
      <c r="E28" s="164" t="s">
        <v>376</v>
      </c>
      <c r="F28" s="213">
        <f>SUMIFS(용수금액!S:S,용수사용량!O:O,B8,용수사용량!R:R,'20년누적'!B11)</f>
        <v>54079326.432689026</v>
      </c>
      <c r="G28" s="213">
        <f>SUMIFS(용수금액!T:T,용수사용량!O:O,B8,용수사용량!R:R,'20년누적'!B11)</f>
        <v>11930828.334841114</v>
      </c>
      <c r="H28" s="213">
        <f>SUMIFS(용수금액!U:U,용수사용량!O:O,B8,용수사용량!R:R,'20년누적'!B11)</f>
        <v>8257095.3535378017</v>
      </c>
      <c r="I28" s="213">
        <f>SUMIFS(용수금액!V:V,용수사용량!O:O,B8,용수사용량!R:R,'20년누적'!B11)</f>
        <v>21623490.942056131</v>
      </c>
      <c r="J28" s="213">
        <f>SUMIFS(용수금액!W:W,용수사용량!O:O,B8,용수사용량!R:R,'20년누적'!B11)</f>
        <v>64585954.688972645</v>
      </c>
      <c r="K28" s="213">
        <f>SUMIFS(용수금액!X:X,용수사용량!O:O,B8,용수사용량!R:R,'20년누적'!B11)</f>
        <v>56675464.247903295</v>
      </c>
      <c r="L28" s="213"/>
      <c r="M28" s="213"/>
      <c r="N28" s="213">
        <f>SUM(F28:M28)</f>
        <v>217152160</v>
      </c>
      <c r="O28" s="187"/>
    </row>
    <row r="29" spans="4:20" ht="24.95" customHeight="1">
      <c r="D29" s="337"/>
      <c r="E29" s="164" t="s">
        <v>371</v>
      </c>
      <c r="F29" s="188">
        <f>F28/F8</f>
        <v>191.96617729894308</v>
      </c>
      <c r="G29" s="188">
        <f>G28/F8</f>
        <v>42.351036126532613</v>
      </c>
      <c r="H29" s="188">
        <f t="shared" ref="H29:N29" si="15">H28/H8</f>
        <v>31.213364826844476</v>
      </c>
      <c r="I29" s="188">
        <f>IFERROR(I28/I8,0)</f>
        <v>81.545660860386889</v>
      </c>
      <c r="J29" s="188">
        <f t="shared" si="15"/>
        <v>409.72749485796044</v>
      </c>
      <c r="K29" s="188">
        <f t="shared" si="15"/>
        <v>1010.0356398943201</v>
      </c>
      <c r="L29" s="188"/>
      <c r="M29" s="188"/>
      <c r="N29" s="188">
        <f t="shared" si="15"/>
        <v>206.53904049281209</v>
      </c>
      <c r="O29" s="187"/>
    </row>
    <row r="30" spans="4:20" ht="24.95" customHeight="1">
      <c r="D30" s="337"/>
      <c r="E30" s="164" t="s">
        <v>377</v>
      </c>
      <c r="F30" s="137">
        <f>F27/F8</f>
        <v>0.34326831112259037</v>
      </c>
      <c r="G30" s="137">
        <f>G27/F8</f>
        <v>7.5736295397326278E-2</v>
      </c>
      <c r="H30" s="137">
        <f t="shared" ref="H30:N30" si="16">H27/H8</f>
        <v>5.5815010611706295E-2</v>
      </c>
      <c r="I30" s="137">
        <f>IFERROR(I27/I8,0)</f>
        <v>0.14581675458242968</v>
      </c>
      <c r="J30" s="137">
        <f t="shared" si="16"/>
        <v>0.73269995564180612</v>
      </c>
      <c r="K30" s="137">
        <f t="shared" si="16"/>
        <v>1.8061808702775557</v>
      </c>
      <c r="L30" s="137"/>
      <c r="M30" s="137"/>
      <c r="N30" s="137">
        <f t="shared" si="16"/>
        <v>0.3693373993977625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SUMIFS(용수사용량!AF:AF,용수사용량!AB:AB,B8,용수사용량!AE:AE,'20년누적'!B12)</f>
        <v>67124.928320587132</v>
      </c>
      <c r="G31" s="188">
        <f>SUMIFS(용수사용량!AG:AG,용수사용량!AB:AB,B8,용수사용량!AE:AE,'20년누적'!B12)</f>
        <v>15286.553285568027</v>
      </c>
      <c r="H31" s="188">
        <f>SUMIFS(용수사용량!AH:AH,용수사용량!AB:AB,B8,용수사용량!AE:AE,'20년누적'!B12)</f>
        <v>10305.254595824077</v>
      </c>
      <c r="I31" s="188">
        <f>SUMIFS(용수사용량!AI:AI,용수사용량!AB:AB,B8,용수사용량!AE:AE,'20년누적'!B12)</f>
        <v>26743.937125805969</v>
      </c>
      <c r="J31" s="188">
        <f>SUMIFS(용수사용량!AJ:AJ,용수사용량!AB:AB,B8,용수사용량!AE:AE,'20년누적'!B12)</f>
        <v>80706.777214800954</v>
      </c>
      <c r="K31" s="188">
        <f>SUMIFS(용수사용량!AK:AK,용수사용량!AB:AB,B8,용수사용량!AE:AE,'20년누적'!B12)</f>
        <v>70276.549457413814</v>
      </c>
      <c r="L31" s="188"/>
      <c r="M31" s="188"/>
      <c r="N31" s="188">
        <f>SUM(F31:M31)</f>
        <v>270444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SUMIFS(용수금액!AF:AF,용수금액!AB:AB,B8,용수금액!AE:AE,'20년누적'!B12)</f>
        <v>46987449.82441099</v>
      </c>
      <c r="G32" s="188">
        <f>SUMIFS(용수금액!AG:AG,용수금액!AB:AB,B8,용수금액!AE:AE,'20년누적'!B12)</f>
        <v>10700587.299897619</v>
      </c>
      <c r="H32" s="188">
        <f>SUMIFS(용수금액!AH:AH,용수금액!AB:AB,B8,용수금액!AE:AE,'20년누적'!B12)</f>
        <v>7213678.2170768548</v>
      </c>
      <c r="I32" s="188">
        <f>SUMIFS(용수금액!AI:AI,용수금액!AB:AB,B8,용수금액!AE:AE,'20년누적'!B12)</f>
        <v>18720755.988064181</v>
      </c>
      <c r="J32" s="188">
        <f>SUMIFS(용수금액!AJ:AJ,용수금액!AB:AB,B8,용수금액!AE:AE,'20년누적'!B12)</f>
        <v>56494744.050360672</v>
      </c>
      <c r="K32" s="188">
        <f>SUMIFS(용수금액!AK:AK,용수금액!AB:AB,B8,용수금액!AE:AE,'20년누적'!B12)</f>
        <v>49193584.620189674</v>
      </c>
      <c r="L32" s="188"/>
      <c r="M32" s="188"/>
      <c r="N32" s="188">
        <f>SUM(F32:M32)</f>
        <v>189310799.99999997</v>
      </c>
      <c r="O32" s="187"/>
    </row>
    <row r="33" spans="4:15" ht="24.95" customHeight="1">
      <c r="D33" s="337"/>
      <c r="E33" s="164" t="s">
        <v>371</v>
      </c>
      <c r="F33" s="188">
        <f>F32/F8</f>
        <v>166.7920390067174</v>
      </c>
      <c r="G33" s="188">
        <f>G32/F8</f>
        <v>37.984031501792224</v>
      </c>
      <c r="H33" s="188">
        <f t="shared" ref="H33:N33" si="17">H32/H8</f>
        <v>27.26905289238405</v>
      </c>
      <c r="I33" s="188">
        <f>IFERROR(I32/I8,0)</f>
        <v>70.598980661518382</v>
      </c>
      <c r="J33" s="188">
        <f t="shared" si="17"/>
        <v>358.39758139161052</v>
      </c>
      <c r="K33" s="188">
        <f t="shared" si="17"/>
        <v>876.69813348528226</v>
      </c>
      <c r="L33" s="188"/>
      <c r="M33" s="188"/>
      <c r="N33" s="188">
        <f t="shared" si="17"/>
        <v>180.05840230613708</v>
      </c>
      <c r="O33" s="187"/>
    </row>
    <row r="34" spans="4:15" ht="24.95" customHeight="1">
      <c r="D34" s="337"/>
      <c r="E34" s="164" t="s">
        <v>381</v>
      </c>
      <c r="F34" s="137">
        <f>IFERROR(F31/F8,0)</f>
        <v>0.23827434143816772</v>
      </c>
      <c r="G34" s="137">
        <f>IFERROR(G31/F8,0)</f>
        <v>5.4262902145417465E-2</v>
      </c>
      <c r="H34" s="137">
        <f t="shared" ref="H34:N34" si="18">IFERROR(H31/H8,0)</f>
        <v>3.8955789846262918E-2</v>
      </c>
      <c r="I34" s="137">
        <f t="shared" si="18"/>
        <v>0.10085568665931197</v>
      </c>
      <c r="J34" s="137">
        <f t="shared" si="18"/>
        <v>0.51199654484515789</v>
      </c>
      <c r="K34" s="137">
        <f t="shared" si="18"/>
        <v>1.2524259049789745</v>
      </c>
      <c r="L34" s="137">
        <f t="shared" si="18"/>
        <v>0</v>
      </c>
      <c r="M34" s="137">
        <f t="shared" si="18"/>
        <v>0</v>
      </c>
      <c r="N34" s="137">
        <f t="shared" si="18"/>
        <v>0.25722628900876732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D23:D26"/>
    <mergeCell ref="D27:D30"/>
    <mergeCell ref="D31:D34"/>
    <mergeCell ref="D4:L5"/>
    <mergeCell ref="D7:E7"/>
    <mergeCell ref="D8:D17"/>
    <mergeCell ref="A10:A12"/>
    <mergeCell ref="D18:D21"/>
  </mergeCells>
  <phoneticPr fontId="2" type="noConversion"/>
  <pageMargins left="0.7" right="0.7" top="0.75" bottom="0.75" header="0.3" footer="0.3"/>
  <pageSetup paperSize="9" scale="63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B100"/>
  <sheetViews>
    <sheetView topLeftCell="L19" workbookViewId="0">
      <selection activeCell="AB34" sqref="AB34"/>
    </sheetView>
  </sheetViews>
  <sheetFormatPr defaultRowHeight="16.5"/>
  <cols>
    <col min="5" max="5" width="10.125" style="226" bestFit="1" customWidth="1"/>
    <col min="7" max="7" width="9" style="231"/>
    <col min="9" max="9" width="9" style="231"/>
    <col min="11" max="11" width="9" style="231"/>
    <col min="13" max="13" width="9" style="231"/>
    <col min="15" max="15" width="9" style="231"/>
    <col min="17" max="17" width="9" style="231"/>
    <col min="21" max="22" width="9" style="8"/>
    <col min="23" max="23" width="9" style="16"/>
    <col min="24" max="24" width="9" style="18"/>
    <col min="25" max="25" width="9" style="17"/>
    <col min="26" max="26" width="9" style="273"/>
    <col min="27" max="27" width="9" style="274"/>
  </cols>
  <sheetData>
    <row r="1" spans="2:28" ht="17.25" thickTop="1">
      <c r="B1" s="316" t="s">
        <v>62</v>
      </c>
      <c r="C1" s="316" t="s">
        <v>63</v>
      </c>
      <c r="D1" s="59" t="s">
        <v>64</v>
      </c>
      <c r="E1" s="222"/>
      <c r="F1" s="59"/>
      <c r="G1" s="227"/>
      <c r="H1" s="59"/>
      <c r="I1" s="227"/>
      <c r="J1" s="316" t="s">
        <v>65</v>
      </c>
      <c r="K1" s="316"/>
      <c r="L1" s="316"/>
      <c r="M1" s="316"/>
      <c r="N1" s="316" t="s">
        <v>66</v>
      </c>
      <c r="O1" s="316"/>
      <c r="P1" s="316"/>
      <c r="Q1" s="316"/>
      <c r="R1" s="316" t="s">
        <v>67</v>
      </c>
      <c r="S1" s="313" t="s">
        <v>68</v>
      </c>
      <c r="T1" s="313" t="s">
        <v>69</v>
      </c>
      <c r="U1" s="318" t="s">
        <v>76</v>
      </c>
      <c r="V1" s="318" t="s">
        <v>77</v>
      </c>
      <c r="W1" s="319" t="s">
        <v>80</v>
      </c>
      <c r="X1" s="325" t="s">
        <v>79</v>
      </c>
      <c r="Y1" s="326" t="s">
        <v>78</v>
      </c>
      <c r="Z1" s="323" t="s">
        <v>79</v>
      </c>
      <c r="AA1" s="321" t="s">
        <v>78</v>
      </c>
    </row>
    <row r="2" spans="2:28" ht="33">
      <c r="B2" s="314"/>
      <c r="C2" s="314"/>
      <c r="D2" s="15" t="s">
        <v>157</v>
      </c>
      <c r="E2" s="223" t="s">
        <v>157</v>
      </c>
      <c r="F2" s="15" t="s">
        <v>158</v>
      </c>
      <c r="G2" s="228" t="s">
        <v>158</v>
      </c>
      <c r="H2" s="15" t="s">
        <v>159</v>
      </c>
      <c r="I2" s="228" t="s">
        <v>159</v>
      </c>
      <c r="J2" s="317" t="s">
        <v>70</v>
      </c>
      <c r="K2" s="317"/>
      <c r="L2" s="317" t="s">
        <v>71</v>
      </c>
      <c r="M2" s="317"/>
      <c r="N2" s="317" t="s">
        <v>72</v>
      </c>
      <c r="O2" s="317"/>
      <c r="P2" s="317" t="s">
        <v>73</v>
      </c>
      <c r="Q2" s="317"/>
      <c r="R2" s="314"/>
      <c r="S2" s="314"/>
      <c r="T2" s="314"/>
      <c r="U2" s="318"/>
      <c r="V2" s="318"/>
      <c r="W2" s="320"/>
      <c r="X2" s="318"/>
      <c r="Y2" s="327"/>
      <c r="Z2" s="324"/>
      <c r="AA2" s="322"/>
    </row>
    <row r="3" spans="2:28" ht="17.25" customHeight="1" thickBot="1">
      <c r="B3" s="315"/>
      <c r="C3" s="315"/>
      <c r="D3" s="10" t="s">
        <v>74</v>
      </c>
      <c r="E3" s="224" t="s">
        <v>75</v>
      </c>
      <c r="F3" s="10" t="s">
        <v>74</v>
      </c>
      <c r="G3" s="229" t="s">
        <v>75</v>
      </c>
      <c r="H3" s="10" t="s">
        <v>74</v>
      </c>
      <c r="I3" s="229" t="s">
        <v>75</v>
      </c>
      <c r="J3" s="10" t="s">
        <v>74</v>
      </c>
      <c r="K3" s="229" t="s">
        <v>75</v>
      </c>
      <c r="L3" s="10" t="s">
        <v>74</v>
      </c>
      <c r="M3" s="229" t="s">
        <v>75</v>
      </c>
      <c r="N3" s="10" t="s">
        <v>74</v>
      </c>
      <c r="O3" s="229" t="s">
        <v>75</v>
      </c>
      <c r="P3" s="10" t="s">
        <v>74</v>
      </c>
      <c r="Q3" s="229" t="s">
        <v>75</v>
      </c>
      <c r="R3" s="315"/>
      <c r="S3" s="315"/>
      <c r="T3" s="315"/>
      <c r="U3" s="318"/>
      <c r="V3" s="318"/>
      <c r="W3" s="320"/>
      <c r="X3" s="318"/>
      <c r="Y3" s="327"/>
      <c r="Z3" s="324"/>
      <c r="AA3" s="322"/>
    </row>
    <row r="4" spans="2:28" ht="17.25" thickTop="1">
      <c r="B4" s="6" t="s">
        <v>8</v>
      </c>
      <c r="C4" s="7" t="s">
        <v>9</v>
      </c>
      <c r="D4" s="11">
        <v>3791.87</v>
      </c>
      <c r="E4" s="225">
        <v>4011.04</v>
      </c>
      <c r="F4" s="11">
        <v>2231.36</v>
      </c>
      <c r="G4" s="230">
        <v>2367.9699999999998</v>
      </c>
      <c r="H4" s="11">
        <v>1227.27</v>
      </c>
      <c r="I4" s="230">
        <v>1305.47</v>
      </c>
      <c r="J4" s="12">
        <v>685.34</v>
      </c>
      <c r="K4" s="230">
        <v>727.34</v>
      </c>
      <c r="L4" s="12">
        <v>380.86</v>
      </c>
      <c r="M4" s="230">
        <v>404.92</v>
      </c>
      <c r="N4" s="12">
        <v>15.047000000000001</v>
      </c>
      <c r="O4" s="230">
        <v>15.837</v>
      </c>
      <c r="P4" s="12">
        <v>14.997999999999999</v>
      </c>
      <c r="Q4" s="230">
        <v>15.77</v>
      </c>
      <c r="R4" s="8">
        <v>-0.01</v>
      </c>
      <c r="S4">
        <f>(O4-N4)*14400</f>
        <v>11375.999999999987</v>
      </c>
      <c r="T4">
        <f>(Q4-P4)*14400</f>
        <v>11116.800000000003</v>
      </c>
      <c r="AB4">
        <f>MAX(S4:T4,S4)</f>
        <v>11375.999999999987</v>
      </c>
    </row>
    <row r="5" spans="2:28">
      <c r="B5" s="6" t="s">
        <v>8</v>
      </c>
      <c r="C5" s="7" t="s">
        <v>13</v>
      </c>
      <c r="D5" s="12">
        <f>E4</f>
        <v>4011.04</v>
      </c>
      <c r="E5" s="225">
        <v>4238.08</v>
      </c>
      <c r="F5" s="12">
        <f>G4</f>
        <v>2367.9699999999998</v>
      </c>
      <c r="G5" s="230">
        <v>2481.8200000000002</v>
      </c>
      <c r="H5" s="12">
        <f>I4</f>
        <v>1305.47</v>
      </c>
      <c r="I5" s="230">
        <v>1371.9</v>
      </c>
      <c r="J5" s="12">
        <f>K4</f>
        <v>727.34</v>
      </c>
      <c r="K5" s="230">
        <v>762.95</v>
      </c>
      <c r="L5" s="12">
        <f>M4</f>
        <v>404.92</v>
      </c>
      <c r="M5" s="230">
        <v>425.64</v>
      </c>
      <c r="N5" s="12">
        <f>O4</f>
        <v>15.837</v>
      </c>
      <c r="O5" s="230">
        <v>16.62</v>
      </c>
      <c r="P5" s="12">
        <f>Q4</f>
        <v>15.77</v>
      </c>
      <c r="Q5" s="230">
        <v>16.564</v>
      </c>
      <c r="R5" s="8">
        <v>-0.01</v>
      </c>
      <c r="S5" s="8">
        <f>(O5-N5)*14400</f>
        <v>11275.200000000019</v>
      </c>
      <c r="T5">
        <f>(Q5-P5)*14400</f>
        <v>11433.600000000008</v>
      </c>
      <c r="AB5" s="8">
        <f t="shared" ref="AB5:AB39" si="0">MAX(S5:T5,S5)</f>
        <v>11433.600000000008</v>
      </c>
    </row>
    <row r="6" spans="2:28">
      <c r="B6" s="6" t="s">
        <v>8</v>
      </c>
      <c r="C6" s="7" t="s">
        <v>14</v>
      </c>
      <c r="D6" s="12">
        <f t="shared" ref="D6:D69" si="1">E5</f>
        <v>4238.08</v>
      </c>
      <c r="E6" s="225">
        <v>4448.45</v>
      </c>
      <c r="F6" s="12">
        <f t="shared" ref="F6:F69" si="2">G5</f>
        <v>2481.8200000000002</v>
      </c>
      <c r="G6" s="230">
        <v>2610.2800000000002</v>
      </c>
      <c r="H6" s="12">
        <f t="shared" ref="H6:H69" si="3">I5</f>
        <v>1371.9</v>
      </c>
      <c r="I6" s="230">
        <v>1441.24</v>
      </c>
      <c r="J6" s="12">
        <f t="shared" ref="J6:J69" si="4">K5</f>
        <v>762.95</v>
      </c>
      <c r="K6" s="230">
        <v>797.76</v>
      </c>
      <c r="L6" s="12">
        <f t="shared" ref="L6:L69" si="5">M5</f>
        <v>425.64</v>
      </c>
      <c r="M6" s="230">
        <v>444.78</v>
      </c>
      <c r="N6" s="12">
        <f t="shared" ref="N6:N69" si="6">O5</f>
        <v>16.62</v>
      </c>
      <c r="O6" s="230">
        <v>17.343</v>
      </c>
      <c r="P6" s="12">
        <f t="shared" ref="P6:P69" si="7">Q5</f>
        <v>16.564</v>
      </c>
      <c r="Q6" s="230">
        <v>17.308</v>
      </c>
      <c r="R6" s="8">
        <v>-0.01</v>
      </c>
      <c r="S6" s="8">
        <f t="shared" ref="S6:S69" si="8">(O6-N6)*14400</f>
        <v>10411.199999999986</v>
      </c>
      <c r="T6" s="8">
        <f t="shared" ref="T6:T69" si="9">(Q6-P6)*14400</f>
        <v>10713.599999999997</v>
      </c>
      <c r="AB6" s="8">
        <f t="shared" si="0"/>
        <v>10713.599999999997</v>
      </c>
    </row>
    <row r="7" spans="2:28">
      <c r="B7" s="6" t="s">
        <v>8</v>
      </c>
      <c r="C7" s="7" t="s">
        <v>15</v>
      </c>
      <c r="D7" s="12">
        <f t="shared" si="1"/>
        <v>4448.45</v>
      </c>
      <c r="E7" s="225">
        <v>4643.12</v>
      </c>
      <c r="F7" s="12">
        <f t="shared" si="2"/>
        <v>2610.2800000000002</v>
      </c>
      <c r="G7" s="230">
        <v>2732.91</v>
      </c>
      <c r="H7" s="12">
        <f t="shared" si="3"/>
        <v>1441.24</v>
      </c>
      <c r="I7" s="230">
        <v>1508.28</v>
      </c>
      <c r="J7" s="12">
        <f t="shared" si="4"/>
        <v>797.76</v>
      </c>
      <c r="K7" s="230">
        <v>834.15</v>
      </c>
      <c r="L7" s="12">
        <f t="shared" si="5"/>
        <v>444.78</v>
      </c>
      <c r="M7" s="230">
        <v>464.68</v>
      </c>
      <c r="N7" s="12">
        <f t="shared" si="6"/>
        <v>17.343</v>
      </c>
      <c r="O7" s="230">
        <v>18.146999999999998</v>
      </c>
      <c r="P7" s="12">
        <f t="shared" si="7"/>
        <v>17.308</v>
      </c>
      <c r="Q7" s="230">
        <v>18.105</v>
      </c>
      <c r="R7" s="8">
        <v>-0.01</v>
      </c>
      <c r="S7" s="8">
        <f t="shared" si="8"/>
        <v>11577.599999999979</v>
      </c>
      <c r="T7" s="8">
        <f t="shared" si="9"/>
        <v>11476.800000000008</v>
      </c>
      <c r="AB7" s="8">
        <f t="shared" si="0"/>
        <v>11577.599999999979</v>
      </c>
    </row>
    <row r="8" spans="2:28">
      <c r="B8" s="6" t="s">
        <v>8</v>
      </c>
      <c r="C8" s="7" t="s">
        <v>16</v>
      </c>
      <c r="D8" s="12">
        <f t="shared" si="1"/>
        <v>4643.12</v>
      </c>
      <c r="E8" s="225">
        <v>4883.01</v>
      </c>
      <c r="F8" s="12">
        <f t="shared" si="2"/>
        <v>2732.91</v>
      </c>
      <c r="G8" s="230">
        <v>2859.59</v>
      </c>
      <c r="H8" s="12">
        <f t="shared" si="3"/>
        <v>1508.28</v>
      </c>
      <c r="I8" s="230">
        <v>1582.16</v>
      </c>
      <c r="J8" s="12">
        <f t="shared" si="4"/>
        <v>834.15</v>
      </c>
      <c r="K8" s="230">
        <v>873.26</v>
      </c>
      <c r="L8" s="12">
        <f t="shared" si="5"/>
        <v>464.68</v>
      </c>
      <c r="M8" s="230">
        <v>487.71</v>
      </c>
      <c r="N8" s="12">
        <f t="shared" si="6"/>
        <v>18.146999999999998</v>
      </c>
      <c r="O8" s="230">
        <v>18.925999999999998</v>
      </c>
      <c r="P8" s="12">
        <f t="shared" si="7"/>
        <v>18.105</v>
      </c>
      <c r="Q8" s="230">
        <v>18.867000000000001</v>
      </c>
      <c r="R8" s="8">
        <v>-0.01</v>
      </c>
      <c r="S8" s="8">
        <f t="shared" si="8"/>
        <v>11217.599999999999</v>
      </c>
      <c r="T8" s="8">
        <f t="shared" si="9"/>
        <v>10972.800000000007</v>
      </c>
      <c r="AB8" s="8">
        <f t="shared" si="0"/>
        <v>11217.599999999999</v>
      </c>
    </row>
    <row r="9" spans="2:28">
      <c r="B9" s="6" t="s">
        <v>8</v>
      </c>
      <c r="C9" s="7" t="s">
        <v>17</v>
      </c>
      <c r="D9" s="12">
        <f t="shared" si="1"/>
        <v>4883.01</v>
      </c>
      <c r="E9" s="225">
        <v>5096.37</v>
      </c>
      <c r="F9" s="12">
        <f t="shared" si="2"/>
        <v>2859.59</v>
      </c>
      <c r="G9" s="230">
        <v>2985.54</v>
      </c>
      <c r="H9" s="12">
        <f t="shared" si="3"/>
        <v>1582.16</v>
      </c>
      <c r="I9" s="230">
        <v>1650.25</v>
      </c>
      <c r="J9" s="12">
        <f t="shared" si="4"/>
        <v>873.26</v>
      </c>
      <c r="K9" s="230">
        <v>911.04</v>
      </c>
      <c r="L9" s="12">
        <f t="shared" si="5"/>
        <v>487.71</v>
      </c>
      <c r="M9" s="230">
        <v>508.85</v>
      </c>
      <c r="N9" s="12">
        <f t="shared" si="6"/>
        <v>18.925999999999998</v>
      </c>
      <c r="O9" s="230">
        <v>19.667999999999999</v>
      </c>
      <c r="P9" s="12">
        <f t="shared" si="7"/>
        <v>18.867000000000001</v>
      </c>
      <c r="Q9" s="230">
        <v>19.617000000000001</v>
      </c>
      <c r="R9" s="8">
        <v>-0.01</v>
      </c>
      <c r="S9" s="8">
        <f t="shared" si="8"/>
        <v>10684.800000000012</v>
      </c>
      <c r="T9" s="8">
        <f t="shared" si="9"/>
        <v>10800</v>
      </c>
      <c r="AB9" s="8">
        <f t="shared" si="0"/>
        <v>10800</v>
      </c>
    </row>
    <row r="10" spans="2:28">
      <c r="B10" s="6" t="s">
        <v>8</v>
      </c>
      <c r="C10" s="7" t="s">
        <v>18</v>
      </c>
      <c r="D10" s="12">
        <f t="shared" si="1"/>
        <v>5096.37</v>
      </c>
      <c r="E10" s="225">
        <v>5336.52</v>
      </c>
      <c r="F10" s="12">
        <f t="shared" si="2"/>
        <v>2985.54</v>
      </c>
      <c r="G10" s="230">
        <v>3127</v>
      </c>
      <c r="H10" s="12">
        <f t="shared" si="3"/>
        <v>1650.25</v>
      </c>
      <c r="I10" s="230">
        <v>1720.43</v>
      </c>
      <c r="J10" s="12">
        <f t="shared" si="4"/>
        <v>911.04</v>
      </c>
      <c r="K10" s="230">
        <v>952.78</v>
      </c>
      <c r="L10" s="12">
        <f t="shared" si="5"/>
        <v>508.85</v>
      </c>
      <c r="M10" s="230">
        <v>533.35</v>
      </c>
      <c r="N10" s="12">
        <f t="shared" si="6"/>
        <v>19.667999999999999</v>
      </c>
      <c r="O10" s="230">
        <v>20.43</v>
      </c>
      <c r="P10" s="12">
        <f t="shared" si="7"/>
        <v>19.617000000000001</v>
      </c>
      <c r="Q10" s="230">
        <v>20.343</v>
      </c>
      <c r="R10" s="8">
        <v>-0.01</v>
      </c>
      <c r="S10" s="8">
        <f t="shared" si="8"/>
        <v>10972.800000000007</v>
      </c>
      <c r="T10" s="8">
        <f t="shared" si="9"/>
        <v>10454.399999999987</v>
      </c>
      <c r="AB10" s="8">
        <f t="shared" si="0"/>
        <v>10972.800000000007</v>
      </c>
    </row>
    <row r="11" spans="2:28">
      <c r="B11" s="6" t="s">
        <v>8</v>
      </c>
      <c r="C11" s="7" t="s">
        <v>19</v>
      </c>
      <c r="D11" s="12">
        <f t="shared" si="1"/>
        <v>5336.52</v>
      </c>
      <c r="E11" s="225">
        <v>5546.15</v>
      </c>
      <c r="F11" s="12">
        <f t="shared" si="2"/>
        <v>3127</v>
      </c>
      <c r="G11" s="230">
        <v>3245</v>
      </c>
      <c r="H11" s="12">
        <f t="shared" si="3"/>
        <v>1720.43</v>
      </c>
      <c r="I11" s="230">
        <v>1777</v>
      </c>
      <c r="J11" s="12">
        <f t="shared" si="4"/>
        <v>952.78</v>
      </c>
      <c r="K11" s="230">
        <v>985.83</v>
      </c>
      <c r="L11" s="12">
        <f t="shared" si="5"/>
        <v>533.35</v>
      </c>
      <c r="M11" s="230">
        <v>554.07000000000005</v>
      </c>
      <c r="N11" s="12">
        <f t="shared" si="6"/>
        <v>20.43</v>
      </c>
      <c r="O11" s="230">
        <v>21.199000000000002</v>
      </c>
      <c r="P11" s="12">
        <f t="shared" si="7"/>
        <v>20.343</v>
      </c>
      <c r="Q11" s="230">
        <v>21.007000000000001</v>
      </c>
      <c r="R11" s="8">
        <v>-0.01</v>
      </c>
      <c r="S11" s="8">
        <f t="shared" si="8"/>
        <v>11073.600000000028</v>
      </c>
      <c r="T11" s="8">
        <f t="shared" si="9"/>
        <v>9561.6000000000204</v>
      </c>
      <c r="AB11" s="8">
        <f t="shared" si="0"/>
        <v>11073.600000000028</v>
      </c>
    </row>
    <row r="12" spans="2:28">
      <c r="B12" s="6" t="s">
        <v>8</v>
      </c>
      <c r="C12" s="7" t="s">
        <v>20</v>
      </c>
      <c r="D12" s="12">
        <f t="shared" si="1"/>
        <v>5546.15</v>
      </c>
      <c r="E12" s="225">
        <v>5784.99</v>
      </c>
      <c r="F12" s="12">
        <f t="shared" si="2"/>
        <v>3245</v>
      </c>
      <c r="G12" s="230">
        <v>3364.08</v>
      </c>
      <c r="H12" s="12">
        <f t="shared" si="3"/>
        <v>1777</v>
      </c>
      <c r="I12" s="230">
        <v>1822.87</v>
      </c>
      <c r="J12" s="12">
        <f t="shared" si="4"/>
        <v>985.83</v>
      </c>
      <c r="K12" s="230">
        <v>1020.93</v>
      </c>
      <c r="L12" s="12">
        <f t="shared" si="5"/>
        <v>554.07000000000005</v>
      </c>
      <c r="M12" s="230">
        <v>572.41999999999996</v>
      </c>
      <c r="N12" s="12">
        <f t="shared" si="6"/>
        <v>21.199000000000002</v>
      </c>
      <c r="O12" s="230">
        <v>21.966000000000001</v>
      </c>
      <c r="P12" s="12">
        <f t="shared" si="7"/>
        <v>21.007000000000001</v>
      </c>
      <c r="Q12" s="230">
        <v>21.684000000000001</v>
      </c>
      <c r="R12" s="8">
        <v>-0.01</v>
      </c>
      <c r="S12" s="8">
        <f t="shared" si="8"/>
        <v>11044.799999999992</v>
      </c>
      <c r="T12" s="8">
        <f t="shared" si="9"/>
        <v>9748.7999999999938</v>
      </c>
      <c r="AB12" s="8">
        <f t="shared" si="0"/>
        <v>11044.799999999992</v>
      </c>
    </row>
    <row r="13" spans="2:28">
      <c r="B13" s="6" t="s">
        <v>8</v>
      </c>
      <c r="C13" s="7" t="s">
        <v>21</v>
      </c>
      <c r="D13" s="12">
        <f t="shared" si="1"/>
        <v>5784.99</v>
      </c>
      <c r="E13" s="225">
        <v>6025.06</v>
      </c>
      <c r="F13" s="12">
        <f t="shared" si="2"/>
        <v>3364.08</v>
      </c>
      <c r="G13" s="230">
        <v>3493.27</v>
      </c>
      <c r="H13" s="12">
        <f t="shared" si="3"/>
        <v>1822.87</v>
      </c>
      <c r="I13" s="230">
        <v>1879.86</v>
      </c>
      <c r="J13" s="12">
        <f t="shared" si="4"/>
        <v>1020.93</v>
      </c>
      <c r="K13" s="230">
        <v>1058.5</v>
      </c>
      <c r="L13" s="12">
        <f t="shared" si="5"/>
        <v>572.41999999999996</v>
      </c>
      <c r="M13" s="230">
        <v>594.89</v>
      </c>
      <c r="N13" s="12">
        <f t="shared" si="6"/>
        <v>21.966000000000001</v>
      </c>
      <c r="O13" s="230">
        <v>22.713000000000001</v>
      </c>
      <c r="P13" s="12">
        <f t="shared" si="7"/>
        <v>21.684000000000001</v>
      </c>
      <c r="Q13" s="230">
        <v>22.388000000000002</v>
      </c>
      <c r="R13" s="8">
        <v>-0.01</v>
      </c>
      <c r="S13" s="8">
        <f t="shared" si="8"/>
        <v>10756.8</v>
      </c>
      <c r="T13" s="8">
        <f t="shared" si="9"/>
        <v>10137.600000000009</v>
      </c>
      <c r="AB13" s="8">
        <f t="shared" si="0"/>
        <v>10756.8</v>
      </c>
    </row>
    <row r="14" spans="2:28">
      <c r="B14" s="6" t="s">
        <v>8</v>
      </c>
      <c r="C14" s="7" t="s">
        <v>22</v>
      </c>
      <c r="D14" s="12">
        <f t="shared" si="1"/>
        <v>6025.06</v>
      </c>
      <c r="E14" s="225">
        <v>6242.15</v>
      </c>
      <c r="F14" s="12">
        <f t="shared" si="2"/>
        <v>3493.27</v>
      </c>
      <c r="G14" s="230">
        <v>3623.56</v>
      </c>
      <c r="H14" s="12">
        <f t="shared" si="3"/>
        <v>1879.86</v>
      </c>
      <c r="I14" s="230">
        <v>1944.02</v>
      </c>
      <c r="J14" s="12">
        <f t="shared" si="4"/>
        <v>1058.5</v>
      </c>
      <c r="K14" s="230">
        <v>1095.68</v>
      </c>
      <c r="L14" s="12">
        <f t="shared" si="5"/>
        <v>594.89</v>
      </c>
      <c r="M14" s="230">
        <v>618.95000000000005</v>
      </c>
      <c r="N14" s="12">
        <f t="shared" si="6"/>
        <v>22.713000000000001</v>
      </c>
      <c r="O14" s="230">
        <v>23.478000000000002</v>
      </c>
      <c r="P14" s="12">
        <f t="shared" si="7"/>
        <v>22.388000000000002</v>
      </c>
      <c r="Q14" s="230">
        <v>23.082999999999998</v>
      </c>
      <c r="R14" s="8">
        <v>-0.01</v>
      </c>
      <c r="S14" s="8">
        <f t="shared" si="8"/>
        <v>11016.000000000007</v>
      </c>
      <c r="T14" s="8">
        <f t="shared" si="9"/>
        <v>10007.999999999953</v>
      </c>
      <c r="AB14" s="8">
        <f t="shared" si="0"/>
        <v>11016.000000000007</v>
      </c>
    </row>
    <row r="15" spans="2:28">
      <c r="B15" s="6" t="s">
        <v>8</v>
      </c>
      <c r="C15" s="7" t="s">
        <v>23</v>
      </c>
      <c r="D15" s="12">
        <f t="shared" si="1"/>
        <v>6242.15</v>
      </c>
      <c r="E15" s="225">
        <v>6462.89</v>
      </c>
      <c r="F15" s="12">
        <f t="shared" si="2"/>
        <v>3623.56</v>
      </c>
      <c r="G15" s="230">
        <v>3738.3</v>
      </c>
      <c r="H15" s="12">
        <f t="shared" si="3"/>
        <v>1944.02</v>
      </c>
      <c r="I15" s="230">
        <v>1996.28</v>
      </c>
      <c r="J15" s="12">
        <f t="shared" si="4"/>
        <v>1095.68</v>
      </c>
      <c r="K15" s="230">
        <v>1127.67</v>
      </c>
      <c r="L15" s="12">
        <f t="shared" si="5"/>
        <v>618.95000000000005</v>
      </c>
      <c r="M15" s="230">
        <v>637.34</v>
      </c>
      <c r="N15" s="12">
        <f t="shared" si="6"/>
        <v>23.478000000000002</v>
      </c>
      <c r="O15" s="230">
        <v>24.266999999999999</v>
      </c>
      <c r="P15" s="12">
        <f t="shared" si="7"/>
        <v>23.082999999999998</v>
      </c>
      <c r="Q15" s="230">
        <v>23.835000000000001</v>
      </c>
      <c r="R15" s="8">
        <v>-0.01</v>
      </c>
      <c r="S15" s="8">
        <f t="shared" si="8"/>
        <v>11361.599999999969</v>
      </c>
      <c r="T15" s="8">
        <f t="shared" si="9"/>
        <v>10828.800000000036</v>
      </c>
      <c r="AB15" s="8">
        <f t="shared" si="0"/>
        <v>11361.599999999969</v>
      </c>
    </row>
    <row r="16" spans="2:28">
      <c r="B16" s="6" t="s">
        <v>24</v>
      </c>
      <c r="C16" s="7" t="s">
        <v>9</v>
      </c>
      <c r="D16" s="12">
        <f t="shared" si="1"/>
        <v>6462.89</v>
      </c>
      <c r="E16" s="225">
        <v>6671.8</v>
      </c>
      <c r="F16" s="12">
        <f t="shared" si="2"/>
        <v>3738.3</v>
      </c>
      <c r="G16" s="230">
        <v>3868.45</v>
      </c>
      <c r="H16" s="12">
        <f t="shared" si="3"/>
        <v>1996.28</v>
      </c>
      <c r="I16" s="230">
        <v>2058.85</v>
      </c>
      <c r="J16" s="12">
        <f t="shared" si="4"/>
        <v>1127.67</v>
      </c>
      <c r="K16" s="230">
        <v>1163.69</v>
      </c>
      <c r="L16" s="12">
        <f t="shared" si="5"/>
        <v>637.34</v>
      </c>
      <c r="M16" s="230">
        <v>659.74</v>
      </c>
      <c r="N16" s="12">
        <f t="shared" si="6"/>
        <v>24.266999999999999</v>
      </c>
      <c r="O16" s="230">
        <v>25.024999999999999</v>
      </c>
      <c r="P16" s="12">
        <f t="shared" si="7"/>
        <v>23.835000000000001</v>
      </c>
      <c r="Q16" s="230">
        <v>24.584</v>
      </c>
      <c r="R16" s="8">
        <v>-0.01</v>
      </c>
      <c r="S16" s="8">
        <f t="shared" si="8"/>
        <v>10915.199999999988</v>
      </c>
      <c r="T16" s="8">
        <f t="shared" si="9"/>
        <v>10785.599999999982</v>
      </c>
      <c r="AB16" s="8">
        <f t="shared" si="0"/>
        <v>10915.199999999988</v>
      </c>
    </row>
    <row r="17" spans="2:28">
      <c r="B17" s="6" t="s">
        <v>24</v>
      </c>
      <c r="C17" s="7" t="s">
        <v>13</v>
      </c>
      <c r="D17" s="12">
        <f t="shared" si="1"/>
        <v>6671.8</v>
      </c>
      <c r="E17" s="225">
        <v>6885.88</v>
      </c>
      <c r="F17" s="12">
        <f t="shared" si="2"/>
        <v>3868.45</v>
      </c>
      <c r="G17" s="230">
        <v>3974.25</v>
      </c>
      <c r="H17" s="12">
        <f t="shared" si="3"/>
        <v>2058.85</v>
      </c>
      <c r="I17" s="230">
        <v>2106.1999999999998</v>
      </c>
      <c r="J17" s="12">
        <f t="shared" si="4"/>
        <v>1163.69</v>
      </c>
      <c r="K17" s="230">
        <v>1195.1199999999999</v>
      </c>
      <c r="L17" s="12">
        <f t="shared" si="5"/>
        <v>659.74</v>
      </c>
      <c r="M17" s="230">
        <v>677.67</v>
      </c>
      <c r="N17" s="12">
        <f t="shared" si="6"/>
        <v>25.024999999999999</v>
      </c>
      <c r="O17" s="230">
        <v>25.765000000000001</v>
      </c>
      <c r="P17" s="12">
        <f t="shared" si="7"/>
        <v>24.584</v>
      </c>
      <c r="Q17" s="230">
        <v>25.303000000000001</v>
      </c>
      <c r="R17" s="8">
        <v>-0.01</v>
      </c>
      <c r="S17" s="8">
        <f t="shared" si="8"/>
        <v>10656.000000000029</v>
      </c>
      <c r="T17" s="8">
        <f t="shared" si="9"/>
        <v>10353.600000000017</v>
      </c>
      <c r="AB17" s="8">
        <f t="shared" si="0"/>
        <v>10656.000000000029</v>
      </c>
    </row>
    <row r="18" spans="2:28">
      <c r="B18" s="6" t="s">
        <v>24</v>
      </c>
      <c r="C18" s="7" t="s">
        <v>14</v>
      </c>
      <c r="D18" s="12">
        <f t="shared" si="1"/>
        <v>6885.88</v>
      </c>
      <c r="E18" s="225">
        <v>7110.59</v>
      </c>
      <c r="F18" s="12">
        <f t="shared" si="2"/>
        <v>3974.25</v>
      </c>
      <c r="G18" s="230">
        <v>4100.09</v>
      </c>
      <c r="H18" s="12">
        <f t="shared" si="3"/>
        <v>2106.1999999999998</v>
      </c>
      <c r="I18" s="230">
        <v>2158.5700000000002</v>
      </c>
      <c r="J18" s="12">
        <f t="shared" si="4"/>
        <v>1195.1199999999999</v>
      </c>
      <c r="K18" s="230">
        <v>1232.43</v>
      </c>
      <c r="L18" s="12">
        <f t="shared" si="5"/>
        <v>677.67</v>
      </c>
      <c r="M18" s="230">
        <v>698.38</v>
      </c>
      <c r="N18" s="12">
        <f t="shared" si="6"/>
        <v>25.765000000000001</v>
      </c>
      <c r="O18" s="230">
        <v>26.492000000000001</v>
      </c>
      <c r="P18" s="12">
        <f t="shared" si="7"/>
        <v>25.303000000000001</v>
      </c>
      <c r="Q18" s="230">
        <v>25.984999999999999</v>
      </c>
      <c r="R18" s="8">
        <v>-0.01</v>
      </c>
      <c r="S18" s="8">
        <f t="shared" si="8"/>
        <v>10468.800000000005</v>
      </c>
      <c r="T18" s="8">
        <f t="shared" si="9"/>
        <v>9820.7999999999793</v>
      </c>
      <c r="AB18" s="8">
        <f t="shared" si="0"/>
        <v>10468.800000000005</v>
      </c>
    </row>
    <row r="19" spans="2:28">
      <c r="B19" s="6" t="s">
        <v>24</v>
      </c>
      <c r="C19" s="7" t="s">
        <v>15</v>
      </c>
      <c r="D19" s="12">
        <f t="shared" si="1"/>
        <v>7110.59</v>
      </c>
      <c r="E19" s="225">
        <v>7319.82</v>
      </c>
      <c r="F19" s="12">
        <f t="shared" si="2"/>
        <v>4100.09</v>
      </c>
      <c r="G19" s="230">
        <v>4237.09</v>
      </c>
      <c r="H19" s="12">
        <f t="shared" si="3"/>
        <v>2158.5700000000002</v>
      </c>
      <c r="I19" s="230">
        <v>2224.3200000000002</v>
      </c>
      <c r="J19" s="12">
        <f t="shared" si="4"/>
        <v>1232.43</v>
      </c>
      <c r="K19" s="230">
        <v>1273.3699999999999</v>
      </c>
      <c r="L19" s="12">
        <f t="shared" si="5"/>
        <v>698.38</v>
      </c>
      <c r="M19" s="230">
        <v>724.46</v>
      </c>
      <c r="N19" s="12">
        <f t="shared" si="6"/>
        <v>26.492000000000001</v>
      </c>
      <c r="O19" s="230">
        <v>27.242000000000001</v>
      </c>
      <c r="P19" s="12">
        <f t="shared" si="7"/>
        <v>25.984999999999999</v>
      </c>
      <c r="Q19" s="230">
        <v>26.704000000000001</v>
      </c>
      <c r="R19" s="8">
        <v>-0.01</v>
      </c>
      <c r="S19" s="8">
        <f t="shared" si="8"/>
        <v>10800</v>
      </c>
      <c r="T19" s="8">
        <f t="shared" si="9"/>
        <v>10353.600000000017</v>
      </c>
      <c r="AB19" s="8">
        <f t="shared" si="0"/>
        <v>10800</v>
      </c>
    </row>
    <row r="20" spans="2:28">
      <c r="B20" s="6" t="s">
        <v>24</v>
      </c>
      <c r="C20" s="7" t="s">
        <v>16</v>
      </c>
      <c r="D20" s="12">
        <f t="shared" si="1"/>
        <v>7319.82</v>
      </c>
      <c r="E20" s="225">
        <v>7516.94</v>
      </c>
      <c r="F20" s="12">
        <f t="shared" si="2"/>
        <v>4237.09</v>
      </c>
      <c r="G20" s="230">
        <v>4356.1099999999997</v>
      </c>
      <c r="H20" s="12">
        <f t="shared" si="3"/>
        <v>2224.3200000000002</v>
      </c>
      <c r="I20" s="230">
        <v>2281.13</v>
      </c>
      <c r="J20" s="12">
        <f t="shared" si="4"/>
        <v>1273.3699999999999</v>
      </c>
      <c r="K20" s="230">
        <v>1308.49</v>
      </c>
      <c r="L20" s="12">
        <f t="shared" si="5"/>
        <v>724.46</v>
      </c>
      <c r="M20" s="230">
        <v>746.59</v>
      </c>
      <c r="N20" s="12">
        <f t="shared" si="6"/>
        <v>27.242000000000001</v>
      </c>
      <c r="O20" s="230">
        <v>27.988</v>
      </c>
      <c r="P20" s="12">
        <f t="shared" si="7"/>
        <v>26.704000000000001</v>
      </c>
      <c r="Q20" s="230">
        <v>27.449000000000002</v>
      </c>
      <c r="R20" s="8">
        <v>-0.01</v>
      </c>
      <c r="S20" s="8">
        <f t="shared" si="8"/>
        <v>10742.399999999981</v>
      </c>
      <c r="T20" s="8">
        <f t="shared" si="9"/>
        <v>10728.000000000015</v>
      </c>
      <c r="AB20" s="8">
        <f t="shared" si="0"/>
        <v>10742.399999999981</v>
      </c>
    </row>
    <row r="21" spans="2:28">
      <c r="B21" s="6" t="s">
        <v>24</v>
      </c>
      <c r="C21" s="7" t="s">
        <v>17</v>
      </c>
      <c r="D21" s="12">
        <f t="shared" si="1"/>
        <v>7516.94</v>
      </c>
      <c r="E21" s="225">
        <v>7642.72</v>
      </c>
      <c r="F21" s="12">
        <f t="shared" si="2"/>
        <v>4356.1099999999997</v>
      </c>
      <c r="G21" s="230">
        <v>4422.88</v>
      </c>
      <c r="H21" s="12">
        <f t="shared" si="3"/>
        <v>2281.13</v>
      </c>
      <c r="I21" s="230">
        <v>2304.3200000000002</v>
      </c>
      <c r="J21" s="12">
        <f t="shared" si="4"/>
        <v>1308.49</v>
      </c>
      <c r="K21" s="230">
        <v>1323.71</v>
      </c>
      <c r="L21" s="12">
        <f t="shared" si="5"/>
        <v>746.59</v>
      </c>
      <c r="M21" s="230">
        <v>754.3</v>
      </c>
      <c r="N21" s="12">
        <f t="shared" si="6"/>
        <v>27.988</v>
      </c>
      <c r="O21" s="230">
        <v>28.745000000000001</v>
      </c>
      <c r="P21" s="12">
        <f t="shared" si="7"/>
        <v>27.449000000000002</v>
      </c>
      <c r="Q21" s="230">
        <v>28.126000000000001</v>
      </c>
      <c r="R21" s="8">
        <v>-0.01</v>
      </c>
      <c r="S21" s="8">
        <f t="shared" si="8"/>
        <v>10900.800000000021</v>
      </c>
      <c r="T21" s="8">
        <f t="shared" si="9"/>
        <v>9748.7999999999938</v>
      </c>
      <c r="AB21" s="8">
        <f t="shared" si="0"/>
        <v>10900.800000000021</v>
      </c>
    </row>
    <row r="22" spans="2:28">
      <c r="B22" s="6" t="s">
        <v>24</v>
      </c>
      <c r="C22" s="7" t="s">
        <v>18</v>
      </c>
      <c r="D22" s="12">
        <f t="shared" si="1"/>
        <v>7642.72</v>
      </c>
      <c r="E22" s="225">
        <v>7877.4</v>
      </c>
      <c r="F22" s="12">
        <f t="shared" si="2"/>
        <v>4422.88</v>
      </c>
      <c r="G22" s="230">
        <v>4566.58</v>
      </c>
      <c r="H22" s="12">
        <f t="shared" si="3"/>
        <v>2304.3200000000002</v>
      </c>
      <c r="I22" s="230">
        <v>2371.59</v>
      </c>
      <c r="J22" s="12">
        <f t="shared" si="4"/>
        <v>1323.71</v>
      </c>
      <c r="K22" s="230">
        <v>1371.63</v>
      </c>
      <c r="L22" s="12">
        <f t="shared" si="5"/>
        <v>754.3</v>
      </c>
      <c r="M22" s="230">
        <v>782.05</v>
      </c>
      <c r="N22" s="12">
        <f t="shared" si="6"/>
        <v>28.745000000000001</v>
      </c>
      <c r="O22" s="230">
        <v>29.504000000000001</v>
      </c>
      <c r="P22" s="12">
        <f t="shared" si="7"/>
        <v>28.126000000000001</v>
      </c>
      <c r="Q22" s="230">
        <v>28.805</v>
      </c>
      <c r="R22" s="8">
        <v>-0.01</v>
      </c>
      <c r="S22" s="8">
        <f t="shared" si="8"/>
        <v>10929.600000000006</v>
      </c>
      <c r="T22" s="8">
        <f t="shared" si="9"/>
        <v>9777.5999999999785</v>
      </c>
      <c r="AB22" s="8">
        <f t="shared" si="0"/>
        <v>10929.600000000006</v>
      </c>
    </row>
    <row r="23" spans="2:28">
      <c r="B23" s="6" t="s">
        <v>24</v>
      </c>
      <c r="C23" s="7" t="s">
        <v>19</v>
      </c>
      <c r="D23" s="12">
        <f t="shared" si="1"/>
        <v>7877.4</v>
      </c>
      <c r="E23" s="225">
        <v>8099.21</v>
      </c>
      <c r="F23" s="12">
        <f t="shared" si="2"/>
        <v>4566.58</v>
      </c>
      <c r="G23" s="230">
        <v>4692.47</v>
      </c>
      <c r="H23" s="12">
        <f t="shared" si="3"/>
        <v>2371.59</v>
      </c>
      <c r="I23" s="230">
        <v>2427.8000000000002</v>
      </c>
      <c r="J23" s="12">
        <f t="shared" si="4"/>
        <v>1371.63</v>
      </c>
      <c r="K23" s="230">
        <v>1415.02</v>
      </c>
      <c r="L23" s="12">
        <f t="shared" si="5"/>
        <v>782.05</v>
      </c>
      <c r="M23" s="230">
        <v>805.29</v>
      </c>
      <c r="N23" s="12">
        <f t="shared" si="6"/>
        <v>29.504000000000001</v>
      </c>
      <c r="O23" s="230">
        <v>30.260999999999999</v>
      </c>
      <c r="P23" s="12">
        <f t="shared" si="7"/>
        <v>28.805</v>
      </c>
      <c r="Q23" s="230">
        <v>29.559000000000001</v>
      </c>
      <c r="R23" s="8">
        <v>-0.01</v>
      </c>
      <c r="S23" s="8">
        <f t="shared" si="8"/>
        <v>10900.79999999997</v>
      </c>
      <c r="T23" s="8">
        <f t="shared" si="9"/>
        <v>10857.600000000019</v>
      </c>
      <c r="AB23" s="8">
        <f t="shared" si="0"/>
        <v>10900.79999999997</v>
      </c>
    </row>
    <row r="24" spans="2:28">
      <c r="B24" s="6" t="s">
        <v>24</v>
      </c>
      <c r="C24" s="7" t="s">
        <v>20</v>
      </c>
      <c r="D24" s="12">
        <f t="shared" si="1"/>
        <v>8099.21</v>
      </c>
      <c r="E24" s="225">
        <v>8341.7199999999993</v>
      </c>
      <c r="F24" s="12">
        <f t="shared" si="2"/>
        <v>4692.47</v>
      </c>
      <c r="G24" s="230">
        <v>4807.71</v>
      </c>
      <c r="H24" s="12">
        <f t="shared" si="3"/>
        <v>2427.8000000000002</v>
      </c>
      <c r="I24" s="230">
        <v>2485.41</v>
      </c>
      <c r="J24" s="12">
        <f t="shared" si="4"/>
        <v>1415.02</v>
      </c>
      <c r="K24" s="230">
        <v>1453.29</v>
      </c>
      <c r="L24" s="12">
        <f t="shared" si="5"/>
        <v>805.29</v>
      </c>
      <c r="M24" s="230">
        <v>828.18</v>
      </c>
      <c r="N24" s="12">
        <f t="shared" si="6"/>
        <v>30.260999999999999</v>
      </c>
      <c r="O24" s="230">
        <v>31.030999999999999</v>
      </c>
      <c r="P24" s="12">
        <f t="shared" si="7"/>
        <v>29.559000000000001</v>
      </c>
      <c r="Q24" s="230">
        <v>30.283000000000001</v>
      </c>
      <c r="R24" s="8">
        <v>-0.01</v>
      </c>
      <c r="S24" s="8">
        <f t="shared" si="8"/>
        <v>11087.999999999995</v>
      </c>
      <c r="T24" s="8">
        <f t="shared" si="9"/>
        <v>10425.600000000002</v>
      </c>
      <c r="AB24" s="8">
        <f t="shared" si="0"/>
        <v>11087.999999999995</v>
      </c>
    </row>
    <row r="25" spans="2:28">
      <c r="B25" s="6" t="s">
        <v>24</v>
      </c>
      <c r="C25" s="7" t="s">
        <v>21</v>
      </c>
      <c r="D25" s="12">
        <f t="shared" si="1"/>
        <v>8341.7199999999993</v>
      </c>
      <c r="E25" s="225">
        <v>8572.09</v>
      </c>
      <c r="F25" s="12">
        <f t="shared" si="2"/>
        <v>4807.71</v>
      </c>
      <c r="G25" s="230">
        <v>4932.34</v>
      </c>
      <c r="H25" s="12">
        <f t="shared" si="3"/>
        <v>2485.41</v>
      </c>
      <c r="I25" s="230">
        <v>2547.37</v>
      </c>
      <c r="J25" s="12">
        <f t="shared" si="4"/>
        <v>1453.29</v>
      </c>
      <c r="K25" s="230">
        <v>1493.45</v>
      </c>
      <c r="L25" s="12">
        <f t="shared" si="5"/>
        <v>828.18</v>
      </c>
      <c r="M25" s="230">
        <v>852.98</v>
      </c>
      <c r="N25" s="12">
        <f t="shared" si="6"/>
        <v>31.030999999999999</v>
      </c>
      <c r="O25" s="230">
        <v>31.788</v>
      </c>
      <c r="P25" s="12">
        <f t="shared" si="7"/>
        <v>30.283000000000001</v>
      </c>
      <c r="Q25" s="230">
        <v>31.015999999999998</v>
      </c>
      <c r="R25" s="8">
        <v>-0.01</v>
      </c>
      <c r="S25" s="8">
        <f t="shared" si="8"/>
        <v>10900.800000000021</v>
      </c>
      <c r="T25" s="8">
        <f t="shared" si="9"/>
        <v>10555.199999999957</v>
      </c>
      <c r="AB25" s="8">
        <f t="shared" si="0"/>
        <v>10900.800000000021</v>
      </c>
    </row>
    <row r="26" spans="2:28">
      <c r="B26" s="6" t="s">
        <v>24</v>
      </c>
      <c r="C26" s="7" t="s">
        <v>22</v>
      </c>
      <c r="D26" s="12">
        <f t="shared" si="1"/>
        <v>8572.09</v>
      </c>
      <c r="E26" s="225">
        <v>8789.31</v>
      </c>
      <c r="F26" s="12">
        <f t="shared" si="2"/>
        <v>4932.34</v>
      </c>
      <c r="G26" s="230">
        <v>5075.6499999999996</v>
      </c>
      <c r="H26" s="12">
        <f t="shared" si="3"/>
        <v>2547.37</v>
      </c>
      <c r="I26" s="230">
        <v>2614.42</v>
      </c>
      <c r="J26" s="12">
        <f t="shared" si="4"/>
        <v>1493.45</v>
      </c>
      <c r="K26" s="230">
        <v>1538.28</v>
      </c>
      <c r="L26" s="12">
        <f t="shared" si="5"/>
        <v>852.98</v>
      </c>
      <c r="M26" s="230">
        <v>877.24</v>
      </c>
      <c r="N26" s="12">
        <f t="shared" si="6"/>
        <v>31.788</v>
      </c>
      <c r="O26" s="230">
        <v>32.552</v>
      </c>
      <c r="P26" s="12">
        <f t="shared" si="7"/>
        <v>31.015999999999998</v>
      </c>
      <c r="Q26" s="230">
        <v>31.745000000000001</v>
      </c>
      <c r="R26" s="8">
        <v>-0.01</v>
      </c>
      <c r="S26" s="8">
        <f t="shared" si="8"/>
        <v>11001.599999999991</v>
      </c>
      <c r="T26" s="8">
        <f t="shared" si="9"/>
        <v>10497.60000000004</v>
      </c>
      <c r="AB26" s="8">
        <f t="shared" si="0"/>
        <v>11001.599999999991</v>
      </c>
    </row>
    <row r="27" spans="2:28">
      <c r="B27" s="6" t="s">
        <v>24</v>
      </c>
      <c r="C27" s="7" t="s">
        <v>23</v>
      </c>
      <c r="D27" s="12">
        <f t="shared" si="1"/>
        <v>8789.31</v>
      </c>
      <c r="E27" s="225">
        <v>9025.66</v>
      </c>
      <c r="F27" s="12">
        <f t="shared" si="2"/>
        <v>5075.6499999999996</v>
      </c>
      <c r="G27" s="230">
        <v>5204.54</v>
      </c>
      <c r="H27" s="12">
        <f t="shared" si="3"/>
        <v>2614.42</v>
      </c>
      <c r="I27" s="230">
        <v>2677.87</v>
      </c>
      <c r="J27" s="12">
        <f t="shared" si="4"/>
        <v>1538.28</v>
      </c>
      <c r="K27" s="230">
        <v>1577.21</v>
      </c>
      <c r="L27" s="12">
        <f t="shared" si="5"/>
        <v>877.24</v>
      </c>
      <c r="M27" s="230">
        <v>899.24</v>
      </c>
      <c r="N27" s="12">
        <f t="shared" si="6"/>
        <v>32.552</v>
      </c>
      <c r="O27" s="230">
        <v>33.332000000000001</v>
      </c>
      <c r="P27" s="12">
        <f t="shared" si="7"/>
        <v>31.745000000000001</v>
      </c>
      <c r="Q27" s="230">
        <v>32.526000000000003</v>
      </c>
      <c r="R27" s="8">
        <v>-0.01</v>
      </c>
      <c r="S27" s="8">
        <f t="shared" si="8"/>
        <v>11232.000000000016</v>
      </c>
      <c r="T27" s="8">
        <f t="shared" si="9"/>
        <v>11246.400000000034</v>
      </c>
      <c r="AB27" s="8">
        <f t="shared" si="0"/>
        <v>11246.400000000034</v>
      </c>
    </row>
    <row r="28" spans="2:28">
      <c r="B28" s="6" t="s">
        <v>25</v>
      </c>
      <c r="C28" s="7" t="s">
        <v>9</v>
      </c>
      <c r="D28" s="12">
        <f t="shared" si="1"/>
        <v>9025.66</v>
      </c>
      <c r="E28" s="225">
        <v>9247.09</v>
      </c>
      <c r="F28" s="12">
        <f t="shared" si="2"/>
        <v>5204.54</v>
      </c>
      <c r="G28" s="230">
        <v>5316.34</v>
      </c>
      <c r="H28" s="12">
        <f t="shared" si="3"/>
        <v>2677.87</v>
      </c>
      <c r="I28" s="230">
        <v>2740.91</v>
      </c>
      <c r="J28" s="12">
        <f t="shared" si="4"/>
        <v>1577.21</v>
      </c>
      <c r="K28" s="230">
        <v>1610.12</v>
      </c>
      <c r="L28" s="12">
        <f t="shared" si="5"/>
        <v>899.24</v>
      </c>
      <c r="M28" s="230">
        <v>919.19</v>
      </c>
      <c r="N28" s="12">
        <f t="shared" si="6"/>
        <v>33.332000000000001</v>
      </c>
      <c r="O28" s="230">
        <v>34.112000000000002</v>
      </c>
      <c r="P28" s="12">
        <f t="shared" si="7"/>
        <v>32.526000000000003</v>
      </c>
      <c r="Q28" s="230">
        <v>33.319000000000003</v>
      </c>
      <c r="R28" s="8">
        <v>-0.01</v>
      </c>
      <c r="S28" s="8">
        <f t="shared" si="8"/>
        <v>11232.000000000016</v>
      </c>
      <c r="T28" s="8">
        <f t="shared" si="9"/>
        <v>11419.19999999999</v>
      </c>
      <c r="AB28" s="8">
        <f t="shared" si="0"/>
        <v>11419.19999999999</v>
      </c>
    </row>
    <row r="29" spans="2:28">
      <c r="B29" s="6" t="s">
        <v>25</v>
      </c>
      <c r="C29" s="7" t="s">
        <v>13</v>
      </c>
      <c r="D29" s="12">
        <f t="shared" si="1"/>
        <v>9247.09</v>
      </c>
      <c r="E29" s="225">
        <v>9464.44</v>
      </c>
      <c r="F29" s="12">
        <f t="shared" si="2"/>
        <v>5316.34</v>
      </c>
      <c r="G29" s="230">
        <v>5448.85</v>
      </c>
      <c r="H29" s="12">
        <f t="shared" si="3"/>
        <v>2740.91</v>
      </c>
      <c r="I29" s="230">
        <v>2800.42</v>
      </c>
      <c r="J29" s="12">
        <f t="shared" si="4"/>
        <v>1610.12</v>
      </c>
      <c r="K29" s="230">
        <v>1648.91</v>
      </c>
      <c r="L29" s="12">
        <f t="shared" si="5"/>
        <v>919.19</v>
      </c>
      <c r="M29" s="230">
        <v>939.79</v>
      </c>
      <c r="N29" s="12">
        <f t="shared" si="6"/>
        <v>34.112000000000002</v>
      </c>
      <c r="O29" s="230">
        <v>34.883000000000003</v>
      </c>
      <c r="P29" s="12">
        <f t="shared" si="7"/>
        <v>33.319000000000003</v>
      </c>
      <c r="Q29" s="230">
        <v>34.048999999999999</v>
      </c>
      <c r="R29" s="8">
        <v>-0.01</v>
      </c>
      <c r="S29" s="8">
        <f t="shared" si="8"/>
        <v>11102.400000000012</v>
      </c>
      <c r="T29" s="8">
        <f t="shared" si="9"/>
        <v>10511.999999999955</v>
      </c>
      <c r="AB29" s="8">
        <f t="shared" si="0"/>
        <v>11102.400000000012</v>
      </c>
    </row>
    <row r="30" spans="2:28">
      <c r="B30" s="6" t="s">
        <v>25</v>
      </c>
      <c r="C30" s="7" t="s">
        <v>14</v>
      </c>
      <c r="D30" s="12">
        <f t="shared" si="1"/>
        <v>9464.44</v>
      </c>
      <c r="E30" s="225">
        <v>9678.07</v>
      </c>
      <c r="F30" s="12">
        <f t="shared" si="2"/>
        <v>5448.85</v>
      </c>
      <c r="G30" s="230">
        <v>5573.41</v>
      </c>
      <c r="H30" s="12">
        <f t="shared" si="3"/>
        <v>2800.42</v>
      </c>
      <c r="I30" s="230">
        <v>2859.2</v>
      </c>
      <c r="J30" s="12">
        <f t="shared" si="4"/>
        <v>1648.91</v>
      </c>
      <c r="K30" s="230">
        <v>1684.72</v>
      </c>
      <c r="L30" s="12">
        <f t="shared" si="5"/>
        <v>939.79</v>
      </c>
      <c r="M30" s="230">
        <v>961.09</v>
      </c>
      <c r="N30" s="12">
        <f t="shared" si="6"/>
        <v>34.883000000000003</v>
      </c>
      <c r="O30" s="230">
        <v>35.665999999999997</v>
      </c>
      <c r="P30" s="12">
        <f t="shared" si="7"/>
        <v>34.048999999999999</v>
      </c>
      <c r="Q30" s="230">
        <v>34.768000000000001</v>
      </c>
      <c r="R30" s="8">
        <v>-0.01</v>
      </c>
      <c r="S30" s="8">
        <f t="shared" si="8"/>
        <v>11275.199999999915</v>
      </c>
      <c r="T30" s="8">
        <f t="shared" si="9"/>
        <v>10353.600000000017</v>
      </c>
      <c r="AB30" s="8">
        <f t="shared" si="0"/>
        <v>11275.199999999915</v>
      </c>
    </row>
    <row r="31" spans="2:28">
      <c r="B31" s="6" t="s">
        <v>25</v>
      </c>
      <c r="C31" s="7" t="s">
        <v>15</v>
      </c>
      <c r="D31" s="12">
        <f t="shared" si="1"/>
        <v>9678.07</v>
      </c>
      <c r="E31" s="225">
        <v>9887.31</v>
      </c>
      <c r="F31" s="12">
        <f t="shared" si="2"/>
        <v>5573.41</v>
      </c>
      <c r="G31" s="230">
        <v>5690.28</v>
      </c>
      <c r="H31" s="12">
        <f t="shared" si="3"/>
        <v>2859.2</v>
      </c>
      <c r="I31" s="230">
        <v>2917.58</v>
      </c>
      <c r="J31" s="12">
        <f t="shared" si="4"/>
        <v>1684.72</v>
      </c>
      <c r="K31" s="230">
        <v>1718.83</v>
      </c>
      <c r="L31" s="12">
        <f t="shared" si="5"/>
        <v>961.09</v>
      </c>
      <c r="M31" s="230">
        <v>982.08</v>
      </c>
      <c r="N31" s="12">
        <f t="shared" si="6"/>
        <v>35.665999999999997</v>
      </c>
      <c r="O31" s="230">
        <v>36.441000000000003</v>
      </c>
      <c r="P31" s="12">
        <f t="shared" si="7"/>
        <v>34.768000000000001</v>
      </c>
      <c r="Q31" s="230">
        <v>35.469000000000001</v>
      </c>
      <c r="R31" s="8">
        <v>-0.01</v>
      </c>
      <c r="S31" s="8">
        <f t="shared" si="8"/>
        <v>11160.000000000082</v>
      </c>
      <c r="T31" s="8">
        <f t="shared" si="9"/>
        <v>10094.400000000007</v>
      </c>
      <c r="AB31" s="8">
        <f t="shared" si="0"/>
        <v>11160.000000000082</v>
      </c>
    </row>
    <row r="32" spans="2:28">
      <c r="B32" s="6" t="s">
        <v>25</v>
      </c>
      <c r="C32" s="7" t="s">
        <v>16</v>
      </c>
      <c r="D32" s="12">
        <f t="shared" si="1"/>
        <v>9887.31</v>
      </c>
      <c r="E32" s="271">
        <v>10098.91</v>
      </c>
      <c r="F32" s="12">
        <f t="shared" si="2"/>
        <v>5690.28</v>
      </c>
      <c r="G32" s="230">
        <v>5810.81</v>
      </c>
      <c r="H32" s="12">
        <f t="shared" si="3"/>
        <v>2917.58</v>
      </c>
      <c r="I32" s="230">
        <v>2972.08</v>
      </c>
      <c r="J32" s="12">
        <f t="shared" si="4"/>
        <v>1718.83</v>
      </c>
      <c r="K32" s="230">
        <v>1754.14</v>
      </c>
      <c r="L32" s="12">
        <f t="shared" si="5"/>
        <v>982.08</v>
      </c>
      <c r="M32" s="230">
        <v>1001.57</v>
      </c>
      <c r="N32" s="12">
        <f t="shared" si="6"/>
        <v>36.441000000000003</v>
      </c>
      <c r="O32" s="230">
        <v>37.18</v>
      </c>
      <c r="P32" s="12">
        <f t="shared" si="7"/>
        <v>35.469000000000001</v>
      </c>
      <c r="Q32" s="230">
        <v>36.137</v>
      </c>
      <c r="R32" s="8">
        <v>-0.01</v>
      </c>
      <c r="S32" s="8">
        <f t="shared" si="8"/>
        <v>10641.59999999996</v>
      </c>
      <c r="T32" s="8">
        <f t="shared" si="9"/>
        <v>9619.1999999999898</v>
      </c>
      <c r="AB32" s="8">
        <f t="shared" si="0"/>
        <v>10641.59999999996</v>
      </c>
    </row>
    <row r="33" spans="2:28">
      <c r="B33" s="6" t="s">
        <v>25</v>
      </c>
      <c r="C33" s="7" t="s">
        <v>17</v>
      </c>
      <c r="D33" s="12">
        <f t="shared" si="1"/>
        <v>10098.91</v>
      </c>
      <c r="E33" s="271">
        <v>10313.959999999999</v>
      </c>
      <c r="F33" s="12">
        <f t="shared" si="2"/>
        <v>5810.81</v>
      </c>
      <c r="G33" s="230">
        <v>5930.49</v>
      </c>
      <c r="H33" s="12">
        <f t="shared" si="3"/>
        <v>2972.08</v>
      </c>
      <c r="I33" s="230">
        <v>3031.56</v>
      </c>
      <c r="J33" s="12">
        <f t="shared" si="4"/>
        <v>1754.14</v>
      </c>
      <c r="K33" s="230">
        <v>1789.59</v>
      </c>
      <c r="L33" s="12">
        <f t="shared" si="5"/>
        <v>1001.57</v>
      </c>
      <c r="M33" s="230">
        <v>1022.38</v>
      </c>
      <c r="N33" s="12">
        <f t="shared" si="6"/>
        <v>37.18</v>
      </c>
      <c r="O33" s="230">
        <v>37.936999999999998</v>
      </c>
      <c r="P33" s="12">
        <f t="shared" si="7"/>
        <v>36.137</v>
      </c>
      <c r="Q33" s="230">
        <v>36.835999999999999</v>
      </c>
      <c r="R33" s="8">
        <v>-0.01</v>
      </c>
      <c r="S33" s="8">
        <f t="shared" si="8"/>
        <v>10900.79999999997</v>
      </c>
      <c r="T33" s="8">
        <f t="shared" si="9"/>
        <v>10065.599999999973</v>
      </c>
      <c r="AB33" s="8">
        <f t="shared" si="0"/>
        <v>10900.79999999997</v>
      </c>
    </row>
    <row r="34" spans="2:28">
      <c r="B34" s="6" t="s">
        <v>25</v>
      </c>
      <c r="C34" s="7" t="s">
        <v>18</v>
      </c>
      <c r="D34" s="12">
        <f t="shared" si="1"/>
        <v>10313.959999999999</v>
      </c>
      <c r="E34" s="271">
        <v>10534.08</v>
      </c>
      <c r="F34" s="12">
        <f t="shared" si="2"/>
        <v>5930.49</v>
      </c>
      <c r="G34" s="230">
        <v>6068.7</v>
      </c>
      <c r="H34" s="12">
        <f t="shared" si="3"/>
        <v>3031.56</v>
      </c>
      <c r="I34" s="230">
        <v>3102.98</v>
      </c>
      <c r="J34" s="12">
        <f t="shared" si="4"/>
        <v>1789.59</v>
      </c>
      <c r="K34" s="230">
        <v>1831.37</v>
      </c>
      <c r="L34" s="12">
        <f t="shared" si="5"/>
        <v>1022.38</v>
      </c>
      <c r="M34" s="230">
        <v>1047.67</v>
      </c>
      <c r="N34" s="12">
        <f t="shared" si="6"/>
        <v>37.936999999999998</v>
      </c>
      <c r="O34" s="230">
        <v>38.731999999999999</v>
      </c>
      <c r="P34" s="12">
        <f t="shared" si="7"/>
        <v>36.835999999999999</v>
      </c>
      <c r="Q34" s="230">
        <v>37.579000000000001</v>
      </c>
      <c r="R34" s="8">
        <v>-0.01</v>
      </c>
      <c r="S34" s="8">
        <f t="shared" si="8"/>
        <v>11448.000000000025</v>
      </c>
      <c r="T34" s="8">
        <f t="shared" si="9"/>
        <v>10699.20000000003</v>
      </c>
      <c r="AB34" s="8">
        <f t="shared" si="0"/>
        <v>11448.000000000025</v>
      </c>
    </row>
    <row r="35" spans="2:28">
      <c r="B35" s="6" t="s">
        <v>25</v>
      </c>
      <c r="C35" s="7" t="s">
        <v>19</v>
      </c>
      <c r="D35" s="12">
        <f t="shared" si="1"/>
        <v>10534.08</v>
      </c>
      <c r="E35" s="271">
        <v>10749.71</v>
      </c>
      <c r="F35" s="12">
        <f t="shared" si="2"/>
        <v>6068.7</v>
      </c>
      <c r="G35" s="230">
        <v>6196.8</v>
      </c>
      <c r="H35" s="12">
        <f t="shared" si="3"/>
        <v>3102.98</v>
      </c>
      <c r="I35" s="230">
        <v>3164.07</v>
      </c>
      <c r="J35" s="12">
        <f t="shared" si="4"/>
        <v>1831.37</v>
      </c>
      <c r="K35" s="230">
        <v>1869.22</v>
      </c>
      <c r="L35" s="12">
        <f t="shared" si="5"/>
        <v>1047.67</v>
      </c>
      <c r="M35" s="230">
        <v>1068.42</v>
      </c>
      <c r="N35" s="12">
        <f t="shared" si="6"/>
        <v>38.731999999999999</v>
      </c>
      <c r="O35" s="230">
        <v>39.493000000000002</v>
      </c>
      <c r="P35" s="12">
        <f t="shared" si="7"/>
        <v>37.579000000000001</v>
      </c>
      <c r="Q35" s="230">
        <v>38.290999999999997</v>
      </c>
      <c r="R35" s="8">
        <v>-0.01</v>
      </c>
      <c r="S35" s="8">
        <f t="shared" si="8"/>
        <v>10958.40000000004</v>
      </c>
      <c r="T35" s="8">
        <f t="shared" si="9"/>
        <v>10252.799999999945</v>
      </c>
      <c r="AB35" s="8">
        <f t="shared" si="0"/>
        <v>10958.40000000004</v>
      </c>
    </row>
    <row r="36" spans="2:28">
      <c r="B36" s="6" t="s">
        <v>25</v>
      </c>
      <c r="C36" s="7" t="s">
        <v>20</v>
      </c>
      <c r="D36" s="12">
        <f t="shared" si="1"/>
        <v>10749.71</v>
      </c>
      <c r="E36" s="271">
        <v>10956.17</v>
      </c>
      <c r="F36" s="12">
        <f t="shared" si="2"/>
        <v>6196.8</v>
      </c>
      <c r="G36" s="230">
        <v>6316.93</v>
      </c>
      <c r="H36" s="12">
        <f t="shared" si="3"/>
        <v>3164.07</v>
      </c>
      <c r="I36" s="230">
        <v>3226.03</v>
      </c>
      <c r="J36" s="12">
        <f t="shared" si="4"/>
        <v>1869.22</v>
      </c>
      <c r="K36" s="230">
        <v>1904.96</v>
      </c>
      <c r="L36" s="12">
        <f t="shared" si="5"/>
        <v>1068.42</v>
      </c>
      <c r="M36" s="230">
        <v>1089.6300000000001</v>
      </c>
      <c r="N36" s="12">
        <f t="shared" si="6"/>
        <v>39.493000000000002</v>
      </c>
      <c r="O36" s="230">
        <v>40.223999999999997</v>
      </c>
      <c r="P36" s="12">
        <f t="shared" si="7"/>
        <v>38.290999999999997</v>
      </c>
      <c r="Q36" s="230">
        <v>39.009</v>
      </c>
      <c r="R36" s="8">
        <v>-0.01</v>
      </c>
      <c r="S36" s="8">
        <f t="shared" si="8"/>
        <v>10526.399999999921</v>
      </c>
      <c r="T36" s="8">
        <f t="shared" si="9"/>
        <v>10339.200000000052</v>
      </c>
      <c r="AB36" s="8">
        <f t="shared" si="0"/>
        <v>10526.399999999921</v>
      </c>
    </row>
    <row r="37" spans="2:28">
      <c r="B37" s="6" t="s">
        <v>25</v>
      </c>
      <c r="C37" s="7" t="s">
        <v>21</v>
      </c>
      <c r="D37" s="12">
        <f t="shared" si="1"/>
        <v>10956.17</v>
      </c>
      <c r="E37" s="271">
        <v>11199.73</v>
      </c>
      <c r="F37" s="12">
        <f t="shared" si="2"/>
        <v>6316.93</v>
      </c>
      <c r="G37" s="230">
        <v>6434.48</v>
      </c>
      <c r="H37" s="12">
        <f t="shared" si="3"/>
        <v>3226.03</v>
      </c>
      <c r="I37" s="230">
        <v>3281.88</v>
      </c>
      <c r="J37" s="12">
        <f t="shared" si="4"/>
        <v>1904.96</v>
      </c>
      <c r="K37" s="230">
        <v>1939.57</v>
      </c>
      <c r="L37" s="12">
        <f t="shared" si="5"/>
        <v>1089.6300000000001</v>
      </c>
      <c r="M37" s="230">
        <v>1109.4100000000001</v>
      </c>
      <c r="N37" s="12">
        <f t="shared" si="6"/>
        <v>40.223999999999997</v>
      </c>
      <c r="O37" s="230">
        <v>40.959000000000003</v>
      </c>
      <c r="P37" s="12">
        <f t="shared" si="7"/>
        <v>39.009</v>
      </c>
      <c r="Q37" s="230">
        <v>39.706000000000003</v>
      </c>
      <c r="R37" s="8">
        <v>-0.01</v>
      </c>
      <c r="S37" s="8">
        <f t="shared" si="8"/>
        <v>10584.000000000095</v>
      </c>
      <c r="T37" s="8">
        <f t="shared" si="9"/>
        <v>10036.800000000039</v>
      </c>
      <c r="AB37" s="8">
        <f t="shared" si="0"/>
        <v>10584.000000000095</v>
      </c>
    </row>
    <row r="38" spans="2:28">
      <c r="B38" s="6" t="s">
        <v>25</v>
      </c>
      <c r="C38" s="7" t="s">
        <v>22</v>
      </c>
      <c r="D38" s="12">
        <f t="shared" si="1"/>
        <v>11199.73</v>
      </c>
      <c r="E38" s="271">
        <v>11286.74</v>
      </c>
      <c r="F38" s="12">
        <f t="shared" si="2"/>
        <v>6434.48</v>
      </c>
      <c r="G38" s="230">
        <v>6476.27</v>
      </c>
      <c r="H38" s="12">
        <f t="shared" si="3"/>
        <v>3281.88</v>
      </c>
      <c r="I38" s="230">
        <v>3297.7</v>
      </c>
      <c r="J38" s="12">
        <f t="shared" si="4"/>
        <v>1939.57</v>
      </c>
      <c r="K38" s="230">
        <v>1942.16</v>
      </c>
      <c r="L38" s="12">
        <f t="shared" si="5"/>
        <v>1109.4100000000001</v>
      </c>
      <c r="M38" s="230">
        <v>1111.3900000000001</v>
      </c>
      <c r="N38" s="12">
        <f t="shared" si="6"/>
        <v>40.959000000000003</v>
      </c>
      <c r="O38" s="230">
        <v>41.334000000000003</v>
      </c>
      <c r="P38" s="12">
        <f t="shared" si="7"/>
        <v>39.706000000000003</v>
      </c>
      <c r="Q38" s="230">
        <v>40.055999999999997</v>
      </c>
      <c r="R38" s="8">
        <v>-0.01</v>
      </c>
      <c r="S38" s="8">
        <f t="shared" si="8"/>
        <v>5400</v>
      </c>
      <c r="T38" s="8">
        <f t="shared" si="9"/>
        <v>5039.9999999999181</v>
      </c>
      <c r="AB38" s="8">
        <f t="shared" si="0"/>
        <v>5400</v>
      </c>
    </row>
    <row r="39" spans="2:28">
      <c r="B39" s="6" t="s">
        <v>25</v>
      </c>
      <c r="C39" s="7" t="s">
        <v>23</v>
      </c>
      <c r="D39" s="12">
        <f t="shared" si="1"/>
        <v>11286.74</v>
      </c>
      <c r="E39" s="271">
        <v>11367.68</v>
      </c>
      <c r="F39" s="12">
        <f t="shared" si="2"/>
        <v>6476.27</v>
      </c>
      <c r="G39" s="230">
        <v>6516.34</v>
      </c>
      <c r="H39" s="12">
        <f t="shared" si="3"/>
        <v>3297.7</v>
      </c>
      <c r="I39" s="230">
        <v>3312.09</v>
      </c>
      <c r="J39" s="12">
        <f t="shared" si="4"/>
        <v>1942.16</v>
      </c>
      <c r="K39" s="230">
        <v>1942.17</v>
      </c>
      <c r="L39" s="12">
        <f t="shared" si="5"/>
        <v>1111.3900000000001</v>
      </c>
      <c r="M39" s="230">
        <v>1111.43</v>
      </c>
      <c r="N39" s="12">
        <f t="shared" si="6"/>
        <v>41.334000000000003</v>
      </c>
      <c r="O39" s="230">
        <v>41.55</v>
      </c>
      <c r="P39" s="12">
        <f t="shared" si="7"/>
        <v>40.055999999999997</v>
      </c>
      <c r="Q39" s="230">
        <v>40.261000000000003</v>
      </c>
      <c r="R39" s="8">
        <v>-0.01</v>
      </c>
      <c r="S39" s="8">
        <f t="shared" si="8"/>
        <v>3110.3999999999132</v>
      </c>
      <c r="T39" s="8">
        <f t="shared" si="9"/>
        <v>2952.0000000000778</v>
      </c>
      <c r="AB39" s="8">
        <f t="shared" si="0"/>
        <v>3110.3999999999132</v>
      </c>
    </row>
    <row r="40" spans="2:28">
      <c r="B40" s="6" t="s">
        <v>26</v>
      </c>
      <c r="C40" s="7" t="s">
        <v>9</v>
      </c>
      <c r="D40" s="12">
        <f t="shared" si="1"/>
        <v>11367.68</v>
      </c>
      <c r="E40" s="271">
        <f>11453.74</f>
        <v>11453.74</v>
      </c>
      <c r="F40" s="12">
        <f t="shared" si="2"/>
        <v>6516.34</v>
      </c>
      <c r="G40" s="230">
        <v>6565.61</v>
      </c>
      <c r="H40" s="12">
        <f t="shared" si="3"/>
        <v>3312.09</v>
      </c>
      <c r="I40" s="230">
        <v>3330.04</v>
      </c>
      <c r="J40" s="12">
        <f t="shared" si="4"/>
        <v>1942.17</v>
      </c>
      <c r="K40" s="230">
        <v>1950.39</v>
      </c>
      <c r="L40" s="12">
        <f t="shared" si="5"/>
        <v>1111.43</v>
      </c>
      <c r="M40" s="230">
        <v>1116.01</v>
      </c>
      <c r="N40" s="12">
        <f t="shared" si="6"/>
        <v>41.55</v>
      </c>
      <c r="O40" s="230">
        <v>42.07</v>
      </c>
      <c r="P40" s="12">
        <f t="shared" si="7"/>
        <v>40.261000000000003</v>
      </c>
      <c r="Q40" s="230">
        <v>40.667999999999999</v>
      </c>
      <c r="R40" s="8">
        <v>-0.01</v>
      </c>
      <c r="S40" s="8">
        <f t="shared" si="8"/>
        <v>7488.0000000000455</v>
      </c>
      <c r="T40" s="8">
        <f t="shared" si="9"/>
        <v>5860.7999999999493</v>
      </c>
      <c r="U40" s="8">
        <f>Z40*W40</f>
        <v>7438.08</v>
      </c>
      <c r="V40" s="8">
        <f>AA40*W40</f>
        <v>6282.24</v>
      </c>
      <c r="W40" s="16">
        <v>120</v>
      </c>
      <c r="X40" s="18">
        <v>61.984000000000002</v>
      </c>
      <c r="Y40" s="17">
        <v>52.351999999999997</v>
      </c>
      <c r="Z40" s="273">
        <v>61.984000000000002</v>
      </c>
      <c r="AA40" s="274">
        <v>52.351999999999997</v>
      </c>
      <c r="AB40" s="8">
        <f>MAX(U40:V40,U40)</f>
        <v>7438.08</v>
      </c>
    </row>
    <row r="41" spans="2:28">
      <c r="B41" s="183" t="s">
        <v>26</v>
      </c>
      <c r="C41" s="265" t="s">
        <v>427</v>
      </c>
      <c r="D41" s="12">
        <f t="shared" si="1"/>
        <v>11453.74</v>
      </c>
      <c r="E41" s="272">
        <v>11558.81</v>
      </c>
      <c r="F41" s="12">
        <f t="shared" si="2"/>
        <v>6565.61</v>
      </c>
      <c r="G41" s="231">
        <v>6615.72</v>
      </c>
      <c r="H41" s="12">
        <f t="shared" si="3"/>
        <v>3330.04</v>
      </c>
      <c r="I41" s="231">
        <v>3350.46</v>
      </c>
      <c r="J41" s="12">
        <f t="shared" si="4"/>
        <v>1950.39</v>
      </c>
      <c r="K41" s="231">
        <v>1964.51</v>
      </c>
      <c r="L41" s="12">
        <f t="shared" si="5"/>
        <v>1116.01</v>
      </c>
      <c r="M41" s="231">
        <v>1123.96</v>
      </c>
      <c r="N41" s="12">
        <f t="shared" si="6"/>
        <v>42.07</v>
      </c>
      <c r="O41" s="231">
        <v>42.631</v>
      </c>
      <c r="P41" s="12">
        <f t="shared" si="7"/>
        <v>40.667999999999999</v>
      </c>
      <c r="Q41" s="231">
        <v>41.194000000000003</v>
      </c>
      <c r="R41" s="183">
        <v>-0.01</v>
      </c>
      <c r="S41" s="8">
        <f t="shared" si="8"/>
        <v>8078.4</v>
      </c>
      <c r="T41" s="8">
        <f t="shared" si="9"/>
        <v>7574.4000000000487</v>
      </c>
      <c r="U41" s="8">
        <f t="shared" ref="U41:U100" si="10">Z41*W41</f>
        <v>8620.8000000000011</v>
      </c>
      <c r="V41" s="8">
        <f t="shared" ref="V41:V100" si="11">AA41*W41</f>
        <v>8263.68</v>
      </c>
      <c r="W41" s="16">
        <v>120</v>
      </c>
      <c r="X41" s="18">
        <v>133.82400000000001</v>
      </c>
      <c r="Y41" s="17">
        <v>121.21599999999999</v>
      </c>
      <c r="Z41" s="273">
        <f t="shared" ref="Z41:AA43" si="12">X41-X40</f>
        <v>71.84</v>
      </c>
      <c r="AA41" s="274">
        <f t="shared" si="12"/>
        <v>68.864000000000004</v>
      </c>
      <c r="AB41" s="8">
        <f t="shared" ref="AB41:AB100" si="13">MAX(U41:V41,U41)</f>
        <v>8620.8000000000011</v>
      </c>
    </row>
    <row r="42" spans="2:28">
      <c r="B42" s="183" t="s">
        <v>26</v>
      </c>
      <c r="C42" s="287" t="s">
        <v>424</v>
      </c>
      <c r="D42" s="12">
        <f t="shared" si="1"/>
        <v>11558.81</v>
      </c>
      <c r="E42" s="272">
        <v>11755.11</v>
      </c>
      <c r="F42" s="12">
        <f t="shared" si="2"/>
        <v>6615.72</v>
      </c>
      <c r="G42" s="231">
        <v>6741.31</v>
      </c>
      <c r="H42" s="12">
        <f t="shared" si="3"/>
        <v>3350.46</v>
      </c>
      <c r="I42" s="231">
        <v>3409.68</v>
      </c>
      <c r="J42" s="12">
        <f t="shared" si="4"/>
        <v>1964.51</v>
      </c>
      <c r="K42" s="231">
        <v>2018.44</v>
      </c>
      <c r="L42" s="12">
        <f t="shared" si="5"/>
        <v>1123.96</v>
      </c>
      <c r="M42" s="231">
        <v>1154.3499999999999</v>
      </c>
      <c r="N42" s="12">
        <f t="shared" si="6"/>
        <v>42.631</v>
      </c>
      <c r="O42" s="231">
        <v>43.363999999999997</v>
      </c>
      <c r="P42" s="12">
        <f t="shared" si="7"/>
        <v>41.194000000000003</v>
      </c>
      <c r="Q42" s="231">
        <v>41.927</v>
      </c>
      <c r="R42" s="183">
        <v>-0.01</v>
      </c>
      <c r="S42" s="8">
        <f t="shared" si="8"/>
        <v>10555.199999999957</v>
      </c>
      <c r="T42" s="8">
        <f t="shared" si="9"/>
        <v>10555.199999999957</v>
      </c>
      <c r="U42" s="8">
        <f t="shared" si="10"/>
        <v>12007.679999999998</v>
      </c>
      <c r="V42" s="8">
        <f t="shared" si="11"/>
        <v>11477.760000000002</v>
      </c>
      <c r="W42" s="16">
        <v>120</v>
      </c>
      <c r="X42" s="18">
        <v>233.88800000000001</v>
      </c>
      <c r="Y42" s="17">
        <v>216.864</v>
      </c>
      <c r="Z42" s="273">
        <f t="shared" si="12"/>
        <v>100.06399999999999</v>
      </c>
      <c r="AA42" s="274">
        <f t="shared" si="12"/>
        <v>95.64800000000001</v>
      </c>
      <c r="AB42" s="8">
        <f t="shared" si="13"/>
        <v>12007.679999999998</v>
      </c>
    </row>
    <row r="43" spans="2:28">
      <c r="B43" s="183" t="s">
        <v>26</v>
      </c>
      <c r="C43" s="290" t="s">
        <v>15</v>
      </c>
      <c r="D43" s="12">
        <f t="shared" si="1"/>
        <v>11755.11</v>
      </c>
      <c r="E43" s="272">
        <v>11951.59</v>
      </c>
      <c r="F43" s="12">
        <f t="shared" si="2"/>
        <v>6741.31</v>
      </c>
      <c r="G43" s="231">
        <v>6864.72</v>
      </c>
      <c r="H43" s="12">
        <f t="shared" si="3"/>
        <v>3409.68</v>
      </c>
      <c r="I43" s="231">
        <v>3469.32</v>
      </c>
      <c r="J43" s="12">
        <f t="shared" si="4"/>
        <v>2018.44</v>
      </c>
      <c r="K43" s="231">
        <v>2071.75</v>
      </c>
      <c r="L43" s="12">
        <f t="shared" si="5"/>
        <v>1154.3499999999999</v>
      </c>
      <c r="M43" s="231">
        <v>1184.6099999999999</v>
      </c>
      <c r="N43" s="12">
        <f t="shared" si="6"/>
        <v>43.363999999999997</v>
      </c>
      <c r="O43" s="231">
        <v>44.100999999999999</v>
      </c>
      <c r="P43" s="12">
        <f t="shared" si="7"/>
        <v>41.927</v>
      </c>
      <c r="Q43" s="231">
        <v>42.639000000000003</v>
      </c>
      <c r="R43" s="183">
        <v>-0.01</v>
      </c>
      <c r="S43" s="8">
        <f t="shared" si="8"/>
        <v>10612.800000000027</v>
      </c>
      <c r="T43" s="8">
        <f t="shared" si="9"/>
        <v>10252.800000000047</v>
      </c>
      <c r="U43" s="8">
        <f t="shared" si="10"/>
        <v>11285.759999999997</v>
      </c>
      <c r="V43" s="8">
        <f t="shared" si="11"/>
        <v>10993.920000000002</v>
      </c>
      <c r="W43" s="16">
        <v>120</v>
      </c>
      <c r="X43" s="18">
        <v>327.93599999999998</v>
      </c>
      <c r="Y43" s="17">
        <v>308.48</v>
      </c>
      <c r="Z43" s="273">
        <f t="shared" si="12"/>
        <v>94.047999999999973</v>
      </c>
      <c r="AA43" s="274">
        <f t="shared" si="12"/>
        <v>91.616000000000014</v>
      </c>
      <c r="AB43" s="8">
        <f t="shared" si="13"/>
        <v>11285.759999999997</v>
      </c>
    </row>
    <row r="44" spans="2:28">
      <c r="B44" s="183" t="s">
        <v>26</v>
      </c>
      <c r="C44" s="293" t="s">
        <v>461</v>
      </c>
      <c r="D44" s="12">
        <f t="shared" si="1"/>
        <v>11951.59</v>
      </c>
      <c r="E44" s="272">
        <v>12172.65</v>
      </c>
      <c r="F44" s="12">
        <f t="shared" si="2"/>
        <v>6864.72</v>
      </c>
      <c r="G44" s="231">
        <v>6979.64</v>
      </c>
      <c r="H44" s="12">
        <f t="shared" si="3"/>
        <v>3469.32</v>
      </c>
      <c r="I44" s="231">
        <v>3520.42</v>
      </c>
      <c r="J44" s="12">
        <f t="shared" si="4"/>
        <v>2071.75</v>
      </c>
      <c r="K44" s="231">
        <v>2124.6799999999998</v>
      </c>
      <c r="L44" s="12">
        <f t="shared" si="5"/>
        <v>1184.6099999999999</v>
      </c>
      <c r="M44" s="231">
        <v>1212.06</v>
      </c>
      <c r="N44" s="12">
        <f t="shared" si="6"/>
        <v>44.100999999999999</v>
      </c>
      <c r="O44" s="231">
        <v>44.825000000000003</v>
      </c>
      <c r="P44" s="12">
        <f t="shared" si="7"/>
        <v>42.639000000000003</v>
      </c>
      <c r="Q44" s="231">
        <v>43.326999999999998</v>
      </c>
      <c r="R44" s="183">
        <v>-0.01</v>
      </c>
      <c r="S44" s="8">
        <f t="shared" si="8"/>
        <v>10425.600000000053</v>
      </c>
      <c r="T44" s="8">
        <f t="shared" si="9"/>
        <v>9907.1999999999316</v>
      </c>
      <c r="U44" s="8">
        <f t="shared" si="10"/>
        <v>11608.320000000005</v>
      </c>
      <c r="V44" s="8">
        <f t="shared" si="11"/>
        <v>11324.16</v>
      </c>
      <c r="W44" s="16">
        <v>120</v>
      </c>
      <c r="X44" s="18">
        <v>424.67200000000003</v>
      </c>
      <c r="Y44" s="17">
        <v>402.84800000000001</v>
      </c>
      <c r="Z44" s="273">
        <f t="shared" ref="Z44" si="14">X44-X43</f>
        <v>96.736000000000047</v>
      </c>
      <c r="AA44" s="274">
        <f t="shared" ref="AA44" si="15">Y44-Y43</f>
        <v>94.367999999999995</v>
      </c>
      <c r="AB44" s="8">
        <f t="shared" si="13"/>
        <v>11608.320000000005</v>
      </c>
    </row>
    <row r="45" spans="2:28">
      <c r="B45" s="183" t="s">
        <v>26</v>
      </c>
      <c r="C45" s="307" t="s">
        <v>478</v>
      </c>
      <c r="D45" s="12">
        <f t="shared" si="1"/>
        <v>12172.65</v>
      </c>
      <c r="E45" s="272">
        <v>12379.77</v>
      </c>
      <c r="F45" s="12">
        <f t="shared" si="2"/>
        <v>6979.64</v>
      </c>
      <c r="G45" s="231">
        <v>7105</v>
      </c>
      <c r="H45" s="12">
        <f t="shared" si="3"/>
        <v>3520.42</v>
      </c>
      <c r="I45" s="231">
        <v>3578.93</v>
      </c>
      <c r="J45" s="12">
        <f t="shared" si="4"/>
        <v>2124.6799999999998</v>
      </c>
      <c r="K45" s="231">
        <v>2180.37</v>
      </c>
      <c r="L45" s="12">
        <f t="shared" si="5"/>
        <v>1212.06</v>
      </c>
      <c r="M45" s="231">
        <v>1243.3900000000001</v>
      </c>
      <c r="N45" s="12">
        <f t="shared" si="6"/>
        <v>44.825000000000003</v>
      </c>
      <c r="O45" s="231">
        <v>45.54</v>
      </c>
      <c r="P45" s="12">
        <f t="shared" si="7"/>
        <v>43.326999999999998</v>
      </c>
      <c r="Q45" s="231">
        <v>44.027999999999999</v>
      </c>
      <c r="R45" s="183">
        <v>-0.01</v>
      </c>
      <c r="S45" s="8">
        <f t="shared" si="8"/>
        <v>10295.999999999947</v>
      </c>
      <c r="T45" s="8">
        <f t="shared" si="9"/>
        <v>10094.400000000007</v>
      </c>
      <c r="U45" s="8">
        <f t="shared" si="10"/>
        <v>11950.079999999994</v>
      </c>
      <c r="V45" s="8">
        <f t="shared" si="11"/>
        <v>11116.8</v>
      </c>
      <c r="W45" s="16">
        <v>120</v>
      </c>
      <c r="X45" s="18">
        <v>524.25599999999997</v>
      </c>
      <c r="Y45" s="17">
        <v>495.488</v>
      </c>
      <c r="Z45" s="273">
        <f t="shared" ref="Z45" si="16">X45-X44</f>
        <v>99.583999999999946</v>
      </c>
      <c r="AA45" s="274">
        <f t="shared" ref="AA45" si="17">Y45-Y44</f>
        <v>92.639999999999986</v>
      </c>
      <c r="AB45" s="8">
        <f t="shared" si="13"/>
        <v>11950.079999999994</v>
      </c>
    </row>
    <row r="46" spans="2:28">
      <c r="D46" s="12">
        <f t="shared" si="1"/>
        <v>12379.77</v>
      </c>
      <c r="F46" s="12">
        <f t="shared" si="2"/>
        <v>7105</v>
      </c>
      <c r="H46" s="12">
        <f t="shared" si="3"/>
        <v>3578.93</v>
      </c>
      <c r="J46" s="12">
        <f t="shared" si="4"/>
        <v>2180.37</v>
      </c>
      <c r="L46" s="12">
        <f t="shared" si="5"/>
        <v>1243.3900000000001</v>
      </c>
      <c r="N46" s="12">
        <f t="shared" si="6"/>
        <v>45.54</v>
      </c>
      <c r="P46" s="12">
        <f t="shared" si="7"/>
        <v>44.027999999999999</v>
      </c>
      <c r="S46" s="8">
        <f t="shared" si="8"/>
        <v>-655776</v>
      </c>
      <c r="T46" s="8">
        <f t="shared" si="9"/>
        <v>-634003.19999999995</v>
      </c>
      <c r="U46" s="8">
        <f t="shared" si="10"/>
        <v>0</v>
      </c>
      <c r="V46" s="8">
        <f t="shared" si="11"/>
        <v>0</v>
      </c>
      <c r="W46" s="16">
        <v>120</v>
      </c>
      <c r="AB46" s="8">
        <f t="shared" si="13"/>
        <v>0</v>
      </c>
    </row>
    <row r="47" spans="2:28">
      <c r="D47" s="12">
        <f t="shared" si="1"/>
        <v>0</v>
      </c>
      <c r="F47" s="12">
        <f t="shared" si="2"/>
        <v>0</v>
      </c>
      <c r="H47" s="12">
        <f t="shared" si="3"/>
        <v>0</v>
      </c>
      <c r="J47" s="12">
        <f t="shared" si="4"/>
        <v>0</v>
      </c>
      <c r="L47" s="12">
        <f t="shared" si="5"/>
        <v>0</v>
      </c>
      <c r="N47" s="12">
        <f t="shared" si="6"/>
        <v>0</v>
      </c>
      <c r="P47" s="12">
        <f t="shared" si="7"/>
        <v>0</v>
      </c>
      <c r="S47" s="8">
        <f t="shared" si="8"/>
        <v>0</v>
      </c>
      <c r="T47" s="8">
        <f t="shared" si="9"/>
        <v>0</v>
      </c>
      <c r="U47" s="8">
        <f t="shared" si="10"/>
        <v>0</v>
      </c>
      <c r="V47" s="8">
        <f t="shared" si="11"/>
        <v>0</v>
      </c>
      <c r="W47" s="16">
        <v>120</v>
      </c>
      <c r="AB47" s="8">
        <f t="shared" si="13"/>
        <v>0</v>
      </c>
    </row>
    <row r="48" spans="2:28">
      <c r="D48" s="12">
        <f t="shared" si="1"/>
        <v>0</v>
      </c>
      <c r="F48" s="12">
        <f t="shared" si="2"/>
        <v>0</v>
      </c>
      <c r="H48" s="12">
        <f t="shared" si="3"/>
        <v>0</v>
      </c>
      <c r="J48" s="12">
        <f t="shared" si="4"/>
        <v>0</v>
      </c>
      <c r="L48" s="12">
        <f t="shared" si="5"/>
        <v>0</v>
      </c>
      <c r="N48" s="12">
        <f t="shared" si="6"/>
        <v>0</v>
      </c>
      <c r="P48" s="12">
        <f t="shared" si="7"/>
        <v>0</v>
      </c>
      <c r="S48" s="8">
        <f t="shared" si="8"/>
        <v>0</v>
      </c>
      <c r="T48" s="8">
        <f t="shared" si="9"/>
        <v>0</v>
      </c>
      <c r="U48" s="8">
        <f t="shared" si="10"/>
        <v>0</v>
      </c>
      <c r="V48" s="8">
        <f t="shared" si="11"/>
        <v>0</v>
      </c>
      <c r="W48" s="16">
        <v>120</v>
      </c>
      <c r="AB48" s="8">
        <f t="shared" si="13"/>
        <v>0</v>
      </c>
    </row>
    <row r="49" spans="4:28">
      <c r="D49" s="12">
        <f t="shared" si="1"/>
        <v>0</v>
      </c>
      <c r="F49" s="12">
        <f t="shared" si="2"/>
        <v>0</v>
      </c>
      <c r="H49" s="12">
        <f t="shared" si="3"/>
        <v>0</v>
      </c>
      <c r="J49" s="12">
        <f t="shared" si="4"/>
        <v>0</v>
      </c>
      <c r="L49" s="12">
        <f t="shared" si="5"/>
        <v>0</v>
      </c>
      <c r="N49" s="12">
        <f t="shared" si="6"/>
        <v>0</v>
      </c>
      <c r="P49" s="12">
        <f t="shared" si="7"/>
        <v>0</v>
      </c>
      <c r="S49" s="8">
        <f t="shared" si="8"/>
        <v>0</v>
      </c>
      <c r="T49" s="8">
        <f t="shared" si="9"/>
        <v>0</v>
      </c>
      <c r="U49" s="8">
        <f t="shared" si="10"/>
        <v>0</v>
      </c>
      <c r="V49" s="8">
        <f t="shared" si="11"/>
        <v>0</v>
      </c>
      <c r="W49" s="16">
        <v>120</v>
      </c>
      <c r="AB49" s="8">
        <f t="shared" si="13"/>
        <v>0</v>
      </c>
    </row>
    <row r="50" spans="4:28">
      <c r="D50" s="12">
        <f t="shared" si="1"/>
        <v>0</v>
      </c>
      <c r="F50" s="12">
        <f t="shared" si="2"/>
        <v>0</v>
      </c>
      <c r="H50" s="12">
        <f t="shared" si="3"/>
        <v>0</v>
      </c>
      <c r="J50" s="12">
        <f t="shared" si="4"/>
        <v>0</v>
      </c>
      <c r="L50" s="12">
        <f t="shared" si="5"/>
        <v>0</v>
      </c>
      <c r="N50" s="12">
        <f t="shared" si="6"/>
        <v>0</v>
      </c>
      <c r="P50" s="12">
        <f t="shared" si="7"/>
        <v>0</v>
      </c>
      <c r="S50" s="8">
        <f t="shared" si="8"/>
        <v>0</v>
      </c>
      <c r="T50" s="8">
        <f t="shared" si="9"/>
        <v>0</v>
      </c>
      <c r="U50" s="8">
        <f t="shared" si="10"/>
        <v>0</v>
      </c>
      <c r="V50" s="8">
        <f t="shared" si="11"/>
        <v>0</v>
      </c>
      <c r="W50" s="16">
        <v>120</v>
      </c>
      <c r="AB50" s="8">
        <f t="shared" si="13"/>
        <v>0</v>
      </c>
    </row>
    <row r="51" spans="4:28">
      <c r="D51" s="12">
        <f t="shared" si="1"/>
        <v>0</v>
      </c>
      <c r="F51" s="12">
        <f t="shared" si="2"/>
        <v>0</v>
      </c>
      <c r="H51" s="12">
        <f t="shared" si="3"/>
        <v>0</v>
      </c>
      <c r="J51" s="12">
        <f t="shared" si="4"/>
        <v>0</v>
      </c>
      <c r="L51" s="12">
        <f t="shared" si="5"/>
        <v>0</v>
      </c>
      <c r="N51" s="12">
        <f t="shared" si="6"/>
        <v>0</v>
      </c>
      <c r="P51" s="12">
        <f t="shared" si="7"/>
        <v>0</v>
      </c>
      <c r="S51" s="8">
        <f t="shared" si="8"/>
        <v>0</v>
      </c>
      <c r="T51" s="8">
        <f t="shared" si="9"/>
        <v>0</v>
      </c>
      <c r="U51" s="8">
        <f t="shared" si="10"/>
        <v>0</v>
      </c>
      <c r="V51" s="8">
        <f t="shared" si="11"/>
        <v>0</v>
      </c>
      <c r="W51" s="16">
        <v>120</v>
      </c>
      <c r="AB51" s="8">
        <f t="shared" si="13"/>
        <v>0</v>
      </c>
    </row>
    <row r="52" spans="4:28">
      <c r="D52" s="12">
        <f t="shared" si="1"/>
        <v>0</v>
      </c>
      <c r="F52" s="12">
        <f t="shared" si="2"/>
        <v>0</v>
      </c>
      <c r="H52" s="12">
        <f t="shared" si="3"/>
        <v>0</v>
      </c>
      <c r="J52" s="12">
        <f t="shared" si="4"/>
        <v>0</v>
      </c>
      <c r="L52" s="12">
        <f t="shared" si="5"/>
        <v>0</v>
      </c>
      <c r="N52" s="12">
        <f t="shared" si="6"/>
        <v>0</v>
      </c>
      <c r="P52" s="12">
        <f t="shared" si="7"/>
        <v>0</v>
      </c>
      <c r="S52" s="8">
        <f t="shared" si="8"/>
        <v>0</v>
      </c>
      <c r="T52" s="8">
        <f t="shared" si="9"/>
        <v>0</v>
      </c>
      <c r="U52" s="8">
        <f t="shared" si="10"/>
        <v>0</v>
      </c>
      <c r="V52" s="8">
        <f t="shared" si="11"/>
        <v>0</v>
      </c>
      <c r="W52" s="16">
        <v>120</v>
      </c>
      <c r="AB52" s="8">
        <f t="shared" si="13"/>
        <v>0</v>
      </c>
    </row>
    <row r="53" spans="4:28">
      <c r="D53" s="12">
        <f t="shared" si="1"/>
        <v>0</v>
      </c>
      <c r="F53" s="12">
        <f t="shared" si="2"/>
        <v>0</v>
      </c>
      <c r="H53" s="12">
        <f t="shared" si="3"/>
        <v>0</v>
      </c>
      <c r="J53" s="12">
        <f t="shared" si="4"/>
        <v>0</v>
      </c>
      <c r="L53" s="12">
        <f t="shared" si="5"/>
        <v>0</v>
      </c>
      <c r="N53" s="12">
        <f t="shared" si="6"/>
        <v>0</v>
      </c>
      <c r="P53" s="12">
        <f t="shared" si="7"/>
        <v>0</v>
      </c>
      <c r="S53" s="8">
        <f t="shared" si="8"/>
        <v>0</v>
      </c>
      <c r="T53" s="8">
        <f t="shared" si="9"/>
        <v>0</v>
      </c>
      <c r="U53" s="8">
        <f t="shared" si="10"/>
        <v>0</v>
      </c>
      <c r="V53" s="8">
        <f t="shared" si="11"/>
        <v>0</v>
      </c>
      <c r="W53" s="16">
        <v>120</v>
      </c>
      <c r="AB53" s="8">
        <f t="shared" si="13"/>
        <v>0</v>
      </c>
    </row>
    <row r="54" spans="4:28">
      <c r="D54" s="12">
        <f t="shared" si="1"/>
        <v>0</v>
      </c>
      <c r="F54" s="12">
        <f t="shared" si="2"/>
        <v>0</v>
      </c>
      <c r="H54" s="12">
        <f t="shared" si="3"/>
        <v>0</v>
      </c>
      <c r="J54" s="12">
        <f t="shared" si="4"/>
        <v>0</v>
      </c>
      <c r="L54" s="12">
        <f t="shared" si="5"/>
        <v>0</v>
      </c>
      <c r="N54" s="12">
        <f t="shared" si="6"/>
        <v>0</v>
      </c>
      <c r="P54" s="12">
        <f t="shared" si="7"/>
        <v>0</v>
      </c>
      <c r="S54" s="8">
        <f t="shared" si="8"/>
        <v>0</v>
      </c>
      <c r="T54" s="8">
        <f t="shared" si="9"/>
        <v>0</v>
      </c>
      <c r="U54" s="8">
        <f t="shared" si="10"/>
        <v>0</v>
      </c>
      <c r="V54" s="8">
        <f t="shared" si="11"/>
        <v>0</v>
      </c>
      <c r="W54" s="16">
        <v>120</v>
      </c>
      <c r="AB54" s="8">
        <f t="shared" si="13"/>
        <v>0</v>
      </c>
    </row>
    <row r="55" spans="4:28">
      <c r="D55" s="12">
        <f t="shared" si="1"/>
        <v>0</v>
      </c>
      <c r="F55" s="12">
        <f t="shared" si="2"/>
        <v>0</v>
      </c>
      <c r="H55" s="12">
        <f t="shared" si="3"/>
        <v>0</v>
      </c>
      <c r="J55" s="12">
        <f t="shared" si="4"/>
        <v>0</v>
      </c>
      <c r="L55" s="12">
        <f t="shared" si="5"/>
        <v>0</v>
      </c>
      <c r="N55" s="12">
        <f t="shared" si="6"/>
        <v>0</v>
      </c>
      <c r="P55" s="12">
        <f t="shared" si="7"/>
        <v>0</v>
      </c>
      <c r="S55" s="8">
        <f t="shared" si="8"/>
        <v>0</v>
      </c>
      <c r="T55" s="8">
        <f t="shared" si="9"/>
        <v>0</v>
      </c>
      <c r="U55" s="8">
        <f t="shared" si="10"/>
        <v>0</v>
      </c>
      <c r="V55" s="8">
        <f t="shared" si="11"/>
        <v>0</v>
      </c>
      <c r="W55" s="16">
        <v>120</v>
      </c>
      <c r="AB55" s="8">
        <f t="shared" si="13"/>
        <v>0</v>
      </c>
    </row>
    <row r="56" spans="4:28">
      <c r="D56" s="12">
        <f t="shared" si="1"/>
        <v>0</v>
      </c>
      <c r="F56" s="12">
        <f t="shared" si="2"/>
        <v>0</v>
      </c>
      <c r="H56" s="12">
        <f t="shared" si="3"/>
        <v>0</v>
      </c>
      <c r="J56" s="12">
        <f t="shared" si="4"/>
        <v>0</v>
      </c>
      <c r="L56" s="12">
        <f t="shared" si="5"/>
        <v>0</v>
      </c>
      <c r="N56" s="12">
        <f t="shared" si="6"/>
        <v>0</v>
      </c>
      <c r="P56" s="12">
        <f t="shared" si="7"/>
        <v>0</v>
      </c>
      <c r="S56" s="8">
        <f t="shared" si="8"/>
        <v>0</v>
      </c>
      <c r="T56" s="8">
        <f t="shared" si="9"/>
        <v>0</v>
      </c>
      <c r="U56" s="8">
        <f t="shared" si="10"/>
        <v>0</v>
      </c>
      <c r="V56" s="8">
        <f t="shared" si="11"/>
        <v>0</v>
      </c>
      <c r="W56" s="16">
        <v>120</v>
      </c>
      <c r="AB56" s="8">
        <f t="shared" si="13"/>
        <v>0</v>
      </c>
    </row>
    <row r="57" spans="4:28">
      <c r="D57" s="12">
        <f t="shared" si="1"/>
        <v>0</v>
      </c>
      <c r="F57" s="12">
        <f t="shared" si="2"/>
        <v>0</v>
      </c>
      <c r="H57" s="12">
        <f t="shared" si="3"/>
        <v>0</v>
      </c>
      <c r="J57" s="12">
        <f t="shared" si="4"/>
        <v>0</v>
      </c>
      <c r="L57" s="12">
        <f t="shared" si="5"/>
        <v>0</v>
      </c>
      <c r="N57" s="12">
        <f t="shared" si="6"/>
        <v>0</v>
      </c>
      <c r="P57" s="12">
        <f t="shared" si="7"/>
        <v>0</v>
      </c>
      <c r="S57" s="8">
        <f t="shared" si="8"/>
        <v>0</v>
      </c>
      <c r="T57" s="8">
        <f t="shared" si="9"/>
        <v>0</v>
      </c>
      <c r="U57" s="8">
        <f t="shared" si="10"/>
        <v>0</v>
      </c>
      <c r="V57" s="8">
        <f t="shared" si="11"/>
        <v>0</v>
      </c>
      <c r="W57" s="16">
        <v>120</v>
      </c>
      <c r="AB57" s="8">
        <f t="shared" si="13"/>
        <v>0</v>
      </c>
    </row>
    <row r="58" spans="4:28">
      <c r="D58" s="12">
        <f t="shared" si="1"/>
        <v>0</v>
      </c>
      <c r="F58" s="12">
        <f t="shared" si="2"/>
        <v>0</v>
      </c>
      <c r="H58" s="12">
        <f t="shared" si="3"/>
        <v>0</v>
      </c>
      <c r="J58" s="12">
        <f t="shared" si="4"/>
        <v>0</v>
      </c>
      <c r="L58" s="12">
        <f t="shared" si="5"/>
        <v>0</v>
      </c>
      <c r="N58" s="12">
        <f t="shared" si="6"/>
        <v>0</v>
      </c>
      <c r="P58" s="12">
        <f t="shared" si="7"/>
        <v>0</v>
      </c>
      <c r="S58" s="8">
        <f t="shared" si="8"/>
        <v>0</v>
      </c>
      <c r="T58" s="8">
        <f t="shared" si="9"/>
        <v>0</v>
      </c>
      <c r="U58" s="8">
        <f t="shared" si="10"/>
        <v>0</v>
      </c>
      <c r="V58" s="8">
        <f t="shared" si="11"/>
        <v>0</v>
      </c>
      <c r="W58" s="16">
        <v>120</v>
      </c>
      <c r="AB58" s="8">
        <f t="shared" si="13"/>
        <v>0</v>
      </c>
    </row>
    <row r="59" spans="4:28">
      <c r="D59" s="12">
        <f t="shared" si="1"/>
        <v>0</v>
      </c>
      <c r="F59" s="12">
        <f t="shared" si="2"/>
        <v>0</v>
      </c>
      <c r="H59" s="12">
        <f t="shared" si="3"/>
        <v>0</v>
      </c>
      <c r="J59" s="12">
        <f t="shared" si="4"/>
        <v>0</v>
      </c>
      <c r="L59" s="12">
        <f t="shared" si="5"/>
        <v>0</v>
      </c>
      <c r="N59" s="12">
        <f t="shared" si="6"/>
        <v>0</v>
      </c>
      <c r="P59" s="12">
        <f t="shared" si="7"/>
        <v>0</v>
      </c>
      <c r="S59" s="8">
        <f t="shared" si="8"/>
        <v>0</v>
      </c>
      <c r="T59" s="8">
        <f t="shared" si="9"/>
        <v>0</v>
      </c>
      <c r="U59" s="8">
        <f t="shared" si="10"/>
        <v>0</v>
      </c>
      <c r="V59" s="8">
        <f t="shared" si="11"/>
        <v>0</v>
      </c>
      <c r="W59" s="16">
        <v>120</v>
      </c>
      <c r="AB59" s="8">
        <f t="shared" si="13"/>
        <v>0</v>
      </c>
    </row>
    <row r="60" spans="4:28">
      <c r="D60" s="12">
        <f t="shared" si="1"/>
        <v>0</v>
      </c>
      <c r="F60" s="12">
        <f t="shared" si="2"/>
        <v>0</v>
      </c>
      <c r="H60" s="12">
        <f t="shared" si="3"/>
        <v>0</v>
      </c>
      <c r="J60" s="12">
        <f t="shared" si="4"/>
        <v>0</v>
      </c>
      <c r="L60" s="12">
        <f t="shared" si="5"/>
        <v>0</v>
      </c>
      <c r="N60" s="12">
        <f t="shared" si="6"/>
        <v>0</v>
      </c>
      <c r="P60" s="12">
        <f t="shared" si="7"/>
        <v>0</v>
      </c>
      <c r="S60" s="8">
        <f t="shared" si="8"/>
        <v>0</v>
      </c>
      <c r="T60" s="8">
        <f t="shared" si="9"/>
        <v>0</v>
      </c>
      <c r="U60" s="8">
        <f t="shared" si="10"/>
        <v>0</v>
      </c>
      <c r="V60" s="8">
        <f t="shared" si="11"/>
        <v>0</v>
      </c>
      <c r="W60" s="16">
        <v>120</v>
      </c>
      <c r="AB60" s="8">
        <f t="shared" si="13"/>
        <v>0</v>
      </c>
    </row>
    <row r="61" spans="4:28">
      <c r="D61" s="12">
        <f t="shared" si="1"/>
        <v>0</v>
      </c>
      <c r="F61" s="12">
        <f t="shared" si="2"/>
        <v>0</v>
      </c>
      <c r="H61" s="12">
        <f t="shared" si="3"/>
        <v>0</v>
      </c>
      <c r="J61" s="12">
        <f t="shared" si="4"/>
        <v>0</v>
      </c>
      <c r="L61" s="12">
        <f t="shared" si="5"/>
        <v>0</v>
      </c>
      <c r="N61" s="12">
        <f t="shared" si="6"/>
        <v>0</v>
      </c>
      <c r="P61" s="12">
        <f t="shared" si="7"/>
        <v>0</v>
      </c>
      <c r="S61" s="8">
        <f t="shared" si="8"/>
        <v>0</v>
      </c>
      <c r="T61" s="8">
        <f t="shared" si="9"/>
        <v>0</v>
      </c>
      <c r="U61" s="8">
        <f t="shared" si="10"/>
        <v>0</v>
      </c>
      <c r="V61" s="8">
        <f t="shared" si="11"/>
        <v>0</v>
      </c>
      <c r="W61" s="16">
        <v>120</v>
      </c>
      <c r="AB61" s="8">
        <f t="shared" si="13"/>
        <v>0</v>
      </c>
    </row>
    <row r="62" spans="4:28">
      <c r="D62" s="12">
        <f t="shared" si="1"/>
        <v>0</v>
      </c>
      <c r="F62" s="12">
        <f t="shared" si="2"/>
        <v>0</v>
      </c>
      <c r="H62" s="12">
        <f t="shared" si="3"/>
        <v>0</v>
      </c>
      <c r="J62" s="12">
        <f t="shared" si="4"/>
        <v>0</v>
      </c>
      <c r="L62" s="12">
        <f t="shared" si="5"/>
        <v>0</v>
      </c>
      <c r="N62" s="12">
        <f t="shared" si="6"/>
        <v>0</v>
      </c>
      <c r="P62" s="12">
        <f t="shared" si="7"/>
        <v>0</v>
      </c>
      <c r="S62" s="8">
        <f t="shared" si="8"/>
        <v>0</v>
      </c>
      <c r="T62" s="8">
        <f t="shared" si="9"/>
        <v>0</v>
      </c>
      <c r="U62" s="8">
        <f t="shared" si="10"/>
        <v>0</v>
      </c>
      <c r="V62" s="8">
        <f t="shared" si="11"/>
        <v>0</v>
      </c>
      <c r="W62" s="16">
        <v>120</v>
      </c>
      <c r="AB62" s="8">
        <f t="shared" si="13"/>
        <v>0</v>
      </c>
    </row>
    <row r="63" spans="4:28">
      <c r="D63" s="12">
        <f t="shared" si="1"/>
        <v>0</v>
      </c>
      <c r="F63" s="12">
        <f t="shared" si="2"/>
        <v>0</v>
      </c>
      <c r="H63" s="12">
        <f t="shared" si="3"/>
        <v>0</v>
      </c>
      <c r="J63" s="12">
        <f t="shared" si="4"/>
        <v>0</v>
      </c>
      <c r="L63" s="12">
        <f t="shared" si="5"/>
        <v>0</v>
      </c>
      <c r="N63" s="12">
        <f t="shared" si="6"/>
        <v>0</v>
      </c>
      <c r="P63" s="12">
        <f t="shared" si="7"/>
        <v>0</v>
      </c>
      <c r="S63" s="8">
        <f t="shared" si="8"/>
        <v>0</v>
      </c>
      <c r="T63" s="8">
        <f t="shared" si="9"/>
        <v>0</v>
      </c>
      <c r="U63" s="8">
        <f t="shared" si="10"/>
        <v>0</v>
      </c>
      <c r="V63" s="8">
        <f t="shared" si="11"/>
        <v>0</v>
      </c>
      <c r="W63" s="16">
        <v>120</v>
      </c>
      <c r="AB63" s="8">
        <f t="shared" si="13"/>
        <v>0</v>
      </c>
    </row>
    <row r="64" spans="4:28">
      <c r="D64" s="12">
        <f t="shared" si="1"/>
        <v>0</v>
      </c>
      <c r="F64" s="12">
        <f t="shared" si="2"/>
        <v>0</v>
      </c>
      <c r="H64" s="12">
        <f t="shared" si="3"/>
        <v>0</v>
      </c>
      <c r="J64" s="12">
        <f t="shared" si="4"/>
        <v>0</v>
      </c>
      <c r="L64" s="12">
        <f t="shared" si="5"/>
        <v>0</v>
      </c>
      <c r="N64" s="12">
        <f t="shared" si="6"/>
        <v>0</v>
      </c>
      <c r="P64" s="12">
        <f t="shared" si="7"/>
        <v>0</v>
      </c>
      <c r="S64" s="8">
        <f t="shared" si="8"/>
        <v>0</v>
      </c>
      <c r="T64" s="8">
        <f t="shared" si="9"/>
        <v>0</v>
      </c>
      <c r="U64" s="8">
        <f t="shared" si="10"/>
        <v>0</v>
      </c>
      <c r="V64" s="8">
        <f t="shared" si="11"/>
        <v>0</v>
      </c>
      <c r="W64" s="16">
        <v>120</v>
      </c>
      <c r="AB64" s="8">
        <f t="shared" si="13"/>
        <v>0</v>
      </c>
    </row>
    <row r="65" spans="4:28">
      <c r="D65" s="12">
        <f t="shared" si="1"/>
        <v>0</v>
      </c>
      <c r="F65" s="12">
        <f t="shared" si="2"/>
        <v>0</v>
      </c>
      <c r="H65" s="12">
        <f t="shared" si="3"/>
        <v>0</v>
      </c>
      <c r="J65" s="12">
        <f t="shared" si="4"/>
        <v>0</v>
      </c>
      <c r="L65" s="12">
        <f t="shared" si="5"/>
        <v>0</v>
      </c>
      <c r="N65" s="12">
        <f t="shared" si="6"/>
        <v>0</v>
      </c>
      <c r="P65" s="12">
        <f t="shared" si="7"/>
        <v>0</v>
      </c>
      <c r="S65" s="8">
        <f t="shared" si="8"/>
        <v>0</v>
      </c>
      <c r="T65" s="8">
        <f t="shared" si="9"/>
        <v>0</v>
      </c>
      <c r="U65" s="8">
        <f t="shared" si="10"/>
        <v>0</v>
      </c>
      <c r="V65" s="8">
        <f t="shared" si="11"/>
        <v>0</v>
      </c>
      <c r="W65" s="16">
        <v>120</v>
      </c>
      <c r="AB65" s="8">
        <f t="shared" si="13"/>
        <v>0</v>
      </c>
    </row>
    <row r="66" spans="4:28">
      <c r="D66" s="12">
        <f t="shared" si="1"/>
        <v>0</v>
      </c>
      <c r="F66" s="12">
        <f t="shared" si="2"/>
        <v>0</v>
      </c>
      <c r="H66" s="12">
        <f t="shared" si="3"/>
        <v>0</v>
      </c>
      <c r="J66" s="12">
        <f t="shared" si="4"/>
        <v>0</v>
      </c>
      <c r="L66" s="12">
        <f t="shared" si="5"/>
        <v>0</v>
      </c>
      <c r="N66" s="12">
        <f t="shared" si="6"/>
        <v>0</v>
      </c>
      <c r="P66" s="12">
        <f t="shared" si="7"/>
        <v>0</v>
      </c>
      <c r="S66" s="8">
        <f t="shared" si="8"/>
        <v>0</v>
      </c>
      <c r="T66" s="8">
        <f t="shared" si="9"/>
        <v>0</v>
      </c>
      <c r="U66" s="8">
        <f t="shared" si="10"/>
        <v>0</v>
      </c>
      <c r="V66" s="8">
        <f t="shared" si="11"/>
        <v>0</v>
      </c>
      <c r="W66" s="16">
        <v>120</v>
      </c>
      <c r="AB66" s="8">
        <f t="shared" si="13"/>
        <v>0</v>
      </c>
    </row>
    <row r="67" spans="4:28">
      <c r="D67" s="12">
        <f t="shared" si="1"/>
        <v>0</v>
      </c>
      <c r="F67" s="12">
        <f t="shared" si="2"/>
        <v>0</v>
      </c>
      <c r="H67" s="12">
        <f t="shared" si="3"/>
        <v>0</v>
      </c>
      <c r="J67" s="12">
        <f t="shared" si="4"/>
        <v>0</v>
      </c>
      <c r="L67" s="12">
        <f t="shared" si="5"/>
        <v>0</v>
      </c>
      <c r="N67" s="12">
        <f t="shared" si="6"/>
        <v>0</v>
      </c>
      <c r="P67" s="12">
        <f t="shared" si="7"/>
        <v>0</v>
      </c>
      <c r="S67" s="8">
        <f t="shared" si="8"/>
        <v>0</v>
      </c>
      <c r="T67" s="8">
        <f t="shared" si="9"/>
        <v>0</v>
      </c>
      <c r="U67" s="8">
        <f t="shared" si="10"/>
        <v>0</v>
      </c>
      <c r="V67" s="8">
        <f t="shared" si="11"/>
        <v>0</v>
      </c>
      <c r="W67" s="16">
        <v>120</v>
      </c>
      <c r="AB67" s="8">
        <f t="shared" si="13"/>
        <v>0</v>
      </c>
    </row>
    <row r="68" spans="4:28">
      <c r="D68" s="12">
        <f t="shared" si="1"/>
        <v>0</v>
      </c>
      <c r="F68" s="12">
        <f t="shared" si="2"/>
        <v>0</v>
      </c>
      <c r="H68" s="12">
        <f t="shared" si="3"/>
        <v>0</v>
      </c>
      <c r="J68" s="12">
        <f t="shared" si="4"/>
        <v>0</v>
      </c>
      <c r="L68" s="12">
        <f t="shared" si="5"/>
        <v>0</v>
      </c>
      <c r="N68" s="12">
        <f t="shared" si="6"/>
        <v>0</v>
      </c>
      <c r="P68" s="12">
        <f t="shared" si="7"/>
        <v>0</v>
      </c>
      <c r="S68" s="8">
        <f t="shared" si="8"/>
        <v>0</v>
      </c>
      <c r="T68" s="8">
        <f t="shared" si="9"/>
        <v>0</v>
      </c>
      <c r="U68" s="8">
        <f t="shared" si="10"/>
        <v>0</v>
      </c>
      <c r="V68" s="8">
        <f t="shared" si="11"/>
        <v>0</v>
      </c>
      <c r="W68" s="16">
        <v>120</v>
      </c>
      <c r="AB68" s="8">
        <f t="shared" si="13"/>
        <v>0</v>
      </c>
    </row>
    <row r="69" spans="4:28">
      <c r="D69" s="12">
        <f t="shared" si="1"/>
        <v>0</v>
      </c>
      <c r="F69" s="12">
        <f t="shared" si="2"/>
        <v>0</v>
      </c>
      <c r="H69" s="12">
        <f t="shared" si="3"/>
        <v>0</v>
      </c>
      <c r="J69" s="12">
        <f t="shared" si="4"/>
        <v>0</v>
      </c>
      <c r="L69" s="12">
        <f t="shared" si="5"/>
        <v>0</v>
      </c>
      <c r="N69" s="12">
        <f t="shared" si="6"/>
        <v>0</v>
      </c>
      <c r="P69" s="12">
        <f t="shared" si="7"/>
        <v>0</v>
      </c>
      <c r="S69" s="8">
        <f t="shared" si="8"/>
        <v>0</v>
      </c>
      <c r="T69" s="8">
        <f t="shared" si="9"/>
        <v>0</v>
      </c>
      <c r="U69" s="8">
        <f t="shared" si="10"/>
        <v>0</v>
      </c>
      <c r="V69" s="8">
        <f t="shared" si="11"/>
        <v>0</v>
      </c>
      <c r="W69" s="16">
        <v>120</v>
      </c>
      <c r="AB69" s="8">
        <f t="shared" si="13"/>
        <v>0</v>
      </c>
    </row>
    <row r="70" spans="4:28">
      <c r="D70" s="12">
        <f t="shared" ref="D70:D100" si="18">E69</f>
        <v>0</v>
      </c>
      <c r="F70" s="12">
        <f t="shared" ref="F70:F100" si="19">G69</f>
        <v>0</v>
      </c>
      <c r="H70" s="12">
        <f t="shared" ref="H70:H100" si="20">I69</f>
        <v>0</v>
      </c>
      <c r="J70" s="12">
        <f t="shared" ref="J70:J100" si="21">K69</f>
        <v>0</v>
      </c>
      <c r="L70" s="12">
        <f t="shared" ref="L70:L100" si="22">M69</f>
        <v>0</v>
      </c>
      <c r="N70" s="12">
        <f t="shared" ref="N70:N100" si="23">O69</f>
        <v>0</v>
      </c>
      <c r="P70" s="12">
        <f t="shared" ref="P70:P100" si="24">Q69</f>
        <v>0</v>
      </c>
      <c r="S70" s="8">
        <f t="shared" ref="S70:S100" si="25">(O70-N70)*14400</f>
        <v>0</v>
      </c>
      <c r="T70" s="8">
        <f t="shared" ref="T70:T100" si="26">(Q70-P70)*14400</f>
        <v>0</v>
      </c>
      <c r="U70" s="8">
        <f t="shared" si="10"/>
        <v>0</v>
      </c>
      <c r="V70" s="8">
        <f t="shared" si="11"/>
        <v>0</v>
      </c>
      <c r="W70" s="16">
        <v>120</v>
      </c>
      <c r="AB70" s="8">
        <f t="shared" si="13"/>
        <v>0</v>
      </c>
    </row>
    <row r="71" spans="4:28">
      <c r="D71" s="12">
        <f t="shared" si="18"/>
        <v>0</v>
      </c>
      <c r="F71" s="12">
        <f t="shared" si="19"/>
        <v>0</v>
      </c>
      <c r="H71" s="12">
        <f t="shared" si="20"/>
        <v>0</v>
      </c>
      <c r="J71" s="12">
        <f t="shared" si="21"/>
        <v>0</v>
      </c>
      <c r="L71" s="12">
        <f t="shared" si="22"/>
        <v>0</v>
      </c>
      <c r="N71" s="12">
        <f t="shared" si="23"/>
        <v>0</v>
      </c>
      <c r="P71" s="12">
        <f t="shared" si="24"/>
        <v>0</v>
      </c>
      <c r="S71" s="8">
        <f t="shared" si="25"/>
        <v>0</v>
      </c>
      <c r="T71" s="8">
        <f t="shared" si="26"/>
        <v>0</v>
      </c>
      <c r="U71" s="8">
        <f t="shared" si="10"/>
        <v>0</v>
      </c>
      <c r="V71" s="8">
        <f t="shared" si="11"/>
        <v>0</v>
      </c>
      <c r="W71" s="16">
        <v>120</v>
      </c>
      <c r="AB71" s="8">
        <f t="shared" si="13"/>
        <v>0</v>
      </c>
    </row>
    <row r="72" spans="4:28">
      <c r="D72" s="12">
        <f t="shared" si="18"/>
        <v>0</v>
      </c>
      <c r="F72" s="12">
        <f t="shared" si="19"/>
        <v>0</v>
      </c>
      <c r="H72" s="12">
        <f t="shared" si="20"/>
        <v>0</v>
      </c>
      <c r="J72" s="12">
        <f t="shared" si="21"/>
        <v>0</v>
      </c>
      <c r="L72" s="12">
        <f t="shared" si="22"/>
        <v>0</v>
      </c>
      <c r="N72" s="12">
        <f t="shared" si="23"/>
        <v>0</v>
      </c>
      <c r="P72" s="12">
        <f t="shared" si="24"/>
        <v>0</v>
      </c>
      <c r="S72" s="8">
        <f t="shared" si="25"/>
        <v>0</v>
      </c>
      <c r="T72" s="8">
        <f t="shared" si="26"/>
        <v>0</v>
      </c>
      <c r="U72" s="8">
        <f t="shared" si="10"/>
        <v>0</v>
      </c>
      <c r="V72" s="8">
        <f t="shared" si="11"/>
        <v>0</v>
      </c>
      <c r="W72" s="16">
        <v>120</v>
      </c>
      <c r="AB72" s="8">
        <f t="shared" si="13"/>
        <v>0</v>
      </c>
    </row>
    <row r="73" spans="4:28">
      <c r="D73" s="12">
        <f t="shared" si="18"/>
        <v>0</v>
      </c>
      <c r="F73" s="12">
        <f t="shared" si="19"/>
        <v>0</v>
      </c>
      <c r="H73" s="12">
        <f t="shared" si="20"/>
        <v>0</v>
      </c>
      <c r="J73" s="12">
        <f t="shared" si="21"/>
        <v>0</v>
      </c>
      <c r="L73" s="12">
        <f t="shared" si="22"/>
        <v>0</v>
      </c>
      <c r="N73" s="12">
        <f t="shared" si="23"/>
        <v>0</v>
      </c>
      <c r="P73" s="12">
        <f t="shared" si="24"/>
        <v>0</v>
      </c>
      <c r="S73" s="8">
        <f t="shared" si="25"/>
        <v>0</v>
      </c>
      <c r="T73" s="8">
        <f t="shared" si="26"/>
        <v>0</v>
      </c>
      <c r="U73" s="8">
        <f t="shared" si="10"/>
        <v>0</v>
      </c>
      <c r="V73" s="8">
        <f t="shared" si="11"/>
        <v>0</v>
      </c>
      <c r="W73" s="16">
        <v>120</v>
      </c>
      <c r="AB73" s="8">
        <f t="shared" si="13"/>
        <v>0</v>
      </c>
    </row>
    <row r="74" spans="4:28">
      <c r="D74" s="12">
        <f t="shared" si="18"/>
        <v>0</v>
      </c>
      <c r="F74" s="12">
        <f t="shared" si="19"/>
        <v>0</v>
      </c>
      <c r="H74" s="12">
        <f t="shared" si="20"/>
        <v>0</v>
      </c>
      <c r="J74" s="12">
        <f t="shared" si="21"/>
        <v>0</v>
      </c>
      <c r="L74" s="12">
        <f t="shared" si="22"/>
        <v>0</v>
      </c>
      <c r="N74" s="12">
        <f t="shared" si="23"/>
        <v>0</v>
      </c>
      <c r="P74" s="12">
        <f t="shared" si="24"/>
        <v>0</v>
      </c>
      <c r="S74" s="8">
        <f t="shared" si="25"/>
        <v>0</v>
      </c>
      <c r="T74" s="8">
        <f t="shared" si="26"/>
        <v>0</v>
      </c>
      <c r="U74" s="8">
        <f t="shared" si="10"/>
        <v>0</v>
      </c>
      <c r="V74" s="8">
        <f t="shared" si="11"/>
        <v>0</v>
      </c>
      <c r="W74" s="16">
        <v>120</v>
      </c>
      <c r="AB74" s="8">
        <f t="shared" si="13"/>
        <v>0</v>
      </c>
    </row>
    <row r="75" spans="4:28">
      <c r="D75" s="12">
        <f t="shared" si="18"/>
        <v>0</v>
      </c>
      <c r="F75" s="12">
        <f t="shared" si="19"/>
        <v>0</v>
      </c>
      <c r="H75" s="12">
        <f t="shared" si="20"/>
        <v>0</v>
      </c>
      <c r="J75" s="12">
        <f t="shared" si="21"/>
        <v>0</v>
      </c>
      <c r="L75" s="12">
        <f t="shared" si="22"/>
        <v>0</v>
      </c>
      <c r="N75" s="12">
        <f t="shared" si="23"/>
        <v>0</v>
      </c>
      <c r="P75" s="12">
        <f t="shared" si="24"/>
        <v>0</v>
      </c>
      <c r="S75" s="8">
        <f t="shared" si="25"/>
        <v>0</v>
      </c>
      <c r="T75" s="8">
        <f t="shared" si="26"/>
        <v>0</v>
      </c>
      <c r="U75" s="8">
        <f t="shared" si="10"/>
        <v>0</v>
      </c>
      <c r="V75" s="8">
        <f t="shared" si="11"/>
        <v>0</v>
      </c>
      <c r="W75" s="16">
        <v>120</v>
      </c>
      <c r="AB75" s="8">
        <f t="shared" si="13"/>
        <v>0</v>
      </c>
    </row>
    <row r="76" spans="4:28">
      <c r="D76" s="12">
        <f t="shared" si="18"/>
        <v>0</v>
      </c>
      <c r="F76" s="12">
        <f t="shared" si="19"/>
        <v>0</v>
      </c>
      <c r="H76" s="12">
        <f t="shared" si="20"/>
        <v>0</v>
      </c>
      <c r="J76" s="12">
        <f t="shared" si="21"/>
        <v>0</v>
      </c>
      <c r="L76" s="12">
        <f t="shared" si="22"/>
        <v>0</v>
      </c>
      <c r="N76" s="12">
        <f t="shared" si="23"/>
        <v>0</v>
      </c>
      <c r="P76" s="12">
        <f t="shared" si="24"/>
        <v>0</v>
      </c>
      <c r="S76" s="8">
        <f t="shared" si="25"/>
        <v>0</v>
      </c>
      <c r="T76" s="8">
        <f t="shared" si="26"/>
        <v>0</v>
      </c>
      <c r="U76" s="8">
        <f t="shared" si="10"/>
        <v>0</v>
      </c>
      <c r="V76" s="8">
        <f t="shared" si="11"/>
        <v>0</v>
      </c>
      <c r="W76" s="16">
        <v>120</v>
      </c>
      <c r="AB76" s="8">
        <f t="shared" si="13"/>
        <v>0</v>
      </c>
    </row>
    <row r="77" spans="4:28">
      <c r="D77" s="12">
        <f t="shared" si="18"/>
        <v>0</v>
      </c>
      <c r="F77" s="12">
        <f t="shared" si="19"/>
        <v>0</v>
      </c>
      <c r="H77" s="12">
        <f t="shared" si="20"/>
        <v>0</v>
      </c>
      <c r="J77" s="12">
        <f t="shared" si="21"/>
        <v>0</v>
      </c>
      <c r="L77" s="12">
        <f t="shared" si="22"/>
        <v>0</v>
      </c>
      <c r="N77" s="12">
        <f t="shared" si="23"/>
        <v>0</v>
      </c>
      <c r="P77" s="12">
        <f t="shared" si="24"/>
        <v>0</v>
      </c>
      <c r="S77" s="8">
        <f t="shared" si="25"/>
        <v>0</v>
      </c>
      <c r="T77" s="8">
        <f t="shared" si="26"/>
        <v>0</v>
      </c>
      <c r="U77" s="8">
        <f t="shared" si="10"/>
        <v>0</v>
      </c>
      <c r="V77" s="8">
        <f t="shared" si="11"/>
        <v>0</v>
      </c>
      <c r="W77" s="16">
        <v>120</v>
      </c>
      <c r="AB77" s="8">
        <f t="shared" si="13"/>
        <v>0</v>
      </c>
    </row>
    <row r="78" spans="4:28">
      <c r="D78" s="12">
        <f t="shared" si="18"/>
        <v>0</v>
      </c>
      <c r="F78" s="12">
        <f t="shared" si="19"/>
        <v>0</v>
      </c>
      <c r="H78" s="12">
        <f t="shared" si="20"/>
        <v>0</v>
      </c>
      <c r="J78" s="12">
        <f t="shared" si="21"/>
        <v>0</v>
      </c>
      <c r="L78" s="12">
        <f t="shared" si="22"/>
        <v>0</v>
      </c>
      <c r="N78" s="12">
        <f t="shared" si="23"/>
        <v>0</v>
      </c>
      <c r="P78" s="12">
        <f t="shared" si="24"/>
        <v>0</v>
      </c>
      <c r="S78" s="8">
        <f t="shared" si="25"/>
        <v>0</v>
      </c>
      <c r="T78" s="8">
        <f t="shared" si="26"/>
        <v>0</v>
      </c>
      <c r="U78" s="8">
        <f t="shared" si="10"/>
        <v>0</v>
      </c>
      <c r="V78" s="8">
        <f t="shared" si="11"/>
        <v>0</v>
      </c>
      <c r="W78" s="16">
        <v>120</v>
      </c>
      <c r="AB78" s="8">
        <f t="shared" si="13"/>
        <v>0</v>
      </c>
    </row>
    <row r="79" spans="4:28">
      <c r="D79" s="12">
        <f t="shared" si="18"/>
        <v>0</v>
      </c>
      <c r="F79" s="12">
        <f t="shared" si="19"/>
        <v>0</v>
      </c>
      <c r="H79" s="12">
        <f t="shared" si="20"/>
        <v>0</v>
      </c>
      <c r="J79" s="12">
        <f t="shared" si="21"/>
        <v>0</v>
      </c>
      <c r="L79" s="12">
        <f t="shared" si="22"/>
        <v>0</v>
      </c>
      <c r="N79" s="12">
        <f t="shared" si="23"/>
        <v>0</v>
      </c>
      <c r="P79" s="12">
        <f t="shared" si="24"/>
        <v>0</v>
      </c>
      <c r="S79" s="8">
        <f t="shared" si="25"/>
        <v>0</v>
      </c>
      <c r="T79" s="8">
        <f t="shared" si="26"/>
        <v>0</v>
      </c>
      <c r="U79" s="8">
        <f t="shared" si="10"/>
        <v>0</v>
      </c>
      <c r="V79" s="8">
        <f t="shared" si="11"/>
        <v>0</v>
      </c>
      <c r="W79" s="16">
        <v>120</v>
      </c>
      <c r="AB79" s="8">
        <f t="shared" si="13"/>
        <v>0</v>
      </c>
    </row>
    <row r="80" spans="4:28">
      <c r="D80" s="12">
        <f t="shared" si="18"/>
        <v>0</v>
      </c>
      <c r="F80" s="12">
        <f t="shared" si="19"/>
        <v>0</v>
      </c>
      <c r="H80" s="12">
        <f t="shared" si="20"/>
        <v>0</v>
      </c>
      <c r="J80" s="12">
        <f t="shared" si="21"/>
        <v>0</v>
      </c>
      <c r="L80" s="12">
        <f t="shared" si="22"/>
        <v>0</v>
      </c>
      <c r="N80" s="12">
        <f t="shared" si="23"/>
        <v>0</v>
      </c>
      <c r="P80" s="12">
        <f t="shared" si="24"/>
        <v>0</v>
      </c>
      <c r="S80" s="8">
        <f t="shared" si="25"/>
        <v>0</v>
      </c>
      <c r="T80" s="8">
        <f t="shared" si="26"/>
        <v>0</v>
      </c>
      <c r="U80" s="8">
        <f t="shared" si="10"/>
        <v>0</v>
      </c>
      <c r="V80" s="8">
        <f t="shared" si="11"/>
        <v>0</v>
      </c>
      <c r="W80" s="16">
        <v>120</v>
      </c>
      <c r="AB80" s="8">
        <f t="shared" si="13"/>
        <v>0</v>
      </c>
    </row>
    <row r="81" spans="4:28">
      <c r="D81" s="12">
        <f t="shared" si="18"/>
        <v>0</v>
      </c>
      <c r="F81" s="12">
        <f t="shared" si="19"/>
        <v>0</v>
      </c>
      <c r="H81" s="12">
        <f t="shared" si="20"/>
        <v>0</v>
      </c>
      <c r="J81" s="12">
        <f t="shared" si="21"/>
        <v>0</v>
      </c>
      <c r="L81" s="12">
        <f t="shared" si="22"/>
        <v>0</v>
      </c>
      <c r="N81" s="12">
        <f t="shared" si="23"/>
        <v>0</v>
      </c>
      <c r="P81" s="12">
        <f t="shared" si="24"/>
        <v>0</v>
      </c>
      <c r="S81" s="8">
        <f t="shared" si="25"/>
        <v>0</v>
      </c>
      <c r="T81" s="8">
        <f t="shared" si="26"/>
        <v>0</v>
      </c>
      <c r="U81" s="8">
        <f t="shared" si="10"/>
        <v>0</v>
      </c>
      <c r="V81" s="8">
        <f t="shared" si="11"/>
        <v>0</v>
      </c>
      <c r="W81" s="16">
        <v>120</v>
      </c>
      <c r="AB81" s="8">
        <f t="shared" si="13"/>
        <v>0</v>
      </c>
    </row>
    <row r="82" spans="4:28">
      <c r="D82" s="12">
        <f t="shared" si="18"/>
        <v>0</v>
      </c>
      <c r="F82" s="12">
        <f t="shared" si="19"/>
        <v>0</v>
      </c>
      <c r="H82" s="12">
        <f t="shared" si="20"/>
        <v>0</v>
      </c>
      <c r="J82" s="12">
        <f t="shared" si="21"/>
        <v>0</v>
      </c>
      <c r="L82" s="12">
        <f t="shared" si="22"/>
        <v>0</v>
      </c>
      <c r="N82" s="12">
        <f t="shared" si="23"/>
        <v>0</v>
      </c>
      <c r="P82" s="12">
        <f t="shared" si="24"/>
        <v>0</v>
      </c>
      <c r="S82" s="8">
        <f t="shared" si="25"/>
        <v>0</v>
      </c>
      <c r="T82" s="8">
        <f t="shared" si="26"/>
        <v>0</v>
      </c>
      <c r="U82" s="8">
        <f t="shared" si="10"/>
        <v>0</v>
      </c>
      <c r="V82" s="8">
        <f t="shared" si="11"/>
        <v>0</v>
      </c>
      <c r="W82" s="16">
        <v>120</v>
      </c>
      <c r="AB82" s="8">
        <f t="shared" si="13"/>
        <v>0</v>
      </c>
    </row>
    <row r="83" spans="4:28">
      <c r="D83" s="12">
        <f t="shared" si="18"/>
        <v>0</v>
      </c>
      <c r="F83" s="12">
        <f t="shared" si="19"/>
        <v>0</v>
      </c>
      <c r="H83" s="12">
        <f t="shared" si="20"/>
        <v>0</v>
      </c>
      <c r="J83" s="12">
        <f t="shared" si="21"/>
        <v>0</v>
      </c>
      <c r="L83" s="12">
        <f t="shared" si="22"/>
        <v>0</v>
      </c>
      <c r="N83" s="12">
        <f t="shared" si="23"/>
        <v>0</v>
      </c>
      <c r="P83" s="12">
        <f t="shared" si="24"/>
        <v>0</v>
      </c>
      <c r="S83" s="8">
        <f t="shared" si="25"/>
        <v>0</v>
      </c>
      <c r="T83" s="8">
        <f t="shared" si="26"/>
        <v>0</v>
      </c>
      <c r="U83" s="8">
        <f t="shared" si="10"/>
        <v>0</v>
      </c>
      <c r="V83" s="8">
        <f t="shared" si="11"/>
        <v>0</v>
      </c>
      <c r="W83" s="16">
        <v>120</v>
      </c>
      <c r="AB83" s="8">
        <f t="shared" si="13"/>
        <v>0</v>
      </c>
    </row>
    <row r="84" spans="4:28">
      <c r="D84" s="12">
        <f t="shared" si="18"/>
        <v>0</v>
      </c>
      <c r="F84" s="12">
        <f t="shared" si="19"/>
        <v>0</v>
      </c>
      <c r="H84" s="12">
        <f t="shared" si="20"/>
        <v>0</v>
      </c>
      <c r="J84" s="12">
        <f t="shared" si="21"/>
        <v>0</v>
      </c>
      <c r="L84" s="12">
        <f t="shared" si="22"/>
        <v>0</v>
      </c>
      <c r="N84" s="12">
        <f t="shared" si="23"/>
        <v>0</v>
      </c>
      <c r="P84" s="12">
        <f t="shared" si="24"/>
        <v>0</v>
      </c>
      <c r="S84" s="8">
        <f t="shared" si="25"/>
        <v>0</v>
      </c>
      <c r="T84" s="8">
        <f t="shared" si="26"/>
        <v>0</v>
      </c>
      <c r="U84" s="8">
        <f t="shared" si="10"/>
        <v>0</v>
      </c>
      <c r="V84" s="8">
        <f t="shared" si="11"/>
        <v>0</v>
      </c>
      <c r="W84" s="16">
        <v>120</v>
      </c>
      <c r="AB84" s="8">
        <f t="shared" si="13"/>
        <v>0</v>
      </c>
    </row>
    <row r="85" spans="4:28">
      <c r="D85" s="12">
        <f t="shared" si="18"/>
        <v>0</v>
      </c>
      <c r="F85" s="12">
        <f t="shared" si="19"/>
        <v>0</v>
      </c>
      <c r="H85" s="12">
        <f t="shared" si="20"/>
        <v>0</v>
      </c>
      <c r="J85" s="12">
        <f t="shared" si="21"/>
        <v>0</v>
      </c>
      <c r="L85" s="12">
        <f t="shared" si="22"/>
        <v>0</v>
      </c>
      <c r="N85" s="12">
        <f t="shared" si="23"/>
        <v>0</v>
      </c>
      <c r="P85" s="12">
        <f t="shared" si="24"/>
        <v>0</v>
      </c>
      <c r="S85" s="8">
        <f t="shared" si="25"/>
        <v>0</v>
      </c>
      <c r="T85" s="8">
        <f t="shared" si="26"/>
        <v>0</v>
      </c>
      <c r="U85" s="8">
        <f t="shared" si="10"/>
        <v>0</v>
      </c>
      <c r="V85" s="8">
        <f t="shared" si="11"/>
        <v>0</v>
      </c>
      <c r="W85" s="16">
        <v>120</v>
      </c>
      <c r="AB85" s="8">
        <f t="shared" si="13"/>
        <v>0</v>
      </c>
    </row>
    <row r="86" spans="4:28">
      <c r="D86" s="12">
        <f t="shared" si="18"/>
        <v>0</v>
      </c>
      <c r="F86" s="12">
        <f t="shared" si="19"/>
        <v>0</v>
      </c>
      <c r="H86" s="12">
        <f t="shared" si="20"/>
        <v>0</v>
      </c>
      <c r="J86" s="12">
        <f t="shared" si="21"/>
        <v>0</v>
      </c>
      <c r="L86" s="12">
        <f t="shared" si="22"/>
        <v>0</v>
      </c>
      <c r="N86" s="12">
        <f t="shared" si="23"/>
        <v>0</v>
      </c>
      <c r="P86" s="12">
        <f t="shared" si="24"/>
        <v>0</v>
      </c>
      <c r="S86" s="8">
        <f t="shared" si="25"/>
        <v>0</v>
      </c>
      <c r="T86" s="8">
        <f t="shared" si="26"/>
        <v>0</v>
      </c>
      <c r="U86" s="8">
        <f t="shared" si="10"/>
        <v>0</v>
      </c>
      <c r="V86" s="8">
        <f t="shared" si="11"/>
        <v>0</v>
      </c>
      <c r="W86" s="16">
        <v>120</v>
      </c>
      <c r="AB86" s="8">
        <f t="shared" si="13"/>
        <v>0</v>
      </c>
    </row>
    <row r="87" spans="4:28">
      <c r="D87" s="12">
        <f t="shared" si="18"/>
        <v>0</v>
      </c>
      <c r="F87" s="12">
        <f t="shared" si="19"/>
        <v>0</v>
      </c>
      <c r="H87" s="12">
        <f t="shared" si="20"/>
        <v>0</v>
      </c>
      <c r="J87" s="12">
        <f t="shared" si="21"/>
        <v>0</v>
      </c>
      <c r="L87" s="12">
        <f t="shared" si="22"/>
        <v>0</v>
      </c>
      <c r="N87" s="12">
        <f t="shared" si="23"/>
        <v>0</v>
      </c>
      <c r="P87" s="12">
        <f t="shared" si="24"/>
        <v>0</v>
      </c>
      <c r="S87" s="8">
        <f t="shared" si="25"/>
        <v>0</v>
      </c>
      <c r="T87" s="8">
        <f t="shared" si="26"/>
        <v>0</v>
      </c>
      <c r="U87" s="8">
        <f t="shared" si="10"/>
        <v>0</v>
      </c>
      <c r="V87" s="8">
        <f t="shared" si="11"/>
        <v>0</v>
      </c>
      <c r="W87" s="16">
        <v>120</v>
      </c>
      <c r="AB87" s="8">
        <f t="shared" si="13"/>
        <v>0</v>
      </c>
    </row>
    <row r="88" spans="4:28">
      <c r="D88" s="12">
        <f t="shared" si="18"/>
        <v>0</v>
      </c>
      <c r="F88" s="12">
        <f t="shared" si="19"/>
        <v>0</v>
      </c>
      <c r="H88" s="12">
        <f t="shared" si="20"/>
        <v>0</v>
      </c>
      <c r="J88" s="12">
        <f t="shared" si="21"/>
        <v>0</v>
      </c>
      <c r="L88" s="12">
        <f t="shared" si="22"/>
        <v>0</v>
      </c>
      <c r="N88" s="12">
        <f t="shared" si="23"/>
        <v>0</v>
      </c>
      <c r="P88" s="12">
        <f t="shared" si="24"/>
        <v>0</v>
      </c>
      <c r="S88" s="8">
        <f t="shared" si="25"/>
        <v>0</v>
      </c>
      <c r="T88" s="8">
        <f t="shared" si="26"/>
        <v>0</v>
      </c>
      <c r="U88" s="8">
        <f t="shared" si="10"/>
        <v>0</v>
      </c>
      <c r="V88" s="8">
        <f t="shared" si="11"/>
        <v>0</v>
      </c>
      <c r="W88" s="16">
        <v>120</v>
      </c>
      <c r="AB88" s="8">
        <f t="shared" si="13"/>
        <v>0</v>
      </c>
    </row>
    <row r="89" spans="4:28">
      <c r="D89" s="12">
        <f t="shared" si="18"/>
        <v>0</v>
      </c>
      <c r="F89" s="12">
        <f t="shared" si="19"/>
        <v>0</v>
      </c>
      <c r="H89" s="12">
        <f t="shared" si="20"/>
        <v>0</v>
      </c>
      <c r="J89" s="12">
        <f t="shared" si="21"/>
        <v>0</v>
      </c>
      <c r="L89" s="12">
        <f t="shared" si="22"/>
        <v>0</v>
      </c>
      <c r="N89" s="12">
        <f t="shared" si="23"/>
        <v>0</v>
      </c>
      <c r="P89" s="12">
        <f t="shared" si="24"/>
        <v>0</v>
      </c>
      <c r="S89" s="8">
        <f t="shared" si="25"/>
        <v>0</v>
      </c>
      <c r="T89" s="8">
        <f t="shared" si="26"/>
        <v>0</v>
      </c>
      <c r="U89" s="8">
        <f t="shared" si="10"/>
        <v>0</v>
      </c>
      <c r="V89" s="8">
        <f t="shared" si="11"/>
        <v>0</v>
      </c>
      <c r="W89" s="16">
        <v>120</v>
      </c>
      <c r="AB89" s="8">
        <f t="shared" si="13"/>
        <v>0</v>
      </c>
    </row>
    <row r="90" spans="4:28">
      <c r="D90" s="12">
        <f t="shared" si="18"/>
        <v>0</v>
      </c>
      <c r="F90" s="12">
        <f t="shared" si="19"/>
        <v>0</v>
      </c>
      <c r="H90" s="12">
        <f t="shared" si="20"/>
        <v>0</v>
      </c>
      <c r="J90" s="12">
        <f t="shared" si="21"/>
        <v>0</v>
      </c>
      <c r="L90" s="12">
        <f t="shared" si="22"/>
        <v>0</v>
      </c>
      <c r="N90" s="12">
        <f t="shared" si="23"/>
        <v>0</v>
      </c>
      <c r="P90" s="12">
        <f t="shared" si="24"/>
        <v>0</v>
      </c>
      <c r="S90" s="8">
        <f t="shared" si="25"/>
        <v>0</v>
      </c>
      <c r="T90" s="8">
        <f t="shared" si="26"/>
        <v>0</v>
      </c>
      <c r="U90" s="8">
        <f t="shared" si="10"/>
        <v>0</v>
      </c>
      <c r="V90" s="8">
        <f t="shared" si="11"/>
        <v>0</v>
      </c>
      <c r="W90" s="16">
        <v>120</v>
      </c>
      <c r="AB90" s="8">
        <f t="shared" si="13"/>
        <v>0</v>
      </c>
    </row>
    <row r="91" spans="4:28">
      <c r="D91" s="12">
        <f t="shared" si="18"/>
        <v>0</v>
      </c>
      <c r="F91" s="12">
        <f t="shared" si="19"/>
        <v>0</v>
      </c>
      <c r="H91" s="12">
        <f t="shared" si="20"/>
        <v>0</v>
      </c>
      <c r="J91" s="12">
        <f t="shared" si="21"/>
        <v>0</v>
      </c>
      <c r="L91" s="12">
        <f t="shared" si="22"/>
        <v>0</v>
      </c>
      <c r="N91" s="12">
        <f t="shared" si="23"/>
        <v>0</v>
      </c>
      <c r="P91" s="12">
        <f t="shared" si="24"/>
        <v>0</v>
      </c>
      <c r="S91" s="8">
        <f t="shared" si="25"/>
        <v>0</v>
      </c>
      <c r="T91" s="8">
        <f t="shared" si="26"/>
        <v>0</v>
      </c>
      <c r="U91" s="8">
        <f t="shared" si="10"/>
        <v>0</v>
      </c>
      <c r="V91" s="8">
        <f t="shared" si="11"/>
        <v>0</v>
      </c>
      <c r="W91" s="16">
        <v>120</v>
      </c>
      <c r="AB91" s="8">
        <f t="shared" si="13"/>
        <v>0</v>
      </c>
    </row>
    <row r="92" spans="4:28">
      <c r="D92" s="12">
        <f t="shared" si="18"/>
        <v>0</v>
      </c>
      <c r="F92" s="12">
        <f t="shared" si="19"/>
        <v>0</v>
      </c>
      <c r="H92" s="12">
        <f t="shared" si="20"/>
        <v>0</v>
      </c>
      <c r="J92" s="12">
        <f t="shared" si="21"/>
        <v>0</v>
      </c>
      <c r="L92" s="12">
        <f t="shared" si="22"/>
        <v>0</v>
      </c>
      <c r="N92" s="12">
        <f t="shared" si="23"/>
        <v>0</v>
      </c>
      <c r="P92" s="12">
        <f t="shared" si="24"/>
        <v>0</v>
      </c>
      <c r="S92" s="8">
        <f t="shared" si="25"/>
        <v>0</v>
      </c>
      <c r="T92" s="8">
        <f t="shared" si="26"/>
        <v>0</v>
      </c>
      <c r="U92" s="8">
        <f t="shared" si="10"/>
        <v>0</v>
      </c>
      <c r="V92" s="8">
        <f t="shared" si="11"/>
        <v>0</v>
      </c>
      <c r="W92" s="16">
        <v>120</v>
      </c>
      <c r="AB92" s="8">
        <f t="shared" si="13"/>
        <v>0</v>
      </c>
    </row>
    <row r="93" spans="4:28">
      <c r="D93" s="12">
        <f t="shared" si="18"/>
        <v>0</v>
      </c>
      <c r="F93" s="12">
        <f t="shared" si="19"/>
        <v>0</v>
      </c>
      <c r="H93" s="12">
        <f t="shared" si="20"/>
        <v>0</v>
      </c>
      <c r="J93" s="12">
        <f t="shared" si="21"/>
        <v>0</v>
      </c>
      <c r="L93" s="12">
        <f t="shared" si="22"/>
        <v>0</v>
      </c>
      <c r="N93" s="12">
        <f t="shared" si="23"/>
        <v>0</v>
      </c>
      <c r="P93" s="12">
        <f t="shared" si="24"/>
        <v>0</v>
      </c>
      <c r="S93" s="8">
        <f t="shared" si="25"/>
        <v>0</v>
      </c>
      <c r="T93" s="8">
        <f t="shared" si="26"/>
        <v>0</v>
      </c>
      <c r="U93" s="8">
        <f t="shared" si="10"/>
        <v>0</v>
      </c>
      <c r="V93" s="8">
        <f t="shared" si="11"/>
        <v>0</v>
      </c>
      <c r="W93" s="16">
        <v>120</v>
      </c>
      <c r="AB93" s="8">
        <f t="shared" si="13"/>
        <v>0</v>
      </c>
    </row>
    <row r="94" spans="4:28">
      <c r="D94" s="12">
        <f t="shared" si="18"/>
        <v>0</v>
      </c>
      <c r="F94" s="12">
        <f t="shared" si="19"/>
        <v>0</v>
      </c>
      <c r="H94" s="12">
        <f t="shared" si="20"/>
        <v>0</v>
      </c>
      <c r="J94" s="12">
        <f t="shared" si="21"/>
        <v>0</v>
      </c>
      <c r="L94" s="12">
        <f t="shared" si="22"/>
        <v>0</v>
      </c>
      <c r="N94" s="12">
        <f t="shared" si="23"/>
        <v>0</v>
      </c>
      <c r="P94" s="12">
        <f t="shared" si="24"/>
        <v>0</v>
      </c>
      <c r="S94" s="8">
        <f t="shared" si="25"/>
        <v>0</v>
      </c>
      <c r="T94" s="8">
        <f t="shared" si="26"/>
        <v>0</v>
      </c>
      <c r="U94" s="8">
        <f t="shared" si="10"/>
        <v>0</v>
      </c>
      <c r="V94" s="8">
        <f t="shared" si="11"/>
        <v>0</v>
      </c>
      <c r="W94" s="16">
        <v>120</v>
      </c>
      <c r="AB94" s="8">
        <f t="shared" si="13"/>
        <v>0</v>
      </c>
    </row>
    <row r="95" spans="4:28">
      <c r="D95" s="12">
        <f t="shared" si="18"/>
        <v>0</v>
      </c>
      <c r="F95" s="12">
        <f t="shared" si="19"/>
        <v>0</v>
      </c>
      <c r="H95" s="12">
        <f t="shared" si="20"/>
        <v>0</v>
      </c>
      <c r="J95" s="12">
        <f t="shared" si="21"/>
        <v>0</v>
      </c>
      <c r="L95" s="12">
        <f t="shared" si="22"/>
        <v>0</v>
      </c>
      <c r="N95" s="12">
        <f t="shared" si="23"/>
        <v>0</v>
      </c>
      <c r="P95" s="12">
        <f t="shared" si="24"/>
        <v>0</v>
      </c>
      <c r="S95" s="8">
        <f t="shared" si="25"/>
        <v>0</v>
      </c>
      <c r="T95" s="8">
        <f t="shared" si="26"/>
        <v>0</v>
      </c>
      <c r="U95" s="8">
        <f t="shared" si="10"/>
        <v>0</v>
      </c>
      <c r="V95" s="8">
        <f t="shared" si="11"/>
        <v>0</v>
      </c>
      <c r="W95" s="16">
        <v>120</v>
      </c>
      <c r="AB95" s="8">
        <f t="shared" si="13"/>
        <v>0</v>
      </c>
    </row>
    <row r="96" spans="4:28">
      <c r="D96" s="12">
        <f t="shared" si="18"/>
        <v>0</v>
      </c>
      <c r="F96" s="12">
        <f t="shared" si="19"/>
        <v>0</v>
      </c>
      <c r="H96" s="12">
        <f t="shared" si="20"/>
        <v>0</v>
      </c>
      <c r="J96" s="12">
        <f t="shared" si="21"/>
        <v>0</v>
      </c>
      <c r="L96" s="12">
        <f t="shared" si="22"/>
        <v>0</v>
      </c>
      <c r="N96" s="12">
        <f t="shared" si="23"/>
        <v>0</v>
      </c>
      <c r="P96" s="12">
        <f t="shared" si="24"/>
        <v>0</v>
      </c>
      <c r="S96" s="8">
        <f t="shared" si="25"/>
        <v>0</v>
      </c>
      <c r="T96" s="8">
        <f t="shared" si="26"/>
        <v>0</v>
      </c>
      <c r="U96" s="8">
        <f t="shared" si="10"/>
        <v>0</v>
      </c>
      <c r="V96" s="8">
        <f t="shared" si="11"/>
        <v>0</v>
      </c>
      <c r="W96" s="16">
        <v>120</v>
      </c>
      <c r="AB96" s="8">
        <f t="shared" si="13"/>
        <v>0</v>
      </c>
    </row>
    <row r="97" spans="4:28">
      <c r="D97" s="12">
        <f t="shared" si="18"/>
        <v>0</v>
      </c>
      <c r="F97" s="12">
        <f t="shared" si="19"/>
        <v>0</v>
      </c>
      <c r="H97" s="12">
        <f t="shared" si="20"/>
        <v>0</v>
      </c>
      <c r="J97" s="12">
        <f t="shared" si="21"/>
        <v>0</v>
      </c>
      <c r="L97" s="12">
        <f t="shared" si="22"/>
        <v>0</v>
      </c>
      <c r="N97" s="12">
        <f t="shared" si="23"/>
        <v>0</v>
      </c>
      <c r="P97" s="12">
        <f t="shared" si="24"/>
        <v>0</v>
      </c>
      <c r="S97" s="8">
        <f t="shared" si="25"/>
        <v>0</v>
      </c>
      <c r="T97" s="8">
        <f t="shared" si="26"/>
        <v>0</v>
      </c>
      <c r="U97" s="8">
        <f t="shared" si="10"/>
        <v>0</v>
      </c>
      <c r="V97" s="8">
        <f t="shared" si="11"/>
        <v>0</v>
      </c>
      <c r="W97" s="16">
        <v>120</v>
      </c>
      <c r="AB97" s="8">
        <f t="shared" si="13"/>
        <v>0</v>
      </c>
    </row>
    <row r="98" spans="4:28">
      <c r="D98" s="12">
        <f t="shared" si="18"/>
        <v>0</v>
      </c>
      <c r="F98" s="12">
        <f t="shared" si="19"/>
        <v>0</v>
      </c>
      <c r="H98" s="12">
        <f t="shared" si="20"/>
        <v>0</v>
      </c>
      <c r="J98" s="12">
        <f t="shared" si="21"/>
        <v>0</v>
      </c>
      <c r="L98" s="12">
        <f t="shared" si="22"/>
        <v>0</v>
      </c>
      <c r="N98" s="12">
        <f t="shared" si="23"/>
        <v>0</v>
      </c>
      <c r="P98" s="12">
        <f t="shared" si="24"/>
        <v>0</v>
      </c>
      <c r="S98" s="8">
        <f t="shared" si="25"/>
        <v>0</v>
      </c>
      <c r="T98" s="8">
        <f t="shared" si="26"/>
        <v>0</v>
      </c>
      <c r="U98" s="8">
        <f t="shared" si="10"/>
        <v>0</v>
      </c>
      <c r="V98" s="8">
        <f t="shared" si="11"/>
        <v>0</v>
      </c>
      <c r="W98" s="16">
        <v>120</v>
      </c>
      <c r="AB98" s="8">
        <f t="shared" si="13"/>
        <v>0</v>
      </c>
    </row>
    <row r="99" spans="4:28">
      <c r="D99" s="12">
        <f t="shared" si="18"/>
        <v>0</v>
      </c>
      <c r="F99" s="12">
        <f t="shared" si="19"/>
        <v>0</v>
      </c>
      <c r="H99" s="12">
        <f t="shared" si="20"/>
        <v>0</v>
      </c>
      <c r="J99" s="12">
        <f t="shared" si="21"/>
        <v>0</v>
      </c>
      <c r="L99" s="12">
        <f t="shared" si="22"/>
        <v>0</v>
      </c>
      <c r="N99" s="12">
        <f t="shared" si="23"/>
        <v>0</v>
      </c>
      <c r="P99" s="12">
        <f t="shared" si="24"/>
        <v>0</v>
      </c>
      <c r="S99" s="8">
        <f t="shared" si="25"/>
        <v>0</v>
      </c>
      <c r="T99" s="8">
        <f t="shared" si="26"/>
        <v>0</v>
      </c>
      <c r="U99" s="8">
        <f t="shared" si="10"/>
        <v>0</v>
      </c>
      <c r="V99" s="8">
        <f t="shared" si="11"/>
        <v>0</v>
      </c>
      <c r="W99" s="16">
        <v>120</v>
      </c>
      <c r="AB99" s="8">
        <f t="shared" si="13"/>
        <v>0</v>
      </c>
    </row>
    <row r="100" spans="4:28">
      <c r="D100" s="12">
        <f t="shared" si="18"/>
        <v>0</v>
      </c>
      <c r="F100" s="12">
        <f t="shared" si="19"/>
        <v>0</v>
      </c>
      <c r="H100" s="12">
        <f t="shared" si="20"/>
        <v>0</v>
      </c>
      <c r="J100" s="12">
        <f t="shared" si="21"/>
        <v>0</v>
      </c>
      <c r="L100" s="12">
        <f t="shared" si="22"/>
        <v>0</v>
      </c>
      <c r="N100" s="12">
        <f t="shared" si="23"/>
        <v>0</v>
      </c>
      <c r="P100" s="12">
        <f t="shared" si="24"/>
        <v>0</v>
      </c>
      <c r="S100" s="8">
        <f t="shared" si="25"/>
        <v>0</v>
      </c>
      <c r="T100" s="8">
        <f t="shared" si="26"/>
        <v>0</v>
      </c>
      <c r="U100" s="8">
        <f t="shared" si="10"/>
        <v>0</v>
      </c>
      <c r="V100" s="8">
        <f t="shared" si="11"/>
        <v>0</v>
      </c>
      <c r="W100" s="16">
        <v>120</v>
      </c>
      <c r="AB100" s="8">
        <f t="shared" si="13"/>
        <v>0</v>
      </c>
    </row>
  </sheetData>
  <mergeCells count="18">
    <mergeCell ref="U1:U3"/>
    <mergeCell ref="V1:V3"/>
    <mergeCell ref="W1:W3"/>
    <mergeCell ref="AA1:AA3"/>
    <mergeCell ref="Z1:Z3"/>
    <mergeCell ref="X1:X3"/>
    <mergeCell ref="Y1:Y3"/>
    <mergeCell ref="T1:T3"/>
    <mergeCell ref="B1:B3"/>
    <mergeCell ref="N1:Q1"/>
    <mergeCell ref="N2:O2"/>
    <mergeCell ref="P2:Q2"/>
    <mergeCell ref="R1:R3"/>
    <mergeCell ref="C1:C3"/>
    <mergeCell ref="S1:S3"/>
    <mergeCell ref="J1:M1"/>
    <mergeCell ref="J2:K2"/>
    <mergeCell ref="L2:M2"/>
  </mergeCells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workbookViewId="0">
      <selection activeCell="J9" sqref="J9"/>
    </sheetView>
  </sheetViews>
  <sheetFormatPr defaultRowHeight="16.5"/>
  <cols>
    <col min="5" max="5" width="23.75" bestFit="1" customWidth="1"/>
    <col min="6" max="15" width="15.625" customWidth="1"/>
    <col min="17" max="17" width="14.5" style="117" customWidth="1"/>
    <col min="18" max="18" width="9" style="117"/>
    <col min="19" max="19" width="9.875" style="117" customWidth="1"/>
    <col min="20" max="20" width="9" style="117"/>
    <col min="21" max="21" width="11.875" style="119" bestFit="1" customWidth="1"/>
    <col min="23" max="23" width="10.875" bestFit="1" customWidth="1"/>
    <col min="24" max="24" width="9.75" bestFit="1" customWidth="1"/>
    <col min="30" max="30" width="9.5" bestFit="1" customWidth="1"/>
    <col min="33" max="33" width="9.5" bestFit="1" customWidth="1"/>
  </cols>
  <sheetData>
    <row r="3" spans="1:33" ht="17.25" thickBot="1"/>
    <row r="4" spans="1:33" ht="18" thickTop="1" thickBot="1">
      <c r="D4" s="335" t="s">
        <v>264</v>
      </c>
      <c r="E4" s="335"/>
      <c r="F4" s="335"/>
      <c r="G4" s="335"/>
      <c r="H4" s="335"/>
      <c r="I4" s="335"/>
      <c r="J4" s="335"/>
      <c r="K4" s="335"/>
      <c r="L4" s="335"/>
      <c r="M4" s="122" t="s">
        <v>292</v>
      </c>
      <c r="N4" s="123" t="s">
        <v>293</v>
      </c>
      <c r="O4" s="124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25"/>
      <c r="N5" s="126"/>
      <c r="O5" s="127"/>
    </row>
    <row r="7" spans="1:33" ht="24.95" customHeight="1" thickBot="1">
      <c r="D7" s="336" t="s">
        <v>94</v>
      </c>
      <c r="E7" s="336"/>
      <c r="F7" s="142" t="s">
        <v>276</v>
      </c>
      <c r="G7" s="142" t="s">
        <v>134</v>
      </c>
      <c r="H7" s="142" t="s">
        <v>278</v>
      </c>
      <c r="I7" s="142" t="s">
        <v>136</v>
      </c>
      <c r="J7" s="142" t="s">
        <v>280</v>
      </c>
      <c r="K7" s="142" t="s">
        <v>282</v>
      </c>
      <c r="L7" s="142" t="s">
        <v>283</v>
      </c>
      <c r="M7" s="142" t="s">
        <v>284</v>
      </c>
      <c r="N7" s="142" t="s">
        <v>286</v>
      </c>
      <c r="O7" s="142" t="s">
        <v>287</v>
      </c>
      <c r="Q7" s="275" t="s">
        <v>430</v>
      </c>
      <c r="R7" s="275" t="s">
        <v>431</v>
      </c>
      <c r="S7" s="133" t="s">
        <v>302</v>
      </c>
      <c r="T7" s="133"/>
      <c r="U7" s="276" t="s">
        <v>288</v>
      </c>
      <c r="V7" s="273" t="s">
        <v>289</v>
      </c>
      <c r="W7" s="273" t="s">
        <v>290</v>
      </c>
      <c r="X7" s="273" t="s">
        <v>291</v>
      </c>
    </row>
    <row r="8" spans="1:33" ht="24.95" customHeight="1" thickTop="1">
      <c r="A8" s="118" t="s">
        <v>2</v>
      </c>
      <c r="B8" s="218" t="s">
        <v>300</v>
      </c>
      <c r="D8" s="337" t="s">
        <v>274</v>
      </c>
      <c r="E8" s="128" t="s">
        <v>265</v>
      </c>
      <c r="F8" s="137">
        <f>SUMIFS(생산량!E:E,생산량!B:B,B8,생산량!D:D,B9)</f>
        <v>2138.14</v>
      </c>
      <c r="G8" s="137"/>
      <c r="H8" s="137">
        <f>SUMIFS(생산량!F:F,생산량!B:B,B8,생산량!D:D,B9)</f>
        <v>787.3</v>
      </c>
      <c r="I8" s="137">
        <f>SUMIFS(생산량!G:G,생산량!B:B,B8,생산량!D:D,B9)</f>
        <v>0</v>
      </c>
      <c r="J8" s="137">
        <f>SUMIFS(생산량!H:H,생산량!B:B,B8,생산량!D:D,B9)</f>
        <v>12404.55</v>
      </c>
      <c r="K8" s="137">
        <f>SUMIFS(생산량!I:I,생산량!B:B,B8,생산량!D:D,B9)</f>
        <v>4934.12</v>
      </c>
      <c r="L8" s="137">
        <f>SUMIFS(생산량!J:J,생산량!B:B,B8,생산량!D:D,B9)</f>
        <v>2038.739</v>
      </c>
      <c r="M8" s="137"/>
      <c r="N8" s="137">
        <f t="shared" ref="N8:N13" si="0">SUM(F8:M8)</f>
        <v>22302.848999999998</v>
      </c>
      <c r="O8" s="120"/>
      <c r="Q8" s="273"/>
      <c r="R8" s="273"/>
      <c r="S8" s="277"/>
      <c r="T8" s="277"/>
      <c r="U8" s="276"/>
      <c r="V8" s="273"/>
      <c r="W8" s="273"/>
      <c r="X8" s="273"/>
    </row>
    <row r="9" spans="1:33" ht="24.95" customHeight="1">
      <c r="A9" s="118" t="s">
        <v>4</v>
      </c>
      <c r="B9" s="219" t="s">
        <v>84</v>
      </c>
      <c r="D9" s="337"/>
      <c r="E9" s="128" t="s">
        <v>267</v>
      </c>
      <c r="F9" s="138">
        <f>SUM(F10:F11)</f>
        <v>136475</v>
      </c>
      <c r="G9" s="138">
        <f t="shared" ref="G9:L9" si="1">SUM(G10:G11)</f>
        <v>2898</v>
      </c>
      <c r="H9" s="138">
        <f t="shared" si="1"/>
        <v>349558</v>
      </c>
      <c r="I9" s="138">
        <f t="shared" si="1"/>
        <v>396695</v>
      </c>
      <c r="J9" s="138">
        <f t="shared" si="1"/>
        <v>773958</v>
      </c>
      <c r="K9" s="138">
        <f t="shared" si="1"/>
        <v>533484</v>
      </c>
      <c r="L9" s="138">
        <f t="shared" si="1"/>
        <v>18388</v>
      </c>
      <c r="M9" s="138"/>
      <c r="N9" s="138">
        <f t="shared" si="0"/>
        <v>2211456</v>
      </c>
      <c r="O9" s="138"/>
      <c r="Q9" s="273" t="s">
        <v>440</v>
      </c>
      <c r="R9" s="273" t="s">
        <v>443</v>
      </c>
      <c r="S9" s="277" t="s">
        <v>441</v>
      </c>
      <c r="T9" s="277" t="s">
        <v>442</v>
      </c>
      <c r="U9" s="276"/>
      <c r="V9" s="273"/>
      <c r="W9" s="273"/>
      <c r="X9" s="273"/>
    </row>
    <row r="10" spans="1:33" ht="24.95" customHeight="1">
      <c r="A10" s="330" t="s">
        <v>301</v>
      </c>
      <c r="B10" s="220" t="s">
        <v>295</v>
      </c>
      <c r="D10" s="337"/>
      <c r="E10" s="128" t="s">
        <v>266</v>
      </c>
      <c r="F10" s="121">
        <f>ROUND(SUMIFS(라인분배전력량!E:E,라인분배전력량!B:B,B8,라인분배전력량!D:D,B9),0)</f>
        <v>126349</v>
      </c>
      <c r="G10" s="121">
        <f>ROUND(SUMIFS(라인분배전력량!F:F,라인분배전력량!B:B,B8,라인분배전력량!D:D,B9),0)</f>
        <v>2683</v>
      </c>
      <c r="H10" s="121">
        <f>ROUND(SUMIFS(라인분배전력량!G:G,라인분배전력량!B:B,B8,라인분배전력량!D:D,B9),0)</f>
        <v>323621</v>
      </c>
      <c r="I10" s="121">
        <f>ROUND(SUMIFS(라인분배전력량!H:H,라인분배전력량!B:B,B8,라인분배전력량!D:D,B9),0)</f>
        <v>367574</v>
      </c>
      <c r="J10" s="121">
        <f>ROUND(SUMIFS(라인분배전력량!I:I,라인분배전력량!B:B,B8,라인분배전력량!D:D,B9)+T10,0)</f>
        <v>716531</v>
      </c>
      <c r="K10" s="121">
        <f>ROUND(SUMIFS(라인분배전력량!J:J,라인분배전력량!B:B,B8,라인분배전력량!D:D,B9),0)</f>
        <v>493900</v>
      </c>
      <c r="L10" s="121">
        <f>ROUND(SUMIFS(라인분배전력량!K:K,라인분배전력량!B:B,B8,라인분배전력량!D:D,B9),0)+ROUND(SUMIFS(라인분배전력량!L:L,라인분배전력량!B:B,B8,라인분배전력량!D:D,B9),0)</f>
        <v>17023</v>
      </c>
      <c r="M10" s="121"/>
      <c r="N10" s="121">
        <f t="shared" si="0"/>
        <v>2047681</v>
      </c>
      <c r="O10" s="121"/>
      <c r="Q10" s="278"/>
      <c r="R10" s="279"/>
      <c r="S10" s="283"/>
      <c r="T10" s="280"/>
      <c r="U10" s="276">
        <f>F10+G10</f>
        <v>129032</v>
      </c>
      <c r="V10" s="273"/>
      <c r="W10" s="276">
        <f>ROUND(L10*0.6,0)</f>
        <v>10214</v>
      </c>
      <c r="X10" s="276">
        <f>L10-W10</f>
        <v>6809</v>
      </c>
    </row>
    <row r="11" spans="1:33" ht="24.95" customHeight="1">
      <c r="A11" s="330"/>
      <c r="B11" s="220" t="s">
        <v>297</v>
      </c>
      <c r="D11" s="337"/>
      <c r="E11" s="128" t="s">
        <v>303</v>
      </c>
      <c r="F11" s="121">
        <f>ROUND(SUMIFS(라인분배전력량!S:S,라인분배전력량!B:B,B8,라인분배전력량!D:D,B9),0)</f>
        <v>10126</v>
      </c>
      <c r="G11" s="121">
        <f>ROUND(SUMIFS(라인분배전력량!T:T,라인분배전력량!B:B,B8,라인분배전력량!D:D,B9),0)</f>
        <v>215</v>
      </c>
      <c r="H11" s="121">
        <f>ROUND(SUMIFS(라인분배전력량!U:U,라인분배전력량!B:B,B8,라인분배전력량!D:D,B9),0)</f>
        <v>25937</v>
      </c>
      <c r="I11" s="121">
        <f>ROUND(SUMIFS(라인분배전력량!V:V,라인분배전력량!B:B,B8,라인분배전력량!D:D,B9),0)</f>
        <v>29121</v>
      </c>
      <c r="J11" s="121">
        <f>ROUND(SUMIFS(라인분배전력량!W:W,라인분배전력량!B:B,B8,라인분배전력량!D:D,B9)+T11+R11,0)</f>
        <v>57427</v>
      </c>
      <c r="K11" s="121">
        <f>ROUND(SUMIFS(라인분배전력량!X:X,라인분배전력량!B:B,B8,라인분배전력량!D:D,B9),0)</f>
        <v>39584</v>
      </c>
      <c r="L11" s="121">
        <f>ROUND(SUMIFS(라인분배전력량!Y:Y,라인분배전력량!B:B,B8,라인분배전력량!D:D,B9)+SUMIFS(라인분배전력량!Z:Z,라인분배전력량!B:B,B8,라인분배전력량!D:D,B9),0)</f>
        <v>1365</v>
      </c>
      <c r="M11" s="121"/>
      <c r="N11" s="121">
        <f t="shared" si="0"/>
        <v>163775</v>
      </c>
      <c r="O11" s="121"/>
      <c r="Q11" s="278"/>
      <c r="R11" s="279"/>
      <c r="S11" s="283"/>
      <c r="T11" s="280"/>
      <c r="U11" s="276">
        <f t="shared" ref="U11:U13" si="2">F11+G11</f>
        <v>10341</v>
      </c>
      <c r="V11" s="273"/>
      <c r="W11" s="276">
        <f t="shared" ref="W11:W13" si="3">ROUND(L11*0.6,0)</f>
        <v>819</v>
      </c>
      <c r="X11" s="276">
        <f t="shared" ref="X11:X13" si="4">L11-W11</f>
        <v>546</v>
      </c>
    </row>
    <row r="12" spans="1:33" ht="24.95" customHeight="1" thickBot="1">
      <c r="A12" s="330"/>
      <c r="B12" s="221" t="s">
        <v>299</v>
      </c>
      <c r="D12" s="337"/>
      <c r="E12" s="128" t="s">
        <v>268</v>
      </c>
      <c r="F12" s="121">
        <f>SUMIFS(라인분배전력금액!E:E,라인분배전력금액!B:B,B8,라인분배전력금액!D:D,B9)</f>
        <v>16670189</v>
      </c>
      <c r="G12" s="121">
        <f>SUMIFS(라인분배전력금액!F:F,라인분배전력금액!B:B,B8,라인분배전력금액!D:D,B9)</f>
        <v>353985</v>
      </c>
      <c r="H12" s="121">
        <f>SUMIFS(라인분배전력금액!G:G,라인분배전력금액!B:B,B8,라인분배전력금액!D:D,B9)</f>
        <v>42697816</v>
      </c>
      <c r="I12" s="121">
        <f>SUMIFS(라인분배전력금액!H:H,라인분배전력금액!B:B,B8,라인분배전력금액!D:D,B9)</f>
        <v>47939545</v>
      </c>
      <c r="J12" s="121">
        <f>SUMIFS(라인분배전력금액!I:I,라인분배전력금액!B:B,B8,라인분배전력금액!D:D,B9)+T12+R12</f>
        <v>94537474</v>
      </c>
      <c r="K12" s="121">
        <f>SUMIFS(라인분배전력금액!J:J,라인분배전력금액!B:B,B8,라인분배전력금액!D:D,B9)</f>
        <v>65164016</v>
      </c>
      <c r="L12" s="121">
        <f>SUMIFS(라인분배전력금액!K:K,라인분배전력금액!B:B,B8,라인분배전력금액!D:D,B9)+SUMIFS(라인분배전력금액!L:L,라인분배전력금액!B:B,B8,라인분배전력금액!D:D,B9)</f>
        <v>2245936</v>
      </c>
      <c r="M12" s="121"/>
      <c r="N12" s="121">
        <f t="shared" si="0"/>
        <v>269608961</v>
      </c>
      <c r="O12" s="120"/>
      <c r="Q12" s="278"/>
      <c r="R12" s="279"/>
      <c r="S12" s="283"/>
      <c r="T12" s="279"/>
      <c r="U12" s="276">
        <f t="shared" si="2"/>
        <v>17024174</v>
      </c>
      <c r="V12" s="273"/>
      <c r="W12" s="276">
        <f t="shared" si="3"/>
        <v>1347562</v>
      </c>
      <c r="X12" s="276">
        <f t="shared" si="4"/>
        <v>898374</v>
      </c>
    </row>
    <row r="13" spans="1:33" ht="24.95" customHeight="1" thickTop="1">
      <c r="D13" s="337"/>
      <c r="E13" s="128" t="s">
        <v>269</v>
      </c>
      <c r="F13" s="121">
        <f>SUMIFS(라인분배전력금액!U:U,라인분배전력금액!R:R,B8,라인분배전력금액!T:T,B9)</f>
        <v>636792</v>
      </c>
      <c r="G13" s="121">
        <f>SUMIFS(라인분배전력금액!V:V,라인분배전력금액!R:R,B8,라인분배전력금액!T:T,B9)</f>
        <v>13522</v>
      </c>
      <c r="H13" s="121">
        <f>SUMIFS(라인분배전력금액!W:W,라인분배전력금액!R:R,B8,라인분배전력금액!T:T,B9)</f>
        <v>1631032</v>
      </c>
      <c r="I13" s="121">
        <f>SUMIFS(라인분배전력금액!X:X,라인분배전력금액!R:R,B8,라인분배전력금액!T:T,B9)</f>
        <v>1831263</v>
      </c>
      <c r="J13" s="121">
        <f>SUMIFS(라인분배전력금액!Y:Y,라인분배전력금액!R:R,B8,라인분배전력금액!T:T,B9)</f>
        <v>3611277</v>
      </c>
      <c r="K13" s="121">
        <f>SUMIFS(라인분배전력금액!Z:Z,라인분배전력금액!R:R,B8,라인분배전력금액!T:T,B9)</f>
        <v>2489228</v>
      </c>
      <c r="L13" s="121">
        <f>SUMIFS(라인분배전력금액!AA:AA,라인분배전력금액!R:R,B8,라인분배전력금액!T:T,B9)+SUMIFS(라인분배전력금액!AB:AB,라인분배전력금액!R:R,B8,라인분배전력금액!T:T,B9)</f>
        <v>85793</v>
      </c>
      <c r="M13" s="121"/>
      <c r="N13" s="121">
        <f t="shared" si="0"/>
        <v>10298907</v>
      </c>
      <c r="O13" s="120"/>
      <c r="Q13" s="278"/>
      <c r="R13" s="279"/>
      <c r="S13" s="283"/>
      <c r="T13" s="279"/>
      <c r="U13" s="276">
        <f t="shared" si="2"/>
        <v>650314</v>
      </c>
      <c r="V13" s="273"/>
      <c r="W13" s="276">
        <f t="shared" si="3"/>
        <v>51476</v>
      </c>
      <c r="X13" s="276">
        <f t="shared" si="4"/>
        <v>34317</v>
      </c>
    </row>
    <row r="14" spans="1:33" ht="24.95" customHeight="1">
      <c r="D14" s="337"/>
      <c r="E14" s="128" t="s">
        <v>270</v>
      </c>
      <c r="F14" s="138">
        <f>SUM(F12:F13)</f>
        <v>17306981</v>
      </c>
      <c r="G14" s="138">
        <f t="shared" ref="G14:N14" si="5">SUM(G12:G13)</f>
        <v>367507</v>
      </c>
      <c r="H14" s="138">
        <f t="shared" si="5"/>
        <v>44328848</v>
      </c>
      <c r="I14" s="138">
        <f t="shared" si="5"/>
        <v>49770808</v>
      </c>
      <c r="J14" s="138">
        <f t="shared" si="5"/>
        <v>98148751</v>
      </c>
      <c r="K14" s="138">
        <f t="shared" si="5"/>
        <v>67653244</v>
      </c>
      <c r="L14" s="138">
        <f t="shared" si="5"/>
        <v>2331729</v>
      </c>
      <c r="M14" s="138">
        <f t="shared" si="5"/>
        <v>0</v>
      </c>
      <c r="N14" s="138">
        <f t="shared" si="5"/>
        <v>279907868</v>
      </c>
      <c r="O14" s="139"/>
      <c r="Q14" s="190">
        <f>ROUNDDOWN(N12+2500+25998936,-1)</f>
        <v>295610390</v>
      </c>
      <c r="S14" s="136"/>
      <c r="T14" s="136"/>
      <c r="Z14" s="117" t="s">
        <v>133</v>
      </c>
      <c r="AA14" s="117" t="s">
        <v>134</v>
      </c>
      <c r="AB14" s="117" t="s">
        <v>135</v>
      </c>
      <c r="AC14" s="117" t="s">
        <v>136</v>
      </c>
      <c r="AD14" s="117" t="s">
        <v>304</v>
      </c>
      <c r="AE14" s="117" t="s">
        <v>305</v>
      </c>
      <c r="AF14" s="117" t="s">
        <v>306</v>
      </c>
      <c r="AG14" s="117" t="s">
        <v>132</v>
      </c>
    </row>
    <row r="15" spans="1:33" ht="24.95" customHeight="1">
      <c r="D15" s="337"/>
      <c r="E15" s="128" t="s">
        <v>271</v>
      </c>
      <c r="F15" s="140">
        <f>F14+Z15</f>
        <v>19302900.07008699</v>
      </c>
      <c r="G15" s="140">
        <f t="shared" ref="G15:L15" si="6">G14+AA15</f>
        <v>409889.5528200026</v>
      </c>
      <c r="H15" s="140">
        <f t="shared" si="6"/>
        <v>49441050.569897875</v>
      </c>
      <c r="I15" s="140">
        <f t="shared" si="6"/>
        <v>55510601.957149498</v>
      </c>
      <c r="J15" s="140">
        <f t="shared" si="6"/>
        <v>109467707.41210723</v>
      </c>
      <c r="K15" s="140">
        <f t="shared" si="6"/>
        <v>75455320.986350641</v>
      </c>
      <c r="L15" s="140">
        <f t="shared" si="6"/>
        <v>2600634.4515877804</v>
      </c>
      <c r="M15" s="140"/>
      <c r="N15" s="140">
        <f>SUM(F15:L15)</f>
        <v>312188105.00000006</v>
      </c>
      <c r="O15" s="120"/>
      <c r="Q15" s="281">
        <f>ROUNDDOWN(N13+993145,-1)</f>
        <v>11292050</v>
      </c>
      <c r="S15" s="136"/>
      <c r="T15" s="136"/>
      <c r="Z15" s="129">
        <f>SUMIFS(라인별전력적용비율!E:E,라인별전력적용비율!B:B,B8,라인별전력적용비율!D:D,B9)*AG15</f>
        <v>1995919.0700869884</v>
      </c>
      <c r="AA15" s="129">
        <f>SUMIFS(라인별전력적용비율!F:F,라인별전력적용비율!B:B,B8,라인별전력적용비율!D:D,B9)*AG15</f>
        <v>42382.552820002609</v>
      </c>
      <c r="AB15" s="129">
        <f>SUMIFS(라인별전력적용비율!G:G,라인별전력적용비율!B:B,B8,라인별전력적용비율!D:D,B9)*AG15</f>
        <v>5112202.5698978743</v>
      </c>
      <c r="AC15" s="129">
        <f>SUMIFS(라인별전력적용비율!H:H,라인별전력적용비율!B:B,B8,라인별전력적용비율!D:D,B9)*AG15</f>
        <v>5739793.9571494982</v>
      </c>
      <c r="AD15" s="129">
        <f>SUMIFS(라인별전력적용비율!I:I,라인별전력적용비율!B:B,B8,라인별전력적용비율!D:D,B9)*AG15</f>
        <v>11318956.412107224</v>
      </c>
      <c r="AE15" s="129">
        <f>SUMIFS(라인별전력적용비율!J:J,라인별전력적용비율!B:B,B8,라인별전력적용비율!D:D,B9)*AG15</f>
        <v>7802076.9863506369</v>
      </c>
      <c r="AF15" s="129">
        <f>SUMIFS(라인별전력적용비율!K:K,라인별전력적용비율!B:B,B8,라인별전력적용비율!D:D,B9)*AG15</f>
        <v>268905.4515877805</v>
      </c>
      <c r="AG15" s="129">
        <f>ROUND(SUMIFS(리스추정치!E:E,리스추정치!B:B,B8,리스추정치!D:D,B9),0)</f>
        <v>32280237</v>
      </c>
    </row>
    <row r="16" spans="1:33" ht="24.95" customHeight="1">
      <c r="D16" s="337"/>
      <c r="E16" s="141" t="s">
        <v>272</v>
      </c>
      <c r="F16" s="121">
        <f>IFERROR(F15/F8,0)</f>
        <v>9027.8934354565135</v>
      </c>
      <c r="G16" s="121">
        <f t="shared" ref="G16:N16" si="7">IFERROR(G15/G8,0)</f>
        <v>0</v>
      </c>
      <c r="H16" s="121">
        <f t="shared" si="7"/>
        <v>62798.235196110603</v>
      </c>
      <c r="I16" s="121">
        <f t="shared" si="7"/>
        <v>0</v>
      </c>
      <c r="J16" s="121">
        <f t="shared" si="7"/>
        <v>8824.8027870504957</v>
      </c>
      <c r="K16" s="121">
        <f t="shared" si="7"/>
        <v>15292.558954048674</v>
      </c>
      <c r="L16" s="121">
        <f t="shared" si="7"/>
        <v>1275.6093112398303</v>
      </c>
      <c r="M16" s="121">
        <f t="shared" si="7"/>
        <v>0</v>
      </c>
      <c r="N16" s="121">
        <f t="shared" si="7"/>
        <v>13997.678278680902</v>
      </c>
      <c r="O16" s="120"/>
      <c r="S16" s="136"/>
      <c r="T16" s="136"/>
    </row>
    <row r="17" spans="4:20" ht="24.95" customHeight="1">
      <c r="D17" s="337"/>
      <c r="E17" s="141" t="s">
        <v>273</v>
      </c>
      <c r="F17" s="137">
        <f>IFERROR(F9/F8,0)</f>
        <v>63.828841890615209</v>
      </c>
      <c r="G17" s="137">
        <f t="shared" ref="G17:N17" si="8">IFERROR(G9/G8,0)</f>
        <v>0</v>
      </c>
      <c r="H17" s="137">
        <f t="shared" si="8"/>
        <v>443.99593547567639</v>
      </c>
      <c r="I17" s="137">
        <f t="shared" si="8"/>
        <v>0</v>
      </c>
      <c r="J17" s="137">
        <f t="shared" si="8"/>
        <v>62.393073509317148</v>
      </c>
      <c r="K17" s="137">
        <f t="shared" si="8"/>
        <v>108.12140766742601</v>
      </c>
      <c r="L17" s="137">
        <f t="shared" si="8"/>
        <v>9.0193006559446793</v>
      </c>
      <c r="M17" s="137">
        <f t="shared" si="8"/>
        <v>0</v>
      </c>
      <c r="N17" s="137">
        <f t="shared" si="8"/>
        <v>99.155762566477506</v>
      </c>
      <c r="O17" s="120"/>
      <c r="S17" s="136"/>
      <c r="T17" s="136"/>
    </row>
    <row r="18" spans="4:20" ht="24.95" customHeight="1">
      <c r="D18" s="337" t="s">
        <v>373</v>
      </c>
      <c r="E18" s="164" t="s">
        <v>369</v>
      </c>
      <c r="F18" s="162">
        <f>SUMIFS(LNG사용량!E:E,LNG사용량!B:B,B8,LNG사용량!D:D,B9)</f>
        <v>25745.341445938524</v>
      </c>
      <c r="G18" s="162">
        <f>SUMIFS(LNG사용량!F:F,LNG사용량!B:B,B8,LNG사용량!D:D,B9)</f>
        <v>0</v>
      </c>
      <c r="H18" s="162"/>
      <c r="I18" s="162">
        <f>SUMIFS(LNG사용량!G:G,LNG사용량!B:B,B8,LNG사용량!D:D,B9)</f>
        <v>7677</v>
      </c>
      <c r="J18" s="162">
        <f>SUMIFS(LNG사용량!H:H,LNG사용량!B:B,B8,LNG사용량!D:D,B9)</f>
        <v>326138</v>
      </c>
      <c r="K18" s="162">
        <f>SUMIFS(LNG사용량!I:I,LNG사용량!B:B,B8,LNG사용량!D:D,B9)</f>
        <v>301402.65855406149</v>
      </c>
      <c r="L18" s="162"/>
      <c r="M18" s="162">
        <f>SUMIFS(LNG사용량!J:J,LNG사용량!B:B,B8,LNG사용량!D:D,B9)+SUMIFS(LNG사용량!K:K,LNG사용량!B:B,B8,LNG사용량!D:D,B9)</f>
        <v>5500.0000000000373</v>
      </c>
      <c r="N18" s="162">
        <f>SUM(F18:M18)</f>
        <v>666463</v>
      </c>
      <c r="O18" s="161"/>
    </row>
    <row r="19" spans="4:20" ht="24.95" customHeight="1">
      <c r="D19" s="337"/>
      <c r="E19" s="164" t="s">
        <v>370</v>
      </c>
      <c r="F19" s="138">
        <f>SUMIFS(LNG금액!E:E,LNG금액!B:B,B8,LNG금액!D:D,B9)</f>
        <v>13632059.422616597</v>
      </c>
      <c r="G19" s="138">
        <f>SUMIFS(LNG금액!F:F,LNG금액!B:B,B8,LNG금액!D:D,B9)</f>
        <v>0</v>
      </c>
      <c r="H19" s="138"/>
      <c r="I19" s="138">
        <f>SUMIFS(LNG금액!G:G,LNG금액!B:B,B8,LNG금액!D:D,B9)</f>
        <v>4064942.0170707153</v>
      </c>
      <c r="J19" s="138">
        <f>SUMIFS(LNG금액!H:H,LNG금액!B:B,B8,LNG금액!D:D,B9)</f>
        <v>172688818.49204233</v>
      </c>
      <c r="K19" s="138">
        <f>SUMIFS(LNG금액!I:I,LNG금액!B:B,B8,LNG금액!D:D,B9)</f>
        <v>159591550.19059825</v>
      </c>
      <c r="L19" s="138"/>
      <c r="M19" s="138">
        <f>SUMIFS(LNG금액!J:J,LNG금액!B:B,B8,LNG금액!D:D,B9)+SUMIFS(LNG금액!K:K,LNG금액!B:B,B8,LNG금액!D:D,B9)</f>
        <v>2912229.8367894576</v>
      </c>
      <c r="N19" s="138">
        <f>ROUNDDOWN(SUM(F19:M19),0)</f>
        <v>352889599</v>
      </c>
      <c r="O19" s="161"/>
    </row>
    <row r="20" spans="4:20" ht="24.95" customHeight="1">
      <c r="D20" s="337"/>
      <c r="E20" s="164" t="s">
        <v>371</v>
      </c>
      <c r="F20" s="162">
        <f>F19/F8</f>
        <v>6375.6626893545781</v>
      </c>
      <c r="G20" s="162">
        <f>IFERROR(G19/G8,0)</f>
        <v>0</v>
      </c>
      <c r="H20" s="162"/>
      <c r="I20" s="162">
        <f>IFERROR(I19/I8,0)</f>
        <v>0</v>
      </c>
      <c r="J20" s="162">
        <f t="shared" ref="J20:N20" si="9">J19/J8</f>
        <v>13921.40936124586</v>
      </c>
      <c r="K20" s="162">
        <f t="shared" si="9"/>
        <v>32344.480918704499</v>
      </c>
      <c r="L20" s="162"/>
      <c r="M20" s="162"/>
      <c r="N20" s="162">
        <f t="shared" si="9"/>
        <v>15822.624230653224</v>
      </c>
      <c r="O20" s="161"/>
    </row>
    <row r="21" spans="4:20" ht="24.95" customHeight="1">
      <c r="D21" s="337"/>
      <c r="E21" s="164" t="s">
        <v>372</v>
      </c>
      <c r="F21" s="137">
        <f>F18/F8</f>
        <v>12.040998927076116</v>
      </c>
      <c r="G21" s="137">
        <f>IFERROR(G18/G8,0)</f>
        <v>0</v>
      </c>
      <c r="H21" s="137"/>
      <c r="I21" s="137">
        <f>IFERROR(I18/I8,0)</f>
        <v>0</v>
      </c>
      <c r="J21" s="137">
        <f t="shared" ref="J21:N21" si="10">J18/J8</f>
        <v>26.291804217001022</v>
      </c>
      <c r="K21" s="137">
        <f t="shared" si="10"/>
        <v>61.085392846963899</v>
      </c>
      <c r="L21" s="137"/>
      <c r="M21" s="137"/>
      <c r="N21" s="137">
        <f t="shared" si="10"/>
        <v>29.882415470776852</v>
      </c>
      <c r="O21" s="161"/>
      <c r="Q21" s="117" t="s">
        <v>432</v>
      </c>
      <c r="R21" s="117">
        <f>SUMIFS(라인별전력적용비율!E:E,라인별전력적용비율!B:B,B8,라인별전력적용비율!D:D,B9)</f>
        <v>6.183099182595804E-2</v>
      </c>
    </row>
    <row r="22" spans="4:20" ht="24.95" customHeight="1">
      <c r="D22" s="163" t="s">
        <v>374</v>
      </c>
      <c r="E22" s="164" t="s">
        <v>375</v>
      </c>
      <c r="F22" s="161">
        <f>SUMIFS(LNG사용량!M:M,LNG사용량!B:B,B8,LNG사용량!D:D,B9)</f>
        <v>346137</v>
      </c>
      <c r="G22" s="161"/>
      <c r="H22" s="161"/>
      <c r="I22" s="161"/>
      <c r="J22" s="161"/>
      <c r="K22" s="161">
        <f>SUMIFS(LNG사용량!N:N,LNG사용량!B:B,B8,LNG사용량!D:D,B9)</f>
        <v>1077409</v>
      </c>
      <c r="L22" s="161"/>
      <c r="M22" s="161"/>
      <c r="N22" s="162">
        <f>SUM(F22:M22)</f>
        <v>1423546</v>
      </c>
      <c r="O22" s="161"/>
      <c r="Q22" s="117" t="s">
        <v>433</v>
      </c>
      <c r="R22" s="117">
        <f>SUMIFS(라인별전력적용비율!F:F,라인별전력적용비율!B:B,B8,라인별전력적용비율!D:D,B9)</f>
        <v>1.3129566805845511E-3</v>
      </c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SUMIFS(용수사용량!F:F,용수사용량!B:B,B8,용수사용량!D:D,B9,용수사용량!E:E,'21.1월'!B10)</f>
        <v>554.15051102250334</v>
      </c>
      <c r="G23" s="188">
        <f>SUMIFS(용수사용량!G:G,용수사용량!B:B,B8,용수사용량!D:D,B9,용수사용량!E:E,'21.1월'!B10)</f>
        <v>61.833952060131075</v>
      </c>
      <c r="H23" s="188">
        <f>SUMIFS(용수사용량!H:H,용수사용량!B:B,B8,용수사용량!D:D,B9,용수사용량!E:E,'21.1월'!B10)</f>
        <v>87.104266923323777</v>
      </c>
      <c r="I23" s="188">
        <f>SUMIFS(용수사용량!I:I,용수사용량!B:B,B8,용수사용량!D:D,B9,용수사용량!E:E,'21.1월'!B10)</f>
        <v>12.268206608918831</v>
      </c>
      <c r="J23" s="188">
        <f>SUMIFS(용수사용량!J:J,용수사용량!B:B,B8,용수사용량!D:D,B9,용수사용량!E:E,'21.1월'!B10)</f>
        <v>702.19052202209082</v>
      </c>
      <c r="K23" s="188">
        <f>SUMIFS(용수사용량!K:K,용수사용량!B:B,B8,용수사용량!D:D,B9,용수사용량!E:E,'21.1월'!B10)</f>
        <v>494.45254136303225</v>
      </c>
      <c r="L23" s="188"/>
      <c r="M23" s="188"/>
      <c r="N23" s="188">
        <f>SUM(F23:M23)</f>
        <v>1912</v>
      </c>
      <c r="O23" s="161"/>
      <c r="Q23" s="117" t="s">
        <v>438</v>
      </c>
      <c r="R23" s="117">
        <f>SUMIFS(라인별전력적용비율!G:G,라인별전력적용비율!B:B,B8,라인별전력적용비율!D:D,B9)</f>
        <v>0.15836942491772518</v>
      </c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SUMIFS(용수금액!F:F,용수사용량!B:B,B8,용수사용량!D:D,B9,용수사용량!E:E,'21.1월'!B10)</f>
        <v>2401514.9978229981</v>
      </c>
      <c r="G24" s="188">
        <f>SUMIFS(용수금액!G:G,용수사용량!B:B,B8,용수사용량!D:D,B9,용수사용량!E:E,'21.1월'!B10)</f>
        <v>267969.00894862274</v>
      </c>
      <c r="H24" s="188">
        <f>SUMIFS(용수금액!H:H,용수사용량!B:B,B8,용수사용량!D:D,B9,용수사용량!E:E,'21.1월'!B10)</f>
        <v>377482.64998395921</v>
      </c>
      <c r="I24" s="188">
        <f>SUMIFS(용수금액!I:I,용수사용량!B:B,B8,용수사용량!D:D,B9,용수사용량!E:E,'21.1월'!B10)</f>
        <v>53166.570420275901</v>
      </c>
      <c r="J24" s="188">
        <f>SUMIFS(용수금액!J:J,용수사용량!B:B,B8,용수사용량!D:D,B9,용수사용량!E:E,'21.1월'!B10)</f>
        <v>3043074.104278381</v>
      </c>
      <c r="K24" s="188">
        <f>SUMIFS(용수금액!K:K,용수사용량!B:B,B8,용수사용량!D:D,B9,용수사용량!E:E,'21.1월'!B10)</f>
        <v>2142802.668545763</v>
      </c>
      <c r="L24" s="188"/>
      <c r="M24" s="188"/>
      <c r="N24" s="189">
        <f>SUM(F24:M24)</f>
        <v>8286010</v>
      </c>
      <c r="O24" s="161"/>
      <c r="Q24" s="183" t="s">
        <v>434</v>
      </c>
      <c r="R24" s="117">
        <f>SUMIFS(라인별전력적용비율!H:H,라인별전력적용비율!B:B,B8,라인별전력적용비율!D:D,B9)</f>
        <v>0.17781139454302947</v>
      </c>
    </row>
    <row r="25" spans="4:20" ht="24.95" customHeight="1">
      <c r="D25" s="337"/>
      <c r="E25" s="164" t="s">
        <v>371</v>
      </c>
      <c r="F25" s="188">
        <f>F24/F8</f>
        <v>1123.1794914378845</v>
      </c>
      <c r="G25" s="188">
        <f>G24/F8</f>
        <v>125.32809308493492</v>
      </c>
      <c r="H25" s="188">
        <f>H24/H8</f>
        <v>479.46481644094911</v>
      </c>
      <c r="I25" s="188">
        <f>IFERROR(I24/I8,0)</f>
        <v>0</v>
      </c>
      <c r="J25" s="188">
        <f t="shared" ref="J25:K25" si="11">J24/J8</f>
        <v>245.31918564384691</v>
      </c>
      <c r="K25" s="188">
        <f t="shared" si="11"/>
        <v>434.28264179747617</v>
      </c>
      <c r="L25" s="188"/>
      <c r="M25" s="188"/>
      <c r="N25" s="188">
        <f t="shared" ref="N25" si="12">N24/N8</f>
        <v>371.52249024328688</v>
      </c>
      <c r="O25" s="161"/>
      <c r="Q25" s="183" t="s">
        <v>435</v>
      </c>
      <c r="R25" s="117">
        <f>SUMIFS(라인별전력적용비율!I:I,라인별전력적용비율!B:B,B8,라인별전력적용비율!D:D,B9)</f>
        <v>0.35064663286416464</v>
      </c>
    </row>
    <row r="26" spans="4:20" ht="24.95" customHeight="1">
      <c r="D26" s="337"/>
      <c r="E26" s="164" t="s">
        <v>379</v>
      </c>
      <c r="F26" s="137">
        <f>F23/F8</f>
        <v>0.2591741003968418</v>
      </c>
      <c r="G26" s="137">
        <f>G23/F8</f>
        <v>2.8919505766755723E-2</v>
      </c>
      <c r="H26" s="137">
        <f>H23/H8</f>
        <v>0.11063669112577643</v>
      </c>
      <c r="I26" s="137">
        <f>IFERROR(I23/I8,0)</f>
        <v>0</v>
      </c>
      <c r="J26" s="137">
        <f t="shared" ref="J26:K26" si="13">J23/J8</f>
        <v>5.6607496605849537E-2</v>
      </c>
      <c r="K26" s="137">
        <f t="shared" si="13"/>
        <v>0.10021088691864653</v>
      </c>
      <c r="L26" s="137"/>
      <c r="M26" s="137"/>
      <c r="N26" s="137">
        <f t="shared" ref="N26" si="14">N23/N8</f>
        <v>8.5728957766785768E-2</v>
      </c>
      <c r="O26" s="161"/>
      <c r="Q26" s="183" t="s">
        <v>436</v>
      </c>
      <c r="R26" s="117">
        <f>SUMIFS(라인별전력적용비율!J:J,라인별전력적용비율!B:B,B8,라인별전력적용비율!D:D,B9)</f>
        <v>0.241698256005699</v>
      </c>
    </row>
    <row r="27" spans="4:20" ht="24.95" customHeight="1">
      <c r="D27" s="337" t="s">
        <v>383</v>
      </c>
      <c r="E27" s="164" t="s">
        <v>369</v>
      </c>
      <c r="F27" s="188">
        <f>SUMIFS(용수사용량!S:S,용수사용량!O:O,B8,용수사용량!Q:Q,B9,용수사용량!R:R,'21.1월'!B11)</f>
        <v>6297.3756817452677</v>
      </c>
      <c r="G27" s="188">
        <f>SUMIFS(용수사용량!T:T,용수사용량!O:O,B8,용수사용량!Q:Q,B9,용수사용량!R:R,'21.1월'!B11)</f>
        <v>702.68206608918831</v>
      </c>
      <c r="H27" s="188">
        <f>SUMIFS(용수사용량!U:U,용수사용량!O:O,B8,용수사용량!Q:Q,B9,용수사용량!R:R,'21.1월'!B11)</f>
        <v>989.85434712865015</v>
      </c>
      <c r="I27" s="188">
        <f>SUMIFS(용수사용량!V:V,용수사용량!O:O,B8,용수사용량!Q:Q,B9,용수사용량!R:R,'21.1월'!B11)</f>
        <v>139.41610522938723</v>
      </c>
      <c r="J27" s="188">
        <f>SUMIFS(용수사용량!W:W,용수사용량!O:O,B8,용수사용량!Q:Q,B9,용수사용량!R:R,'21.1월'!B11)</f>
        <v>7979.7048444016682</v>
      </c>
      <c r="K27" s="188">
        <f>SUMIFS(용수사용량!X:X,용수사용량!O:O,B8,용수사용량!Q:Q,B9,용수사용량!R:R,'21.1월'!B11)</f>
        <v>5618.9669554058391</v>
      </c>
      <c r="L27" s="188"/>
      <c r="M27" s="188"/>
      <c r="N27" s="188">
        <f>SUM(F27:M27)</f>
        <v>21728</v>
      </c>
      <c r="O27" s="161"/>
      <c r="Q27" s="183" t="s">
        <v>437</v>
      </c>
      <c r="R27" s="117">
        <f>SUMIFS(라인별전력적용비율!K:K,라인별전력적용비율!B:B,B8,라인별전력적용비율!D:D,B9)</f>
        <v>8.3303431628392478E-3</v>
      </c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SUMIFS(용수금액!S:S,용수사용량!O:O,B8,용수사용량!Q:Q,B9,용수사용량!R:R,'21.1월'!B11)</f>
        <v>3519168.7588798753</v>
      </c>
      <c r="G28" s="213">
        <f>SUMIFS(용수금액!T:T,용수사용량!O:O,B8,용수사용량!Q:Q,B9,용수사용량!R:R,'21.1월'!B11)</f>
        <v>392680.522709565</v>
      </c>
      <c r="H28" s="213">
        <f>SUMIFS(용수금액!U:U,용수사용량!O:O,B8,용수사용량!Q:Q,B9,용수사용량!R:R,'21.1월'!B11)</f>
        <v>553161.29611806269</v>
      </c>
      <c r="I28" s="213">
        <f>SUMIFS(용수금액!V:V,용수사용량!O:O,B8,용수사용량!Q:Q,B9,용수사용량!R:R,'21.1월'!B11)</f>
        <v>77910.04170676932</v>
      </c>
      <c r="J28" s="213">
        <f>SUMIFS(용수금액!W:W,용수사용량!O:O,B8,용수사용량!Q:Q,B9,용수사용량!R:R,'21.1월'!B11)</f>
        <v>4459306.449653971</v>
      </c>
      <c r="K28" s="213">
        <f>SUMIFS(용수금액!X:X,용수사용량!O:O,B8,용수사용량!Q:Q,B9,용수사용량!R:R,'21.1월'!B11)</f>
        <v>3140052.9309317567</v>
      </c>
      <c r="L28" s="213"/>
      <c r="M28" s="213"/>
      <c r="N28" s="213">
        <f>SUM(F28:M28)</f>
        <v>12142280</v>
      </c>
      <c r="O28" s="161"/>
      <c r="R28" s="117">
        <f>SUM(R21:R27)</f>
        <v>1</v>
      </c>
    </row>
    <row r="29" spans="4:20" ht="24.95" customHeight="1">
      <c r="D29" s="337"/>
      <c r="E29" s="164" t="s">
        <v>371</v>
      </c>
      <c r="F29" s="188">
        <f>F28/F8</f>
        <v>1645.9019329323035</v>
      </c>
      <c r="G29" s="188">
        <f>G28/F8</f>
        <v>183.65519690458297</v>
      </c>
      <c r="H29" s="188">
        <f t="shared" ref="H29:N29" si="15">H28/H8</f>
        <v>702.60548217714052</v>
      </c>
      <c r="I29" s="188">
        <f>IFERROR(I28/I8,0)</f>
        <v>0</v>
      </c>
      <c r="J29" s="188">
        <f t="shared" si="15"/>
        <v>359.48957839292609</v>
      </c>
      <c r="K29" s="188">
        <f t="shared" si="15"/>
        <v>636.39573640928006</v>
      </c>
      <c r="L29" s="188"/>
      <c r="M29" s="188"/>
      <c r="N29" s="188">
        <f t="shared" si="15"/>
        <v>544.42730612577793</v>
      </c>
      <c r="O29" s="161"/>
    </row>
    <row r="30" spans="4:20" ht="24.95" customHeight="1">
      <c r="D30" s="337"/>
      <c r="E30" s="164" t="s">
        <v>377</v>
      </c>
      <c r="F30" s="137">
        <f>F27/F8</f>
        <v>2.9452588145515581</v>
      </c>
      <c r="G30" s="137">
        <f>G27/F8</f>
        <v>0.32864174754187675</v>
      </c>
      <c r="H30" s="137">
        <f t="shared" ref="H30:N30" si="16">H27/H8</f>
        <v>1.2572772096134259</v>
      </c>
      <c r="I30" s="137">
        <f>IFERROR(I27/I8,0)</f>
        <v>0</v>
      </c>
      <c r="J30" s="137">
        <f t="shared" si="16"/>
        <v>0.64328853883467507</v>
      </c>
      <c r="K30" s="137">
        <f t="shared" si="16"/>
        <v>1.1387981961131548</v>
      </c>
      <c r="L30" s="137"/>
      <c r="M30" s="137"/>
      <c r="N30" s="137">
        <f t="shared" si="16"/>
        <v>0.97422531085602571</v>
      </c>
      <c r="O30" s="161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SUMIFS(용수사용량!AF:AF,용수사용량!AB:AB,B8,용수사용량!AD:AD,B9,용수사용량!AE:AE,'21.1월'!B12)</f>
        <v>3923.3972111462485</v>
      </c>
      <c r="G31" s="188">
        <f>SUMIFS(용수사용량!AG:AG,용수사용량!AB:AB,B8,용수사용량!AD:AD,B9,용수사용량!AE:AE,'21.1월'!B12)</f>
        <v>437.78567418305141</v>
      </c>
      <c r="H31" s="188">
        <f>SUMIFS(용수사용량!AH:AH,용수사용량!AB:AB,B8,용수사용량!AD:AD,B9,용수사용량!AE:AE,'21.1월'!B12)</f>
        <v>616.70003208213075</v>
      </c>
      <c r="I31" s="188">
        <f>SUMIFS(용수사용량!AI:AI,용수사용량!AB:AB,B8,용수사용량!AD:AD,B9,용수사용량!AE:AE,'21.1월'!B12)</f>
        <v>86.859159448187356</v>
      </c>
      <c r="J31" s="188">
        <f>SUMIFS(용수사용량!AJ:AJ,용수사용량!AB:AB,B8,용수사용량!AD:AD,B9,용수사용량!AE:AE,'21.1월'!B12)</f>
        <v>4971.5235860946877</v>
      </c>
      <c r="K31" s="188">
        <f>SUMIFS(용수사용량!AK:AK,용수사용량!AB:AB,B8,용수사용량!AD:AD,B9,용수사용량!AE:AE,'21.1월'!B12)</f>
        <v>3500.7343370456942</v>
      </c>
      <c r="L31" s="188"/>
      <c r="M31" s="188"/>
      <c r="N31" s="188">
        <f>SUM(F31:M31)</f>
        <v>13537</v>
      </c>
      <c r="O31" s="161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SUMIFS(용수금액!AF:AF,용수금액!AB:AB,B8,용수금액!AD:AD,B9,용수금액!AE:AE,'21.1월'!B12)</f>
        <v>3432971.110614602</v>
      </c>
      <c r="G32" s="188">
        <f>SUMIFS(용수금액!AG:AG,용수금액!AB:AB,B8,용수금액!AD:AD,B9,용수금액!AE:AE,'21.1월'!B12)</f>
        <v>383062.30321050459</v>
      </c>
      <c r="H32" s="188">
        <f>SUMIFS(용수금액!AH:AH,용수금액!AB:AB,B8,용수금액!AD:AD,B9,용수금액!AE:AE,'21.1월'!B12)</f>
        <v>539612.30028873961</v>
      </c>
      <c r="I32" s="188">
        <f>SUMIFS(용수금액!AI:AI,용수금액!AB:AB,B8,용수금액!AD:AD,B9,용수금액!AE:AE,'21.1월'!B12)</f>
        <v>76001.732435033671</v>
      </c>
      <c r="J32" s="188">
        <f>SUMIFS(용수금액!AJ:AJ,용수금액!AB:AB,B8,용수금액!AD:AD,B9,용수금액!AE:AE,'21.1월'!B12)</f>
        <v>4350081.3015605658</v>
      </c>
      <c r="K32" s="188">
        <f>SUMIFS(용수금액!AK:AK,용수금액!AB:AB,B8,용수금액!AD:AD,B9,용수금액!AE:AE,'21.1월'!B12)</f>
        <v>3063141.2518905541</v>
      </c>
      <c r="L32" s="188"/>
      <c r="M32" s="188"/>
      <c r="N32" s="188">
        <f>SUM(F32:M32)</f>
        <v>11844870</v>
      </c>
      <c r="O32" s="161"/>
    </row>
    <row r="33" spans="4:15" ht="24.95" customHeight="1">
      <c r="D33" s="337"/>
      <c r="E33" s="164" t="s">
        <v>371</v>
      </c>
      <c r="F33" s="188">
        <f>F32/F8</f>
        <v>1605.5876184976671</v>
      </c>
      <c r="G33" s="188">
        <f>G32/F8</f>
        <v>179.15679198298736</v>
      </c>
      <c r="H33" s="188">
        <f t="shared" ref="H33:N33" si="17">H32/H8</f>
        <v>685.39603745553109</v>
      </c>
      <c r="I33" s="188">
        <f>IFERROR(I32/I8,0)</f>
        <v>0</v>
      </c>
      <c r="J33" s="188">
        <f t="shared" si="17"/>
        <v>350.68432966617621</v>
      </c>
      <c r="K33" s="188">
        <f t="shared" si="17"/>
        <v>620.80801680756736</v>
      </c>
      <c r="L33" s="188"/>
      <c r="M33" s="188"/>
      <c r="N33" s="188">
        <f t="shared" si="17"/>
        <v>531.09223848486806</v>
      </c>
      <c r="O33" s="161"/>
    </row>
    <row r="34" spans="4:15" ht="24.95" customHeight="1">
      <c r="D34" s="337"/>
      <c r="E34" s="164" t="s">
        <v>381</v>
      </c>
      <c r="F34" s="137">
        <f>IFERROR(F31/F8,0)</f>
        <v>1.8349580528619496</v>
      </c>
      <c r="G34" s="137">
        <f>IFERROR(G31/F8,0)</f>
        <v>0.2047507058392114</v>
      </c>
      <c r="H34" s="137">
        <f t="shared" ref="H34:N34" si="18">IFERROR(H31/H8,0)</f>
        <v>0.78331008774562527</v>
      </c>
      <c r="I34" s="137">
        <f t="shared" si="18"/>
        <v>0</v>
      </c>
      <c r="J34" s="137">
        <f t="shared" si="18"/>
        <v>0.40078226022666585</v>
      </c>
      <c r="K34" s="137">
        <f t="shared" si="18"/>
        <v>0.7094951758460869</v>
      </c>
      <c r="L34" s="137">
        <f t="shared" si="18"/>
        <v>0</v>
      </c>
      <c r="M34" s="137">
        <f t="shared" si="18"/>
        <v>0</v>
      </c>
      <c r="N34" s="137">
        <f t="shared" si="18"/>
        <v>0.60696281448168354</v>
      </c>
      <c r="O34" s="161"/>
    </row>
    <row r="35" spans="4:15" ht="24.95" customHeight="1"/>
    <row r="36" spans="4:15" ht="24.95" customHeight="1"/>
    <row r="37" spans="4:15" ht="24.95" customHeight="1"/>
  </sheetData>
  <mergeCells count="8">
    <mergeCell ref="D31:D34"/>
    <mergeCell ref="D4:L5"/>
    <mergeCell ref="D7:E7"/>
    <mergeCell ref="A10:A12"/>
    <mergeCell ref="D8:D17"/>
    <mergeCell ref="D18:D21"/>
    <mergeCell ref="D23:D26"/>
    <mergeCell ref="D27:D30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workbookViewId="0">
      <selection activeCell="J17" sqref="J17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16" width="9" style="183"/>
    <col min="17" max="17" width="14.5" style="183" customWidth="1"/>
    <col min="18" max="18" width="9" style="183"/>
    <col min="19" max="19" width="14.625" style="183" bestFit="1" customWidth="1"/>
    <col min="20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429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267" t="s">
        <v>147</v>
      </c>
      <c r="G7" s="267" t="s">
        <v>134</v>
      </c>
      <c r="H7" s="267" t="s">
        <v>278</v>
      </c>
      <c r="I7" s="267" t="s">
        <v>136</v>
      </c>
      <c r="J7" s="267" t="s">
        <v>137</v>
      </c>
      <c r="K7" s="267" t="s">
        <v>138</v>
      </c>
      <c r="L7" s="267" t="s">
        <v>215</v>
      </c>
      <c r="M7" s="267" t="s">
        <v>284</v>
      </c>
      <c r="N7" s="267" t="s">
        <v>132</v>
      </c>
      <c r="O7" s="267" t="s">
        <v>287</v>
      </c>
      <c r="Q7" s="275" t="s">
        <v>430</v>
      </c>
      <c r="R7" s="275" t="s">
        <v>431</v>
      </c>
      <c r="S7" s="133" t="s">
        <v>302</v>
      </c>
      <c r="T7" s="133"/>
      <c r="U7" s="276" t="s">
        <v>288</v>
      </c>
      <c r="V7" s="273" t="s">
        <v>289</v>
      </c>
      <c r="W7" s="273" t="s">
        <v>290</v>
      </c>
      <c r="X7" s="273" t="s">
        <v>291</v>
      </c>
    </row>
    <row r="8" spans="1:33" ht="24.95" customHeight="1" thickTop="1">
      <c r="A8" s="265" t="s">
        <v>2</v>
      </c>
      <c r="B8" s="218" t="s">
        <v>300</v>
      </c>
      <c r="D8" s="337" t="s">
        <v>274</v>
      </c>
      <c r="E8" s="266" t="s">
        <v>265</v>
      </c>
      <c r="F8" s="137">
        <f>SUMIFS(생산량!E:E,생산량!B:B,B8,생산량!D:D,B9)</f>
        <v>2122.54</v>
      </c>
      <c r="G8" s="137"/>
      <c r="H8" s="137">
        <f>SUMIFS(생산량!F:F,생산량!B:B,B8,생산량!D:D,B9)</f>
        <v>1420.75</v>
      </c>
      <c r="I8" s="137">
        <f>SUMIFS(생산량!G:G,생산량!B:B,B8,생산량!D:D,B9)</f>
        <v>0</v>
      </c>
      <c r="J8" s="137">
        <f>SUMIFS(생산량!H:H,생산량!B:B,B8,생산량!D:D,B9)</f>
        <v>11953.14</v>
      </c>
      <c r="K8" s="137">
        <f>SUMIFS(생산량!I:I,생산량!B:B,B8,생산량!D:D,B9)</f>
        <v>4764.8500000000004</v>
      </c>
      <c r="L8" s="137">
        <f>SUMIFS(생산량!J:J,생산량!B:B,B8,생산량!D:D,B9)</f>
        <v>2323.4699999999998</v>
      </c>
      <c r="M8" s="137"/>
      <c r="N8" s="137">
        <f t="shared" ref="N8:N13" si="0">SUM(F8:M8)</f>
        <v>22584.75</v>
      </c>
      <c r="O8" s="187"/>
      <c r="Q8" s="273" t="s">
        <v>444</v>
      </c>
      <c r="R8" s="273"/>
      <c r="S8" s="277"/>
      <c r="T8" s="277"/>
      <c r="U8" s="276"/>
      <c r="V8" s="273"/>
      <c r="W8" s="273"/>
      <c r="X8" s="273"/>
    </row>
    <row r="9" spans="1:33" ht="24.95" customHeight="1">
      <c r="A9" s="265" t="s">
        <v>4</v>
      </c>
      <c r="B9" s="219" t="s">
        <v>439</v>
      </c>
      <c r="D9" s="337"/>
      <c r="E9" s="266" t="s">
        <v>267</v>
      </c>
      <c r="F9" s="138">
        <f>SUM(F10:F11)</f>
        <v>243824</v>
      </c>
      <c r="G9" s="138">
        <f t="shared" ref="G9:L9" si="1">SUM(G10:G11)</f>
        <v>1666</v>
      </c>
      <c r="H9" s="138">
        <f t="shared" si="1"/>
        <v>576288</v>
      </c>
      <c r="I9" s="138">
        <f t="shared" si="1"/>
        <v>1026709</v>
      </c>
      <c r="J9" s="138">
        <f t="shared" si="1"/>
        <v>611510</v>
      </c>
      <c r="K9" s="138">
        <f t="shared" si="1"/>
        <v>486541</v>
      </c>
      <c r="L9" s="138">
        <f t="shared" si="1"/>
        <v>12615</v>
      </c>
      <c r="M9" s="138"/>
      <c r="N9" s="138">
        <f t="shared" si="0"/>
        <v>2959153</v>
      </c>
      <c r="O9" s="138"/>
      <c r="Q9" s="273" t="s">
        <v>440</v>
      </c>
      <c r="R9" s="273" t="s">
        <v>443</v>
      </c>
      <c r="S9" s="277" t="s">
        <v>441</v>
      </c>
      <c r="T9" s="277" t="s">
        <v>442</v>
      </c>
      <c r="U9" s="276"/>
      <c r="V9" s="273"/>
      <c r="W9" s="273"/>
      <c r="X9" s="273"/>
    </row>
    <row r="10" spans="1:33" ht="24.95" customHeight="1">
      <c r="A10" s="330" t="s">
        <v>301</v>
      </c>
      <c r="B10" s="220" t="s">
        <v>295</v>
      </c>
      <c r="D10" s="337"/>
      <c r="E10" s="266" t="s">
        <v>266</v>
      </c>
      <c r="F10" s="188">
        <f>ROUND(SUMIFS(라인분배전력량!E:E,라인분배전력량!B:B,B8,라인분배전력량!D:D,B9),0)</f>
        <v>229102</v>
      </c>
      <c r="G10" s="188">
        <f>ROUND(SUMIFS(라인분배전력량!F:F,라인분배전력량!B:B,B8,라인분배전력량!D:D,B9),0)</f>
        <v>1565</v>
      </c>
      <c r="H10" s="188">
        <f>ROUND(SUMIFS(라인분배전력량!G:G,라인분배전력량!B:B,B8,라인분배전력량!D:D,B9),0)</f>
        <v>541491</v>
      </c>
      <c r="I10" s="188">
        <f>ROUND(SUMIFS(라인분배전력량!H:H,라인분배전력량!B:B,B8,라인분배전력량!D:D,B9),0)</f>
        <v>990710</v>
      </c>
      <c r="J10" s="188">
        <f>ROUND(SUMIFS(라인분배전력량!I:I,라인분배전력량!B:B,B8,라인분배전력량!D:D,B9)+T10,0)</f>
        <v>574587</v>
      </c>
      <c r="K10" s="188">
        <f>ROUND(SUMIFS(라인분배전력량!J:J,라인분배전력량!B:B,B8,라인분배전력량!D:D,B9),0)</f>
        <v>457163</v>
      </c>
      <c r="L10" s="188">
        <f>ROUND(SUMIFS(라인분배전력량!K:K,라인분배전력량!B:B,B8,라인분배전력량!D:D,B9),0)+ROUND(SUMIFS(라인분배전력량!L:L,라인분배전력량!B:B,B8,라인분배전력량!D:D,B9),0)</f>
        <v>11853</v>
      </c>
      <c r="M10" s="188"/>
      <c r="N10" s="188">
        <f t="shared" si="0"/>
        <v>2806471</v>
      </c>
      <c r="O10" s="188"/>
      <c r="Q10" s="278"/>
      <c r="R10" s="279"/>
      <c r="S10" s="283"/>
      <c r="T10" s="280"/>
      <c r="U10" s="276">
        <f>F10+G10</f>
        <v>230667</v>
      </c>
      <c r="V10" s="273"/>
      <c r="W10" s="276">
        <f>ROUND(L10*0.6,0)</f>
        <v>7112</v>
      </c>
      <c r="X10" s="276">
        <f>L10-W10</f>
        <v>4741</v>
      </c>
    </row>
    <row r="11" spans="1:33" ht="24.95" customHeight="1">
      <c r="A11" s="330"/>
      <c r="B11" s="220" t="s">
        <v>297</v>
      </c>
      <c r="D11" s="337"/>
      <c r="E11" s="266" t="s">
        <v>303</v>
      </c>
      <c r="F11" s="188">
        <f>ROUND(SUMIFS(라인분배전력량!S:S,라인분배전력량!B:B,B8,라인분배전력량!D:D,B9),0)</f>
        <v>14722</v>
      </c>
      <c r="G11" s="188">
        <f>ROUND(SUMIFS(라인분배전력량!T:T,라인분배전력량!B:B,B8,라인분배전력량!D:D,B9),0)</f>
        <v>101</v>
      </c>
      <c r="H11" s="188">
        <f>ROUND(SUMIFS(라인분배전력량!U:U,라인분배전력량!B:B,B8,라인분배전력량!D:D,B9),0)</f>
        <v>34797</v>
      </c>
      <c r="I11" s="188">
        <f>ROUND(SUMIFS(라인분배전력량!V:V,라인분배전력량!B:B,B8,라인분배전력량!D:D,B9),0)</f>
        <v>35999</v>
      </c>
      <c r="J11" s="188">
        <f>ROUND(SUMIFS(라인분배전력량!W:W,라인분배전력량!B:B,B8,라인분배전력량!D:D,B9)+T11+R11,0)</f>
        <v>36923</v>
      </c>
      <c r="K11" s="188">
        <f>ROUND(SUMIFS(라인분배전력량!X:X,라인분배전력량!B:B,B8,라인분배전력량!D:D,B9),0)</f>
        <v>29378</v>
      </c>
      <c r="L11" s="188">
        <f>ROUND(SUMIFS(라인분배전력량!Y:Y,라인분배전력량!B:B,B8,라인분배전력량!D:D,B9),0)</f>
        <v>762</v>
      </c>
      <c r="M11" s="188"/>
      <c r="N11" s="188">
        <f t="shared" si="0"/>
        <v>152682</v>
      </c>
      <c r="O11" s="188"/>
      <c r="Q11" s="278"/>
      <c r="R11" s="279"/>
      <c r="S11" s="283"/>
      <c r="T11" s="280"/>
      <c r="U11" s="276">
        <f t="shared" ref="U11:U13" si="2">F11+G11</f>
        <v>14823</v>
      </c>
      <c r="V11" s="273"/>
      <c r="W11" s="276">
        <f t="shared" ref="W11:W13" si="3">ROUND(L11*0.6,0)</f>
        <v>457</v>
      </c>
      <c r="X11" s="276">
        <f t="shared" ref="X11:X13" si="4">L11-W11</f>
        <v>305</v>
      </c>
    </row>
    <row r="12" spans="1:33" ht="24.95" customHeight="1" thickBot="1">
      <c r="A12" s="330"/>
      <c r="B12" s="221" t="s">
        <v>299</v>
      </c>
      <c r="D12" s="337"/>
      <c r="E12" s="266" t="s">
        <v>268</v>
      </c>
      <c r="F12" s="188">
        <f>SUMIFS(라인분배전력금액!E:E,라인분배전력금액!B:B,B8,라인분배전력금액!D:D,B9)</f>
        <v>32141132</v>
      </c>
      <c r="G12" s="188">
        <f>SUMIFS(라인분배전력금액!F:F,라인분배전력금액!B:B,B8,라인분배전력금액!D:D,B9)</f>
        <v>219614</v>
      </c>
      <c r="H12" s="188">
        <f>SUMIFS(라인분배전력금액!G:G,라인분배전력금액!B:B,B8,라인분배전력금액!D:D,B9)</f>
        <v>75966844</v>
      </c>
      <c r="I12" s="188">
        <f>SUMIFS(라인분배전력금액!H:H,라인분배전력금액!B:B,B8,라인분배전력금액!D:D,B9)</f>
        <v>78591307</v>
      </c>
      <c r="J12" s="188">
        <f>SUMIFS(라인분배전력금액!I:I,라인분배전력금액!B:B,B8,라인분배전력금액!D:D,B9)+T12+R12</f>
        <v>80609885</v>
      </c>
      <c r="K12" s="188">
        <f>SUMIFS(라인분배전력금액!J:J,라인분배전력금액!B:B,B8,라인분배전력금액!D:D,B9)</f>
        <v>64136347</v>
      </c>
      <c r="L12" s="188">
        <f>SUMIFS(라인분배전력금액!K:K,라인분배전력금액!B:B,B8,라인분배전력금액!D:D,B9)+SUMIFS(라인분배전력금액!L:L,라인분배전력금액!B:B,B8,라인분배전력금액!D:D,B9)</f>
        <v>1662787</v>
      </c>
      <c r="M12" s="188"/>
      <c r="N12" s="188">
        <f t="shared" si="0"/>
        <v>333327916</v>
      </c>
      <c r="O12" s="187"/>
      <c r="Q12" s="278"/>
      <c r="R12" s="279"/>
      <c r="S12" s="283"/>
      <c r="T12" s="282"/>
      <c r="U12" s="276">
        <f t="shared" si="2"/>
        <v>32360746</v>
      </c>
      <c r="V12" s="273"/>
      <c r="W12" s="276">
        <f t="shared" si="3"/>
        <v>997672</v>
      </c>
      <c r="X12" s="276">
        <f t="shared" si="4"/>
        <v>665115</v>
      </c>
    </row>
    <row r="13" spans="1:33" ht="24.95" customHeight="1" thickTop="1">
      <c r="D13" s="337"/>
      <c r="E13" s="266" t="s">
        <v>269</v>
      </c>
      <c r="F13" s="188">
        <f>SUMIFS(라인분배전력금액!U:U,라인분배전력금액!R:R,B8,라인분배전력금액!T:T,B9)+($R$13*R21)</f>
        <v>925242</v>
      </c>
      <c r="G13" s="188">
        <f>SUMIFS(라인분배전력금액!V:V,라인분배전력금액!R:R,B8,라인분배전력금액!T:T,B9)+($R$13*R22)</f>
        <v>6322</v>
      </c>
      <c r="H13" s="188">
        <f>SUMIFS(라인분배전력금액!W:W,라인분배전력금액!R:R,B8,라인분배전력금액!T:T,B9)+($R$13*R23)</f>
        <v>2186846</v>
      </c>
      <c r="I13" s="188">
        <f>SUMIFS(라인분배전력금액!X:X,라인분배전력금액!R:R,B8,라인분배전력금액!T:T,B9)+($R$13*R24)</f>
        <v>2262396</v>
      </c>
      <c r="J13" s="188">
        <f>SUMIFS(라인분배전력금액!Y:Y,라인분배전력금액!R:R,B8,라인분배전력금액!T:T,B9)+T13+($R$13*R25)</f>
        <v>2320504</v>
      </c>
      <c r="K13" s="188">
        <f>SUMIFS(라인분배전력금액!Z:Z,라인분배전력금액!R:R,B8,라인분배전력금액!T:T,B9)+($R$13*R26)</f>
        <v>1846283</v>
      </c>
      <c r="L13" s="188">
        <f>SUMIFS(라인분배전력금액!AA:AA,라인분배전력금액!R:R,B8,라인분배전력금액!T:T,B9)+SUMIFS(라인분배전력금액!AB:AB,라인분배전력금액!R:R,B8,라인분배전력금액!T:T,B9)</f>
        <v>47865</v>
      </c>
      <c r="M13" s="188"/>
      <c r="N13" s="188">
        <f t="shared" si="0"/>
        <v>9595458</v>
      </c>
      <c r="O13" s="187"/>
      <c r="Q13" s="278"/>
      <c r="R13" s="279"/>
      <c r="S13" s="283"/>
      <c r="T13" s="282"/>
      <c r="U13" s="276">
        <f t="shared" si="2"/>
        <v>931564</v>
      </c>
      <c r="V13" s="273"/>
      <c r="W13" s="276">
        <f t="shared" si="3"/>
        <v>28719</v>
      </c>
      <c r="X13" s="276">
        <f t="shared" si="4"/>
        <v>19146</v>
      </c>
    </row>
    <row r="14" spans="1:33" ht="24.95" customHeight="1">
      <c r="D14" s="337"/>
      <c r="E14" s="266" t="s">
        <v>270</v>
      </c>
      <c r="F14" s="138">
        <f>SUM(F12:F13)</f>
        <v>33066374</v>
      </c>
      <c r="G14" s="138">
        <f t="shared" ref="G14:N14" si="5">SUM(G12:G13)</f>
        <v>225936</v>
      </c>
      <c r="H14" s="138">
        <f t="shared" si="5"/>
        <v>78153690</v>
      </c>
      <c r="I14" s="138">
        <f t="shared" si="5"/>
        <v>80853703</v>
      </c>
      <c r="J14" s="138">
        <f t="shared" si="5"/>
        <v>82930389</v>
      </c>
      <c r="K14" s="138">
        <f t="shared" si="5"/>
        <v>65982630</v>
      </c>
      <c r="L14" s="138">
        <f t="shared" si="5"/>
        <v>1710652</v>
      </c>
      <c r="M14" s="138">
        <f t="shared" si="5"/>
        <v>0</v>
      </c>
      <c r="N14" s="138">
        <f t="shared" si="5"/>
        <v>342923374</v>
      </c>
      <c r="O14" s="139"/>
      <c r="Q14" s="190">
        <f>ROUNDDOWN(N12+2500+32143484,-1)</f>
        <v>365473900</v>
      </c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137</v>
      </c>
      <c r="AE14" s="183" t="s">
        <v>138</v>
      </c>
      <c r="AF14" s="183" t="s">
        <v>215</v>
      </c>
      <c r="AG14" s="183" t="s">
        <v>132</v>
      </c>
    </row>
    <row r="15" spans="1:33" ht="24.95" customHeight="1">
      <c r="D15" s="337"/>
      <c r="E15" s="266" t="s">
        <v>271</v>
      </c>
      <c r="F15" s="140">
        <f>F14+Z15</f>
        <v>36005543.89584554</v>
      </c>
      <c r="G15" s="140">
        <f t="shared" ref="G15:L15" si="6">G14+AA15</f>
        <v>246018.75095940899</v>
      </c>
      <c r="H15" s="140">
        <f t="shared" si="6"/>
        <v>85100534.907108188</v>
      </c>
      <c r="I15" s="140">
        <f t="shared" si="6"/>
        <v>88040543.863075823</v>
      </c>
      <c r="J15" s="140">
        <f t="shared" si="6"/>
        <v>90301820.224416256</v>
      </c>
      <c r="K15" s="140">
        <f t="shared" si="6"/>
        <v>71847626.244187832</v>
      </c>
      <c r="L15" s="140">
        <f t="shared" si="6"/>
        <v>1862707.114406954</v>
      </c>
      <c r="M15" s="140"/>
      <c r="N15" s="140">
        <f>SUM(F15:L15)</f>
        <v>373404795</v>
      </c>
      <c r="O15" s="187"/>
      <c r="Q15" s="281">
        <f>ROUNDDOWN(N13+925310,-1)</f>
        <v>10520760</v>
      </c>
      <c r="S15" s="136"/>
      <c r="T15" s="136"/>
      <c r="Z15" s="198">
        <f>SUMIFS(라인별전력적용비율!E:E,라인별전력적용비율!B:B,B8,라인별전력적용비율!D:D,B9)*AG15</f>
        <v>2939169.8958455403</v>
      </c>
      <c r="AA15" s="198">
        <f>SUMIFS(라인별전력적용비율!F:F,라인별전력적용비율!B:B,B8,라인별전력적용비율!D:D,B9)*AG15</f>
        <v>20082.750959409008</v>
      </c>
      <c r="AB15" s="198">
        <f>SUMIFS(라인별전력적용비율!G:G,라인별전력적용비율!B:B,B8,라인별전력적용비율!D:D,B9)*AG15</f>
        <v>6946844.9071081905</v>
      </c>
      <c r="AC15" s="198">
        <f>SUMIFS(라인별전력적용비율!H:H,라인별전력적용비율!B:B,B8,라인별전력적용비율!D:D,B9)*AG15</f>
        <v>7186840.8630758235</v>
      </c>
      <c r="AD15" s="198">
        <f>SUMIFS(라인별전력적용비율!I:I,라인별전력적용비율!B:B,B8,라인별전력적용비율!D:D,B9)*AG15</f>
        <v>7371431.224416256</v>
      </c>
      <c r="AE15" s="198">
        <f>SUMIFS(라인별전력적용비율!J:J,라인별전력적용비율!B:B,B8,라인별전력적용비율!D:D,B9)*AG15</f>
        <v>5864996.2441878244</v>
      </c>
      <c r="AF15" s="198">
        <f>SUMIFS(라인별전력적용비율!K:K,라인별전력적용비율!B:B,B8,라인별전력적용비율!D:D,B9)*AG15</f>
        <v>152055.11440695392</v>
      </c>
      <c r="AG15" s="198">
        <f>ROUND(SUMIFS(리스추정치!E:E,리스추정치!B:B,B8,리스추정치!D:D,B9),0)</f>
        <v>30481421</v>
      </c>
    </row>
    <row r="16" spans="1:33" ht="24.95" customHeight="1">
      <c r="D16" s="337"/>
      <c r="E16" s="141" t="s">
        <v>272</v>
      </c>
      <c r="F16" s="188">
        <f>IFERROR(F15/F8,0)</f>
        <v>16963.423019516966</v>
      </c>
      <c r="G16" s="188">
        <f t="shared" ref="G16:N16" si="7">IFERROR(G15/G8,0)</f>
        <v>0</v>
      </c>
      <c r="H16" s="188">
        <f t="shared" si="7"/>
        <v>59898.317724517467</v>
      </c>
      <c r="I16" s="188">
        <f t="shared" si="7"/>
        <v>0</v>
      </c>
      <c r="J16" s="188">
        <f t="shared" si="7"/>
        <v>7554.6526037858057</v>
      </c>
      <c r="K16" s="188">
        <f t="shared" si="7"/>
        <v>15078.675350575113</v>
      </c>
      <c r="L16" s="188">
        <f t="shared" si="7"/>
        <v>801.6919152848775</v>
      </c>
      <c r="M16" s="188">
        <f t="shared" si="7"/>
        <v>0</v>
      </c>
      <c r="N16" s="188">
        <f t="shared" si="7"/>
        <v>16533.492511539866</v>
      </c>
      <c r="O16" s="187"/>
      <c r="S16" s="136"/>
      <c r="T16" s="136"/>
    </row>
    <row r="17" spans="4:20" ht="24.95" customHeight="1">
      <c r="D17" s="337"/>
      <c r="E17" s="141" t="s">
        <v>273</v>
      </c>
      <c r="F17" s="137">
        <f>IFERROR(F9/F8,0)</f>
        <v>114.87368907064177</v>
      </c>
      <c r="G17" s="137">
        <f t="shared" ref="G17:N17" si="8">IFERROR(G9/G8,0)</f>
        <v>0</v>
      </c>
      <c r="H17" s="137">
        <f t="shared" si="8"/>
        <v>405.62238254443076</v>
      </c>
      <c r="I17" s="137">
        <f t="shared" si="8"/>
        <v>0</v>
      </c>
      <c r="J17" s="137">
        <f t="shared" si="8"/>
        <v>51.158942336490668</v>
      </c>
      <c r="K17" s="137">
        <f t="shared" si="8"/>
        <v>102.11045468377807</v>
      </c>
      <c r="L17" s="137">
        <f t="shared" si="8"/>
        <v>5.4293793334968825</v>
      </c>
      <c r="M17" s="137">
        <f t="shared" si="8"/>
        <v>0</v>
      </c>
      <c r="N17" s="137">
        <f t="shared" si="8"/>
        <v>131.02438592413023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SUMIFS(LNG사용량!E:E,LNG사용량!B:B,B8,LNG사용량!D:D,B9)</f>
        <v>7142.9310075951589</v>
      </c>
      <c r="G18" s="188">
        <f>SUMIFS(LNG사용량!F:F,LNG사용량!B:B,B8,LNG사용량!D:D,B9)</f>
        <v>0</v>
      </c>
      <c r="H18" s="188"/>
      <c r="I18" s="188">
        <f>SUMIFS(LNG사용량!G:G,LNG사용량!B:B,B8,LNG사용량!D:D,B9)</f>
        <v>16848</v>
      </c>
      <c r="J18" s="188">
        <f>SUMIFS(LNG사용량!H:H,LNG사용량!B:B,B8,LNG사용량!D:D,B9)</f>
        <v>332295</v>
      </c>
      <c r="K18" s="188">
        <f>SUMIFS(LNG사용량!I:I,LNG사용량!B:B,B8,LNG사용량!D:D,B9)</f>
        <v>330867.06899240485</v>
      </c>
      <c r="L18" s="188"/>
      <c r="M18" s="188">
        <f>SUMIFS(LNG사용량!J:J,LNG사용량!B:B,B8,LNG사용량!D:D,B9)+SUMIFS(LNG사용량!K:K,LNG사용량!B:B,B8,LNG사용량!D:D,B9)</f>
        <v>4992.9999999999964</v>
      </c>
      <c r="N18" s="188">
        <f>SUM(F18:M18)</f>
        <v>692146</v>
      </c>
      <c r="O18" s="187"/>
    </row>
    <row r="19" spans="4:20" ht="24.95" customHeight="1">
      <c r="D19" s="337"/>
      <c r="E19" s="164" t="s">
        <v>370</v>
      </c>
      <c r="F19" s="138">
        <f>SUMIFS(LNG금액!E:E,LNG금액!B:B,B8,LNG금액!D:D,B9)</f>
        <v>4023347</v>
      </c>
      <c r="G19" s="138">
        <f>SUMIFS(LNG금액!F:F,LNG금액!B:B,B8,LNG금액!D:D,B9)</f>
        <v>0</v>
      </c>
      <c r="H19" s="138"/>
      <c r="I19" s="138">
        <f>SUMIFS(LNG금액!G:G,LNG금액!B:B,B8,LNG금액!D:D,B9)</f>
        <v>9489851</v>
      </c>
      <c r="J19" s="138">
        <f>SUMIFS(LNG금액!H:H,LNG금액!B:B,B8,LNG금액!D:D,B9)</f>
        <v>187169393</v>
      </c>
      <c r="K19" s="138">
        <f>SUMIFS(LNG금액!I:I,LNG금액!B:B,B8,LNG금액!D:D,B9)</f>
        <v>186365093</v>
      </c>
      <c r="L19" s="138"/>
      <c r="M19" s="138">
        <f>SUMIFS(LNG금액!J:J,LNG금액!B:B,B8,LNG금액!D:D,B9)+SUMIFS(LNG금액!K:K,LNG금액!B:B,B8,LNG금액!D:D,B9)</f>
        <v>2812371</v>
      </c>
      <c r="N19" s="138">
        <f>SUM(F19:M19)</f>
        <v>389860055</v>
      </c>
      <c r="O19" s="187"/>
    </row>
    <row r="20" spans="4:20" ht="24.95" customHeight="1">
      <c r="D20" s="337"/>
      <c r="E20" s="164" t="s">
        <v>272</v>
      </c>
      <c r="F20" s="188">
        <f>F19/F8</f>
        <v>1895.5341242096733</v>
      </c>
      <c r="G20" s="188">
        <f>IFERROR(G19/G8,0)</f>
        <v>0</v>
      </c>
      <c r="H20" s="188"/>
      <c r="I20" s="188">
        <f>IFERROR(I19/I8,0)</f>
        <v>0</v>
      </c>
      <c r="J20" s="188">
        <f t="shared" ref="J20:N20" si="9">J19/J8</f>
        <v>15658.596234964203</v>
      </c>
      <c r="K20" s="188">
        <f t="shared" si="9"/>
        <v>39112.478462071209</v>
      </c>
      <c r="L20" s="188"/>
      <c r="M20" s="188"/>
      <c r="N20" s="188">
        <f t="shared" si="9"/>
        <v>17262.093005235834</v>
      </c>
      <c r="O20" s="187"/>
    </row>
    <row r="21" spans="4:20" ht="24.95" customHeight="1">
      <c r="D21" s="337"/>
      <c r="E21" s="164" t="s">
        <v>372</v>
      </c>
      <c r="F21" s="137">
        <f>F18/F8</f>
        <v>3.3652750985117637</v>
      </c>
      <c r="G21" s="137">
        <f>IFERROR(G18/G8,0)</f>
        <v>0</v>
      </c>
      <c r="H21" s="137"/>
      <c r="I21" s="137">
        <f>IFERROR(I18/I8,0)</f>
        <v>0</v>
      </c>
      <c r="J21" s="137">
        <f t="shared" ref="J21:N21" si="10">J18/J8</f>
        <v>27.79980825122102</v>
      </c>
      <c r="K21" s="137">
        <f t="shared" si="10"/>
        <v>69.439136382552405</v>
      </c>
      <c r="L21" s="137"/>
      <c r="M21" s="137"/>
      <c r="N21" s="137">
        <f t="shared" si="10"/>
        <v>30.64660888431353</v>
      </c>
      <c r="O21" s="187"/>
      <c r="Q21" s="183" t="s">
        <v>432</v>
      </c>
      <c r="R21" s="183">
        <f>SUMIFS(라인별전력적용비율!E:E,라인별전력적용비율!B:B,B8,라인별전력적용비율!D:D,B9)</f>
        <v>9.6424963122471896E-2</v>
      </c>
    </row>
    <row r="22" spans="4:20" ht="24.95" customHeight="1">
      <c r="D22" s="266" t="s">
        <v>374</v>
      </c>
      <c r="E22" s="164" t="s">
        <v>375</v>
      </c>
      <c r="F22" s="187">
        <f>SUMIFS(LNG사용량!M:M,LNG사용량!B:B,B8,LNG사용량!D:D,B9)</f>
        <v>95439</v>
      </c>
      <c r="G22" s="187"/>
      <c r="H22" s="187"/>
      <c r="I22" s="187"/>
      <c r="J22" s="187"/>
      <c r="K22" s="187">
        <f>SUMIFS(LNG사용량!N:N,LNG사용량!B:B,B8,LNG사용량!D:D,B9)</f>
        <v>1135740</v>
      </c>
      <c r="L22" s="187"/>
      <c r="M22" s="187"/>
      <c r="N22" s="188">
        <f>SUM(F22:M22)</f>
        <v>1231179</v>
      </c>
      <c r="O22" s="187"/>
      <c r="Q22" s="183" t="s">
        <v>433</v>
      </c>
      <c r="R22" s="183">
        <f>SUMIFS(라인별전력적용비율!F:F,라인별전력적용비율!B:B,B8,라인별전력적용비율!D:D,B9)</f>
        <v>6.5885218931915966E-4</v>
      </c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SUMIFS(용수사용량!F:F,용수사용량!B:B,B8,용수사용량!D:D,B9,용수사용량!E:E,'21.2월'!B10)</f>
        <v>187.00711174602293</v>
      </c>
      <c r="G23" s="188">
        <f>SUMIFS(용수사용량!G:G,용수사용량!B:B,B8,용수사용량!D:D,B9,용수사용량!E:E,'21.2월'!B10)</f>
        <v>63.472216830614556</v>
      </c>
      <c r="H23" s="188">
        <f>SUMIFS(용수사용량!H:H,용수사용량!B:B,B8,용수사용량!D:D,B9,용수사용량!E:E,'21.2월'!B10)</f>
        <v>15.495135907330326</v>
      </c>
      <c r="I23" s="188">
        <f>SUMIFS(용수사용량!I:I,용수사용량!B:B,B8,용수사용량!D:D,B9,용수사용량!E:E,'21.2월'!B10)</f>
        <v>5.7231543233357662</v>
      </c>
      <c r="J23" s="188">
        <f>SUMIFS(용수사용량!J:J,용수사용량!B:B,B8,용수사용량!D:D,B9,용수사용량!E:E,'21.2월'!B10)</f>
        <v>2126.0605041886352</v>
      </c>
      <c r="K23" s="188">
        <f>SUMIFS(용수사용량!K:K,용수사용량!B:B,B8,용수사용량!D:D,B9,용수사용량!E:E,'21.2월'!B10)</f>
        <v>1523.2418770040611</v>
      </c>
      <c r="L23" s="188"/>
      <c r="M23" s="188"/>
      <c r="N23" s="188">
        <f>SUM(F23:M23)</f>
        <v>3921</v>
      </c>
      <c r="O23" s="187"/>
      <c r="Q23" s="183" t="s">
        <v>438</v>
      </c>
      <c r="R23" s="183">
        <f>SUMIFS(라인별전력적용비율!G:G,라인별전력적용비율!B:B,B8,라인별전력적용비율!D:D,B9)</f>
        <v>0.22790423409421071</v>
      </c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SUMIFS(용수금액!F:F,용수사용량!B:B,B8,용수사용량!D:D,B9,용수사용량!E:E,'21.2월'!B10)</f>
        <v>840018.68083320593</v>
      </c>
      <c r="G24" s="188">
        <f>SUMIFS(용수금액!G:G,용수사용량!B:B,B8,용수사용량!D:D,B9,용수사용량!E:E,'21.2월'!B10)</f>
        <v>285111.3380330893</v>
      </c>
      <c r="H24" s="188">
        <f>SUMIFS(용수금액!H:H,용수사용량!B:B,B8,용수사용량!D:D,B9,용수사용량!E:E,'21.2월'!B10)</f>
        <v>69602.719932300519</v>
      </c>
      <c r="I24" s="188">
        <f>SUMIFS(용수금액!I:I,용수사용량!B:B,B8,용수사용량!D:D,B9,용수사용량!E:E,'21.2월'!B10)</f>
        <v>25707.880839433434</v>
      </c>
      <c r="J24" s="188">
        <f>SUMIFS(용수금액!J:J,용수사용량!B:B,B8,용수사용량!D:D,B9,용수사용량!E:E,'21.2월'!B10)</f>
        <v>9550067.4997088667</v>
      </c>
      <c r="K24" s="188">
        <f>SUMIFS(용수금액!K:K,용수사용량!B:B,B8,용수사용량!D:D,B9,용수사용량!E:E,'21.2월'!B10)</f>
        <v>6842261.8806531029</v>
      </c>
      <c r="L24" s="188"/>
      <c r="M24" s="188"/>
      <c r="N24" s="189">
        <f>SUM(F24:M24)</f>
        <v>17612770</v>
      </c>
      <c r="O24" s="187"/>
      <c r="Q24" s="183" t="s">
        <v>434</v>
      </c>
      <c r="R24" s="183">
        <f>SUMIFS(라인별전력적용비율!H:H,라인별전력적용비율!B:B,B8,라인별전력적용비율!D:D,B9)</f>
        <v>0.2357777500949127</v>
      </c>
    </row>
    <row r="25" spans="4:20" ht="24.95" customHeight="1">
      <c r="D25" s="337"/>
      <c r="E25" s="164" t="s">
        <v>272</v>
      </c>
      <c r="F25" s="188">
        <f>F24/F8</f>
        <v>395.76106025479186</v>
      </c>
      <c r="G25" s="188">
        <f>G24/F8</f>
        <v>134.32554299711163</v>
      </c>
      <c r="H25" s="188">
        <f>H24/H8</f>
        <v>48.990124886363205</v>
      </c>
      <c r="I25" s="188">
        <f>IFERROR(I24/I8,0)</f>
        <v>0</v>
      </c>
      <c r="J25" s="188">
        <f t="shared" ref="J25:K25" si="11">J24/J8</f>
        <v>798.95889278539926</v>
      </c>
      <c r="K25" s="188">
        <f t="shared" si="11"/>
        <v>1435.9868370784186</v>
      </c>
      <c r="L25" s="188"/>
      <c r="M25" s="188"/>
      <c r="N25" s="188">
        <f t="shared" ref="N25" si="12">N24/N8</f>
        <v>779.8523339864289</v>
      </c>
      <c r="O25" s="187"/>
      <c r="Q25" s="183" t="s">
        <v>435</v>
      </c>
      <c r="R25" s="183">
        <f>SUMIFS(라인별전력적용비율!I:I,라인별전력적용비율!B:B,B8,라인별전력적용비율!D:D,B9)</f>
        <v>0.2418335819847853</v>
      </c>
    </row>
    <row r="26" spans="4:20" ht="24.95" customHeight="1">
      <c r="D26" s="337"/>
      <c r="E26" s="164" t="s">
        <v>379</v>
      </c>
      <c r="F26" s="137">
        <f>F23/F8</f>
        <v>8.8105341593573236E-2</v>
      </c>
      <c r="G26" s="137">
        <f>G23/F8</f>
        <v>2.9903896666547889E-2</v>
      </c>
      <c r="H26" s="137">
        <f>H23/H8</f>
        <v>1.090630716686984E-2</v>
      </c>
      <c r="I26" s="137">
        <f>IFERROR(I23/I8,0)</f>
        <v>0</v>
      </c>
      <c r="J26" s="137">
        <f t="shared" ref="J26:K26" si="13">J23/J8</f>
        <v>0.17786627649208789</v>
      </c>
      <c r="K26" s="137">
        <f t="shared" si="13"/>
        <v>0.31968307019193909</v>
      </c>
      <c r="L26" s="137"/>
      <c r="M26" s="137"/>
      <c r="N26" s="137">
        <f t="shared" ref="N26" si="14">N23/N8</f>
        <v>0.1736127254009896</v>
      </c>
      <c r="O26" s="187"/>
      <c r="Q26" s="183" t="s">
        <v>436</v>
      </c>
      <c r="R26" s="183">
        <f>SUMIFS(라인별전력적용비율!J:J,라인별전력적용비율!B:B,B8,라인별전력적용비율!D:D,B9)</f>
        <v>0.19241216622374083</v>
      </c>
    </row>
    <row r="27" spans="4:20" ht="24.95" customHeight="1">
      <c r="D27" s="337" t="s">
        <v>297</v>
      </c>
      <c r="E27" s="164" t="s">
        <v>369</v>
      </c>
      <c r="F27" s="188">
        <f>SUMIFS(용수사용량!S:S,용수사용량!O:O,B8,용수사용량!Q:Q,B9,용수사용량!R:R,'21.2월'!B11)</f>
        <v>1183.5675809970173</v>
      </c>
      <c r="G27" s="188">
        <f>SUMIFS(용수사용량!T:T,용수사용량!O:O,B8,용수사용량!Q:Q,B9,용수사용량!R:R,'21.2월'!B11)</f>
        <v>401.71551463109688</v>
      </c>
      <c r="H27" s="188">
        <f>SUMIFS(용수사용량!U:U,용수사용량!O:O,B8,용수사용량!Q:Q,B9,용수사용량!R:R,'21.2월'!B11)</f>
        <v>98.068679590999579</v>
      </c>
      <c r="I27" s="188">
        <f>SUMIFS(용수사용량!V:V,용수사용량!O:O,B8,용수사용량!Q:Q,B9,용수사용량!R:R,'21.2월'!B11)</f>
        <v>36.221830575848095</v>
      </c>
      <c r="J27" s="188">
        <f>SUMIFS(용수사용량!W:W,용수사용량!O:O,B8,용수사용량!Q:Q,B9,용수사용량!R:R,'21.2월'!B11)</f>
        <v>13455.832050993411</v>
      </c>
      <c r="K27" s="188">
        <f>SUMIFS(용수사용량!X:X,용수사용량!O:O,B8,용수사용량!Q:Q,B9,용수사용량!R:R,'21.2월'!B11)</f>
        <v>9640.5943432116255</v>
      </c>
      <c r="L27" s="188"/>
      <c r="M27" s="188"/>
      <c r="N27" s="188">
        <f>SUM(F27:M27)</f>
        <v>24816</v>
      </c>
      <c r="O27" s="187"/>
      <c r="Q27" s="183" t="s">
        <v>437</v>
      </c>
      <c r="R27" s="183">
        <f>SUMIFS(라인별전력적용비율!K:K,라인별전력적용비율!B:B,B8,라인별전력적용비율!D:D,B9)</f>
        <v>4.9884522905593517E-3</v>
      </c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SUMIFS(용수금액!S:S,용수사용량!O:O,B8,용수사용량!Q:Q,B9,용수사용량!R:R,'21.2월'!B11)</f>
        <v>661586.42463954655</v>
      </c>
      <c r="G28" s="213">
        <f>SUMIFS(용수금액!T:T,용수사용량!O:O,B8,용수사용량!Q:Q,B9,용수사용량!R:R,'21.2월'!B11)</f>
        <v>224549.51902547301</v>
      </c>
      <c r="H28" s="213">
        <f>SUMIFS(용수금액!U:U,용수사용량!O:O,B8,용수사용량!Q:Q,B9,용수사용량!R:R,'21.2월'!B11)</f>
        <v>54818.08402108826</v>
      </c>
      <c r="I28" s="213">
        <f>SUMIFS(용수금액!V:V,용수사용량!O:O,B8,용수사용량!Q:Q,B9,용수사용량!R:R,'21.2월'!B11)</f>
        <v>20247.150876156971</v>
      </c>
      <c r="J28" s="213">
        <f>SUMIFS(용수금액!W:W,용수사용량!O:O,B8,용수사용량!Q:Q,B9,용수사용량!R:R,'21.2월'!B11)</f>
        <v>7521493.4576595007</v>
      </c>
      <c r="K28" s="213">
        <f>SUMIFS(용수금액!X:X,용수사용량!O:O,B8,용수사용량!Q:Q,B9,용수사용량!R:R,'21.2월'!B11)</f>
        <v>5388865.3637782335</v>
      </c>
      <c r="L28" s="213"/>
      <c r="M28" s="213"/>
      <c r="N28" s="213">
        <f>SUM(F28:M28)</f>
        <v>13871560</v>
      </c>
      <c r="O28" s="187"/>
      <c r="R28" s="183">
        <f>SUM(R21:R27)</f>
        <v>1</v>
      </c>
    </row>
    <row r="29" spans="4:20" ht="24.95" customHeight="1">
      <c r="D29" s="337"/>
      <c r="E29" s="164" t="s">
        <v>272</v>
      </c>
      <c r="F29" s="188">
        <f>F28/F8</f>
        <v>311.69562158524531</v>
      </c>
      <c r="G29" s="188">
        <f>G28/F8</f>
        <v>105.79283265590897</v>
      </c>
      <c r="H29" s="188">
        <f t="shared" ref="H29:N29" si="15">H28/H8</f>
        <v>38.583905698460853</v>
      </c>
      <c r="I29" s="188">
        <f>IFERROR(I28/I8,0)</f>
        <v>0</v>
      </c>
      <c r="J29" s="188">
        <f t="shared" si="15"/>
        <v>629.24833622458209</v>
      </c>
      <c r="K29" s="188">
        <f t="shared" si="15"/>
        <v>1130.9622262564892</v>
      </c>
      <c r="L29" s="188"/>
      <c r="M29" s="188"/>
      <c r="N29" s="188">
        <f t="shared" si="15"/>
        <v>614.20029001870728</v>
      </c>
      <c r="O29" s="187"/>
    </row>
    <row r="30" spans="4:20" ht="24.95" customHeight="1">
      <c r="D30" s="337"/>
      <c r="E30" s="164" t="s">
        <v>377</v>
      </c>
      <c r="F30" s="137">
        <f>F27/F8</f>
        <v>0.55761850471464258</v>
      </c>
      <c r="G30" s="137">
        <f>G27/F8</f>
        <v>0.18926169336318605</v>
      </c>
      <c r="H30" s="137">
        <f t="shared" ref="H30:N30" si="16">H27/H8</f>
        <v>6.9025993025514404E-2</v>
      </c>
      <c r="I30" s="137">
        <f>IFERROR(I27/I8,0)</f>
        <v>0</v>
      </c>
      <c r="J30" s="137">
        <f t="shared" si="16"/>
        <v>1.1257152556561214</v>
      </c>
      <c r="K30" s="137">
        <f t="shared" si="16"/>
        <v>2.0232734174657385</v>
      </c>
      <c r="L30" s="137"/>
      <c r="M30" s="137"/>
      <c r="N30" s="137">
        <f t="shared" si="16"/>
        <v>1.0987945405638762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SUMIFS(용수사용량!AF:AF,용수사용량!AB:AB,B8,용수사용량!AD:AD,B9,용수사용량!AE:AE,'21.2월'!B12)</f>
        <v>883.00170029733965</v>
      </c>
      <c r="G31" s="188">
        <f>SUMIFS(용수사용량!AG:AG,용수사용량!AB:AB,B8,용수사용량!AD:AD,B9,용수사용량!AE:AE,'21.2월'!B12)</f>
        <v>299.7002352466202</v>
      </c>
      <c r="H31" s="188">
        <f>SUMIFS(용수사용량!AH:AH,용수사용량!AB:AB,B8,용수사용량!AD:AD,B9,용수사용량!AE:AE,'21.2월'!B12)</f>
        <v>73.164230091383232</v>
      </c>
      <c r="I31" s="188">
        <f>SUMIFS(용수사용량!AI:AI,용수사용량!AB:AB,B8,용수사용량!AD:AD,B9,용수사용량!AE:AE,'21.2월'!B12)</f>
        <v>27.023330564202595</v>
      </c>
      <c r="J31" s="188">
        <f>SUMIFS(용수사용량!AJ:AJ,용수사용량!AB:AB,B8,용수사용량!AD:AD,B9,용수사용량!AE:AE,'21.2월'!B12)</f>
        <v>10038.736081241619</v>
      </c>
      <c r="K31" s="188">
        <f>SUMIFS(용수사용량!AK:AK,용수사용량!AB:AB,B8,용수사용량!AD:AD,B9,용수사용량!AE:AE,'21.2월'!B12)</f>
        <v>7192.3744225588343</v>
      </c>
      <c r="L31" s="188"/>
      <c r="M31" s="188"/>
      <c r="N31" s="188">
        <f>SUM(F31:M31)</f>
        <v>18514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SUMIFS(용수금액!AF:AF,용수금액!AB:AB,B8,용수금액!AD:AD,B9,용수금액!AE:AE,'21.2월'!B12)</f>
        <v>772626.48776017211</v>
      </c>
      <c r="G32" s="188">
        <f>SUMIFS(용수금액!AG:AG,용수금액!AB:AB,B8,용수금액!AD:AD,B9,용수금액!AE:AE,'21.2월'!B12)</f>
        <v>262237.70584079268</v>
      </c>
      <c r="H32" s="188">
        <f>SUMIFS(용수금액!AH:AH,용수금액!AB:AB,B8,용수금액!AD:AD,B9,용수금액!AE:AE,'21.2월'!B12)</f>
        <v>64018.701329960328</v>
      </c>
      <c r="I32" s="188">
        <f>SUMIFS(용수금액!AI:AI,용수금액!AB:AB,B8,용수금액!AD:AD,B9,용수금액!AE:AE,'21.2월'!B12)</f>
        <v>23645.414243677271</v>
      </c>
      <c r="J32" s="188">
        <f>SUMIFS(용수금액!AJ:AJ,용수금액!AB:AB,B8,용수금액!AD:AD,B9,용수금액!AE:AE,'21.2월'!B12)</f>
        <v>8783894.071086416</v>
      </c>
      <c r="K32" s="188">
        <f>SUMIFS(용수금액!AK:AK,용수금액!AB:AB,B8,용수금액!AD:AD,B9,용수금액!AE:AE,'21.2월'!B12)</f>
        <v>6293327.6197389793</v>
      </c>
      <c r="L32" s="188"/>
      <c r="M32" s="188"/>
      <c r="N32" s="188">
        <f>SUM(F32:M32)</f>
        <v>16199749.999999998</v>
      </c>
      <c r="O32" s="187"/>
    </row>
    <row r="33" spans="4:15" ht="24.95" customHeight="1">
      <c r="D33" s="337"/>
      <c r="E33" s="164" t="s">
        <v>272</v>
      </c>
      <c r="F33" s="188">
        <f>F32/F8</f>
        <v>364.01033090550573</v>
      </c>
      <c r="G33" s="188">
        <f>G32/F8</f>
        <v>123.54900536187431</v>
      </c>
      <c r="H33" s="188">
        <f t="shared" ref="H33:N33" si="17">H32/H8</f>
        <v>45.059793299285822</v>
      </c>
      <c r="I33" s="188">
        <f>IFERROR(I32/I8,0)</f>
        <v>0</v>
      </c>
      <c r="J33" s="188">
        <f t="shared" si="17"/>
        <v>734.8608040302729</v>
      </c>
      <c r="K33" s="188">
        <f t="shared" si="17"/>
        <v>1320.7818965421743</v>
      </c>
      <c r="L33" s="188"/>
      <c r="M33" s="188"/>
      <c r="N33" s="188">
        <f t="shared" si="17"/>
        <v>717.28710745082401</v>
      </c>
      <c r="O33" s="187"/>
    </row>
    <row r="34" spans="4:15" ht="24.95" customHeight="1">
      <c r="D34" s="337"/>
      <c r="E34" s="164" t="s">
        <v>381</v>
      </c>
      <c r="F34" s="137">
        <f>IFERROR(F31/F8,0)</f>
        <v>0.41601180674914945</v>
      </c>
      <c r="G34" s="137">
        <f>IFERROR(G31/F8,0)</f>
        <v>0.14119886327071349</v>
      </c>
      <c r="H34" s="137">
        <f t="shared" ref="H34:N34" si="18">IFERROR(H31/H8,0)</f>
        <v>5.1496906627755225E-2</v>
      </c>
      <c r="I34" s="137">
        <f t="shared" si="18"/>
        <v>0</v>
      </c>
      <c r="J34" s="137">
        <f t="shared" si="18"/>
        <v>0.83984091889174051</v>
      </c>
      <c r="K34" s="137">
        <f t="shared" si="18"/>
        <v>1.5094650246196279</v>
      </c>
      <c r="L34" s="137">
        <f t="shared" si="18"/>
        <v>0</v>
      </c>
      <c r="M34" s="137">
        <f t="shared" si="18"/>
        <v>0</v>
      </c>
      <c r="N34" s="137">
        <f t="shared" si="18"/>
        <v>0.81975669422951325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D23:D26"/>
    <mergeCell ref="D27:D30"/>
    <mergeCell ref="D31:D34"/>
    <mergeCell ref="D4:L5"/>
    <mergeCell ref="D7:E7"/>
    <mergeCell ref="D8:D17"/>
    <mergeCell ref="A10:A12"/>
    <mergeCell ref="D18:D21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topLeftCell="A4" workbookViewId="0">
      <selection activeCell="J17" sqref="J17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16" width="9" style="183"/>
    <col min="17" max="17" width="14.5" style="183" customWidth="1"/>
    <col min="18" max="18" width="9" style="183"/>
    <col min="19" max="19" width="14.625" style="183" bestFit="1" customWidth="1"/>
    <col min="20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450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286" t="s">
        <v>133</v>
      </c>
      <c r="G7" s="286" t="s">
        <v>134</v>
      </c>
      <c r="H7" s="286" t="s">
        <v>135</v>
      </c>
      <c r="I7" s="286" t="s">
        <v>136</v>
      </c>
      <c r="J7" s="286" t="s">
        <v>137</v>
      </c>
      <c r="K7" s="286" t="s">
        <v>138</v>
      </c>
      <c r="L7" s="286" t="s">
        <v>139</v>
      </c>
      <c r="M7" s="286" t="s">
        <v>284</v>
      </c>
      <c r="N7" s="286" t="s">
        <v>132</v>
      </c>
      <c r="O7" s="286" t="s">
        <v>287</v>
      </c>
      <c r="Q7" s="275" t="s">
        <v>430</v>
      </c>
      <c r="R7" s="275" t="s">
        <v>80</v>
      </c>
      <c r="S7" s="133" t="s">
        <v>302</v>
      </c>
      <c r="T7" s="133"/>
      <c r="U7" s="276" t="s">
        <v>288</v>
      </c>
      <c r="V7" s="273" t="s">
        <v>289</v>
      </c>
      <c r="W7" s="273" t="s">
        <v>290</v>
      </c>
      <c r="X7" s="273" t="s">
        <v>291</v>
      </c>
    </row>
    <row r="8" spans="1:33" ht="24.95" customHeight="1" thickTop="1">
      <c r="A8" s="284" t="s">
        <v>2</v>
      </c>
      <c r="B8" s="218" t="s">
        <v>300</v>
      </c>
      <c r="D8" s="337" t="s">
        <v>274</v>
      </c>
      <c r="E8" s="285" t="s">
        <v>265</v>
      </c>
      <c r="F8" s="137">
        <f>SUMIFS(생산량!E:E,생산량!B:B,B8,생산량!D:D,B9)</f>
        <v>27582.12</v>
      </c>
      <c r="G8" s="137"/>
      <c r="H8" s="137">
        <f>SUMIFS(생산량!F:F,생산량!B:B,B8,생산량!D:D,B9)</f>
        <v>23204.240000000002</v>
      </c>
      <c r="I8" s="137">
        <f>SUMIFS(생산량!G:G,생산량!B:B,B8,생산량!D:D,B9)</f>
        <v>22857.03</v>
      </c>
      <c r="J8" s="137">
        <f>SUMIFS(생산량!H:H,생산량!B:B,B8,생산량!D:D,B9)</f>
        <v>13031.1</v>
      </c>
      <c r="K8" s="137">
        <f>SUMIFS(생산량!I:I,생산량!B:B,B8,생산량!D:D,B9)</f>
        <v>5544.98</v>
      </c>
      <c r="L8" s="137">
        <f>SUMIFS(생산량!J:J,생산량!B:B,B8,생산량!D:D,B9)</f>
        <v>2599.2980000000002</v>
      </c>
      <c r="M8" s="137"/>
      <c r="N8" s="137">
        <f t="shared" ref="N8:N13" si="0">SUM(F8:M8)</f>
        <v>94818.767999999996</v>
      </c>
      <c r="O8" s="187"/>
      <c r="Q8" s="273" t="s">
        <v>444</v>
      </c>
      <c r="R8" s="273"/>
      <c r="S8" s="277"/>
      <c r="T8" s="277"/>
      <c r="U8" s="276"/>
      <c r="V8" s="273"/>
      <c r="W8" s="273"/>
      <c r="X8" s="273"/>
    </row>
    <row r="9" spans="1:33" ht="24.95" customHeight="1">
      <c r="A9" s="284" t="s">
        <v>4</v>
      </c>
      <c r="B9" s="219" t="s">
        <v>445</v>
      </c>
      <c r="D9" s="337"/>
      <c r="E9" s="285" t="s">
        <v>267</v>
      </c>
      <c r="F9" s="138">
        <f>SUM(F10:F11)</f>
        <v>186258</v>
      </c>
      <c r="G9" s="138">
        <f t="shared" ref="G9:L9" si="1">SUM(G10:G11)</f>
        <v>63277</v>
      </c>
      <c r="H9" s="138">
        <f t="shared" si="1"/>
        <v>1641496</v>
      </c>
      <c r="I9" s="138">
        <f t="shared" si="1"/>
        <v>2539869</v>
      </c>
      <c r="J9" s="138">
        <f t="shared" si="1"/>
        <v>950588</v>
      </c>
      <c r="K9" s="138">
        <f t="shared" si="1"/>
        <v>702680</v>
      </c>
      <c r="L9" s="138">
        <f t="shared" si="1"/>
        <v>24549</v>
      </c>
      <c r="M9" s="138"/>
      <c r="N9" s="138">
        <f t="shared" si="0"/>
        <v>6108717</v>
      </c>
      <c r="O9" s="138"/>
      <c r="Q9" s="273" t="s">
        <v>440</v>
      </c>
      <c r="R9" s="273" t="s">
        <v>443</v>
      </c>
      <c r="S9" s="277" t="s">
        <v>441</v>
      </c>
      <c r="T9" s="277" t="s">
        <v>442</v>
      </c>
      <c r="U9" s="276"/>
      <c r="V9" s="273"/>
      <c r="W9" s="273"/>
      <c r="X9" s="273"/>
    </row>
    <row r="10" spans="1:33" ht="24.95" customHeight="1">
      <c r="A10" s="330" t="s">
        <v>301</v>
      </c>
      <c r="B10" s="220" t="s">
        <v>295</v>
      </c>
      <c r="D10" s="337"/>
      <c r="E10" s="285" t="s">
        <v>266</v>
      </c>
      <c r="F10" s="188">
        <f>ROUND(SUMIFS(라인분배전력량!E:E,라인분배전력량!B:B,B8,라인분배전력량!D:D,B9),0)</f>
        <v>179604</v>
      </c>
      <c r="G10" s="188">
        <f>ROUND(SUMIFS(라인분배전력량!F:F,라인분배전력량!B:B,B8,라인분배전력량!D:D,B9),0)</f>
        <v>61017</v>
      </c>
      <c r="H10" s="188">
        <f>ROUND(SUMIFS(라인분배전력량!G:G,라인분배전력량!B:B,B8,라인분배전력량!D:D,B9),0)</f>
        <v>1582857</v>
      </c>
      <c r="I10" s="188">
        <f>ROUND(SUMIFS(라인분배전력량!H:H,라인분배전력량!B:B,B8,라인분배전력량!D:D,B9),0)</f>
        <v>2471312</v>
      </c>
      <c r="J10" s="188">
        <f>ROUND(SUMIFS(라인분배전력량!I:I,라인분배전력량!B:B,B8,라인분배전력량!D:D,B9)+T10,0)</f>
        <v>916630</v>
      </c>
      <c r="K10" s="188">
        <f>ROUND(SUMIFS(라인분배전력량!J:J,라인분배전력량!B:B,B8,라인분배전력량!D:D,B9),0)</f>
        <v>677578</v>
      </c>
      <c r="L10" s="188">
        <f>ROUND(SUMIFS(라인분배전력량!K:K,라인분배전력량!B:B,B8,라인분배전력량!D:D,B9),0)+ROUND(SUMIFS(라인분배전력량!L:L,라인분배전력량!B:B,B8,라인분배전력량!D:D,B9),0)</f>
        <v>23672</v>
      </c>
      <c r="M10" s="188"/>
      <c r="N10" s="188">
        <f t="shared" si="0"/>
        <v>5912670</v>
      </c>
      <c r="O10" s="188"/>
      <c r="Q10" s="278"/>
      <c r="R10" s="279"/>
      <c r="S10" s="283"/>
      <c r="T10" s="280"/>
      <c r="U10" s="276">
        <f>F10+G10</f>
        <v>240621</v>
      </c>
      <c r="V10" s="273"/>
      <c r="W10" s="276">
        <f>ROUND(L10*0.6,0)</f>
        <v>14203</v>
      </c>
      <c r="X10" s="276">
        <f>L10-W10</f>
        <v>9469</v>
      </c>
    </row>
    <row r="11" spans="1:33" ht="24.95" customHeight="1">
      <c r="A11" s="330"/>
      <c r="B11" s="220" t="s">
        <v>297</v>
      </c>
      <c r="D11" s="337"/>
      <c r="E11" s="285" t="s">
        <v>303</v>
      </c>
      <c r="F11" s="188">
        <f>ROUND(SUMIFS(라인분배전력량!S:S,라인분배전력량!B:B,B8,라인분배전력량!D:D,B9),0)</f>
        <v>6654</v>
      </c>
      <c r="G11" s="188">
        <f>ROUND(SUMIFS(라인분배전력량!T:T,라인분배전력량!B:B,B8,라인분배전력량!D:D,B9),0)</f>
        <v>2260</v>
      </c>
      <c r="H11" s="188">
        <f>ROUND(SUMIFS(라인분배전력량!U:U,라인분배전력량!B:B,B8,라인분배전력량!D:D,B9),0)</f>
        <v>58639</v>
      </c>
      <c r="I11" s="188">
        <f>ROUND(SUMIFS(라인분배전력량!V:V,라인분배전력량!B:B,B8,라인분배전력량!D:D,B9),0)</f>
        <v>68557</v>
      </c>
      <c r="J11" s="188">
        <f>ROUND(SUMIFS(라인분배전력량!W:W,라인분배전력량!B:B,B8,라인분배전력량!D:D,B9)+T11+R11,0)</f>
        <v>33958</v>
      </c>
      <c r="K11" s="188">
        <f>ROUND(SUMIFS(라인분배전력량!X:X,라인분배전력량!B:B,B8,라인분배전력량!D:D,B9),0)</f>
        <v>25102</v>
      </c>
      <c r="L11" s="188">
        <f>ROUND(SUMIFS(라인분배전력량!Y:Y,라인분배전력량!B:B,B8,라인분배전력량!D:D,B9),0)</f>
        <v>877</v>
      </c>
      <c r="M11" s="188"/>
      <c r="N11" s="188">
        <f t="shared" si="0"/>
        <v>196047</v>
      </c>
      <c r="O11" s="188"/>
      <c r="Q11" s="278"/>
      <c r="R11" s="279"/>
      <c r="S11" s="283"/>
      <c r="T11" s="280"/>
      <c r="U11" s="276">
        <f t="shared" ref="U11:U13" si="2">F11+G11</f>
        <v>8914</v>
      </c>
      <c r="V11" s="273"/>
      <c r="W11" s="276">
        <f t="shared" ref="W11:W13" si="3">ROUND(L11*0.6,0)</f>
        <v>526</v>
      </c>
      <c r="X11" s="276">
        <f t="shared" ref="X11:X13" si="4">L11-W11</f>
        <v>351</v>
      </c>
    </row>
    <row r="12" spans="1:33" ht="24.95" customHeight="1" thickBot="1">
      <c r="A12" s="330"/>
      <c r="B12" s="221" t="s">
        <v>299</v>
      </c>
      <c r="D12" s="337"/>
      <c r="E12" s="285" t="s">
        <v>268</v>
      </c>
      <c r="F12" s="188">
        <f>SUMIFS(라인분배전력금액!E:E,라인분배전력금액!B:B,B8,라인분배전력금액!D:D,B9)</f>
        <v>17146451</v>
      </c>
      <c r="G12" s="188">
        <f>SUMIFS(라인분배전력금액!F:F,라인분배전력금액!B:B,B8,라인분배전력금액!D:D,B9)</f>
        <v>5881946</v>
      </c>
      <c r="H12" s="188">
        <f>SUMIFS(라인분배전력금액!G:G,라인분배전력금액!B:B,B8,라인분배전력금액!D:D,B9)</f>
        <v>152418851</v>
      </c>
      <c r="I12" s="188">
        <f>SUMIFS(라인분배전력금액!H:H,라인분배전력금액!B:B,B8,라인분배전력금액!D:D,B9)</f>
        <v>178226702</v>
      </c>
      <c r="J12" s="188">
        <f>SUMIFS(라인분배전력금액!I:I,라인분배전력금액!B:B,B8,라인분배전력금액!D:D,B9)+T12+R12</f>
        <v>88195074</v>
      </c>
      <c r="K12" s="188">
        <f>SUMIFS(라인분배전력금액!J:J,라인분배전력금액!B:B,B8,라인분배전력금액!D:D,B9)</f>
        <v>65150709</v>
      </c>
      <c r="L12" s="188">
        <f>SUMIFS(라인분배전력금액!K:K,라인분배전력금액!B:B,B8,라인분배전력금액!D:D,B9)+SUMIFS(라인분배전력금액!L:L,라인분배전력금액!B:B,B8,라인분배전력금액!D:D,B9)</f>
        <v>2282147</v>
      </c>
      <c r="M12" s="188"/>
      <c r="N12" s="188">
        <f>SUM(F12:M12)</f>
        <v>509301880</v>
      </c>
      <c r="O12" s="188"/>
      <c r="Q12" s="278"/>
      <c r="R12" s="279"/>
      <c r="S12" s="283"/>
      <c r="T12" s="282"/>
      <c r="U12" s="276">
        <f t="shared" si="2"/>
        <v>23028397</v>
      </c>
      <c r="V12" s="273"/>
      <c r="W12" s="276">
        <f t="shared" si="3"/>
        <v>1369288</v>
      </c>
      <c r="X12" s="276">
        <f t="shared" si="4"/>
        <v>912859</v>
      </c>
    </row>
    <row r="13" spans="1:33" ht="24.95" customHeight="1" thickTop="1">
      <c r="D13" s="337"/>
      <c r="E13" s="285" t="s">
        <v>269</v>
      </c>
      <c r="F13" s="188">
        <f>SUMIFS(라인분배전력금액!U:U,라인분배전력금액!R:R,B8,라인분배전력금액!T:T,B9)+($R$13*R21)</f>
        <v>369112</v>
      </c>
      <c r="G13" s="188">
        <f>SUMIFS(라인분배전력금액!V:V,라인분배전력금액!R:R,B8,라인분배전력금액!T:T,B9)+($R$13*R22)</f>
        <v>125397</v>
      </c>
      <c r="H13" s="188">
        <f>SUMIFS(라인분배전력금액!W:W,라인분배전력금액!R:R,B8,라인분배전력금액!T:T,B9)+($R$13*R23)</f>
        <v>3252985</v>
      </c>
      <c r="I13" s="188">
        <f>SUMIFS(라인분배전력금액!X:X,라인분배전력금액!R:R,B8,라인분배전력금액!T:T,B9)+($R$13*R24)</f>
        <v>3803183</v>
      </c>
      <c r="J13" s="188">
        <f>SUMIFS(라인분배전력금액!Y:Y,라인분배전력금액!R:R,B8,라인분배전력금액!T:T,B9)+T13+($R$13*R25)</f>
        <v>1883798</v>
      </c>
      <c r="K13" s="188">
        <f>SUMIFS(라인분배전력금액!Z:Z,라인분배전력금액!R:R,B8,라인분배전력금액!T:T,B9)+($R$13*R26)</f>
        <v>1392515</v>
      </c>
      <c r="L13" s="188">
        <f>SUMIFS(라인분배전력금액!AA:AA,라인분배전력금액!R:R,B8,라인분배전력금액!T:T,B9)+SUMIFS(라인분배전력금액!AB:AB,라인분배전력금액!R:R,B8,라인분배전력금액!T:T,B9)</f>
        <v>48650</v>
      </c>
      <c r="M13" s="188"/>
      <c r="N13" s="188">
        <f t="shared" si="0"/>
        <v>10875640</v>
      </c>
      <c r="O13" s="187"/>
      <c r="Q13" s="278"/>
      <c r="R13" s="279"/>
      <c r="S13" s="283"/>
      <c r="T13" s="282"/>
      <c r="U13" s="276">
        <f t="shared" si="2"/>
        <v>494509</v>
      </c>
      <c r="V13" s="273"/>
      <c r="W13" s="276">
        <f t="shared" si="3"/>
        <v>29190</v>
      </c>
      <c r="X13" s="276">
        <f t="shared" si="4"/>
        <v>19460</v>
      </c>
    </row>
    <row r="14" spans="1:33" ht="24.95" customHeight="1">
      <c r="D14" s="337"/>
      <c r="E14" s="285" t="s">
        <v>270</v>
      </c>
      <c r="F14" s="138">
        <f>SUM(F12:F13)</f>
        <v>17515563</v>
      </c>
      <c r="G14" s="138">
        <f t="shared" ref="G14:N14" si="5">SUM(G12:G13)</f>
        <v>6007343</v>
      </c>
      <c r="H14" s="138">
        <f t="shared" si="5"/>
        <v>155671836</v>
      </c>
      <c r="I14" s="138">
        <f t="shared" si="5"/>
        <v>182029885</v>
      </c>
      <c r="J14" s="138">
        <f t="shared" si="5"/>
        <v>90078872</v>
      </c>
      <c r="K14" s="138">
        <f t="shared" si="5"/>
        <v>66543224</v>
      </c>
      <c r="L14" s="138">
        <f t="shared" si="5"/>
        <v>2330797</v>
      </c>
      <c r="M14" s="138">
        <f t="shared" si="5"/>
        <v>0</v>
      </c>
      <c r="N14" s="138">
        <f t="shared" si="5"/>
        <v>520177520</v>
      </c>
      <c r="O14" s="139"/>
      <c r="Q14" s="190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137</v>
      </c>
      <c r="AE14" s="183" t="s">
        <v>138</v>
      </c>
      <c r="AF14" s="183" t="s">
        <v>139</v>
      </c>
      <c r="AG14" s="183" t="s">
        <v>132</v>
      </c>
    </row>
    <row r="15" spans="1:33" ht="24.95" customHeight="1">
      <c r="D15" s="337"/>
      <c r="E15" s="285" t="s">
        <v>271</v>
      </c>
      <c r="F15" s="140">
        <f>F14+Z15</f>
        <v>18381610.425737549</v>
      </c>
      <c r="G15" s="140">
        <f t="shared" ref="G15:L15" si="6">G14+AA15</f>
        <v>6301562.6295134975</v>
      </c>
      <c r="H15" s="140">
        <f t="shared" si="6"/>
        <v>163304316.81293279</v>
      </c>
      <c r="I15" s="140">
        <f t="shared" si="6"/>
        <v>190953295.12237632</v>
      </c>
      <c r="J15" s="140">
        <f t="shared" si="6"/>
        <v>94498828.28405562</v>
      </c>
      <c r="K15" s="140">
        <f t="shared" si="6"/>
        <v>69810482.722394407</v>
      </c>
      <c r="L15" s="140">
        <f t="shared" si="6"/>
        <v>2444952.0029898048</v>
      </c>
      <c r="M15" s="140"/>
      <c r="N15" s="140">
        <f>SUM(F15:L15)</f>
        <v>545695048</v>
      </c>
      <c r="O15" s="187"/>
      <c r="Q15" s="281"/>
      <c r="S15" s="136">
        <f>491130070+18171810</f>
        <v>509301880</v>
      </c>
      <c r="T15" s="136"/>
      <c r="Z15" s="198">
        <f>SUMIFS(라인별전력적용비율!E:E,라인별전력적용비율!B:B,B8,라인별전력적용비율!D:D,B9)*AG15</f>
        <v>866047.4257375478</v>
      </c>
      <c r="AA15" s="198">
        <f>SUMIFS(라인별전력적용비율!F:F,라인별전력적용비율!B:B,B8,라인별전력적용비율!D:D,B9)*AG15</f>
        <v>294219.62951349712</v>
      </c>
      <c r="AB15" s="198">
        <f>SUMIFS(라인별전력적용비율!G:G,라인별전력적용비율!B:B,B8,라인별전력적용비율!D:D,B9)*AG15</f>
        <v>7632480.8129327875</v>
      </c>
      <c r="AC15" s="198">
        <f>SUMIFS(라인별전력적용비율!H:H,라인별전력적용비율!B:B,B8,라인별전력적용비율!D:D,B9)*AG15</f>
        <v>8923410.1223763339</v>
      </c>
      <c r="AD15" s="198">
        <f>SUMIFS(라인별전력적용비율!I:I,라인별전력적용비율!B:B,B8,라인별전력적용비율!D:D,B9)*AG15</f>
        <v>4419956.2840556186</v>
      </c>
      <c r="AE15" s="198">
        <f>SUMIFS(라인별전력적용비율!J:J,라인별전력적용비율!B:B,B8,라인별전력적용비율!D:D,B9)*AG15</f>
        <v>3267258.722394411</v>
      </c>
      <c r="AF15" s="198">
        <f>SUMIFS(라인별전력적용비율!K:K,라인별전력적용비율!B:B,B8,라인별전력적용비율!D:D,B9)*AG15</f>
        <v>114155.00298980463</v>
      </c>
      <c r="AG15" s="198">
        <f>ROUND(SUMIFS(리스추정치!E:E,리스추정치!B:B,B8,리스추정치!D:D,B9),0)</f>
        <v>25517528</v>
      </c>
    </row>
    <row r="16" spans="1:33" ht="24.95" customHeight="1">
      <c r="D16" s="337"/>
      <c r="E16" s="141" t="s">
        <v>272</v>
      </c>
      <c r="F16" s="188">
        <f>IFERROR(F15/F8,0)</f>
        <v>666.43210985006044</v>
      </c>
      <c r="G16" s="188">
        <f t="shared" ref="G16:N16" si="7">IFERROR(G15/G8,0)</f>
        <v>0</v>
      </c>
      <c r="H16" s="188">
        <f t="shared" si="7"/>
        <v>7037.6929739104917</v>
      </c>
      <c r="I16" s="188">
        <f t="shared" si="7"/>
        <v>8354.2479107030231</v>
      </c>
      <c r="J16" s="188">
        <f t="shared" si="7"/>
        <v>7251.7921191653522</v>
      </c>
      <c r="K16" s="188">
        <f t="shared" si="7"/>
        <v>12589.852934076302</v>
      </c>
      <c r="L16" s="188">
        <f t="shared" si="7"/>
        <v>940.62012242913454</v>
      </c>
      <c r="M16" s="188">
        <f t="shared" si="7"/>
        <v>0</v>
      </c>
      <c r="N16" s="188">
        <f t="shared" si="7"/>
        <v>5755.1375061106046</v>
      </c>
      <c r="O16" s="187"/>
      <c r="S16" s="135">
        <f>S15-N12</f>
        <v>0</v>
      </c>
      <c r="T16" s="136"/>
    </row>
    <row r="17" spans="4:20" ht="24.95" customHeight="1">
      <c r="D17" s="337"/>
      <c r="E17" s="141" t="s">
        <v>273</v>
      </c>
      <c r="F17" s="137">
        <f>IFERROR(F9/F8,0)</f>
        <v>6.7528529351623447</v>
      </c>
      <c r="G17" s="137">
        <f>G9/F8</f>
        <v>2.2941311255262469</v>
      </c>
      <c r="H17" s="137">
        <f t="shared" ref="H17:N17" si="8">IFERROR(H9/H8,0)</f>
        <v>70.741209365184972</v>
      </c>
      <c r="I17" s="137">
        <f t="shared" si="8"/>
        <v>111.11981740409844</v>
      </c>
      <c r="J17" s="137">
        <f t="shared" si="8"/>
        <v>72.947640644304784</v>
      </c>
      <c r="K17" s="137">
        <f t="shared" si="8"/>
        <v>126.72363110416991</v>
      </c>
      <c r="L17" s="137">
        <f t="shared" si="8"/>
        <v>9.4444730846559324</v>
      </c>
      <c r="M17" s="137">
        <f t="shared" si="8"/>
        <v>0</v>
      </c>
      <c r="N17" s="137">
        <f t="shared" si="8"/>
        <v>64.425188481672748</v>
      </c>
      <c r="O17" s="187"/>
      <c r="S17" s="136">
        <f>10487600+388040</f>
        <v>10875640</v>
      </c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SUMIFS(LNG사용량!E:E,LNG사용량!B:B,B8,LNG사용량!D:D,B9)</f>
        <v>93818.98901828409</v>
      </c>
      <c r="G18" s="188">
        <f>SUMIFS(LNG사용량!F:F,LNG사용량!B:B,B8,LNG사용량!D:D,B9)</f>
        <v>80125</v>
      </c>
      <c r="H18" s="188"/>
      <c r="I18" s="188">
        <f>SUMIFS(LNG사용량!G:G,LNG사용량!B:B,B8,LNG사용량!D:D,B9)</f>
        <v>469244</v>
      </c>
      <c r="J18" s="188">
        <f>SUMIFS(LNG사용량!H:H,LNG사용량!B:B,B8,LNG사용량!D:D,B9)</f>
        <v>396118</v>
      </c>
      <c r="K18" s="188">
        <f>SUMIFS(LNG사용량!I:I,LNG사용량!B:B,B8,LNG사용량!D:D,B9)</f>
        <v>372285.01098171592</v>
      </c>
      <c r="L18" s="188"/>
      <c r="M18" s="188">
        <f>SUMIFS(LNG사용량!J:J,LNG사용량!B:B,B8,LNG사용량!D:D,B9)+SUMIFS(LNG사용량!K:K,LNG사용량!B:B,B8,LNG사용량!D:D,B9)</f>
        <v>4196.0000000000327</v>
      </c>
      <c r="N18" s="188">
        <f>SUM(F18:M18)</f>
        <v>1415787</v>
      </c>
      <c r="O18" s="187"/>
      <c r="S18" s="173">
        <f>S17-N13</f>
        <v>0</v>
      </c>
    </row>
    <row r="19" spans="4:20" ht="24.95" customHeight="1">
      <c r="D19" s="337"/>
      <c r="E19" s="164" t="s">
        <v>370</v>
      </c>
      <c r="F19" s="138">
        <f>SUMIFS(LNG금액!E:E,LNG금액!B:B,B8,LNG금액!D:D,B9)</f>
        <v>57058524</v>
      </c>
      <c r="G19" s="138">
        <f>SUMIFS(LNG금액!F:F,LNG금액!B:B,B8,LNG금액!D:D,B9)</f>
        <v>48730159</v>
      </c>
      <c r="H19" s="138"/>
      <c r="I19" s="138">
        <f>SUMIFS(LNG금액!G:G,LNG금액!B:B,B8,LNG금액!D:D,B9)</f>
        <v>285383271</v>
      </c>
      <c r="J19" s="138">
        <f>SUMIFS(LNG금액!H:H,LNG금액!B:B,B8,LNG금액!D:D,B9)</f>
        <v>240909741</v>
      </c>
      <c r="K19" s="138">
        <f>SUMIFS(LNG금액!I:I,LNG금액!B:B,B8,LNG금액!D:D,B9)</f>
        <v>226415072</v>
      </c>
      <c r="L19" s="138"/>
      <c r="M19" s="138">
        <f>SUMIFS(LNG금액!J:J,LNG금액!B:B,B8,LNG금액!D:D,B9)+SUMIFS(LNG금액!K:K,LNG금액!B:B,B8,LNG금액!D:D,B9)</f>
        <v>2551908</v>
      </c>
      <c r="N19" s="138">
        <f>SUM(F19:M19)</f>
        <v>861048675</v>
      </c>
      <c r="O19" s="187"/>
    </row>
    <row r="20" spans="4:20" ht="24.95" customHeight="1">
      <c r="D20" s="337"/>
      <c r="E20" s="164" t="s">
        <v>272</v>
      </c>
      <c r="F20" s="188">
        <f>F19/F8</f>
        <v>2068.6779696412023</v>
      </c>
      <c r="G20" s="188">
        <f>IFERROR(G19/G8,0)</f>
        <v>0</v>
      </c>
      <c r="H20" s="188"/>
      <c r="I20" s="188">
        <f>IFERROR(I19/I8,0)</f>
        <v>12485.579753800035</v>
      </c>
      <c r="J20" s="188">
        <f t="shared" ref="J20:N20" si="9">J19/J8</f>
        <v>18487.291249395676</v>
      </c>
      <c r="K20" s="188">
        <f t="shared" si="9"/>
        <v>40832.441595821809</v>
      </c>
      <c r="L20" s="188"/>
      <c r="M20" s="188"/>
      <c r="N20" s="188">
        <f t="shared" si="9"/>
        <v>9080.9941234418911</v>
      </c>
      <c r="O20" s="187"/>
    </row>
    <row r="21" spans="4:20" ht="24.95" customHeight="1">
      <c r="D21" s="337"/>
      <c r="E21" s="164" t="s">
        <v>372</v>
      </c>
      <c r="F21" s="137">
        <f>F18/F8</f>
        <v>3.4014422755859264</v>
      </c>
      <c r="G21" s="137">
        <f>IFERROR(G18/G8,0)</f>
        <v>0</v>
      </c>
      <c r="H21" s="137"/>
      <c r="I21" s="137">
        <f>IFERROR(I18/I8,0)</f>
        <v>20.529526364536427</v>
      </c>
      <c r="J21" s="137">
        <f t="shared" ref="J21:N21" si="10">J18/J8</f>
        <v>30.39789426832731</v>
      </c>
      <c r="K21" s="137">
        <f t="shared" si="10"/>
        <v>67.139107982664669</v>
      </c>
      <c r="L21" s="137"/>
      <c r="M21" s="137"/>
      <c r="N21" s="137">
        <f t="shared" si="10"/>
        <v>14.931505965148165</v>
      </c>
      <c r="O21" s="187"/>
      <c r="Q21" s="183" t="s">
        <v>133</v>
      </c>
      <c r="R21" s="183">
        <f>SUMIFS(라인별전력적용비율!E:E,라인별전력적용비율!B:B,B8,라인별전력적용비율!D:D,B9)</f>
        <v>3.3939315192974329E-2</v>
      </c>
    </row>
    <row r="22" spans="4:20" ht="24.95" customHeight="1">
      <c r="D22" s="285" t="s">
        <v>374</v>
      </c>
      <c r="E22" s="164" t="s">
        <v>375</v>
      </c>
      <c r="F22" s="187">
        <f>SUMIFS(LNG사용량!M:M,LNG사용량!B:B,B8,LNG사용량!D:D,B9)</f>
        <v>982826</v>
      </c>
      <c r="G22" s="187"/>
      <c r="H22" s="187"/>
      <c r="I22" s="187"/>
      <c r="J22" s="187"/>
      <c r="K22" s="187">
        <f>SUMIFS(LNG사용량!N:N,LNG사용량!B:B,B8,LNG사용량!D:D,B9)</f>
        <v>1041721</v>
      </c>
      <c r="L22" s="187"/>
      <c r="M22" s="187"/>
      <c r="N22" s="188">
        <f>SUM(F22:M22)</f>
        <v>2024547</v>
      </c>
      <c r="O22" s="187"/>
      <c r="Q22" s="183" t="s">
        <v>134</v>
      </c>
      <c r="R22" s="183">
        <f>SUMIFS(라인별전력적용비율!F:F,라인별전력적용비율!B:B,B8,라인별전력적용비율!D:D,B9)</f>
        <v>1.1530099213117239E-2</v>
      </c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SUMIFS(용수사용량!F:F,용수사용량!B:B,B8,용수사용량!D:D,B9,용수사용량!E:E,'21.3월'!B10)</f>
        <v>485.44083025888102</v>
      </c>
      <c r="G23" s="188">
        <f>SUMIFS(용수사용량!G:G,용수사용량!B:B,B8,용수사용량!D:D,B9,용수사용량!E:E,'21.3월'!B10)</f>
        <v>27.199878950249669</v>
      </c>
      <c r="H23" s="188">
        <f>SUMIFS(용수사용량!H:H,용수사용량!B:B,B8,용수사용량!D:D,B9,용수사용량!E:E,'21.3월'!B10)</f>
        <v>95.027614474345953</v>
      </c>
      <c r="I23" s="188">
        <f>SUMIFS(용수사용량!I:I,용수사용량!B:B,B8,용수사용량!D:D,B9,용수사용량!E:E,'21.3월'!B10)</f>
        <v>701.73893307105936</v>
      </c>
      <c r="J23" s="188">
        <f>SUMIFS(용수사용량!J:J,용수사용량!B:B,B8,용수사용량!D:D,B9,용수사용량!E:E,'21.3월'!B10)</f>
        <v>1233.9234805363526</v>
      </c>
      <c r="K23" s="188">
        <f>SUMIFS(용수사용량!K:K,용수사용량!B:B,B8,용수사용량!D:D,B9,용수사용량!E:E,'21.3월'!B10)</f>
        <v>816.66926270911154</v>
      </c>
      <c r="L23" s="188"/>
      <c r="M23" s="188"/>
      <c r="N23" s="188">
        <f>SUM(F23:M23)</f>
        <v>3360</v>
      </c>
      <c r="O23" s="187"/>
      <c r="Q23" s="183" t="s">
        <v>135</v>
      </c>
      <c r="R23" s="183">
        <f>SUMIFS(라인별전력적용비율!G:G,라인별전력적용비율!B:B,B8,라인별전력적용비율!D:D,B9)</f>
        <v>0.29910737485750138</v>
      </c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SUMIFS(용수금액!F:F,용수사용량!B:B,B8,용수사용량!D:D,B9,용수사용량!E:E,'21.3월'!B10)</f>
        <v>2168552.3193933433</v>
      </c>
      <c r="G24" s="188">
        <f>SUMIFS(용수금액!G:G,용수사용량!B:B,B8,용수사용량!D:D,B9,용수사용량!E:E,'21.3월'!B10)</f>
        <v>121506.79734402707</v>
      </c>
      <c r="H24" s="188">
        <f>SUMIFS(용수금액!H:H,용수사용량!B:B,B8,용수사용량!D:D,B9,용수사용량!E:E,'21.3월'!B10)</f>
        <v>424505.60589405493</v>
      </c>
      <c r="I24" s="188">
        <f>SUMIFS(용수금액!I:I,용수사용량!B:B,B8,용수사용량!D:D,B9,용수사용량!E:E,'21.3월'!B10)</f>
        <v>3134795.2130609141</v>
      </c>
      <c r="J24" s="188">
        <f>SUMIFS(용수금액!J:J,용수사용량!B:B,B8,용수사용량!D:D,B9,용수사용량!E:E,'21.3월'!B10)</f>
        <v>5512160.2034258647</v>
      </c>
      <c r="K24" s="188">
        <f>SUMIFS(용수금액!K:K,용수사용량!B:B,B8,용수사용량!D:D,B9,용수사용량!E:E,'21.3월'!B10)</f>
        <v>3648209.8608817956</v>
      </c>
      <c r="L24" s="188"/>
      <c r="M24" s="188"/>
      <c r="N24" s="189">
        <f>SUM(F24:M24)</f>
        <v>15009730</v>
      </c>
      <c r="O24" s="187"/>
      <c r="Q24" s="183" t="s">
        <v>136</v>
      </c>
      <c r="R24" s="183">
        <f>SUMIFS(라인별전력적용비율!H:H,라인별전력적용비율!B:B,B8,라인별전력적용비율!D:D,B9)</f>
        <v>0.34969727954746771</v>
      </c>
    </row>
    <row r="25" spans="4:20" ht="24.95" customHeight="1">
      <c r="D25" s="337"/>
      <c r="E25" s="164" t="s">
        <v>272</v>
      </c>
      <c r="F25" s="188">
        <f>F24/F8</f>
        <v>78.621669378327098</v>
      </c>
      <c r="G25" s="188">
        <f>G24/F8</f>
        <v>4.405274045070759</v>
      </c>
      <c r="H25" s="188">
        <f>H24/H8</f>
        <v>18.294311983243361</v>
      </c>
      <c r="I25" s="188">
        <f>IFERROR(I24/I8,0)</f>
        <v>137.1479677395057</v>
      </c>
      <c r="J25" s="188">
        <f t="shared" ref="J25:K25" si="11">J24/J8</f>
        <v>423.00037628641206</v>
      </c>
      <c r="K25" s="188">
        <f t="shared" si="11"/>
        <v>657.9302109082081</v>
      </c>
      <c r="L25" s="188"/>
      <c r="M25" s="188"/>
      <c r="N25" s="188">
        <f t="shared" ref="N25" si="12">N24/N8</f>
        <v>158.2991460087311</v>
      </c>
      <c r="O25" s="187"/>
      <c r="Q25" s="183" t="s">
        <v>137</v>
      </c>
      <c r="R25" s="183">
        <f>SUMIFS(라인별전력적용비율!I:I,라인별전력적용비율!B:B,B8,라인별전력적용비율!D:D,B9)</f>
        <v>0.17321255742545355</v>
      </c>
    </row>
    <row r="26" spans="4:20" ht="24.95" customHeight="1">
      <c r="D26" s="337"/>
      <c r="E26" s="164" t="s">
        <v>379</v>
      </c>
      <c r="F26" s="137">
        <f>F23/F8</f>
        <v>1.759983751281196E-2</v>
      </c>
      <c r="G26" s="137">
        <f>G23/F8</f>
        <v>9.8614170884071535E-4</v>
      </c>
      <c r="H26" s="137">
        <f>H23/H8</f>
        <v>4.0952694194830745E-3</v>
      </c>
      <c r="I26" s="137">
        <f>IFERROR(I23/I8,0)</f>
        <v>3.0701229909181525E-2</v>
      </c>
      <c r="J26" s="137">
        <f t="shared" ref="J26:K26" si="13">J23/J8</f>
        <v>9.4690661612323798E-2</v>
      </c>
      <c r="K26" s="137">
        <f t="shared" si="13"/>
        <v>0.14728083107767956</v>
      </c>
      <c r="L26" s="137"/>
      <c r="M26" s="137"/>
      <c r="N26" s="137">
        <f t="shared" ref="N26" si="14">N23/N8</f>
        <v>3.5436022539335255E-2</v>
      </c>
      <c r="O26" s="187"/>
      <c r="Q26" s="183" t="s">
        <v>138</v>
      </c>
      <c r="R26" s="183">
        <f>SUMIFS(라인별전력적용비율!J:J,라인별전력적용비율!B:B,B8,라인별전력적용비율!D:D,B9)</f>
        <v>0.12803978200374311</v>
      </c>
    </row>
    <row r="27" spans="4:20" ht="24.95" customHeight="1">
      <c r="D27" s="337" t="s">
        <v>297</v>
      </c>
      <c r="E27" s="164" t="s">
        <v>369</v>
      </c>
      <c r="F27" s="188">
        <f>SUMIFS(용수사용량!S:S,용수사용량!O:O,B8,용수사용량!Q:Q,B9,용수사용량!R:R,'21.3월'!B11)</f>
        <v>3204.1984325837689</v>
      </c>
      <c r="G27" s="188">
        <f>SUMIFS(용수사용량!T:T,용수사용량!O:O,B8,용수사용량!Q:Q,B9,용수사용량!R:R,'21.3월'!B11)</f>
        <v>179.53539147578488</v>
      </c>
      <c r="H27" s="188">
        <f>SUMIFS(용수사용량!U:U,용수사용량!O:O,B8,용수사용량!Q:Q,B9,용수사용량!R:R,'21.3월'!B11)</f>
        <v>627.238819586918</v>
      </c>
      <c r="I27" s="188">
        <f>SUMIFS(용수사용량!V:V,용수사용량!O:O,B8,용수사용량!Q:Q,B9,용수사용량!R:R,'21.3월'!B11)</f>
        <v>4631.8946600148674</v>
      </c>
      <c r="J27" s="188">
        <f>SUMIFS(용수사용량!W:W,용수사용량!O:O,B8,용수사용량!Q:Q,B9,용수사용량!R:R,'21.3월'!B11)</f>
        <v>8144.6294498021507</v>
      </c>
      <c r="K27" s="188">
        <f>SUMIFS(용수사용량!X:X,용수사용량!O:O,B8,용수사용량!Q:Q,B9,용수사용량!R:R,'21.3월'!B11)</f>
        <v>5390.5032465365102</v>
      </c>
      <c r="L27" s="188"/>
      <c r="M27" s="188"/>
      <c r="N27" s="188">
        <f>SUM(F27:M27)</f>
        <v>22178.000000000004</v>
      </c>
      <c r="O27" s="187"/>
      <c r="Q27" s="183" t="s">
        <v>139</v>
      </c>
      <c r="R27" s="183">
        <f>SUMIFS(라인별전력적용비율!K:K,라인별전력적용비율!B:B,B8,라인별전력적용비율!D:D,B9)</f>
        <v>4.4735917597427399E-3</v>
      </c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SUMIFS(용수금액!S:S,용수사용량!O:O,B8,용수사용량!Q:Q,B9,용수사용량!R:R,'21.3월'!B11)</f>
        <v>1790681.4207324535</v>
      </c>
      <c r="G28" s="213">
        <f>SUMIFS(용수금액!T:T,용수사용량!O:O,B8,용수사용량!Q:Q,B9,용수사용량!R:R,'21.3월'!B11)</f>
        <v>100334.20109389894</v>
      </c>
      <c r="H28" s="213">
        <f>SUMIFS(용수금액!U:U,용수사용량!O:O,B8,용수사용량!Q:Q,B9,용수사용량!R:R,'21.3월'!B11)</f>
        <v>350535.37545449298</v>
      </c>
      <c r="I28" s="213">
        <f>SUMIFS(용수금액!V:V,용수사용량!O:O,B8,용수사용량!Q:Q,B9,용수사용량!R:R,'21.3월'!B11)</f>
        <v>2588556.1974357055</v>
      </c>
      <c r="J28" s="213">
        <f>SUMIFS(용수금액!W:W,용수사용량!O:O,B8,용수사용량!Q:Q,B9,용수사용량!R:R,'21.3월'!B11)</f>
        <v>4551664.6179589592</v>
      </c>
      <c r="K28" s="213">
        <f>SUMIFS(용수금액!X:X,용수사용량!O:O,B8,용수사용량!Q:Q,B9,용수사용량!R:R,'21.3월'!B11)</f>
        <v>3012508.1873244899</v>
      </c>
      <c r="L28" s="213"/>
      <c r="M28" s="213"/>
      <c r="N28" s="213">
        <f>SUM(F28:M28)</f>
        <v>12394280</v>
      </c>
      <c r="O28" s="187"/>
      <c r="R28" s="183">
        <f>SUM(R21:R27)</f>
        <v>1</v>
      </c>
    </row>
    <row r="29" spans="4:20" ht="24.95" customHeight="1">
      <c r="D29" s="337"/>
      <c r="E29" s="164" t="s">
        <v>272</v>
      </c>
      <c r="F29" s="188">
        <f>F28/F8</f>
        <v>64.921819669135417</v>
      </c>
      <c r="G29" s="188">
        <f>G28/F8</f>
        <v>3.6376537080506846</v>
      </c>
      <c r="H29" s="188">
        <f t="shared" ref="H29:N29" si="15">H28/H8</f>
        <v>15.106522577532941</v>
      </c>
      <c r="I29" s="188">
        <f>IFERROR(I28/I8,0)</f>
        <v>113.24989280915787</v>
      </c>
      <c r="J29" s="188">
        <f t="shared" si="15"/>
        <v>349.29243256202153</v>
      </c>
      <c r="K29" s="188">
        <f t="shared" si="15"/>
        <v>543.28567232424462</v>
      </c>
      <c r="L29" s="188"/>
      <c r="M29" s="188"/>
      <c r="N29" s="188">
        <f t="shared" si="15"/>
        <v>130.71547185679529</v>
      </c>
      <c r="O29" s="187"/>
    </row>
    <row r="30" spans="4:20" ht="24.95" customHeight="1">
      <c r="D30" s="337"/>
      <c r="E30" s="164" t="s">
        <v>377</v>
      </c>
      <c r="F30" s="137">
        <f>F27/F8</f>
        <v>0.11616940367831657</v>
      </c>
      <c r="G30" s="137">
        <f>G27/F8</f>
        <v>6.5091222674611262E-3</v>
      </c>
      <c r="H30" s="137">
        <f t="shared" ref="H30:N30" si="16">H27/H8</f>
        <v>2.7031215828957032E-2</v>
      </c>
      <c r="I30" s="137">
        <f>IFERROR(I27/I8,0)</f>
        <v>0.20264639194221068</v>
      </c>
      <c r="J30" s="137">
        <f t="shared" si="16"/>
        <v>0.62501473013039199</v>
      </c>
      <c r="K30" s="137">
        <f t="shared" si="16"/>
        <v>0.97214115227404074</v>
      </c>
      <c r="L30" s="137"/>
      <c r="M30" s="137"/>
      <c r="N30" s="137">
        <f t="shared" si="16"/>
        <v>0.23389884163017183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SUMIFS(용수사용량!AF:AF,용수사용량!AB:AB,B8,용수사용량!AD:AD,B9,용수사용량!AE:AE,'21.3월'!B12)</f>
        <v>2986.7613940303117</v>
      </c>
      <c r="G31" s="188">
        <f>SUMIFS(용수사용량!AG:AG,용수사용량!AB:AB,B8,용수사용량!AD:AD,B9,용수사용량!AE:AE,'21.3월'!B12)</f>
        <v>167.35211236265221</v>
      </c>
      <c r="H31" s="188">
        <f>SUMIFS(용수사용량!AH:AH,용수사용량!AB:AB,B8,용수사용량!AD:AD,B9,용수사용량!AE:AE,'21.3월'!B12)</f>
        <v>584.67436727028382</v>
      </c>
      <c r="I31" s="188">
        <f>SUMIFS(용수사용량!AI:AI,용수사용량!AB:AB,B8,용수사용량!AD:AD,B9,용수사용량!AE:AE,'21.3월'!B12)</f>
        <v>4317.5740962434556</v>
      </c>
      <c r="J31" s="188">
        <f>SUMIFS(용수사용량!AJ:AJ,용수사용량!AB:AB,B8,용수사용량!AD:AD,B9,용수사용량!AE:AE,'21.3월'!B12)</f>
        <v>7591.9345574785757</v>
      </c>
      <c r="K31" s="188">
        <f>SUMIFS(용수사용량!AK:AK,용수사용량!AB:AB,B8,용수사용량!AD:AD,B9,용수사용량!AE:AE,'21.3월'!B12)</f>
        <v>5024.7034726147212</v>
      </c>
      <c r="L31" s="188"/>
      <c r="M31" s="188"/>
      <c r="N31" s="188">
        <f>SUM(F31:M31)</f>
        <v>20673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SUMIFS(용수금액!AF:AF,용수금액!AB:AB,B8,용수금액!AD:AD,B9,용수금액!AE:AE,'21.3월'!B12)</f>
        <v>2613416.2197765228</v>
      </c>
      <c r="G32" s="188">
        <f>SUMIFS(용수금액!AG:AG,용수금액!AB:AB,B8,용수금액!AD:AD,B9,용수금액!AE:AE,'21.3월'!B12)</f>
        <v>146433.09831732066</v>
      </c>
      <c r="H32" s="188">
        <f>SUMIFS(용수금액!AH:AH,용수금액!AB:AB,B8,용수금액!AD:AD,B9,용수금액!AE:AE,'21.3월'!B12)</f>
        <v>511590.07136149838</v>
      </c>
      <c r="I32" s="188">
        <f>SUMIFS(용수금액!AI:AI,용수금액!AB:AB,B8,용수금액!AD:AD,B9,용수금액!AE:AE,'21.3월'!B12)</f>
        <v>3777877.3342130235</v>
      </c>
      <c r="J32" s="188">
        <f>SUMIFS(용수금액!AJ:AJ,용수금액!AB:AB,B8,용수금액!AD:AD,B9,용수금액!AE:AE,'21.3월'!B12)</f>
        <v>6642942.7377937539</v>
      </c>
      <c r="K32" s="188">
        <f>SUMIFS(용수금액!AK:AK,용수금액!AB:AB,B8,용수금액!AD:AD,B9,용수금액!AE:AE,'21.3월'!B12)</f>
        <v>4396615.5385378813</v>
      </c>
      <c r="L32" s="188"/>
      <c r="M32" s="188"/>
      <c r="N32" s="188">
        <f>SUM(F32:M32)</f>
        <v>18088875</v>
      </c>
      <c r="O32" s="187"/>
    </row>
    <row r="33" spans="4:15" ht="24.95" customHeight="1">
      <c r="D33" s="337"/>
      <c r="E33" s="164" t="s">
        <v>272</v>
      </c>
      <c r="F33" s="188">
        <f>F32/F8</f>
        <v>94.750375234990017</v>
      </c>
      <c r="G33" s="188">
        <f>G32/F8</f>
        <v>5.3089863403291941</v>
      </c>
      <c r="H33" s="188">
        <f t="shared" ref="H33:N33" si="17">H32/H8</f>
        <v>22.047266851295209</v>
      </c>
      <c r="I33" s="188">
        <f>IFERROR(I32/I8,0)</f>
        <v>165.28294945638274</v>
      </c>
      <c r="J33" s="188">
        <f t="shared" si="17"/>
        <v>509.77605403947126</v>
      </c>
      <c r="K33" s="188">
        <f t="shared" si="17"/>
        <v>792.90016168460147</v>
      </c>
      <c r="L33" s="188"/>
      <c r="M33" s="188"/>
      <c r="N33" s="188">
        <f t="shared" si="17"/>
        <v>190.77314946762439</v>
      </c>
      <c r="O33" s="187"/>
    </row>
    <row r="34" spans="4:15" ht="24.95" customHeight="1">
      <c r="D34" s="337"/>
      <c r="E34" s="164" t="s">
        <v>381</v>
      </c>
      <c r="F34" s="137">
        <f>IFERROR(F31/F8,0)</f>
        <v>0.10828614312570288</v>
      </c>
      <c r="G34" s="137">
        <f>IFERROR(G31/F8,0)</f>
        <v>6.0674129603762224E-3</v>
      </c>
      <c r="H34" s="137">
        <f t="shared" ref="H34:N34" si="18">IFERROR(H31/H8,0)</f>
        <v>2.5196876401480238E-2</v>
      </c>
      <c r="I34" s="137">
        <f t="shared" si="18"/>
        <v>0.18889479937872314</v>
      </c>
      <c r="J34" s="137">
        <f t="shared" si="18"/>
        <v>0.58260120461653853</v>
      </c>
      <c r="K34" s="137">
        <f t="shared" si="18"/>
        <v>0.90617161335383023</v>
      </c>
      <c r="L34" s="137">
        <f t="shared" si="18"/>
        <v>0</v>
      </c>
      <c r="M34" s="137">
        <f t="shared" si="18"/>
        <v>0</v>
      </c>
      <c r="N34" s="137">
        <f t="shared" si="18"/>
        <v>0.21802645653442787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topLeftCell="D1" workbookViewId="0">
      <selection activeCell="J8" sqref="J8:J17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16" width="9" style="183"/>
    <col min="17" max="17" width="14.5" style="183" customWidth="1"/>
    <col min="18" max="18" width="9" style="183"/>
    <col min="19" max="19" width="17.875" style="183" bestFit="1" customWidth="1"/>
    <col min="20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456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292" t="s">
        <v>133</v>
      </c>
      <c r="G7" s="292" t="s">
        <v>134</v>
      </c>
      <c r="H7" s="292" t="s">
        <v>135</v>
      </c>
      <c r="I7" s="292" t="s">
        <v>136</v>
      </c>
      <c r="J7" s="292" t="s">
        <v>137</v>
      </c>
      <c r="K7" s="292" t="s">
        <v>138</v>
      </c>
      <c r="L7" s="292" t="s">
        <v>139</v>
      </c>
      <c r="M7" s="292" t="s">
        <v>284</v>
      </c>
      <c r="N7" s="292" t="s">
        <v>132</v>
      </c>
      <c r="O7" s="292" t="s">
        <v>287</v>
      </c>
      <c r="Q7" s="275" t="s">
        <v>430</v>
      </c>
      <c r="R7" s="275" t="s">
        <v>80</v>
      </c>
      <c r="S7" s="133" t="s">
        <v>302</v>
      </c>
      <c r="T7" s="133"/>
      <c r="U7" s="276" t="s">
        <v>288</v>
      </c>
      <c r="V7" s="273" t="s">
        <v>289</v>
      </c>
      <c r="W7" s="273" t="s">
        <v>290</v>
      </c>
      <c r="X7" s="273" t="s">
        <v>291</v>
      </c>
    </row>
    <row r="8" spans="1:33" ht="24.95" customHeight="1" thickTop="1">
      <c r="A8" s="290" t="s">
        <v>2</v>
      </c>
      <c r="B8" s="218" t="s">
        <v>91</v>
      </c>
      <c r="D8" s="337" t="s">
        <v>274</v>
      </c>
      <c r="E8" s="291" t="s">
        <v>265</v>
      </c>
      <c r="F8" s="137">
        <f>SUMIFS(생산량!E:E,생산량!B:B,B8,생산량!D:D,B9)</f>
        <v>26827.91</v>
      </c>
      <c r="G8" s="137"/>
      <c r="H8" s="137">
        <f>SUMIFS(생산량!F:F,생산량!B:B,B8,생산량!D:D,B9)</f>
        <v>25189.66</v>
      </c>
      <c r="I8" s="137">
        <f>SUMIFS(생산량!G:G,생산량!B:B,B8,생산량!D:D,B9)</f>
        <v>25085.55</v>
      </c>
      <c r="J8" s="137">
        <f>SUMIFS(생산량!H:H,생산량!B:B,B8,생산량!D:D,B9)</f>
        <v>13503.67</v>
      </c>
      <c r="K8" s="137">
        <f>SUMIFS(생산량!I:I,생산량!B:B,B8,생산량!D:D,B9)</f>
        <v>5117.62</v>
      </c>
      <c r="L8" s="137">
        <f>SUMIFS(생산량!J:J,생산량!B:B,B8,생산량!D:D,B9)</f>
        <v>2525.83</v>
      </c>
      <c r="M8" s="137"/>
      <c r="N8" s="137">
        <f t="shared" ref="N8:N12" si="0">SUM(F8:M8)</f>
        <v>98250.239999999991</v>
      </c>
      <c r="O8" s="187"/>
      <c r="Q8" s="273" t="s">
        <v>444</v>
      </c>
      <c r="R8" s="273"/>
      <c r="S8" s="277"/>
      <c r="T8" s="277"/>
      <c r="U8" s="276"/>
      <c r="V8" s="273"/>
      <c r="W8" s="273"/>
      <c r="X8" s="273"/>
    </row>
    <row r="9" spans="1:33" ht="24.95" customHeight="1">
      <c r="A9" s="290" t="s">
        <v>4</v>
      </c>
      <c r="B9" s="219" t="s">
        <v>455</v>
      </c>
      <c r="D9" s="337"/>
      <c r="E9" s="291" t="s">
        <v>267</v>
      </c>
      <c r="F9" s="138">
        <f>SUM(F10:F11)</f>
        <v>300399</v>
      </c>
      <c r="G9" s="138">
        <f t="shared" ref="G9:L9" si="1">SUM(G10:G11)</f>
        <v>59100</v>
      </c>
      <c r="H9" s="138">
        <f t="shared" si="1"/>
        <v>1894000</v>
      </c>
      <c r="I9" s="138">
        <f t="shared" si="1"/>
        <v>2292038</v>
      </c>
      <c r="J9" s="138">
        <f t="shared" si="1"/>
        <v>787847</v>
      </c>
      <c r="K9" s="138">
        <f t="shared" si="1"/>
        <v>602994</v>
      </c>
      <c r="L9" s="138">
        <f t="shared" si="1"/>
        <v>18693</v>
      </c>
      <c r="M9" s="138"/>
      <c r="N9" s="138">
        <f t="shared" si="0"/>
        <v>5955071</v>
      </c>
      <c r="O9" s="138"/>
      <c r="Q9" s="273" t="s">
        <v>440</v>
      </c>
      <c r="R9" s="273" t="s">
        <v>443</v>
      </c>
      <c r="S9" s="277" t="s">
        <v>441</v>
      </c>
      <c r="T9" s="277" t="s">
        <v>442</v>
      </c>
      <c r="U9" s="276"/>
      <c r="V9" s="273"/>
      <c r="W9" s="273"/>
      <c r="X9" s="273"/>
    </row>
    <row r="10" spans="1:33" ht="24.95" customHeight="1">
      <c r="A10" s="330" t="s">
        <v>301</v>
      </c>
      <c r="B10" s="220" t="s">
        <v>295</v>
      </c>
      <c r="D10" s="337"/>
      <c r="E10" s="291" t="s">
        <v>266</v>
      </c>
      <c r="F10" s="188">
        <f>ROUND(SUMIFS(라인분배전력량!E:E,라인분배전력량!B:B,B8,라인분배전력량!D:D,B9),0)</f>
        <v>289660</v>
      </c>
      <c r="G10" s="188">
        <f>ROUND(SUMIFS(라인분배전력량!F:F,라인분배전력량!B:B,B8,라인분배전력량!D:D,B9),0)</f>
        <v>56987</v>
      </c>
      <c r="H10" s="188">
        <f>ROUND(SUMIFS(라인분배전력량!G:G,라인분배전력량!B:B,B8,라인분배전력량!D:D,B9),0)</f>
        <v>1826294</v>
      </c>
      <c r="I10" s="188">
        <f>ROUND(SUMIFS(라인분배전력량!H:H,라인분배전력량!B:B,B8,라인분배전력량!D:D,B9),0)</f>
        <v>2227614</v>
      </c>
      <c r="J10" s="188">
        <f>ROUND(SUMIFS(라인분배전력량!I:I,라인분배전력량!B:B,B8,라인분배전력량!D:D,B9)+T10,0)</f>
        <v>759683</v>
      </c>
      <c r="K10" s="188">
        <f>ROUND(SUMIFS(라인분배전력량!J:J,라인분배전력량!B:B,B8,라인분배전력량!D:D,B9),0)</f>
        <v>581438</v>
      </c>
      <c r="L10" s="188">
        <f>ROUND(SUMIFS(라인분배전력량!K:K,라인분배전력량!B:B,B8,라인분배전력량!D:D,B9),0)+ROUND(SUMIFS(라인분배전력량!L:L,라인분배전력량!B:B,B8,라인분배전력량!D:D,B9),0)</f>
        <v>18025</v>
      </c>
      <c r="M10" s="188"/>
      <c r="N10" s="188">
        <f t="shared" si="0"/>
        <v>5759701</v>
      </c>
      <c r="O10" s="188"/>
      <c r="Q10" s="278"/>
      <c r="R10" s="279"/>
      <c r="S10" s="283"/>
      <c r="T10" s="280"/>
      <c r="U10" s="276">
        <f>F10+G10</f>
        <v>346647</v>
      </c>
      <c r="V10" s="273"/>
      <c r="W10" s="276">
        <f>ROUND(L10*0.6,0)</f>
        <v>10815</v>
      </c>
      <c r="X10" s="276">
        <f>L10-W10</f>
        <v>7210</v>
      </c>
    </row>
    <row r="11" spans="1:33" ht="24.95" customHeight="1">
      <c r="A11" s="330"/>
      <c r="B11" s="220" t="s">
        <v>297</v>
      </c>
      <c r="D11" s="337"/>
      <c r="E11" s="291" t="s">
        <v>303</v>
      </c>
      <c r="F11" s="188">
        <f>ROUND(SUMIFS(라인분배전력량!S:S,라인분배전력량!B:B,B8,라인분배전력량!D:D,B9),0)</f>
        <v>10739</v>
      </c>
      <c r="G11" s="188">
        <f>ROUND(SUMIFS(라인분배전력량!T:T,라인분배전력량!B:B,B8,라인분배전력량!D:D,B9),0)</f>
        <v>2113</v>
      </c>
      <c r="H11" s="188">
        <f>ROUND(SUMIFS(라인분배전력량!U:U,라인분배전력량!B:B,B8,라인분배전력량!D:D,B9),0)</f>
        <v>67706</v>
      </c>
      <c r="I11" s="188">
        <f>ROUND(SUMIFS(라인분배전력량!V:V,라인분배전력량!B:B,B8,라인분배전력량!D:D,B9),0)</f>
        <v>64424</v>
      </c>
      <c r="J11" s="188">
        <f>ROUND(SUMIFS(라인분배전력량!W:W,라인분배전력량!B:B,B8,라인분배전력량!D:D,B9)+T11+R11,0)</f>
        <v>28164</v>
      </c>
      <c r="K11" s="188">
        <f>ROUND(SUMIFS(라인분배전력량!X:X,라인분배전력량!B:B,B8,라인분배전력량!D:D,B9),0)</f>
        <v>21556</v>
      </c>
      <c r="L11" s="188">
        <f>ROUND(SUMIFS(라인분배전력량!Y:Y,라인분배전력량!B:B,B8,라인분배전력량!D:D,B9),0)</f>
        <v>668</v>
      </c>
      <c r="M11" s="188"/>
      <c r="N11" s="188">
        <f t="shared" si="0"/>
        <v>195370</v>
      </c>
      <c r="O11" s="188"/>
      <c r="Q11" s="278"/>
      <c r="R11" s="279"/>
      <c r="S11" s="283"/>
      <c r="T11" s="280"/>
      <c r="U11" s="276">
        <f t="shared" ref="U11:U13" si="2">F11+G11</f>
        <v>12852</v>
      </c>
      <c r="V11" s="273"/>
      <c r="W11" s="276">
        <f t="shared" ref="W11:W13" si="3">ROUND(L11*0.6,0)</f>
        <v>401</v>
      </c>
      <c r="X11" s="276">
        <f t="shared" ref="X11:X13" si="4">L11-W11</f>
        <v>267</v>
      </c>
    </row>
    <row r="12" spans="1:33" ht="24.95" customHeight="1" thickBot="1">
      <c r="A12" s="330"/>
      <c r="B12" s="221" t="s">
        <v>299</v>
      </c>
      <c r="D12" s="337"/>
      <c r="E12" s="291" t="s">
        <v>268</v>
      </c>
      <c r="F12" s="188">
        <f>SUMIFS(라인분배전력금액!E:E,라인분배전력금액!B:B,B8,라인분배전력금액!D:D,B9)</f>
        <v>27088939</v>
      </c>
      <c r="G12" s="188">
        <f>SUMIFS(라인분배전력금액!F:F,라인분배전력금액!B:B,B8,라인분배전력금액!D:D,B9)</f>
        <v>5347196</v>
      </c>
      <c r="H12" s="188">
        <f>SUMIFS(라인분배전력금액!G:G,라인분배전력금액!B:B,B8,라인분배전력금액!D:D,B9)</f>
        <v>171273342</v>
      </c>
      <c r="I12" s="188">
        <f>SUMIFS(라인분배전력금액!H:H,라인분배전력금액!B:B,B8,라인분배전력금액!D:D,B9)</f>
        <v>162967353</v>
      </c>
      <c r="J12" s="188">
        <f>SUMIFS(라인분배전력금액!I:I,라인분배전력금액!B:B,B8,라인분배전력금액!D:D,B9)+T12+R12</f>
        <v>71191875</v>
      </c>
      <c r="K12" s="188">
        <f>SUMIFS(라인분배전력금액!J:J,라인분배전력금액!B:B,B8,라인분배전력금액!D:D,B9)</f>
        <v>54466838</v>
      </c>
      <c r="L12" s="188">
        <f>SUMIFS(라인분배전력금액!K:K,라인분배전력금액!B:B,B8,라인분배전력금액!D:D,B9)+SUMIFS(라인분배전력금액!L:L,라인분배전력금액!B:B,B8,라인분배전력금액!D:D,B9)</f>
        <v>1691376</v>
      </c>
      <c r="M12" s="188"/>
      <c r="N12" s="188">
        <f t="shared" si="0"/>
        <v>494026919</v>
      </c>
      <c r="O12" s="187"/>
      <c r="Q12" s="278"/>
      <c r="R12" s="279"/>
      <c r="S12" s="283"/>
      <c r="T12" s="282"/>
      <c r="U12" s="276">
        <f t="shared" si="2"/>
        <v>32436135</v>
      </c>
      <c r="V12" s="273"/>
      <c r="W12" s="276">
        <f t="shared" si="3"/>
        <v>1014826</v>
      </c>
      <c r="X12" s="276">
        <f t="shared" si="4"/>
        <v>676550</v>
      </c>
    </row>
    <row r="13" spans="1:33" ht="24.95" customHeight="1" thickTop="1">
      <c r="D13" s="337"/>
      <c r="E13" s="291" t="s">
        <v>269</v>
      </c>
      <c r="F13" s="188">
        <f>SUMIFS(라인분배전력금액!U:U,라인분배전력금액!R:R,B8,라인분배전력금액!T:T,B9)+($R$13*R21)</f>
        <v>595724</v>
      </c>
      <c r="G13" s="188">
        <f>SUMIFS(라인분배전력금액!V:V,라인분배전력금액!R:R,B8,라인분배전력금액!T:T,B9)+($R$13*R22)</f>
        <v>117202</v>
      </c>
      <c r="H13" s="188">
        <f>SUMIFS(라인분배전력금액!W:W,라인분배전력금액!R:R,B8,라인분배전력금액!T:T,B9)+($R$13*R23)</f>
        <v>3756009</v>
      </c>
      <c r="I13" s="188">
        <f>SUMIFS(라인분배전력금액!X:X,라인분배전력금액!R:R,B8,라인분배전력금액!T:T,B9)+($R$13*R24)</f>
        <v>3573955</v>
      </c>
      <c r="J13" s="188">
        <f>SUMIFS(라인분배전력금액!Y:Y,라인분배전력금액!R:R,B8,라인분배전력금액!T:T,B9)+T13+($R$13*R25)</f>
        <v>1562387</v>
      </c>
      <c r="K13" s="188">
        <f>SUMIFS(라인분배전력금액!Z:Z,라인분배전력금액!R:R,B8,라인분배전력금액!T:T,B9)+($R$13*R26)</f>
        <v>1195802</v>
      </c>
      <c r="L13" s="188">
        <f>SUMIFS(라인분배전력금액!AA:AA,라인분배전력금액!R:R,B8,라인분배전력금액!T:T,B9)+SUMIFS(라인분배전력금액!AB:AB,라인분배전력금액!R:R,B8,라인분배전력금액!T:T,B9)</f>
        <v>37069</v>
      </c>
      <c r="M13" s="188"/>
      <c r="N13" s="188">
        <f>SUM(F13:M13)</f>
        <v>10838148</v>
      </c>
      <c r="O13" s="296"/>
      <c r="Q13" s="278"/>
      <c r="R13" s="279"/>
      <c r="S13" s="283"/>
      <c r="T13" s="282"/>
      <c r="U13" s="276">
        <f t="shared" si="2"/>
        <v>712926</v>
      </c>
      <c r="V13" s="273"/>
      <c r="W13" s="276">
        <f t="shared" si="3"/>
        <v>22241</v>
      </c>
      <c r="X13" s="276">
        <f t="shared" si="4"/>
        <v>14828</v>
      </c>
    </row>
    <row r="14" spans="1:33" ht="24.95" customHeight="1">
      <c r="D14" s="337"/>
      <c r="E14" s="291" t="s">
        <v>270</v>
      </c>
      <c r="F14" s="138">
        <f>SUM(F12:F13)</f>
        <v>27684663</v>
      </c>
      <c r="G14" s="138">
        <f t="shared" ref="G14:N14" si="5">SUM(G12:G13)</f>
        <v>5464398</v>
      </c>
      <c r="H14" s="138">
        <f t="shared" si="5"/>
        <v>175029351</v>
      </c>
      <c r="I14" s="138">
        <f t="shared" si="5"/>
        <v>166541308</v>
      </c>
      <c r="J14" s="138">
        <f t="shared" si="5"/>
        <v>72754262</v>
      </c>
      <c r="K14" s="138">
        <f t="shared" si="5"/>
        <v>55662640</v>
      </c>
      <c r="L14" s="138">
        <f t="shared" si="5"/>
        <v>1728445</v>
      </c>
      <c r="M14" s="138">
        <f t="shared" si="5"/>
        <v>0</v>
      </c>
      <c r="N14" s="138">
        <f t="shared" si="5"/>
        <v>504865067</v>
      </c>
      <c r="O14" s="139"/>
      <c r="Q14" s="190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137</v>
      </c>
      <c r="AE14" s="183" t="s">
        <v>138</v>
      </c>
      <c r="AF14" s="183" t="s">
        <v>139</v>
      </c>
      <c r="AG14" s="183" t="s">
        <v>132</v>
      </c>
    </row>
    <row r="15" spans="1:33" ht="24.95" customHeight="1">
      <c r="D15" s="337"/>
      <c r="E15" s="291" t="s">
        <v>271</v>
      </c>
      <c r="F15" s="140">
        <f>F14+Z15</f>
        <v>29087244.685775235</v>
      </c>
      <c r="G15" s="140">
        <f t="shared" ref="G15:L15" si="6">G14+AA15</f>
        <v>5740339.7907236144</v>
      </c>
      <c r="H15" s="140">
        <f t="shared" si="6"/>
        <v>183872562.27112103</v>
      </c>
      <c r="I15" s="140">
        <f t="shared" si="6"/>
        <v>174955889.10589707</v>
      </c>
      <c r="J15" s="140">
        <f t="shared" si="6"/>
        <v>76432773.697866976</v>
      </c>
      <c r="K15" s="140">
        <f t="shared" si="6"/>
        <v>58478056.9319361</v>
      </c>
      <c r="L15" s="140">
        <f t="shared" si="6"/>
        <v>1815728.5166799873</v>
      </c>
      <c r="M15" s="140"/>
      <c r="N15" s="140">
        <f>SUM(F15:L15)</f>
        <v>530382595</v>
      </c>
      <c r="O15" s="187"/>
      <c r="Q15" s="281"/>
      <c r="S15" s="136"/>
      <c r="T15" s="136"/>
      <c r="Z15" s="198">
        <f>SUMIFS(라인별전력적용비율!E:E,라인별전력적용비율!B:B,B8,라인별전력적용비율!D:D,B9)*AG15</f>
        <v>1402581.6857752334</v>
      </c>
      <c r="AA15" s="198">
        <f>SUMIFS(라인별전력적용비율!F:F,라인별전력적용비율!B:B,B8,라인별전력적용비율!D:D,B9)*AG15</f>
        <v>275941.79072361434</v>
      </c>
      <c r="AB15" s="198">
        <f>SUMIFS(라인별전력적용비율!G:G,라인별전력적용비율!B:B,B8,라인별전력적용비율!D:D,B9)*AG15</f>
        <v>8843211.2711210214</v>
      </c>
      <c r="AC15" s="198">
        <f>SUMIFS(라인별전력적용비율!H:H,라인별전력적용비율!B:B,B8,라인별전력적용비율!D:D,B9)*AG15</f>
        <v>8414581.1058970597</v>
      </c>
      <c r="AD15" s="198">
        <f>SUMIFS(라인별전력적용비율!I:I,라인별전력적용비율!B:B,B8,라인별전력적용비율!D:D,B9)*AG15</f>
        <v>3678511.6978669832</v>
      </c>
      <c r="AE15" s="198">
        <f>SUMIFS(라인별전력적용비율!J:J,라인별전력적용비율!B:B,B8,라인별전력적용비율!D:D,B9)*AG15</f>
        <v>2815416.9319361011</v>
      </c>
      <c r="AF15" s="198">
        <f>SUMIFS(라인별전력적용비율!K:K,라인별전력적용비율!B:B,B8,라인별전력적용비율!D:D,B9)*AG15</f>
        <v>87283.516679987239</v>
      </c>
      <c r="AG15" s="198">
        <f>ROUND(SUMIFS(리스추정치!E:E,리스추정치!B:B,B8,리스추정치!D:D,B9),0)</f>
        <v>25517528</v>
      </c>
    </row>
    <row r="16" spans="1:33" ht="24.95" customHeight="1">
      <c r="D16" s="337"/>
      <c r="E16" s="141" t="s">
        <v>272</v>
      </c>
      <c r="F16" s="188">
        <f>IFERROR(F15/F8,0)</f>
        <v>1084.2158291784651</v>
      </c>
      <c r="G16" s="188">
        <f t="shared" ref="G16:N16" si="7">IFERROR(G15/G8,0)</f>
        <v>0</v>
      </c>
      <c r="H16" s="188">
        <f t="shared" si="7"/>
        <v>7299.5253715659928</v>
      </c>
      <c r="I16" s="188">
        <f t="shared" si="7"/>
        <v>6974.369272585097</v>
      </c>
      <c r="J16" s="188">
        <f t="shared" si="7"/>
        <v>5660.1482188076998</v>
      </c>
      <c r="K16" s="188">
        <f t="shared" si="7"/>
        <v>11426.807174416252</v>
      </c>
      <c r="L16" s="188">
        <f t="shared" si="7"/>
        <v>718.86410276225536</v>
      </c>
      <c r="M16" s="188">
        <f t="shared" si="7"/>
        <v>0</v>
      </c>
      <c r="N16" s="188">
        <f t="shared" si="7"/>
        <v>5398.2829456701584</v>
      </c>
      <c r="O16" s="187"/>
      <c r="S16" s="135"/>
      <c r="T16" s="136"/>
    </row>
    <row r="17" spans="4:20" ht="24.95" customHeight="1">
      <c r="D17" s="337"/>
      <c r="E17" s="141" t="s">
        <v>273</v>
      </c>
      <c r="F17" s="137">
        <f>IFERROR(F9/F8,0)</f>
        <v>11.197256886578193</v>
      </c>
      <c r="G17" s="137">
        <f>G9/F8</f>
        <v>2.202929710141416</v>
      </c>
      <c r="H17" s="137">
        <f t="shared" ref="H17:N17" si="8">IFERROR(H9/H8,0)</f>
        <v>75.189581756959001</v>
      </c>
      <c r="I17" s="137">
        <f t="shared" si="8"/>
        <v>91.368855775536119</v>
      </c>
      <c r="J17" s="137">
        <f t="shared" si="8"/>
        <v>58.343176336507035</v>
      </c>
      <c r="K17" s="137">
        <f t="shared" si="8"/>
        <v>117.82703678663128</v>
      </c>
      <c r="L17" s="137">
        <f t="shared" si="8"/>
        <v>7.400735599783042</v>
      </c>
      <c r="M17" s="137">
        <f t="shared" si="8"/>
        <v>0</v>
      </c>
      <c r="N17" s="137">
        <f t="shared" si="8"/>
        <v>60.611261611167571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SUMIFS(LNG사용량!E:E,LNG사용량!B:B,B8,LNG사용량!D:D,B9)</f>
        <v>78692.167351716722</v>
      </c>
      <c r="G18" s="188">
        <f>SUMIFS(LNG사용량!F:F,LNG사용량!B:B,B8,LNG사용량!D:D,B9)</f>
        <v>74925</v>
      </c>
      <c r="H18" s="188"/>
      <c r="I18" s="188">
        <f>SUMIFS(LNG사용량!G:G,LNG사용량!B:B,B8,LNG사용량!D:D,B9)</f>
        <v>493575</v>
      </c>
      <c r="J18" s="188">
        <f>SUMIFS(LNG사용량!H:H,LNG사용량!B:B,B8,LNG사용량!D:D,B9)</f>
        <v>356096</v>
      </c>
      <c r="K18" s="188">
        <f>SUMIFS(LNG사용량!I:I,LNG사용량!B:B,B8,LNG사용량!D:D,B9)</f>
        <v>331221.83264828328</v>
      </c>
      <c r="L18" s="188"/>
      <c r="M18" s="188">
        <f>SUMIFS(LNG사용량!J:J,LNG사용량!B:B,B8,LNG사용량!D:D,B9)+SUMIFS(LNG사용량!K:K,LNG사용량!B:B,B8,LNG사용량!D:D,B9)</f>
        <v>2417.9999999999623</v>
      </c>
      <c r="N18" s="188">
        <f>SUM(F18:M18)</f>
        <v>1336928</v>
      </c>
      <c r="O18" s="187"/>
      <c r="S18" s="173"/>
    </row>
    <row r="19" spans="4:20" ht="24.95" customHeight="1">
      <c r="D19" s="337"/>
      <c r="E19" s="164" t="s">
        <v>370</v>
      </c>
      <c r="F19" s="138">
        <f>SUMIFS(LNG금액!E:E,LNG금액!B:B,B8,LNG금액!D:D,B9)</f>
        <v>46161519</v>
      </c>
      <c r="G19" s="138">
        <f>SUMIFS(LNG금액!F:F,LNG금액!B:B,B8,LNG금액!D:D,B9)</f>
        <v>43951665</v>
      </c>
      <c r="H19" s="138"/>
      <c r="I19" s="138">
        <f>SUMIFS(LNG금액!G:G,LNG금액!B:B,B8,LNG금액!D:D,B9)</f>
        <v>289535444</v>
      </c>
      <c r="J19" s="138">
        <f>SUMIFS(LNG금액!H:H,LNG금액!B:B,B8,LNG금액!D:D,B9)</f>
        <v>208889051</v>
      </c>
      <c r="K19" s="138">
        <f>SUMIFS(LNG금액!I:I,LNG금액!B:B,B8,LNG금액!D:D,B9)</f>
        <v>194297645</v>
      </c>
      <c r="L19" s="138"/>
      <c r="M19" s="138">
        <f>SUMIFS(LNG금액!J:J,LNG금액!B:B,B8,LNG금액!D:D,B9)+SUMIFS(LNG금액!K:K,LNG금액!B:B,B8,LNG금액!D:D,B9)</f>
        <v>1418420</v>
      </c>
      <c r="N19" s="138">
        <f>SUM(F19:M19)</f>
        <v>784253744</v>
      </c>
      <c r="O19" s="187"/>
    </row>
    <row r="20" spans="4:20" ht="24.95" customHeight="1">
      <c r="D20" s="337"/>
      <c r="E20" s="164" t="s">
        <v>272</v>
      </c>
      <c r="F20" s="188">
        <f>F19/F8</f>
        <v>1720.6528201414123</v>
      </c>
      <c r="G20" s="188">
        <f>IFERROR(G19/G8,0)</f>
        <v>0</v>
      </c>
      <c r="H20" s="188"/>
      <c r="I20" s="188">
        <f>IFERROR(I19/I8,0)</f>
        <v>11541.921305293286</v>
      </c>
      <c r="J20" s="188">
        <f t="shared" ref="J20:N20" si="9">J19/J8</f>
        <v>15469.057745042644</v>
      </c>
      <c r="K20" s="188">
        <f t="shared" si="9"/>
        <v>37966.407236176194</v>
      </c>
      <c r="L20" s="188"/>
      <c r="M20" s="188"/>
      <c r="N20" s="188">
        <f t="shared" si="9"/>
        <v>7982.2069035149434</v>
      </c>
      <c r="O20" s="187"/>
    </row>
    <row r="21" spans="4:20" ht="24.95" customHeight="1">
      <c r="D21" s="337"/>
      <c r="E21" s="164" t="s">
        <v>372</v>
      </c>
      <c r="F21" s="137">
        <f>F18/F8</f>
        <v>2.9332201931390376</v>
      </c>
      <c r="G21" s="137">
        <f>IFERROR(G18/G8,0)</f>
        <v>0</v>
      </c>
      <c r="H21" s="137"/>
      <c r="I21" s="137">
        <f>IFERROR(I18/I8,0)</f>
        <v>19.67566985774679</v>
      </c>
      <c r="J21" s="137">
        <f t="shared" ref="J21:N21" si="10">J18/J8</f>
        <v>26.370312663150091</v>
      </c>
      <c r="K21" s="137">
        <f t="shared" si="10"/>
        <v>64.721849736456264</v>
      </c>
      <c r="L21" s="137"/>
      <c r="M21" s="137"/>
      <c r="N21" s="137">
        <f t="shared" si="10"/>
        <v>13.607376429818391</v>
      </c>
      <c r="O21" s="187"/>
      <c r="Q21" s="183" t="s">
        <v>133</v>
      </c>
      <c r="R21" s="183">
        <f>SUMIFS(라인별전력적용비율!E:E,라인별전력적용비율!B:B,B8,라인별전력적용비율!D:D,B9)</f>
        <v>5.4965421641752811E-2</v>
      </c>
    </row>
    <row r="22" spans="4:20" ht="24.95" customHeight="1">
      <c r="D22" s="291" t="s">
        <v>374</v>
      </c>
      <c r="E22" s="164" t="s">
        <v>375</v>
      </c>
      <c r="F22" s="187">
        <f>SUMIFS(LNG사용량!M:M,LNG사용량!B:B,B8,LNG사용량!D:D,B9)</f>
        <v>936584</v>
      </c>
      <c r="G22" s="187"/>
      <c r="H22" s="187"/>
      <c r="I22" s="187"/>
      <c r="J22" s="187"/>
      <c r="K22" s="187">
        <f>SUMIFS(LNG사용량!N:N,LNG사용량!B:B,B8,LNG사용량!D:D,B9)</f>
        <v>918025</v>
      </c>
      <c r="L22" s="187"/>
      <c r="M22" s="187"/>
      <c r="N22" s="188">
        <f>SUM(F22:M22)</f>
        <v>1854609</v>
      </c>
      <c r="O22" s="187"/>
      <c r="Q22" s="183" t="s">
        <v>134</v>
      </c>
      <c r="R22" s="183">
        <f>SUMIFS(라인별전력적용비율!F:F,라인별전력적용비율!B:B,B8,라인별전력적용비율!D:D,B9)</f>
        <v>1.0813813576441038E-2</v>
      </c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SUMIFS(용수사용량!F:F,용수사용량!B:B,B8,용수사용량!D:D,B9,용수사용량!E:E,'21.4월'!B10)</f>
        <v>364.43370882135434</v>
      </c>
      <c r="G23" s="188">
        <f>SUMIFS(용수사용량!G:G,용수사용량!B:B,B8,용수사용량!D:D,B9,용수사용량!E:E,'21.4월'!B10)</f>
        <v>5.3019505968244127</v>
      </c>
      <c r="H23" s="188">
        <f>SUMIFS(용수사용량!H:H,용수사용량!B:B,B8,용수사용량!D:D,B9,용수사용량!E:E,'21.4월'!B10)</f>
        <v>66.989416164647395</v>
      </c>
      <c r="I23" s="188">
        <f>SUMIFS(용수사용량!I:I,용수사용량!B:B,B8,용수사용량!D:D,B9,용수사용량!E:E,'21.4월'!B10)</f>
        <v>520.09703267417763</v>
      </c>
      <c r="J23" s="188">
        <f>SUMIFS(용수사용량!J:J,용수사용량!B:B,B8,용수사용량!D:D,B9,용수사용량!E:E,'21.4월'!B10)</f>
        <v>797.25771616688974</v>
      </c>
      <c r="K23" s="188">
        <f>SUMIFS(용수사용량!K:K,용수사용량!B:B,B8,용수사용량!D:D,B9,용수사용량!E:E,'21.4월'!B10)</f>
        <v>417.9201755761066</v>
      </c>
      <c r="L23" s="188"/>
      <c r="M23" s="188"/>
      <c r="N23" s="188">
        <f>SUM(F23:M23)</f>
        <v>2172</v>
      </c>
      <c r="O23" s="187"/>
      <c r="Q23" s="183" t="s">
        <v>135</v>
      </c>
      <c r="R23" s="183">
        <f>SUMIFS(라인별전력적용비율!G:G,라인별전력적용비율!B:B,B8,라인별전력적용비율!D:D,B9)</f>
        <v>0.34655438689519696</v>
      </c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SUMIFS(용수금액!F:F,용수사용량!B:B,B8,용수사용량!D:D,B9,용수사용량!E:E,'21.4월'!B10)</f>
        <v>1592704.5036615618</v>
      </c>
      <c r="G24" s="188">
        <f>SUMIFS(용수금액!G:G,용수사용량!B:B,B8,용수사용량!D:D,B9,용수사용량!E:E,'21.4월'!B10)</f>
        <v>23171.403713076437</v>
      </c>
      <c r="H24" s="188">
        <f>SUMIFS(용수금액!H:H,용수사용량!B:B,B8,용수사용량!D:D,B9,용수사용량!E:E,'21.4월'!B10)</f>
        <v>292767.49718943855</v>
      </c>
      <c r="I24" s="188">
        <f>SUMIFS(용수금액!I:I,용수사용량!B:B,B8,용수사용량!D:D,B9,용수사용량!E:E,'21.4월'!B10)</f>
        <v>2273008.4134100783</v>
      </c>
      <c r="J24" s="188">
        <f>SUMIFS(용수금액!J:J,용수사용량!B:B,B8,용수사용량!D:D,B9,용수사용량!E:E,'21.4월'!B10)</f>
        <v>3484298.8570532901</v>
      </c>
      <c r="K24" s="188">
        <f>SUMIFS(용수금액!K:K,용수사용량!B:B,B8,용수사용량!D:D,B9,용수사용량!E:E,'21.4월'!B10)</f>
        <v>1826459.3249725553</v>
      </c>
      <c r="L24" s="188"/>
      <c r="M24" s="188"/>
      <c r="N24" s="189">
        <f>SUM(F24:M24)</f>
        <v>9492410</v>
      </c>
      <c r="O24" s="187"/>
      <c r="Q24" s="183" t="s">
        <v>136</v>
      </c>
      <c r="R24" s="183">
        <f>SUMIFS(라인별전력적용비율!H:H,라인별전력적용비율!B:B,B8,라인별전력적용비율!D:D,B9)</f>
        <v>0.32975690693460041</v>
      </c>
    </row>
    <row r="25" spans="4:20" ht="24.95" customHeight="1">
      <c r="D25" s="337"/>
      <c r="E25" s="164" t="s">
        <v>272</v>
      </c>
      <c r="F25" s="188">
        <f>F24/F8</f>
        <v>59.367446202911886</v>
      </c>
      <c r="G25" s="188">
        <f>G24/F8</f>
        <v>0.86370513815934369</v>
      </c>
      <c r="H25" s="188">
        <f>H24/H8</f>
        <v>11.622526750636514</v>
      </c>
      <c r="I25" s="188">
        <f>IFERROR(I24/I8,0)</f>
        <v>90.610268198627423</v>
      </c>
      <c r="J25" s="188">
        <f t="shared" ref="J25:K25" si="11">J24/J8</f>
        <v>258.02606676949972</v>
      </c>
      <c r="K25" s="188">
        <f t="shared" si="11"/>
        <v>356.89623789428589</v>
      </c>
      <c r="L25" s="188"/>
      <c r="M25" s="188"/>
      <c r="N25" s="188">
        <f t="shared" ref="N25" si="12">N24/N8</f>
        <v>96.614624045702087</v>
      </c>
      <c r="O25" s="187"/>
      <c r="Q25" s="183" t="s">
        <v>137</v>
      </c>
      <c r="R25" s="183">
        <f>SUMIFS(라인별전력적용비율!I:I,라인별전력적용비율!B:B,B8,라인별전력적용비율!D:D,B9)</f>
        <v>0.14415627163677389</v>
      </c>
    </row>
    <row r="26" spans="4:20" ht="24.95" customHeight="1">
      <c r="D26" s="337"/>
      <c r="E26" s="164" t="s">
        <v>379</v>
      </c>
      <c r="F26" s="137">
        <f>F23/F8</f>
        <v>1.3584125965136843E-2</v>
      </c>
      <c r="G26" s="137">
        <f>G23/F8</f>
        <v>1.9762816398386654E-4</v>
      </c>
      <c r="H26" s="137">
        <f>H23/H8</f>
        <v>2.6594013640774588E-3</v>
      </c>
      <c r="I26" s="137">
        <f>IFERROR(I23/I8,0)</f>
        <v>2.0732933209524115E-2</v>
      </c>
      <c r="J26" s="137">
        <f t="shared" ref="J26:K26" si="13">J23/J8</f>
        <v>5.9040076969215753E-2</v>
      </c>
      <c r="K26" s="137">
        <f t="shared" si="13"/>
        <v>8.1662994824958993E-2</v>
      </c>
      <c r="L26" s="137"/>
      <c r="M26" s="137"/>
      <c r="N26" s="137">
        <f t="shared" ref="N26" si="14">N23/N8</f>
        <v>2.2106816227624483E-2</v>
      </c>
      <c r="O26" s="187"/>
      <c r="Q26" s="183" t="s">
        <v>138</v>
      </c>
      <c r="R26" s="183">
        <f>SUMIFS(라인별전력적용비율!J:J,라인별전력적용비율!B:B,B8,라인별전력적용비율!D:D,B9)</f>
        <v>0.11033266748785779</v>
      </c>
    </row>
    <row r="27" spans="4:20" ht="24.95" customHeight="1">
      <c r="D27" s="337" t="s">
        <v>297</v>
      </c>
      <c r="E27" s="164" t="s">
        <v>369</v>
      </c>
      <c r="F27" s="188">
        <f>SUMIFS(용수사용량!S:S,용수사용량!O:O,B8,용수사용량!Q:Q,B9,용수사용량!R:R,'21.4월'!B11)</f>
        <v>3949.3741428347321</v>
      </c>
      <c r="G27" s="188">
        <f>SUMIFS(용수사용량!T:T,용수사용량!O:O,B8,용수사용량!Q:Q,B9,용수사용량!R:R,'21.4월'!B11)</f>
        <v>57.457326495420361</v>
      </c>
      <c r="H27" s="188">
        <f>SUMIFS(용수사용량!U:U,용수사용량!O:O,B8,용수사용량!Q:Q,B9,용수사용량!R:R,'21.4월'!B11)</f>
        <v>725.96541329809872</v>
      </c>
      <c r="I27" s="188">
        <f>SUMIFS(용수사용량!V:V,용수사용량!O:O,B8,용수사용량!Q:Q,B9,용수사용량!R:R,'21.4월'!B11)</f>
        <v>5636.3001634828697</v>
      </c>
      <c r="J27" s="188">
        <f>SUMIFS(용수사용량!W:W,용수사용량!O:O,B8,용수사용량!Q:Q,B9,용수사용량!R:R,'21.4월'!B11)</f>
        <v>8639.895084316875</v>
      </c>
      <c r="K27" s="188">
        <f>SUMIFS(용수사용량!X:X,용수사용량!O:O,B8,용수사용량!Q:Q,B9,용수사용량!R:R,'21.4월'!B11)</f>
        <v>4529.0078695720058</v>
      </c>
      <c r="L27" s="188"/>
      <c r="M27" s="188"/>
      <c r="N27" s="188">
        <f>SUM(F27:M27)</f>
        <v>23538</v>
      </c>
      <c r="O27" s="187"/>
      <c r="Q27" s="183" t="s">
        <v>139</v>
      </c>
      <c r="R27" s="183">
        <f>SUMIFS(라인별전력적용비율!K:K,라인별전력적용비율!B:B,B8,라인별전력적용비율!D:D,B9)</f>
        <v>3.4205318273771361E-3</v>
      </c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SUMIFS(용수금액!S:S,용수사용량!O:O,B8,용수사용량!Q:Q,B9,용수사용량!R:R,'21.4월'!B11)</f>
        <v>2207387.7261550087</v>
      </c>
      <c r="G28" s="213">
        <f>SUMIFS(용수금액!T:T,용수사용량!O:O,B8,용수사용량!Q:Q,B9,용수사용량!R:R,'21.4월'!B11)</f>
        <v>32114.100284415446</v>
      </c>
      <c r="H28" s="213">
        <f>SUMIFS(용수금액!U:U,용수사용량!O:O,B8,용수사용량!Q:Q,B9,용수사용량!R:R,'21.4월'!B11)</f>
        <v>405757.23772198957</v>
      </c>
      <c r="I28" s="213">
        <f>SUMIFS(용수금액!V:V,용수사용량!O:O,B8,용수사용량!Q:Q,B9,용수사용량!R:R,'21.4월'!B11)</f>
        <v>3150245.9255145304</v>
      </c>
      <c r="J28" s="213">
        <f>SUMIFS(용수금액!W:W,용수사용량!O:O,B8,용수사용량!Q:Q,B9,용수사용량!R:R,'21.4월'!B11)</f>
        <v>4829017.8835016862</v>
      </c>
      <c r="K28" s="213">
        <f>SUMIFS(용수금액!X:X,용수사용량!O:O,B8,용수사용량!Q:Q,B9,용수사용량!R:R,'21.4월'!B11)</f>
        <v>2531357.1268223706</v>
      </c>
      <c r="L28" s="213"/>
      <c r="M28" s="213"/>
      <c r="N28" s="213">
        <f>SUM(F28:M28)</f>
        <v>13155880</v>
      </c>
      <c r="O28" s="187"/>
      <c r="R28" s="183">
        <f>SUM(R21:R27)</f>
        <v>1</v>
      </c>
    </row>
    <row r="29" spans="4:20" ht="24.95" customHeight="1">
      <c r="D29" s="337"/>
      <c r="E29" s="164" t="s">
        <v>272</v>
      </c>
      <c r="F29" s="188">
        <f>F28/F8</f>
        <v>82.2795262901586</v>
      </c>
      <c r="G29" s="188">
        <f>G28/F8</f>
        <v>1.1970407044162383</v>
      </c>
      <c r="H29" s="188">
        <f t="shared" ref="H29:N29" si="15">H28/H8</f>
        <v>16.108087116776868</v>
      </c>
      <c r="I29" s="188">
        <f>IFERROR(I28/I8,0)</f>
        <v>125.58010191183891</v>
      </c>
      <c r="J29" s="188">
        <f t="shared" si="15"/>
        <v>357.60781206158669</v>
      </c>
      <c r="K29" s="188">
        <f t="shared" si="15"/>
        <v>494.63561710763412</v>
      </c>
      <c r="L29" s="188"/>
      <c r="M29" s="188"/>
      <c r="N29" s="188">
        <f t="shared" si="15"/>
        <v>133.90175942572762</v>
      </c>
      <c r="O29" s="187"/>
    </row>
    <row r="30" spans="4:20" ht="24.95" customHeight="1">
      <c r="D30" s="337"/>
      <c r="E30" s="164" t="s">
        <v>377</v>
      </c>
      <c r="F30" s="137">
        <f>F27/F8</f>
        <v>0.14721139823544704</v>
      </c>
      <c r="G30" s="137">
        <f>G27/F8</f>
        <v>2.1416996886980894E-3</v>
      </c>
      <c r="H30" s="137">
        <f t="shared" ref="H30:N30" si="16">H27/H8</f>
        <v>2.8819976660983068E-2</v>
      </c>
      <c r="I30" s="137">
        <f>IFERROR(I27/I8,0)</f>
        <v>0.22468314083138977</v>
      </c>
      <c r="J30" s="137">
        <f t="shared" si="16"/>
        <v>0.63981829268020285</v>
      </c>
      <c r="K30" s="137">
        <f t="shared" si="16"/>
        <v>0.88498322844838151</v>
      </c>
      <c r="L30" s="137"/>
      <c r="M30" s="137"/>
      <c r="N30" s="137">
        <f t="shared" si="16"/>
        <v>0.23957193387008521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SUMIFS(용수사용량!AF:AF,용수사용량!AB:AB,B8,용수사용량!AD:AD,B9,용수사용량!AE:AE,'21.4월'!B12)</f>
        <v>3593.8331534275267</v>
      </c>
      <c r="G31" s="188">
        <f>SUMIFS(용수사용량!AG:AG,용수사용량!AB:AB,B8,용수사용량!AD:AD,B9,용수사용량!AE:AE,'21.4월'!B12)</f>
        <v>52.284751304503729</v>
      </c>
      <c r="H31" s="188">
        <f>SUMIFS(용수사용량!AH:AH,용수사용량!AB:AB,B8,용수사용량!AD:AD,B9,용수사용량!AE:AE,'21.4월'!B12)</f>
        <v>660.61063758314117</v>
      </c>
      <c r="I31" s="188">
        <f>SUMIFS(용수사용량!AI:AI,용수사용량!AB:AB,B8,용수사용량!AD:AD,B9,용수사용량!AE:AE,'21.4월'!B12)</f>
        <v>5128.8942646630803</v>
      </c>
      <c r="J31" s="188">
        <f>SUMIFS(용수사용량!AJ:AJ,용수사용량!AB:AB,B8,용수사용량!AD:AD,B9,용수사용량!AE:AE,'21.4월'!B12)</f>
        <v>7862.0916310214598</v>
      </c>
      <c r="K31" s="188">
        <f>SUMIFS(용수사용량!AK:AK,용수사용량!AB:AB,B8,용수사용량!AD:AD,B9,용수사용량!AE:AE,'21.4월'!B12)</f>
        <v>4121.2855620002883</v>
      </c>
      <c r="L31" s="188"/>
      <c r="M31" s="188"/>
      <c r="N31" s="188">
        <f>SUM(F31:M31)</f>
        <v>21419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SUMIFS(용수금액!AF:AF,용수금액!AB:AB,B8,용수금액!AD:AD,B9,용수금액!AE:AE,'21.4월'!B12)</f>
        <v>3144604.009249086</v>
      </c>
      <c r="G32" s="188">
        <f>SUMIFS(용수금액!AG:AG,용수금액!AB:AB,B8,용수금액!AD:AD,B9,용수금액!AE:AE,'21.4월'!B12)</f>
        <v>45749.157391440764</v>
      </c>
      <c r="H32" s="188">
        <f>SUMIFS(용수금액!AH:AH,용수금액!AB:AB,B8,용수금액!AD:AD,B9,용수금액!AE:AE,'21.4월'!B12)</f>
        <v>578034.30788524845</v>
      </c>
      <c r="I32" s="188">
        <f>SUMIFS(용수금액!AI:AI,용수금액!AB:AB,B8,용수금액!AD:AD,B9,용수금액!AE:AE,'21.4월'!B12)</f>
        <v>4487782.481580195</v>
      </c>
      <c r="J32" s="188">
        <f>SUMIFS(용수금액!AJ:AJ,용수금액!AB:AB,B8,용수금액!AD:AD,B9,용수금액!AE:AE,'21.4월'!B12)</f>
        <v>6879330.1771437777</v>
      </c>
      <c r="K32" s="188">
        <f>SUMIFS(용수금액!AK:AK,용수금액!AB:AB,B8,용수금액!AD:AD,B9,용수금액!AE:AE,'21.4월'!B12)</f>
        <v>3606124.8667502524</v>
      </c>
      <c r="L32" s="188"/>
      <c r="M32" s="188"/>
      <c r="N32" s="188">
        <f>SUM(F32:M32)</f>
        <v>18741625</v>
      </c>
      <c r="O32" s="187"/>
    </row>
    <row r="33" spans="4:15" ht="24.95" customHeight="1">
      <c r="D33" s="337"/>
      <c r="E33" s="164" t="s">
        <v>272</v>
      </c>
      <c r="F33" s="188">
        <f>F32/F8</f>
        <v>117.2139018376417</v>
      </c>
      <c r="G33" s="188">
        <f>G32/F8</f>
        <v>1.705282200195273</v>
      </c>
      <c r="H33" s="188">
        <f t="shared" ref="H33:N33" si="17">H32/H8</f>
        <v>22.947285032241343</v>
      </c>
      <c r="I33" s="188">
        <f>IFERROR(I32/I8,0)</f>
        <v>178.899106520694</v>
      </c>
      <c r="J33" s="188">
        <f t="shared" si="17"/>
        <v>509.44152050100291</v>
      </c>
      <c r="K33" s="188">
        <f t="shared" si="17"/>
        <v>704.64881463458653</v>
      </c>
      <c r="L33" s="188"/>
      <c r="M33" s="188"/>
      <c r="N33" s="188">
        <f t="shared" si="17"/>
        <v>190.75398696227106</v>
      </c>
      <c r="O33" s="187"/>
    </row>
    <row r="34" spans="4:15" ht="24.95" customHeight="1">
      <c r="D34" s="337"/>
      <c r="E34" s="164" t="s">
        <v>381</v>
      </c>
      <c r="F34" s="137">
        <f>IFERROR(F31/F8,0)</f>
        <v>0.13395874495730478</v>
      </c>
      <c r="G34" s="137">
        <f>IFERROR(G31/F8,0)</f>
        <v>1.9488939430803119E-3</v>
      </c>
      <c r="H34" s="137">
        <f t="shared" ref="H34:N34" si="18">IFERROR(H31/H8,0)</f>
        <v>2.6225468608275824E-2</v>
      </c>
      <c r="I34" s="137">
        <f t="shared" si="18"/>
        <v>0.20445612173793601</v>
      </c>
      <c r="J34" s="137">
        <f t="shared" si="18"/>
        <v>0.58221888057257465</v>
      </c>
      <c r="K34" s="137">
        <f t="shared" si="18"/>
        <v>0.80531293101095591</v>
      </c>
      <c r="L34" s="137">
        <f t="shared" si="18"/>
        <v>0</v>
      </c>
      <c r="M34" s="137">
        <f t="shared" si="18"/>
        <v>0</v>
      </c>
      <c r="N34" s="137">
        <f t="shared" si="18"/>
        <v>0.21800455652830977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7"/>
  <sheetViews>
    <sheetView topLeftCell="C1" workbookViewId="0">
      <selection activeCell="J8" sqref="J8:J17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16" width="9" style="183"/>
    <col min="17" max="17" width="14.5" style="183" customWidth="1"/>
    <col min="18" max="18" width="9" style="183"/>
    <col min="19" max="19" width="17.875" style="183" bestFit="1" customWidth="1"/>
    <col min="20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464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294" t="s">
        <v>133</v>
      </c>
      <c r="G7" s="294" t="s">
        <v>134</v>
      </c>
      <c r="H7" s="294" t="s">
        <v>135</v>
      </c>
      <c r="I7" s="294" t="s">
        <v>136</v>
      </c>
      <c r="J7" s="294" t="s">
        <v>137</v>
      </c>
      <c r="K7" s="294" t="s">
        <v>138</v>
      </c>
      <c r="L7" s="294" t="s">
        <v>139</v>
      </c>
      <c r="M7" s="294" t="s">
        <v>284</v>
      </c>
      <c r="N7" s="294" t="s">
        <v>132</v>
      </c>
      <c r="O7" s="294" t="s">
        <v>287</v>
      </c>
      <c r="Q7" s="275" t="s">
        <v>430</v>
      </c>
      <c r="R7" s="275" t="s">
        <v>80</v>
      </c>
      <c r="S7" s="133" t="s">
        <v>302</v>
      </c>
      <c r="T7" s="133"/>
      <c r="U7" s="276" t="s">
        <v>288</v>
      </c>
      <c r="V7" s="273" t="s">
        <v>289</v>
      </c>
      <c r="W7" s="273" t="s">
        <v>290</v>
      </c>
      <c r="X7" s="273" t="s">
        <v>291</v>
      </c>
    </row>
    <row r="8" spans="1:33" ht="24.95" customHeight="1" thickTop="1">
      <c r="A8" s="293" t="s">
        <v>2</v>
      </c>
      <c r="B8" s="218" t="s">
        <v>91</v>
      </c>
      <c r="D8" s="337" t="s">
        <v>274</v>
      </c>
      <c r="E8" s="295" t="s">
        <v>265</v>
      </c>
      <c r="F8" s="137">
        <f>SUMIFS(생산량!E:E,생산량!B:B,B8,생산량!D:D,B9)</f>
        <v>23596.41</v>
      </c>
      <c r="G8" s="137"/>
      <c r="H8" s="137">
        <f>SUMIFS(생산량!F:F,생산량!B:B,B8,생산량!D:D,B9)</f>
        <v>24489.72</v>
      </c>
      <c r="I8" s="137">
        <f>SUMIFS(생산량!G:G,생산량!B:B,B8,생산량!D:D,B9)</f>
        <v>26414.52</v>
      </c>
      <c r="J8" s="137">
        <f>SUMIFS(생산량!H:H,생산량!B:B,B8,생산량!D:D,B9)</f>
        <v>13422.08</v>
      </c>
      <c r="K8" s="137">
        <f>SUMIFS(생산량!I:I,생산량!B:B,B8,생산량!D:D,B9)</f>
        <v>5208.74</v>
      </c>
      <c r="L8" s="137">
        <f>SUMIFS(생산량!J:J,생산량!B:B,B8,생산량!D:D,B9)</f>
        <v>2022.0540000000001</v>
      </c>
      <c r="M8" s="137"/>
      <c r="N8" s="137">
        <f t="shared" ref="N8:N12" si="0">SUM(F8:M8)</f>
        <v>95153.524000000019</v>
      </c>
      <c r="O8" s="187"/>
      <c r="Q8" s="273" t="s">
        <v>444</v>
      </c>
      <c r="R8" s="273"/>
      <c r="S8" s="277"/>
      <c r="T8" s="277"/>
      <c r="U8" s="276"/>
      <c r="V8" s="273"/>
      <c r="W8" s="273"/>
      <c r="X8" s="273"/>
    </row>
    <row r="9" spans="1:33" ht="24.95" customHeight="1">
      <c r="A9" s="293" t="s">
        <v>4</v>
      </c>
      <c r="B9" s="219" t="s">
        <v>457</v>
      </c>
      <c r="D9" s="337"/>
      <c r="E9" s="295" t="s">
        <v>267</v>
      </c>
      <c r="F9" s="138">
        <f>SUM(F10:F11)</f>
        <v>441505</v>
      </c>
      <c r="G9" s="138">
        <f t="shared" ref="G9:L9" si="1">SUM(G10:G11)</f>
        <v>63834</v>
      </c>
      <c r="H9" s="138">
        <f t="shared" si="1"/>
        <v>1878511</v>
      </c>
      <c r="I9" s="138">
        <f t="shared" si="1"/>
        <v>2444796</v>
      </c>
      <c r="J9" s="138">
        <f t="shared" si="1"/>
        <v>805772</v>
      </c>
      <c r="K9" s="138">
        <f t="shared" si="1"/>
        <v>587421</v>
      </c>
      <c r="L9" s="138">
        <f t="shared" si="1"/>
        <v>15761</v>
      </c>
      <c r="M9" s="138"/>
      <c r="N9" s="138">
        <f t="shared" si="0"/>
        <v>6237600</v>
      </c>
      <c r="O9" s="138"/>
      <c r="Q9" s="273" t="s">
        <v>440</v>
      </c>
      <c r="R9" s="273" t="s">
        <v>443</v>
      </c>
      <c r="S9" s="277" t="s">
        <v>441</v>
      </c>
      <c r="T9" s="277" t="s">
        <v>442</v>
      </c>
      <c r="U9" s="276"/>
      <c r="V9" s="273"/>
      <c r="W9" s="273"/>
      <c r="X9" s="273"/>
    </row>
    <row r="10" spans="1:33" ht="24.95" customHeight="1">
      <c r="A10" s="330" t="s">
        <v>301</v>
      </c>
      <c r="B10" s="220" t="s">
        <v>295</v>
      </c>
      <c r="D10" s="337"/>
      <c r="E10" s="295" t="s">
        <v>266</v>
      </c>
      <c r="F10" s="188">
        <f>ROUND(SUMIFS(라인분배전력량!E:E,라인분배전력량!B:B,B8,라인분배전력량!D:D,B9),0)</f>
        <v>427296</v>
      </c>
      <c r="G10" s="188">
        <f>ROUND(SUMIFS(라인분배전력량!F:F,라인분배전력량!B:B,B8,라인분배전력량!D:D,B9),0)</f>
        <v>61780</v>
      </c>
      <c r="H10" s="188">
        <f>ROUND(SUMIFS(라인분배전력량!G:G,라인분배전력량!B:B,B8,라인분배전력량!D:D,B9),0)</f>
        <v>1818057</v>
      </c>
      <c r="I10" s="188">
        <f>ROUND(SUMIFS(라인분배전력량!H:H,라인분배전력량!B:B,B8,라인분배전력량!D:D,B9),0)</f>
        <v>2387475</v>
      </c>
      <c r="J10" s="188">
        <f>ROUND(SUMIFS(라인분배전력량!I:I,라인분배전력량!B:B,B8,라인분배전력량!D:D,B9)+T10,0)</f>
        <v>779841</v>
      </c>
      <c r="K10" s="188">
        <f>ROUND(SUMIFS(라인분배전력량!J:J,라인분배전력량!B:B,B8,라인분배전력량!D:D,B9),0)</f>
        <v>568517</v>
      </c>
      <c r="L10" s="188">
        <f>ROUND(SUMIFS(라인분배전력량!K:K,라인분배전력량!B:B,B8,라인분배전력량!D:D,B9),0)+ROUND(SUMIFS(라인분배전력량!L:L,라인분배전력량!B:B,B8,라인분배전력량!D:D,B9),0)</f>
        <v>15254</v>
      </c>
      <c r="M10" s="188"/>
      <c r="N10" s="188">
        <f t="shared" si="0"/>
        <v>6058220</v>
      </c>
      <c r="O10" s="188"/>
      <c r="Q10" s="278"/>
      <c r="R10" s="279"/>
      <c r="S10" s="283"/>
      <c r="T10" s="280"/>
      <c r="U10" s="276">
        <f>F10+G10</f>
        <v>489076</v>
      </c>
      <c r="V10" s="273"/>
      <c r="W10" s="276">
        <f>ROUND(L10*0.6,0)</f>
        <v>9152</v>
      </c>
      <c r="X10" s="276">
        <f>L10-W10</f>
        <v>6102</v>
      </c>
    </row>
    <row r="11" spans="1:33" ht="24.95" customHeight="1">
      <c r="A11" s="330"/>
      <c r="B11" s="220" t="s">
        <v>297</v>
      </c>
      <c r="D11" s="337"/>
      <c r="E11" s="295" t="s">
        <v>303</v>
      </c>
      <c r="F11" s="188">
        <f>ROUND(SUMIFS(라인분배전력량!S:S,라인분배전력량!B:B,B8,라인분배전력량!D:D,B9),0)</f>
        <v>14209</v>
      </c>
      <c r="G11" s="188">
        <f>ROUND(SUMIFS(라인분배전력량!T:T,라인분배전력량!B:B,B8,라인분배전력량!D:D,B9),0)</f>
        <v>2054</v>
      </c>
      <c r="H11" s="188">
        <f>ROUND(SUMIFS(라인분배전력량!U:U,라인분배전력량!B:B,B8,라인분배전력량!D:D,B9),0)</f>
        <v>60454</v>
      </c>
      <c r="I11" s="188">
        <f>ROUND(SUMIFS(라인분배전력량!V:V,라인분배전력량!B:B,B8,라인분배전력량!D:D,B9),0)</f>
        <v>57321</v>
      </c>
      <c r="J11" s="188">
        <f>ROUND(SUMIFS(라인분배전력량!W:W,라인분배전력량!B:B,B8,라인분배전력량!D:D,B9)+T11+R11,0)</f>
        <v>25931</v>
      </c>
      <c r="K11" s="188">
        <f>ROUND(SUMIFS(라인분배전력량!X:X,라인분배전력량!B:B,B8,라인분배전력량!D:D,B9),0)</f>
        <v>18904</v>
      </c>
      <c r="L11" s="188">
        <f>ROUND(SUMIFS(라인분배전력량!Y:Y,라인분배전력량!B:B,B8,라인분배전력량!D:D,B9),0)</f>
        <v>507</v>
      </c>
      <c r="M11" s="188"/>
      <c r="N11" s="188">
        <f t="shared" si="0"/>
        <v>179380</v>
      </c>
      <c r="O11" s="188"/>
      <c r="Q11" s="278"/>
      <c r="R11" s="279"/>
      <c r="S11" s="283"/>
      <c r="T11" s="280"/>
      <c r="U11" s="276">
        <f t="shared" ref="U11:U13" si="2">F11+G11</f>
        <v>16263</v>
      </c>
      <c r="V11" s="273"/>
      <c r="W11" s="276">
        <f t="shared" ref="W11:W13" si="3">ROUND(L11*0.6,0)</f>
        <v>304</v>
      </c>
      <c r="X11" s="276">
        <f t="shared" ref="X11:X13" si="4">L11-W11</f>
        <v>203</v>
      </c>
    </row>
    <row r="12" spans="1:33" ht="24.95" customHeight="1" thickBot="1">
      <c r="A12" s="330"/>
      <c r="B12" s="221" t="s">
        <v>299</v>
      </c>
      <c r="D12" s="337"/>
      <c r="E12" s="295" t="s">
        <v>268</v>
      </c>
      <c r="F12" s="188">
        <f>SUMIFS(라인분배전력금액!E:E,라인분배전력금액!B:B,B8,라인분배전력금액!D:D,B9)</f>
        <v>39969726</v>
      </c>
      <c r="G12" s="188">
        <f>SUMIFS(라인분배전력금액!F:F,라인분배전력금액!B:B,B8,라인분배전력금액!D:D,B9)</f>
        <v>5778927</v>
      </c>
      <c r="H12" s="188">
        <f>SUMIFS(라인분배전력금액!G:G,라인분배전력금액!B:B,B8,라인분배전력금액!D:D,B9)</f>
        <v>170062642</v>
      </c>
      <c r="I12" s="188">
        <f>SUMIFS(라인분배전력금액!H:H,라인분배전력금액!B:B,B8,라인분배전력금액!D:D,B9)</f>
        <v>161248311</v>
      </c>
      <c r="J12" s="188">
        <f>SUMIFS(라인분배전력금액!I:I,라인분배전력금액!B:B,B8,라인분배전력금액!D:D,B9)+T12+R12</f>
        <v>72947017</v>
      </c>
      <c r="K12" s="188">
        <f>SUMIFS(라인분배전력금액!J:J,라인분배전력금액!B:B,B8,라인분배전력금액!D:D,B9)</f>
        <v>53179572</v>
      </c>
      <c r="L12" s="188">
        <f>SUMIFS(라인분배전력금액!K:K,라인분배전력금액!B:B,B8,라인분배전력금액!D:D,B9)+SUMIFS(라인분배전력금액!L:L,라인분배전력금액!B:B,B8,라인분배전력금액!D:D,B9)</f>
        <v>-67034</v>
      </c>
      <c r="M12" s="188"/>
      <c r="N12" s="188">
        <f t="shared" si="0"/>
        <v>503119161</v>
      </c>
      <c r="O12" s="187"/>
      <c r="Q12" s="278"/>
      <c r="R12" s="279"/>
      <c r="S12" s="283"/>
      <c r="T12" s="282"/>
      <c r="U12" s="276">
        <f t="shared" si="2"/>
        <v>45748653</v>
      </c>
      <c r="V12" s="273"/>
      <c r="W12" s="276">
        <f t="shared" si="3"/>
        <v>-40220</v>
      </c>
      <c r="X12" s="276">
        <f t="shared" si="4"/>
        <v>-26814</v>
      </c>
    </row>
    <row r="13" spans="1:33" ht="24.95" customHeight="1" thickTop="1">
      <c r="D13" s="337"/>
      <c r="E13" s="295" t="s">
        <v>269</v>
      </c>
      <c r="F13" s="188">
        <f>SUMIFS(라인분배전력금액!U:U,라인분배전력금액!R:R,B8,라인분배전력금액!T:T,B9)+($R$13*R21)</f>
        <v>788196</v>
      </c>
      <c r="G13" s="188">
        <f>SUMIFS(라인분배전력금액!V:V,라인분배전력금액!R:R,B8,라인분배전력금액!T:T,B9)+($R$13*R22)</f>
        <v>113959</v>
      </c>
      <c r="H13" s="188">
        <f>SUMIFS(라인분배전력금액!W:W,라인분배전력금액!R:R,B8,라인분배전력금액!T:T,B9)+($R$13*R23)</f>
        <v>3353604</v>
      </c>
      <c r="I13" s="188">
        <f>SUMIFS(라인분배전력금액!X:X,라인분배전력금액!R:R,B8,라인분배전력금액!T:T,B9)+($R$13*R24)</f>
        <v>3179787</v>
      </c>
      <c r="J13" s="188">
        <f>SUMIFS(라인분배전력금액!Y:Y,라인분배전력금액!R:R,B8,라인분배전력금액!T:T,B9)+T13+($R$13*R25)</f>
        <v>1438502</v>
      </c>
      <c r="K13" s="188">
        <f>SUMIFS(라인분배전력금액!Z:Z,라인분배전력금액!R:R,B8,라인분배전력금액!T:T,B9)+($R$13*R26)</f>
        <v>1048692</v>
      </c>
      <c r="L13" s="188">
        <f>SUMIFS(라인분배전력금액!AA:AA,라인분배전력금액!R:R,B8,라인분배전력금액!T:T,B9)+SUMIFS(라인분배전력금액!AB:AB,라인분배전력금액!R:R,B8,라인분배전력금액!T:T,B9)</f>
        <v>28137</v>
      </c>
      <c r="M13" s="188"/>
      <c r="N13" s="188">
        <f>SUM(F13:M13)</f>
        <v>9950877</v>
      </c>
      <c r="O13" s="296"/>
      <c r="Q13" s="278"/>
      <c r="R13" s="279"/>
      <c r="S13" s="283"/>
      <c r="T13" s="282"/>
      <c r="U13" s="276">
        <f t="shared" si="2"/>
        <v>902155</v>
      </c>
      <c r="V13" s="273"/>
      <c r="W13" s="276">
        <f t="shared" si="3"/>
        <v>16882</v>
      </c>
      <c r="X13" s="276">
        <f t="shared" si="4"/>
        <v>11255</v>
      </c>
    </row>
    <row r="14" spans="1:33" ht="24.95" customHeight="1">
      <c r="D14" s="337"/>
      <c r="E14" s="295" t="s">
        <v>270</v>
      </c>
      <c r="F14" s="138">
        <f>SUM(F12:F13)</f>
        <v>40757922</v>
      </c>
      <c r="G14" s="138">
        <f t="shared" ref="G14:N14" si="5">SUM(G12:G13)</f>
        <v>5892886</v>
      </c>
      <c r="H14" s="138">
        <f t="shared" si="5"/>
        <v>173416246</v>
      </c>
      <c r="I14" s="138">
        <f t="shared" si="5"/>
        <v>164428098</v>
      </c>
      <c r="J14" s="138">
        <f t="shared" si="5"/>
        <v>74385519</v>
      </c>
      <c r="K14" s="138">
        <f t="shared" si="5"/>
        <v>54228264</v>
      </c>
      <c r="L14" s="138">
        <f t="shared" si="5"/>
        <v>-38897</v>
      </c>
      <c r="M14" s="138">
        <f t="shared" si="5"/>
        <v>0</v>
      </c>
      <c r="N14" s="138">
        <f t="shared" si="5"/>
        <v>513070038</v>
      </c>
      <c r="O14" s="139"/>
      <c r="Q14" s="190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137</v>
      </c>
      <c r="AE14" s="183" t="s">
        <v>138</v>
      </c>
      <c r="AF14" s="183" t="s">
        <v>139</v>
      </c>
      <c r="AG14" s="183" t="s">
        <v>132</v>
      </c>
    </row>
    <row r="15" spans="1:33" ht="24.95" customHeight="1">
      <c r="D15" s="337"/>
      <c r="E15" s="295" t="s">
        <v>271</v>
      </c>
      <c r="F15" s="140">
        <f>F14+Z15</f>
        <v>42713710.255194612</v>
      </c>
      <c r="G15" s="140">
        <f t="shared" ref="G15:L15" si="6">G14+AA15</f>
        <v>6175658.9689921979</v>
      </c>
      <c r="H15" s="140">
        <f t="shared" si="6"/>
        <v>181737706.97414914</v>
      </c>
      <c r="I15" s="140">
        <f t="shared" si="6"/>
        <v>172318258.43339258</v>
      </c>
      <c r="J15" s="140">
        <f t="shared" si="6"/>
        <v>77954943.468287319</v>
      </c>
      <c r="K15" s="140">
        <f t="shared" si="6"/>
        <v>56830432.976505786</v>
      </c>
      <c r="L15" s="140">
        <f t="shared" si="6"/>
        <v>30916.923478350727</v>
      </c>
      <c r="M15" s="140"/>
      <c r="N15" s="140">
        <f>SUM(F15:L15)</f>
        <v>537761628</v>
      </c>
      <c r="O15" s="187"/>
      <c r="Q15" s="281"/>
      <c r="S15" s="136"/>
      <c r="T15" s="136"/>
      <c r="Z15" s="198">
        <f>SUMIFS(라인별전력적용비율!E:E,라인별전력적용비율!B:B,B8,라인별전력적용비율!D:D,B9)*AG15</f>
        <v>1955788.2551946114</v>
      </c>
      <c r="AA15" s="198">
        <f>SUMIFS(라인별전력적용비율!F:F,라인별전력적용비율!B:B,B8,라인별전력적용비율!D:D,B9)*AG15</f>
        <v>282772.968992198</v>
      </c>
      <c r="AB15" s="198">
        <f>SUMIFS(라인별전력적용비율!G:G,라인별전력적용비율!B:B,B8,라인별전력적용비율!D:D,B9)*AG15</f>
        <v>8321460.974149148</v>
      </c>
      <c r="AC15" s="198">
        <f>SUMIFS(라인별전력적용비율!H:H,라인별전력적용비율!B:B,B8,라인별전력적용비율!D:D,B9)*AG15</f>
        <v>7890160.4333925936</v>
      </c>
      <c r="AD15" s="198">
        <f>SUMIFS(라인별전력적용비율!I:I,라인별전력적용비율!B:B,B8,라인별전력적용비율!D:D,B9)*AG15</f>
        <v>3569424.4682873115</v>
      </c>
      <c r="AE15" s="198">
        <f>SUMIFS(라인별전력적용비율!J:J,라인별전력적용비율!B:B,B8,라인별전력적용비율!D:D,B9)*AG15</f>
        <v>2602168.9765057848</v>
      </c>
      <c r="AF15" s="198">
        <f>SUMIFS(라인별전력적용비율!K:K,라인별전력적용비율!B:B,B8,라인별전력적용비율!D:D,B9)*AG15</f>
        <v>69813.923478350727</v>
      </c>
      <c r="AG15" s="198">
        <f>ROUND(SUMIFS(리스추정치!E:E,리스추정치!B:B,B8,리스추정치!D:D,B9),0)</f>
        <v>24691590</v>
      </c>
    </row>
    <row r="16" spans="1:33" ht="24.95" customHeight="1">
      <c r="D16" s="337"/>
      <c r="E16" s="141" t="s">
        <v>272</v>
      </c>
      <c r="F16" s="188">
        <f>IFERROR(F15/F8,0)</f>
        <v>1810.1783387894434</v>
      </c>
      <c r="G16" s="188">
        <f>IFERROR(G15/F8,0)</f>
        <v>261.72027732151622</v>
      </c>
      <c r="H16" s="188">
        <f t="shared" ref="H16:N16" si="7">IFERROR(H15/H8,0)</f>
        <v>7420.9793731471464</v>
      </c>
      <c r="I16" s="188">
        <f t="shared" si="7"/>
        <v>6523.618768517943</v>
      </c>
      <c r="J16" s="188">
        <f t="shared" si="7"/>
        <v>5807.9629586686506</v>
      </c>
      <c r="K16" s="188">
        <f t="shared" si="7"/>
        <v>10910.591232525676</v>
      </c>
      <c r="L16" s="188">
        <f t="shared" si="7"/>
        <v>15.2898604480151</v>
      </c>
      <c r="M16" s="188">
        <f t="shared" si="7"/>
        <v>0</v>
      </c>
      <c r="N16" s="188">
        <f t="shared" si="7"/>
        <v>5651.5156285751427</v>
      </c>
      <c r="O16" s="187"/>
      <c r="S16" s="135"/>
      <c r="T16" s="136"/>
    </row>
    <row r="17" spans="4:20" ht="24.95" customHeight="1">
      <c r="D17" s="337"/>
      <c r="E17" s="141" t="s">
        <v>273</v>
      </c>
      <c r="F17" s="137">
        <f>IFERROR(F9/F8,0)</f>
        <v>18.710685227117175</v>
      </c>
      <c r="G17" s="137">
        <f>G9/F8</f>
        <v>2.7052420262234804</v>
      </c>
      <c r="H17" s="137">
        <f t="shared" ref="H17:N17" si="8">IFERROR(H9/H8,0)</f>
        <v>76.70610362225456</v>
      </c>
      <c r="I17" s="137">
        <f t="shared" si="8"/>
        <v>92.555003838797745</v>
      </c>
      <c r="J17" s="137">
        <f t="shared" si="8"/>
        <v>60.033318233835594</v>
      </c>
      <c r="K17" s="137">
        <f t="shared" si="8"/>
        <v>112.77602644785496</v>
      </c>
      <c r="L17" s="137">
        <f t="shared" si="8"/>
        <v>7.7945495026344496</v>
      </c>
      <c r="M17" s="137">
        <f t="shared" si="8"/>
        <v>0</v>
      </c>
      <c r="N17" s="137">
        <f t="shared" si="8"/>
        <v>65.55301094261101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SUMIFS(LNG사용량!E:E,LNG사용량!B:B,B8,LNG사용량!D:D,B9)</f>
        <v>92441.523153170376</v>
      </c>
      <c r="G18" s="188">
        <f>SUMIFS(LNG사용량!F:F,LNG사용량!B:B,B8,LNG사용량!D:D,B9)</f>
        <v>76883</v>
      </c>
      <c r="H18" s="188"/>
      <c r="I18" s="188">
        <f>SUMIFS(LNG사용량!G:G,LNG사용량!B:B,B8,LNG사용량!D:D,B9)</f>
        <v>508062</v>
      </c>
      <c r="J18" s="188">
        <f>SUMIFS(LNG사용량!H:H,LNG사용량!B:B,B8,LNG사용량!D:D,B9)</f>
        <v>352696</v>
      </c>
      <c r="K18" s="188">
        <f>SUMIFS(LNG사용량!I:I,LNG사용량!B:B,B8,LNG사용량!D:D,B9)</f>
        <v>320828.47684682964</v>
      </c>
      <c r="L18" s="188"/>
      <c r="M18" s="188">
        <f>SUMIFS(LNG사용량!J:J,LNG사용량!B:B,B8,LNG사용량!D:D,B9)+SUMIFS(LNG사용량!K:K,LNG사용량!B:B,B8,LNG사용량!D:D,B9)</f>
        <v>2365.0000000000482</v>
      </c>
      <c r="N18" s="188">
        <f>SUM(F18:M18)</f>
        <v>1353276</v>
      </c>
      <c r="O18" s="187"/>
      <c r="S18" s="173"/>
    </row>
    <row r="19" spans="4:20" ht="24.95" customHeight="1">
      <c r="D19" s="337"/>
      <c r="E19" s="164" t="s">
        <v>370</v>
      </c>
      <c r="F19" s="138">
        <f>SUMIFS(LNG금액!E:E,LNG금액!B:B,B8,LNG금액!D:D,B9)</f>
        <v>48168075</v>
      </c>
      <c r="G19" s="138">
        <f>SUMIFS(LNG금액!F:F,LNG금액!B:B,B8,LNG금액!D:D,B9)</f>
        <v>40061067</v>
      </c>
      <c r="H19" s="138"/>
      <c r="I19" s="138">
        <f>SUMIFS(LNG금액!G:G,LNG금액!B:B,B8,LNG금액!D:D,B9)</f>
        <v>264733504</v>
      </c>
      <c r="J19" s="138">
        <f>SUMIFS(LNG금액!H:H,LNG금액!B:B,B8,LNG금액!D:D,B9)</f>
        <v>183777665</v>
      </c>
      <c r="K19" s="138">
        <f>SUMIFS(LNG금액!I:I,LNG금액!B:B,B8,LNG금액!D:D,B9)</f>
        <v>167172603</v>
      </c>
      <c r="L19" s="138"/>
      <c r="M19" s="138">
        <f>SUMIFS(LNG금액!J:J,LNG금액!B:B,B8,LNG금액!D:D,B9)+SUMIFS(LNG금액!K:K,LNG금액!B:B,B8,LNG금액!D:D,B9)</f>
        <v>1232320</v>
      </c>
      <c r="N19" s="138">
        <f>SUM(F19:M19)</f>
        <v>705145234</v>
      </c>
      <c r="O19" s="187"/>
    </row>
    <row r="20" spans="4:20" ht="24.95" customHeight="1">
      <c r="D20" s="337"/>
      <c r="E20" s="164" t="s">
        <v>272</v>
      </c>
      <c r="F20" s="188">
        <f>F19/F8</f>
        <v>2041.3306515694549</v>
      </c>
      <c r="G20" s="188">
        <f>IFERROR(G19/G8,0)</f>
        <v>0</v>
      </c>
      <c r="H20" s="188"/>
      <c r="I20" s="188">
        <f>IFERROR(I19/I8,0)</f>
        <v>10022.271992828188</v>
      </c>
      <c r="J20" s="188">
        <f t="shared" ref="J20:N20" si="9">J19/J8</f>
        <v>13692.18966061892</v>
      </c>
      <c r="K20" s="188">
        <f t="shared" si="9"/>
        <v>32094.63382699079</v>
      </c>
      <c r="L20" s="188"/>
      <c r="M20" s="188"/>
      <c r="N20" s="188">
        <f t="shared" si="9"/>
        <v>7410.6055599159927</v>
      </c>
      <c r="O20" s="187"/>
    </row>
    <row r="21" spans="4:20" ht="24.95" customHeight="1">
      <c r="D21" s="337"/>
      <c r="E21" s="164" t="s">
        <v>372</v>
      </c>
      <c r="F21" s="137">
        <f>F18/F8</f>
        <v>3.9176096343965194</v>
      </c>
      <c r="G21" s="137">
        <f>IFERROR(G18/G8,0)</f>
        <v>0</v>
      </c>
      <c r="H21" s="137"/>
      <c r="I21" s="137">
        <f>IFERROR(I18/I8,0)</f>
        <v>19.234193920616388</v>
      </c>
      <c r="J21" s="137">
        <f t="shared" ref="J21:N21" si="10">J18/J8</f>
        <v>26.277298302498568</v>
      </c>
      <c r="K21" s="137">
        <f t="shared" si="10"/>
        <v>61.594258274905187</v>
      </c>
      <c r="L21" s="137"/>
      <c r="M21" s="137"/>
      <c r="N21" s="137">
        <f t="shared" si="10"/>
        <v>14.222027131648847</v>
      </c>
      <c r="O21" s="187"/>
      <c r="Q21" s="183" t="s">
        <v>133</v>
      </c>
      <c r="R21" s="183">
        <f>SUMIFS(라인별전력적용비율!E:E,라인별전력적용비율!B:B,B8,라인별전력적용비율!D:D,B9)</f>
        <v>7.9208680169831569E-2</v>
      </c>
    </row>
    <row r="22" spans="4:20" ht="24.95" customHeight="1">
      <c r="D22" s="295" t="s">
        <v>374</v>
      </c>
      <c r="E22" s="164" t="s">
        <v>375</v>
      </c>
      <c r="F22" s="187">
        <f>SUMIFS(LNG사용량!M:M,LNG사용량!B:B,B8,LNG사용량!D:D,B9)</f>
        <v>947903</v>
      </c>
      <c r="G22" s="187"/>
      <c r="H22" s="187"/>
      <c r="I22" s="187"/>
      <c r="J22" s="187"/>
      <c r="K22" s="187">
        <f>SUMIFS(LNG사용량!N:N,LNG사용량!B:B,B8,LNG사용량!D:D,B9)</f>
        <v>810949</v>
      </c>
      <c r="L22" s="187"/>
      <c r="M22" s="187"/>
      <c r="N22" s="188">
        <f>SUM(F22:M22)</f>
        <v>1758852</v>
      </c>
      <c r="O22" s="187"/>
      <c r="Q22" s="183" t="s">
        <v>134</v>
      </c>
      <c r="R22" s="183">
        <f>SUMIFS(라인별전력적용비율!F:F,라인별전력적용비율!B:B,B8,라인별전력적용비율!D:D,B9)</f>
        <v>1.145219765078709E-2</v>
      </c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SUMIFS(용수사용량!F:F,용수사용량!B:B,B8,용수사용량!D:D,B9,용수사용량!E:E,'21.5월'!B10)</f>
        <v>297.30465767867764</v>
      </c>
      <c r="G23" s="188">
        <f>SUMIFS(용수사용량!G:G,용수사용량!B:B,B8,용수사용량!D:D,B9,용수사용량!E:E,'21.5월'!B10)</f>
        <v>3.5420616402915872</v>
      </c>
      <c r="H23" s="188">
        <f>SUMIFS(용수사용량!H:H,용수사용량!B:B,B8,용수사용량!D:D,B9,용수사용량!E:E,'21.5월'!B10)</f>
        <v>44.975613327735978</v>
      </c>
      <c r="I23" s="188">
        <f>SUMIFS(용수사용량!I:I,용수사용량!B:B,B8,용수사용량!D:D,B9,용수사용량!E:E,'21.5월'!B10)</f>
        <v>305.89558540704559</v>
      </c>
      <c r="J23" s="188">
        <f>SUMIFS(용수사용량!J:J,용수사용량!B:B,B8,용수사용량!D:D,B9,용수사용량!E:E,'21.5월'!B10)</f>
        <v>504.77234875479576</v>
      </c>
      <c r="K23" s="188">
        <f>SUMIFS(용수사용량!K:K,용수사용량!B:B,B8,용수사용량!D:D,B9,용수사용량!E:E,'21.5월'!B10)</f>
        <v>306.50973319145345</v>
      </c>
      <c r="L23" s="188"/>
      <c r="M23" s="188"/>
      <c r="N23" s="188">
        <f>SUM(F23:M23)</f>
        <v>1463</v>
      </c>
      <c r="O23" s="187"/>
      <c r="Q23" s="183" t="s">
        <v>135</v>
      </c>
      <c r="R23" s="183">
        <f>SUMIFS(라인별전력적용비율!G:G,라인별전력적용비율!B:B,B8,라인별전력적용비율!D:D,B9)</f>
        <v>0.33701600318769054</v>
      </c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SUMIFS(용수금액!F:F,용수사용량!B:B,B8,용수사용량!D:D,B9,용수사용량!E:E,'21.5월'!B10)</f>
        <v>1260476.2371501366</v>
      </c>
      <c r="G24" s="188">
        <f>SUMIFS(용수금액!G:G,용수사용량!B:B,B8,용수사용량!D:D,B9,용수사용량!E:E,'21.5월'!B10)</f>
        <v>15017.203440297069</v>
      </c>
      <c r="H24" s="188">
        <f>SUMIFS(용수금액!H:H,용수사용량!B:B,B8,용수사용량!D:D,B9,용수사용량!E:E,'21.5월'!B10)</f>
        <v>190682.15174797099</v>
      </c>
      <c r="I24" s="188">
        <f>SUMIFS(용수금액!I:I,용수사용량!B:B,B8,용수사용량!D:D,B9,용수사용량!E:E,'21.5월'!B10)</f>
        <v>1296899.0108168223</v>
      </c>
      <c r="J24" s="188">
        <f>SUMIFS(용수금액!J:J,용수사용량!B:B,B8,용수사용량!D:D,B9,용수사용량!E:E,'21.5월'!B10)</f>
        <v>2140072.5967217595</v>
      </c>
      <c r="K24" s="188">
        <f>SUMIFS(용수금액!K:K,용수사용량!B:B,B8,용수사용량!D:D,B9,용수사용량!E:E,'21.5월'!B10)</f>
        <v>1299502.8001230136</v>
      </c>
      <c r="L24" s="188"/>
      <c r="M24" s="188"/>
      <c r="N24" s="189">
        <f>SUM(F24:M24)</f>
        <v>6202650</v>
      </c>
      <c r="O24" s="187"/>
      <c r="Q24" s="183" t="s">
        <v>136</v>
      </c>
      <c r="R24" s="183">
        <f>SUMIFS(라인별전력적용비율!H:H,라인별전력적용비율!B:B,B8,라인별전력적용비율!D:D,B9)</f>
        <v>0.31954849539428581</v>
      </c>
    </row>
    <row r="25" spans="4:20" ht="24.95" customHeight="1">
      <c r="D25" s="337"/>
      <c r="E25" s="164" t="s">
        <v>272</v>
      </c>
      <c r="F25" s="188">
        <f>F24/F8</f>
        <v>53.4181359431429</v>
      </c>
      <c r="G25" s="188">
        <f>G24/F8</f>
        <v>0.63641899086755438</v>
      </c>
      <c r="H25" s="188">
        <f>H24/H8</f>
        <v>7.7862120002993489</v>
      </c>
      <c r="I25" s="188">
        <f>IFERROR(I24/I8,0)</f>
        <v>49.097958653680713</v>
      </c>
      <c r="J25" s="188">
        <f t="shared" ref="J25:K25" si="11">J24/J8</f>
        <v>159.44418426367295</v>
      </c>
      <c r="K25" s="188">
        <f t="shared" si="11"/>
        <v>249.48505783030322</v>
      </c>
      <c r="L25" s="188"/>
      <c r="M25" s="188"/>
      <c r="N25" s="188">
        <f t="shared" ref="N25" si="12">N24/N8</f>
        <v>65.185709779913125</v>
      </c>
      <c r="O25" s="187"/>
      <c r="Q25" s="183" t="s">
        <v>137</v>
      </c>
      <c r="R25" s="183">
        <f>SUMIFS(라인별전력적용비율!I:I,라인별전력적용비율!B:B,B8,라인별전력적용비율!D:D,B9)</f>
        <v>0.14456033282130926</v>
      </c>
    </row>
    <row r="26" spans="4:20" ht="24.95" customHeight="1">
      <c r="D26" s="337"/>
      <c r="E26" s="164" t="s">
        <v>379</v>
      </c>
      <c r="F26" s="137">
        <f>F23/F8</f>
        <v>1.2599571616134727E-2</v>
      </c>
      <c r="G26" s="137">
        <f>G23/F8</f>
        <v>1.50110192198372E-4</v>
      </c>
      <c r="H26" s="137">
        <f>H23/H8</f>
        <v>1.8365099040632549E-3</v>
      </c>
      <c r="I26" s="137">
        <f>IFERROR(I23/I8,0)</f>
        <v>1.1580584671122003E-2</v>
      </c>
      <c r="J26" s="137">
        <f t="shared" ref="J26:K26" si="13">J23/J8</f>
        <v>3.7607609905081461E-2</v>
      </c>
      <c r="K26" s="137">
        <f t="shared" si="13"/>
        <v>5.8845274133754698E-2</v>
      </c>
      <c r="L26" s="137"/>
      <c r="M26" s="137"/>
      <c r="N26" s="137">
        <f t="shared" ref="N26" si="14">N23/N8</f>
        <v>1.5375153105207115E-2</v>
      </c>
      <c r="O26" s="187"/>
      <c r="Q26" s="183" t="s">
        <v>138</v>
      </c>
      <c r="R26" s="183">
        <f>SUMIFS(라인별전력적용비율!J:J,라인별전력적용비율!B:B,B8,라인별전력적용비율!D:D,B9)</f>
        <v>0.10538685343899623</v>
      </c>
    </row>
    <row r="27" spans="4:20" ht="24.95" customHeight="1">
      <c r="D27" s="337" t="s">
        <v>297</v>
      </c>
      <c r="E27" s="164" t="s">
        <v>369</v>
      </c>
      <c r="F27" s="188">
        <f>SUMIFS(용수사용량!S:S,용수사용량!O:O,B8,용수사용량!Q:Q,B9,용수사용량!R:R,'21.5월'!B11)</f>
        <v>8861.2232386047417</v>
      </c>
      <c r="G27" s="188">
        <f>SUMIFS(용수사용량!T:T,용수사용량!O:O,B8,용수사용량!Q:Q,B9,용수사용량!R:R,'21.5월'!B11)</f>
        <v>105.57183720089861</v>
      </c>
      <c r="H27" s="188">
        <f>SUMIFS(용수사용량!U:U,용수사용량!O:O,B8,용수사용량!Q:Q,B9,용수사용량!R:R,'21.5월'!B11)</f>
        <v>1340.5069167162867</v>
      </c>
      <c r="I27" s="188">
        <f>SUMIFS(용수사용량!V:V,용수사용량!O:O,B8,용수사용량!Q:Q,B9,용수사용량!R:R,'21.5월'!B11)</f>
        <v>9117.2775131060989</v>
      </c>
      <c r="J27" s="188">
        <f>SUMIFS(용수사용량!W:W,용수사용량!O:O,B8,용수사용량!Q:Q,B9,용수사용량!R:R,'21.5월'!B11)</f>
        <v>15044.838186912419</v>
      </c>
      <c r="K27" s="188">
        <f>SUMIFS(용수사용량!X:X,용수사용량!O:O,B8,용수사용량!Q:Q,B9,용수사용량!R:R,'21.5월'!B11)</f>
        <v>9135.5823074595555</v>
      </c>
      <c r="L27" s="188"/>
      <c r="M27" s="188"/>
      <c r="N27" s="188">
        <f>SUM(F27:M27)</f>
        <v>43605</v>
      </c>
      <c r="O27" s="187"/>
      <c r="Q27" s="183" t="s">
        <v>139</v>
      </c>
      <c r="R27" s="183">
        <f>SUMIFS(라인별전력적용비율!K:K,라인별전력적용비율!B:B,B8,라인별전력적용비율!D:D,B9)</f>
        <v>2.8274373370994225E-3</v>
      </c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SUMIFS(용수금액!S:S,용수사용량!O:O,B8,용수사용량!Q:Q,B9,용수사용량!R:R,'21.5월'!B11)</f>
        <v>4957123.3333007898</v>
      </c>
      <c r="G28" s="213">
        <f>SUMIFS(용수금액!T:T,용수사용량!O:O,B8,용수사용량!Q:Q,B9,용수사용량!R:R,'21.5월'!B11)</f>
        <v>59058.733025487905</v>
      </c>
      <c r="H28" s="213">
        <f>SUMIFS(용수금액!U:U,용수사용량!O:O,B8,용수사용량!Q:Q,B9,용수사용량!R:R,'21.5월'!B11)</f>
        <v>749903.02539220429</v>
      </c>
      <c r="I28" s="213">
        <f>SUMIFS(용수금액!V:V,용수사용량!O:O,B8,용수사용량!Q:Q,B9,용수사용량!R:R,'21.5월'!B11)</f>
        <v>5100364.5748928403</v>
      </c>
      <c r="J28" s="213">
        <f>SUMIFS(용수금액!W:W,용수사용량!O:O,B8,용수사용량!Q:Q,B9,용수사용량!R:R,'21.5월'!B11)</f>
        <v>8416345.7362373453</v>
      </c>
      <c r="K28" s="213">
        <f>SUMIFS(용수금액!X:X,용수사용량!O:O,B8,용수사용량!Q:Q,B9,용수사용량!R:R,'21.5월'!B11)</f>
        <v>5110604.5971513335</v>
      </c>
      <c r="L28" s="213"/>
      <c r="M28" s="213"/>
      <c r="N28" s="213">
        <f>SUM(F28:M28)</f>
        <v>24393400</v>
      </c>
      <c r="O28" s="187"/>
      <c r="R28" s="183">
        <f>SUM(R21:R27)</f>
        <v>1</v>
      </c>
    </row>
    <row r="29" spans="4:20" ht="24.95" customHeight="1">
      <c r="D29" s="337"/>
      <c r="E29" s="164" t="s">
        <v>272</v>
      </c>
      <c r="F29" s="188">
        <f>F28/F8</f>
        <v>210.07955588586526</v>
      </c>
      <c r="G29" s="188">
        <f>G28/F8</f>
        <v>2.502869420623218</v>
      </c>
      <c r="H29" s="188">
        <f t="shared" ref="H29:N29" si="15">H28/H8</f>
        <v>30.621135129033906</v>
      </c>
      <c r="I29" s="188">
        <f>IFERROR(I28/I8,0)</f>
        <v>193.08942865109191</v>
      </c>
      <c r="J29" s="188">
        <f t="shared" si="15"/>
        <v>627.05227030663991</v>
      </c>
      <c r="K29" s="188">
        <f t="shared" si="15"/>
        <v>981.15947372134792</v>
      </c>
      <c r="L29" s="188"/>
      <c r="M29" s="188"/>
      <c r="N29" s="188">
        <f t="shared" si="15"/>
        <v>256.35834569826329</v>
      </c>
      <c r="O29" s="187"/>
    </row>
    <row r="30" spans="4:20" ht="24.95" customHeight="1">
      <c r="D30" s="337"/>
      <c r="E30" s="164" t="s">
        <v>377</v>
      </c>
      <c r="F30" s="137">
        <f>F27/F8</f>
        <v>0.37553268648089866</v>
      </c>
      <c r="G30" s="137">
        <f>G27/F8</f>
        <v>4.4740635207177115E-3</v>
      </c>
      <c r="H30" s="137">
        <f t="shared" ref="H30:N30" si="16">H27/H8</f>
        <v>5.4737535452274937E-2</v>
      </c>
      <c r="I30" s="137">
        <f>IFERROR(I27/I8,0)</f>
        <v>0.34516158208084413</v>
      </c>
      <c r="J30" s="137">
        <f t="shared" si="16"/>
        <v>1.1209021393787266</v>
      </c>
      <c r="K30" s="137">
        <f t="shared" si="16"/>
        <v>1.7538948589216501</v>
      </c>
      <c r="L30" s="137"/>
      <c r="M30" s="137"/>
      <c r="N30" s="137">
        <f t="shared" si="16"/>
        <v>0.45825943346039388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SUMIFS(용수사용량!AF:AF,용수사용량!AB:AB,B8,용수사용량!AD:AD,B9,용수사용량!AE:AE,'21.5월'!B12)</f>
        <v>5625.8251149531861</v>
      </c>
      <c r="G31" s="188">
        <f>SUMIFS(용수사용량!AG:AG,용수사용량!AB:AB,B8,용수사용량!AD:AD,B9,용수사용량!AE:AE,'21.5월'!B12)</f>
        <v>67.025587457164931</v>
      </c>
      <c r="H31" s="188">
        <f>SUMIFS(용수사용량!AH:AH,용수사용량!AB:AB,B8,용수사용량!AD:AD,B9,용수사용량!AE:AE,'21.5월'!B12)</f>
        <v>851.06280202668688</v>
      </c>
      <c r="I31" s="188">
        <f>SUMIFS(용수사용량!AI:AI,용수사용량!AB:AB,B8,용수사용량!AD:AD,B9,용수사용량!AE:AE,'21.5월'!B12)</f>
        <v>5788.3891909833555</v>
      </c>
      <c r="J31" s="188">
        <f>SUMIFS(용수사용량!AJ:AJ,용수사용량!AB:AB,B8,용수사용량!AD:AD,B9,용수사용량!AE:AE,'21.5월'!B12)</f>
        <v>9551.6867415774213</v>
      </c>
      <c r="K31" s="188">
        <f>SUMIFS(용수사용량!AK:AK,용수사용량!AB:AB,B8,용수사용량!AD:AD,B9,용수사용량!AE:AE,'21.5월'!B12)</f>
        <v>5800.0105630021862</v>
      </c>
      <c r="L31" s="188"/>
      <c r="M31" s="188"/>
      <c r="N31" s="188">
        <f>SUM(F31:M31)</f>
        <v>27684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SUMIFS(용수금액!AF:AF,용수금액!AB:AB,B8,용수금액!AD:AD,B9,용수금액!AE:AE,'21.5월'!B12)</f>
        <v>4922596.9755840376</v>
      </c>
      <c r="G32" s="188">
        <f>SUMIFS(용수금액!AG:AG,용수금액!AB:AB,B8,용수금액!AD:AD,B9,용수금액!AE:AE,'21.5월'!B12)</f>
        <v>58647.389025019322</v>
      </c>
      <c r="H32" s="188">
        <f>SUMIFS(용수금액!AH:AH,용수금액!AB:AB,B8,용수금액!AD:AD,B9,용수금액!AE:AE,'21.5월'!B12)</f>
        <v>744679.95177335094</v>
      </c>
      <c r="I32" s="188">
        <f>SUMIFS(용수금액!AI:AI,용수금액!AB:AB,B8,용수금액!AD:AD,B9,용수금액!AE:AE,'21.5월'!B12)</f>
        <v>5064840.5421104366</v>
      </c>
      <c r="J32" s="188">
        <f>SUMIFS(용수금액!AJ:AJ,용수금액!AB:AB,B8,용수금액!AD:AD,B9,용수금액!AE:AE,'21.5월'!B12)</f>
        <v>8357725.8988802433</v>
      </c>
      <c r="K32" s="188">
        <f>SUMIFS(용수금액!AK:AK,용수금액!AB:AB,B8,용수금액!AD:AD,B9,용수금액!AE:AE,'21.5월'!B12)</f>
        <v>5075009.2426269129</v>
      </c>
      <c r="L32" s="188"/>
      <c r="M32" s="188"/>
      <c r="N32" s="188">
        <f>SUM(F32:M32)</f>
        <v>24223500</v>
      </c>
      <c r="O32" s="187"/>
    </row>
    <row r="33" spans="4:15" ht="24.95" customHeight="1">
      <c r="D33" s="337"/>
      <c r="E33" s="164" t="s">
        <v>272</v>
      </c>
      <c r="F33" s="188">
        <f>F32/F8</f>
        <v>208.61635204609675</v>
      </c>
      <c r="G33" s="188">
        <f>G32/F8</f>
        <v>2.4854369382893129</v>
      </c>
      <c r="H33" s="188">
        <f t="shared" ref="H33:N33" si="17">H32/H8</f>
        <v>30.407858961774611</v>
      </c>
      <c r="I33" s="188">
        <f>IFERROR(I32/I8,0)</f>
        <v>191.74456102592197</v>
      </c>
      <c r="J33" s="188">
        <f t="shared" si="17"/>
        <v>622.68485204083447</v>
      </c>
      <c r="K33" s="188">
        <f t="shared" si="17"/>
        <v>974.32569923377116</v>
      </c>
      <c r="L33" s="188"/>
      <c r="M33" s="188"/>
      <c r="N33" s="188">
        <f t="shared" si="17"/>
        <v>254.5728101462642</v>
      </c>
      <c r="O33" s="187"/>
    </row>
    <row r="34" spans="4:15" ht="24.95" customHeight="1">
      <c r="D34" s="337"/>
      <c r="E34" s="164" t="s">
        <v>381</v>
      </c>
      <c r="F34" s="137">
        <f>IFERROR(F31/F8,0)</f>
        <v>0.23841868805268202</v>
      </c>
      <c r="G34" s="137">
        <f>IFERROR(G31/F8,0)</f>
        <v>2.8404993580449286E-3</v>
      </c>
      <c r="H34" s="137">
        <f t="shared" ref="H34:N34" si="18">IFERROR(H31/H8,0)</f>
        <v>3.4751838813456698E-2</v>
      </c>
      <c r="I34" s="137">
        <f t="shared" si="18"/>
        <v>0.21913664117248224</v>
      </c>
      <c r="J34" s="137">
        <f t="shared" si="18"/>
        <v>0.71163983090381089</v>
      </c>
      <c r="K34" s="137">
        <f t="shared" si="18"/>
        <v>1.1135150848385955</v>
      </c>
      <c r="L34" s="137">
        <f t="shared" si="18"/>
        <v>0</v>
      </c>
      <c r="M34" s="137">
        <f t="shared" si="18"/>
        <v>0</v>
      </c>
      <c r="N34" s="137">
        <f t="shared" si="18"/>
        <v>0.29094035445287336</v>
      </c>
      <c r="O34" s="187"/>
    </row>
    <row r="35" spans="4:15" ht="24.95" customHeight="1"/>
    <row r="36" spans="4:15" ht="24.95" customHeight="1"/>
    <row r="37" spans="4:15" ht="24.95" customHeight="1"/>
  </sheetData>
  <mergeCells count="8">
    <mergeCell ref="D4:L5"/>
    <mergeCell ref="D7:E7"/>
    <mergeCell ref="D8:D17"/>
    <mergeCell ref="A10:A12"/>
    <mergeCell ref="D18:D21"/>
    <mergeCell ref="D23:D26"/>
    <mergeCell ref="D27:D30"/>
    <mergeCell ref="D31:D34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G39"/>
  <sheetViews>
    <sheetView tabSelected="1" topLeftCell="A16" workbookViewId="0">
      <selection activeCell="G39" sqref="G39:K39"/>
    </sheetView>
  </sheetViews>
  <sheetFormatPr defaultRowHeight="16.5"/>
  <cols>
    <col min="1" max="4" width="9" style="183"/>
    <col min="5" max="5" width="23.75" style="183" bestFit="1" customWidth="1"/>
    <col min="6" max="15" width="15.625" style="183" customWidth="1"/>
    <col min="16" max="16" width="9" style="183"/>
    <col min="17" max="17" width="14.5" style="183" customWidth="1"/>
    <col min="18" max="18" width="9" style="183"/>
    <col min="19" max="19" width="17.875" style="183" bestFit="1" customWidth="1"/>
    <col min="20" max="20" width="9" style="183"/>
    <col min="21" max="21" width="11.875" style="186" bestFit="1" customWidth="1"/>
    <col min="22" max="22" width="9" style="183"/>
    <col min="23" max="23" width="10.875" style="183" bestFit="1" customWidth="1"/>
    <col min="24" max="24" width="9.75" style="183" bestFit="1" customWidth="1"/>
    <col min="25" max="29" width="9" style="183"/>
    <col min="30" max="30" width="9.5" style="183" bestFit="1" customWidth="1"/>
    <col min="31" max="32" width="9" style="183"/>
    <col min="33" max="33" width="9.5" style="183" bestFit="1" customWidth="1"/>
    <col min="34" max="16384" width="9" style="183"/>
  </cols>
  <sheetData>
    <row r="3" spans="1:33" ht="17.25" thickBot="1"/>
    <row r="4" spans="1:33" ht="18" thickTop="1" thickBot="1">
      <c r="D4" s="335" t="s">
        <v>480</v>
      </c>
      <c r="E4" s="335"/>
      <c r="F4" s="335"/>
      <c r="G4" s="335"/>
      <c r="H4" s="335"/>
      <c r="I4" s="335"/>
      <c r="J4" s="335"/>
      <c r="K4" s="335"/>
      <c r="L4" s="335"/>
      <c r="M4" s="191" t="s">
        <v>292</v>
      </c>
      <c r="N4" s="192" t="s">
        <v>293</v>
      </c>
      <c r="O4" s="193" t="s">
        <v>294</v>
      </c>
    </row>
    <row r="5" spans="1:33" ht="39.950000000000003" customHeight="1" thickTop="1" thickBot="1">
      <c r="D5" s="335"/>
      <c r="E5" s="335"/>
      <c r="F5" s="335"/>
      <c r="G5" s="335"/>
      <c r="H5" s="335"/>
      <c r="I5" s="335"/>
      <c r="J5" s="335"/>
      <c r="K5" s="335"/>
      <c r="L5" s="335"/>
      <c r="M5" s="194"/>
      <c r="N5" s="195"/>
      <c r="O5" s="196"/>
    </row>
    <row r="7" spans="1:33" ht="24.95" customHeight="1" thickBot="1">
      <c r="D7" s="336" t="s">
        <v>94</v>
      </c>
      <c r="E7" s="336"/>
      <c r="F7" s="309" t="s">
        <v>133</v>
      </c>
      <c r="G7" s="309" t="s">
        <v>134</v>
      </c>
      <c r="H7" s="309" t="s">
        <v>135</v>
      </c>
      <c r="I7" s="309" t="s">
        <v>136</v>
      </c>
      <c r="J7" s="309" t="s">
        <v>137</v>
      </c>
      <c r="K7" s="309" t="s">
        <v>138</v>
      </c>
      <c r="L7" s="309" t="s">
        <v>139</v>
      </c>
      <c r="M7" s="309" t="s">
        <v>284</v>
      </c>
      <c r="N7" s="309" t="s">
        <v>132</v>
      </c>
      <c r="O7" s="309" t="s">
        <v>287</v>
      </c>
      <c r="Q7" s="275" t="s">
        <v>430</v>
      </c>
      <c r="R7" s="275" t="s">
        <v>80</v>
      </c>
      <c r="S7" s="133" t="s">
        <v>302</v>
      </c>
      <c r="T7" s="133"/>
      <c r="U7" s="276" t="s">
        <v>288</v>
      </c>
      <c r="V7" s="273" t="s">
        <v>289</v>
      </c>
      <c r="W7" s="273" t="s">
        <v>290</v>
      </c>
      <c r="X7" s="273" t="s">
        <v>291</v>
      </c>
    </row>
    <row r="8" spans="1:33" ht="24.95" customHeight="1" thickTop="1">
      <c r="A8" s="307" t="s">
        <v>2</v>
      </c>
      <c r="B8" s="218" t="s">
        <v>91</v>
      </c>
      <c r="D8" s="337" t="s">
        <v>274</v>
      </c>
      <c r="E8" s="308" t="s">
        <v>265</v>
      </c>
      <c r="F8" s="137">
        <f>SUMIFS(생산량!E:E,생산량!B:B,B8,생산량!D:D,B9)</f>
        <v>28186.31</v>
      </c>
      <c r="G8" s="137"/>
      <c r="H8" s="137">
        <f>SUMIFS(생산량!F:F,생산량!B:B,B8,생산량!D:D,B9)</f>
        <v>25465.54</v>
      </c>
      <c r="I8" s="137">
        <f>SUMIFS(생산량!G:G,생산량!B:B,B8,생산량!D:D,B9)</f>
        <v>26282.050000000003</v>
      </c>
      <c r="J8" s="137">
        <f>SUMIFS(생산량!H:H,생산량!B:B,B8,생산량!D:D,B9)</f>
        <v>13611.48</v>
      </c>
      <c r="K8" s="137">
        <f>SUMIFS(생산량!I:I,생산량!B:B,B8,생산량!D:D,B9)</f>
        <v>5351.01</v>
      </c>
      <c r="L8" s="137">
        <f>SUMIFS(생산량!J:J,생산량!B:B,B8,생산량!D:D,B9)</f>
        <v>2470.2259999999997</v>
      </c>
      <c r="M8" s="137"/>
      <c r="N8" s="137">
        <f t="shared" ref="N8:N12" si="0">SUM(F8:M8)</f>
        <v>101366.61599999999</v>
      </c>
      <c r="O8" s="187"/>
      <c r="Q8" s="273" t="s">
        <v>444</v>
      </c>
      <c r="R8" s="273"/>
      <c r="S8" s="277"/>
      <c r="T8" s="277"/>
      <c r="U8" s="276"/>
      <c r="V8" s="273"/>
      <c r="W8" s="273"/>
      <c r="X8" s="273"/>
    </row>
    <row r="9" spans="1:33" ht="24.95" customHeight="1">
      <c r="A9" s="307" t="s">
        <v>4</v>
      </c>
      <c r="B9" s="219" t="s">
        <v>481</v>
      </c>
      <c r="D9" s="337"/>
      <c r="E9" s="308" t="s">
        <v>267</v>
      </c>
      <c r="F9" s="138">
        <f>SUM(F10:F11)</f>
        <v>331945</v>
      </c>
      <c r="G9" s="138">
        <f t="shared" ref="G9:L9" si="1">SUM(G10:G11)</f>
        <v>63556</v>
      </c>
      <c r="H9" s="138">
        <f t="shared" si="1"/>
        <v>2054251</v>
      </c>
      <c r="I9" s="138">
        <f t="shared" si="1"/>
        <v>2416037</v>
      </c>
      <c r="J9" s="138">
        <f t="shared" si="1"/>
        <v>795992</v>
      </c>
      <c r="K9" s="138">
        <f t="shared" si="1"/>
        <v>600784</v>
      </c>
      <c r="L9" s="138">
        <f t="shared" si="1"/>
        <v>17227</v>
      </c>
      <c r="M9" s="138"/>
      <c r="N9" s="138">
        <f t="shared" si="0"/>
        <v>6279792</v>
      </c>
      <c r="O9" s="138"/>
      <c r="Q9" s="273" t="s">
        <v>440</v>
      </c>
      <c r="R9" s="273" t="s">
        <v>443</v>
      </c>
      <c r="S9" s="277" t="s">
        <v>441</v>
      </c>
      <c r="T9" s="277" t="s">
        <v>442</v>
      </c>
      <c r="U9" s="276"/>
      <c r="V9" s="273"/>
      <c r="W9" s="273"/>
      <c r="X9" s="273"/>
    </row>
    <row r="10" spans="1:33" ht="24.95" customHeight="1">
      <c r="A10" s="330" t="s">
        <v>301</v>
      </c>
      <c r="B10" s="220" t="s">
        <v>295</v>
      </c>
      <c r="D10" s="337"/>
      <c r="E10" s="308" t="s">
        <v>266</v>
      </c>
      <c r="F10" s="188">
        <f>ROUND(SUMIFS(라인분배전력량!E:E,라인분배전력량!B:B,B8,라인분배전력량!D:D,B9),0)</f>
        <v>320629</v>
      </c>
      <c r="G10" s="188">
        <f>ROUND(SUMIFS(라인분배전력량!F:F,라인분배전력량!B:B,B8,라인분배전력량!D:D,B9),0)</f>
        <v>61389</v>
      </c>
      <c r="H10" s="188">
        <f>ROUND(SUMIFS(라인분배전력량!G:G,라인분배전력량!B:B,B8,라인분배전력량!D:D,B9),0)</f>
        <v>1984223</v>
      </c>
      <c r="I10" s="188">
        <f>ROUND(SUMIFS(라인분배전력량!H:H,라인분배전력량!B:B,B8,라인분배전력량!D:D,B9),0)</f>
        <v>2355818</v>
      </c>
      <c r="J10" s="188">
        <f>ROUND(SUMIFS(라인분배전력량!I:I,라인분배전력량!B:B,B8,라인분배전력량!D:D,B9)+T10,0)</f>
        <v>768857</v>
      </c>
      <c r="K10" s="188">
        <f>ROUND(SUMIFS(라인분배전력량!J:J,라인분배전력량!B:B,B8,라인분배전력량!D:D,B9),0)</f>
        <v>580304</v>
      </c>
      <c r="L10" s="188">
        <f>ROUND(SUMIFS(라인분배전력량!K:K,라인분배전력량!B:B,B8,라인분배전력량!D:D,B9),0)+ROUND(SUMIFS(라인분배전력량!L:L,라인분배전력량!B:B,B8,라인분배전력량!D:D,B9),0)</f>
        <v>16640</v>
      </c>
      <c r="M10" s="188"/>
      <c r="N10" s="188">
        <f t="shared" si="0"/>
        <v>6087860</v>
      </c>
      <c r="O10" s="188"/>
      <c r="Q10" s="278"/>
      <c r="R10" s="279"/>
      <c r="S10" s="283"/>
      <c r="T10" s="280"/>
      <c r="U10" s="276">
        <f>F10+G10</f>
        <v>382018</v>
      </c>
      <c r="V10" s="273"/>
      <c r="W10" s="276">
        <f>ROUND(L10*0.6,0)</f>
        <v>9984</v>
      </c>
      <c r="X10" s="276">
        <f>L10-W10</f>
        <v>6656</v>
      </c>
    </row>
    <row r="11" spans="1:33" ht="24.95" customHeight="1">
      <c r="A11" s="330"/>
      <c r="B11" s="220" t="s">
        <v>297</v>
      </c>
      <c r="D11" s="337"/>
      <c r="E11" s="308" t="s">
        <v>303</v>
      </c>
      <c r="F11" s="188">
        <f>ROUND(SUMIFS(라인분배전력량!S:S,라인분배전력량!B:B,B8,라인분배전력량!D:D,B9),0)</f>
        <v>11316</v>
      </c>
      <c r="G11" s="188">
        <f>ROUND(SUMIFS(라인분배전력량!T:T,라인분배전력량!B:B,B8,라인분배전력량!D:D,B9),0)</f>
        <v>2167</v>
      </c>
      <c r="H11" s="188">
        <f>ROUND(SUMIFS(라인분배전력량!U:U,라인분배전력량!B:B,B8,라인분배전력량!D:D,B9),0)</f>
        <v>70028</v>
      </c>
      <c r="I11" s="188">
        <f>ROUND(SUMIFS(라인분배전력량!V:V,라인분배전력량!B:B,B8,라인분배전력량!D:D,B9),0)</f>
        <v>60219</v>
      </c>
      <c r="J11" s="188">
        <f>ROUND(SUMIFS(라인분배전력량!W:W,라인분배전력량!B:B,B8,라인분배전력량!D:D,B9)+T11+R11,0)</f>
        <v>27135</v>
      </c>
      <c r="K11" s="188">
        <f>ROUND(SUMIFS(라인분배전력량!X:X,라인분배전력량!B:B,B8,라인분배전력량!D:D,B9),0)</f>
        <v>20480</v>
      </c>
      <c r="L11" s="188">
        <f>ROUND(SUMIFS(라인분배전력량!Y:Y,라인분배전력량!B:B,B8,라인분배전력량!D:D,B9),0)</f>
        <v>587</v>
      </c>
      <c r="M11" s="188"/>
      <c r="N11" s="188">
        <f t="shared" si="0"/>
        <v>191932</v>
      </c>
      <c r="O11" s="188"/>
      <c r="Q11" s="278"/>
      <c r="R11" s="279"/>
      <c r="S11" s="283"/>
      <c r="T11" s="280"/>
      <c r="U11" s="276">
        <f t="shared" ref="U11:U13" si="2">F11+G11</f>
        <v>13483</v>
      </c>
      <c r="V11" s="273"/>
      <c r="W11" s="276">
        <f t="shared" ref="W11:W13" si="3">ROUND(L11*0.6,0)</f>
        <v>352</v>
      </c>
      <c r="X11" s="276">
        <f t="shared" ref="X11:X13" si="4">L11-W11</f>
        <v>235</v>
      </c>
    </row>
    <row r="12" spans="1:33" ht="24.95" customHeight="1" thickBot="1">
      <c r="A12" s="330"/>
      <c r="B12" s="221" t="s">
        <v>299</v>
      </c>
      <c r="D12" s="337"/>
      <c r="E12" s="308" t="s">
        <v>268</v>
      </c>
      <c r="F12" s="188">
        <f>SUMIFS(라인분배전력금액!E:E,라인분배전력금액!B:B,B8,라인분배전력금액!D:D,B9)</f>
        <v>39262046</v>
      </c>
      <c r="G12" s="188">
        <f>SUMIFS(라인분배전력금액!F:F,라인분배전력금액!B:B,B8,라인분배전력금액!D:D,B9)</f>
        <v>7517335</v>
      </c>
      <c r="H12" s="188">
        <f>SUMIFS(라인분배전력금액!G:G,라인분배전력금액!B:B,B8,라인분배전력금액!D:D,B9)</f>
        <v>242974562</v>
      </c>
      <c r="I12" s="188">
        <f>SUMIFS(라인분배전력금액!H:H,라인분배전력금액!B:B,B8,라인분배전력금액!D:D,B9)</f>
        <v>208939769</v>
      </c>
      <c r="J12" s="188">
        <f>SUMIFS(라인분배전력금액!I:I,라인분배전력금액!B:B,B8,라인분배전력금액!D:D,B9)+T12+R12</f>
        <v>94149121</v>
      </c>
      <c r="K12" s="188">
        <f>SUMIFS(라인분배전력금액!J:J,라인분배전력금액!B:B,B8,라인분배전력금액!D:D,B9)</f>
        <v>71060131</v>
      </c>
      <c r="L12" s="188">
        <f>SUMIFS(라인분배전력금액!K:K,라인분배전력금액!B:B,B8,라인분배전력금액!D:D,B9)+SUMIFS(라인분배전력금액!L:L,라인분배전력금액!B:B,B8,라인분배전력금액!D:D,B9)</f>
        <v>2037591</v>
      </c>
      <c r="M12" s="188"/>
      <c r="N12" s="188">
        <f t="shared" si="0"/>
        <v>665940555</v>
      </c>
      <c r="O12" s="187"/>
      <c r="Q12" s="278"/>
      <c r="R12" s="279"/>
      <c r="S12" s="283"/>
      <c r="T12" s="282"/>
      <c r="U12" s="276">
        <f t="shared" si="2"/>
        <v>46779381</v>
      </c>
      <c r="V12" s="273"/>
      <c r="W12" s="276">
        <f t="shared" si="3"/>
        <v>1222555</v>
      </c>
      <c r="X12" s="276">
        <f t="shared" si="4"/>
        <v>815036</v>
      </c>
    </row>
    <row r="13" spans="1:33" ht="24.95" customHeight="1" thickTop="1">
      <c r="D13" s="337"/>
      <c r="E13" s="308" t="s">
        <v>269</v>
      </c>
      <c r="F13" s="188">
        <f>SUMIFS(라인분배전력금액!U:U,라인분배전력금액!R:R,B8,라인분배전력금액!T:T,B9)+($R$13*R21)</f>
        <v>629697</v>
      </c>
      <c r="G13" s="188">
        <f>SUMIFS(라인분배전력금액!V:V,라인분배전력금액!R:R,B8,라인분배전력금액!T:T,B9)+($R$13*R22)</f>
        <v>120565</v>
      </c>
      <c r="H13" s="188">
        <f>SUMIFS(라인분배전력금액!W:W,라인분배전력금액!R:R,B8,라인분배전력금액!T:T,B9)+($R$13*R23)</f>
        <v>3896900</v>
      </c>
      <c r="I13" s="188">
        <f>SUMIFS(라인분배전력금액!X:X,라인분배전력금액!R:R,B8,라인분배전력금액!T:T,B9)+($R$13*R24)</f>
        <v>3351040</v>
      </c>
      <c r="J13" s="188">
        <f>SUMIFS(라인분배전력금액!Y:Y,라인분배전력금액!R:R,B8,라인분배전력금액!T:T,B9)+T13+($R$13*R25)</f>
        <v>1509992</v>
      </c>
      <c r="K13" s="188">
        <f>SUMIFS(라인분배전력금액!Z:Z,라인분배전력금액!R:R,B8,라인분배전력금액!T:T,B9)+($R$13*R26)</f>
        <v>1139684</v>
      </c>
      <c r="L13" s="188">
        <f>SUMIFS(라인분배전력금액!AA:AA,라인분배전력금액!R:R,B8,라인분배전력금액!T:T,B9)+SUMIFS(라인분배전력금액!AB:AB,라인분배전력금액!R:R,B8,라인분배전력금액!T:T,B9)</f>
        <v>32680</v>
      </c>
      <c r="M13" s="188"/>
      <c r="N13" s="188">
        <f>SUM(F13:M13)</f>
        <v>10680558</v>
      </c>
      <c r="O13" s="296"/>
      <c r="Q13" s="278"/>
      <c r="R13" s="279"/>
      <c r="S13" s="283"/>
      <c r="T13" s="282"/>
      <c r="U13" s="276">
        <f t="shared" si="2"/>
        <v>750262</v>
      </c>
      <c r="V13" s="273"/>
      <c r="W13" s="276">
        <f t="shared" si="3"/>
        <v>19608</v>
      </c>
      <c r="X13" s="276">
        <f t="shared" si="4"/>
        <v>13072</v>
      </c>
    </row>
    <row r="14" spans="1:33" ht="24.95" customHeight="1">
      <c r="D14" s="337"/>
      <c r="E14" s="308" t="s">
        <v>270</v>
      </c>
      <c r="F14" s="138">
        <f>SUM(F12:F13)</f>
        <v>39891743</v>
      </c>
      <c r="G14" s="138">
        <f t="shared" ref="G14:N14" si="5">SUM(G12:G13)</f>
        <v>7637900</v>
      </c>
      <c r="H14" s="138">
        <f t="shared" si="5"/>
        <v>246871462</v>
      </c>
      <c r="I14" s="138">
        <f t="shared" si="5"/>
        <v>212290809</v>
      </c>
      <c r="J14" s="138">
        <f t="shared" si="5"/>
        <v>95659113</v>
      </c>
      <c r="K14" s="138">
        <f t="shared" si="5"/>
        <v>72199815</v>
      </c>
      <c r="L14" s="138">
        <f t="shared" si="5"/>
        <v>2070271</v>
      </c>
      <c r="M14" s="138">
        <f t="shared" si="5"/>
        <v>0</v>
      </c>
      <c r="N14" s="138">
        <f t="shared" si="5"/>
        <v>676621113</v>
      </c>
      <c r="O14" s="139"/>
      <c r="Q14" s="190"/>
      <c r="S14" s="136"/>
      <c r="T14" s="136"/>
      <c r="Z14" s="183" t="s">
        <v>133</v>
      </c>
      <c r="AA14" s="183" t="s">
        <v>134</v>
      </c>
      <c r="AB14" s="183" t="s">
        <v>135</v>
      </c>
      <c r="AC14" s="183" t="s">
        <v>136</v>
      </c>
      <c r="AD14" s="183" t="s">
        <v>137</v>
      </c>
      <c r="AE14" s="183" t="s">
        <v>138</v>
      </c>
      <c r="AF14" s="183" t="s">
        <v>139</v>
      </c>
      <c r="AG14" s="183" t="s">
        <v>132</v>
      </c>
    </row>
    <row r="15" spans="1:33" ht="24.95" customHeight="1">
      <c r="D15" s="337"/>
      <c r="E15" s="308" t="s">
        <v>271</v>
      </c>
      <c r="F15" s="140">
        <f>F14+Z15</f>
        <v>42139780.334298193</v>
      </c>
      <c r="G15" s="140">
        <f t="shared" ref="G15:L15" si="6">G14+AA15</f>
        <v>8068322.006619948</v>
      </c>
      <c r="H15" s="140">
        <f t="shared" si="6"/>
        <v>260783520.57006156</v>
      </c>
      <c r="I15" s="140">
        <f t="shared" si="6"/>
        <v>224254128.48120305</v>
      </c>
      <c r="J15" s="140">
        <f t="shared" si="6"/>
        <v>101049834.05833168</v>
      </c>
      <c r="K15" s="140">
        <f t="shared" si="6"/>
        <v>76268523.674477026</v>
      </c>
      <c r="L15" s="140">
        <f t="shared" si="6"/>
        <v>2186937.8750085253</v>
      </c>
      <c r="M15" s="140"/>
      <c r="N15" s="140">
        <f>SUM(F15:L15)</f>
        <v>714751047</v>
      </c>
      <c r="O15" s="187"/>
      <c r="Q15" s="281"/>
      <c r="S15" s="136"/>
      <c r="T15" s="136"/>
      <c r="Z15" s="198">
        <f>SUMIFS(라인별전력적용비율!E:E,라인별전력적용비율!B:B,B8,라인별전력적용비율!D:D,B9)*AG15</f>
        <v>2248037.3342981921</v>
      </c>
      <c r="AA15" s="198">
        <f>SUMIFS(라인별전력적용비율!F:F,라인별전력적용비율!B:B,B8,라인별전력적용비율!D:D,B9)*AG15</f>
        <v>430422.00661994761</v>
      </c>
      <c r="AB15" s="198">
        <f>SUMIFS(라인별전력적용비율!G:G,라인별전력적용비율!B:B,B8,라인별전력적용비율!D:D,B9)*AG15</f>
        <v>13912058.570061576</v>
      </c>
      <c r="AC15" s="198">
        <f>SUMIFS(라인별전력적용비율!H:H,라인별전력적용비율!B:B,B8,라인별전력적용비율!D:D,B9)*AG15</f>
        <v>11963319.481203057</v>
      </c>
      <c r="AD15" s="198">
        <f>SUMIFS(라인별전력적용비율!I:I,라인별전력적용비율!B:B,B8,라인별전력적용비율!D:D,B9)*AG15</f>
        <v>5390721.0583316823</v>
      </c>
      <c r="AE15" s="198">
        <f>SUMIFS(라인별전력적용비율!J:J,라인별전력적용비율!B:B,B8,라인별전력적용비율!D:D,B9)*AG15</f>
        <v>4068708.6744770221</v>
      </c>
      <c r="AF15" s="198">
        <f>SUMIFS(라인별전력적용비율!K:K,라인별전력적용비율!B:B,B8,라인별전력적용비율!D:D,B9)*AG15</f>
        <v>116666.87500852537</v>
      </c>
      <c r="AG15" s="198">
        <f>ROUND(SUMIFS(리스추정치!E:E,리스추정치!B:B,B8,리스추정치!D:D,B9),0)</f>
        <v>38129934</v>
      </c>
    </row>
    <row r="16" spans="1:33" ht="24.95" customHeight="1">
      <c r="D16" s="337"/>
      <c r="E16" s="141" t="s">
        <v>272</v>
      </c>
      <c r="F16" s="188">
        <f>IFERROR(F15/F8,0)</f>
        <v>1495.044237230705</v>
      </c>
      <c r="G16" s="188">
        <f>IFERROR(G15/F8,0)</f>
        <v>286.24967250484178</v>
      </c>
      <c r="H16" s="188">
        <f t="shared" ref="H16:N16" si="7">IFERROR(H15/H8,0)</f>
        <v>10240.643652954603</v>
      </c>
      <c r="I16" s="188">
        <f t="shared" si="7"/>
        <v>8532.5965242895072</v>
      </c>
      <c r="J16" s="188">
        <f t="shared" si="7"/>
        <v>7423.8682390402573</v>
      </c>
      <c r="K16" s="188">
        <f t="shared" si="7"/>
        <v>14253.108043991138</v>
      </c>
      <c r="L16" s="188">
        <f t="shared" si="7"/>
        <v>885.31894450488562</v>
      </c>
      <c r="M16" s="188">
        <f t="shared" si="7"/>
        <v>0</v>
      </c>
      <c r="N16" s="188">
        <f t="shared" si="7"/>
        <v>7051.1483484858572</v>
      </c>
      <c r="O16" s="187"/>
      <c r="S16" s="135"/>
      <c r="T16" s="136"/>
    </row>
    <row r="17" spans="4:20" ht="24.95" customHeight="1">
      <c r="D17" s="337"/>
      <c r="E17" s="141" t="s">
        <v>273</v>
      </c>
      <c r="F17" s="137">
        <f>IFERROR(F9/F8,0)</f>
        <v>11.776816475799777</v>
      </c>
      <c r="G17" s="137">
        <f>G9/F8</f>
        <v>2.2548535086714083</v>
      </c>
      <c r="H17" s="137">
        <f t="shared" ref="H17:N17" si="8">IFERROR(H9/H8,0)</f>
        <v>80.667875097091994</v>
      </c>
      <c r="I17" s="137">
        <f t="shared" si="8"/>
        <v>91.927265947671501</v>
      </c>
      <c r="J17" s="137">
        <f t="shared" si="8"/>
        <v>58.47945998524775</v>
      </c>
      <c r="K17" s="137">
        <f t="shared" si="8"/>
        <v>112.27487894808642</v>
      </c>
      <c r="L17" s="137">
        <f t="shared" si="8"/>
        <v>6.9738558334338645</v>
      </c>
      <c r="M17" s="137">
        <f t="shared" si="8"/>
        <v>0</v>
      </c>
      <c r="N17" s="137">
        <f t="shared" si="8"/>
        <v>61.951283842798901</v>
      </c>
      <c r="O17" s="187"/>
      <c r="S17" s="136"/>
      <c r="T17" s="136"/>
    </row>
    <row r="18" spans="4:20" ht="24.95" customHeight="1">
      <c r="D18" s="337" t="s">
        <v>373</v>
      </c>
      <c r="E18" s="164" t="s">
        <v>369</v>
      </c>
      <c r="F18" s="188">
        <f>SUMIFS(LNG사용량!E:E,LNG사용량!B:B,B8,LNG사용량!D:D,B9)</f>
        <v>85263.77501205368</v>
      </c>
      <c r="G18" s="188">
        <f>SUMIFS(LNG사용량!F:F,LNG사용량!B:B,B8,LNG사용량!D:D,B9)</f>
        <v>88270</v>
      </c>
      <c r="H18" s="188"/>
      <c r="I18" s="188">
        <f>SUMIFS(LNG사용량!G:G,LNG사용량!B:B,B8,LNG사용량!D:D,B9)</f>
        <v>517800</v>
      </c>
      <c r="J18" s="188">
        <f>SUMIFS(LNG사용량!H:H,LNG사용량!B:B,B8,LNG사용량!D:D,B9)</f>
        <v>345721</v>
      </c>
      <c r="K18" s="188">
        <f>SUMIFS(LNG사용량!I:I,LNG사용량!B:B,B8,LNG사용량!D:D,B9)</f>
        <v>338693.22498794633</v>
      </c>
      <c r="L18" s="188"/>
      <c r="M18" s="188">
        <f>SUMIFS(LNG사용량!J:J,LNG사용량!B:B,B8,LNG사용량!D:D,B9)+SUMIFS(LNG사용량!K:K,LNG사용량!B:B,B8,LNG사용량!D:D,B9)</f>
        <v>3326.3356000000003</v>
      </c>
      <c r="N18" s="188">
        <f>SUM(F18:M18)</f>
        <v>1379074.3356000001</v>
      </c>
      <c r="O18" s="187"/>
      <c r="S18" s="173"/>
    </row>
    <row r="19" spans="4:20" ht="24.95" customHeight="1">
      <c r="D19" s="337"/>
      <c r="E19" s="164" t="s">
        <v>370</v>
      </c>
      <c r="F19" s="138">
        <f>SUMIFS(LNG금액!E:E,LNG금액!B:B,B8,LNG금액!D:D,B9)</f>
        <v>46010386</v>
      </c>
      <c r="G19" s="138">
        <f>SUMIFS(LNG금액!F:F,LNG금액!B:B,B8,LNG금액!D:D,B9)</f>
        <v>47632618</v>
      </c>
      <c r="H19" s="138"/>
      <c r="I19" s="138">
        <f>SUMIFS(LNG금액!G:G,LNG금액!B:B,B8,LNG금액!D:D,B9)</f>
        <v>279417350</v>
      </c>
      <c r="J19" s="138">
        <f>SUMIFS(LNG금액!H:H,LNG금액!B:B,B8,LNG금액!D:D,B9)</f>
        <v>186559377</v>
      </c>
      <c r="K19" s="138">
        <f>SUMIFS(LNG금액!I:I,LNG금액!B:B,B8,LNG금액!D:D,B9)</f>
        <v>182767021</v>
      </c>
      <c r="L19" s="138"/>
      <c r="M19" s="138">
        <f>SUMIFS(LNG금액!J:J,LNG금액!B:B,B8,LNG금액!D:D,B9)+SUMIFS(LNG금액!K:K,LNG금액!B:B,B8,LNG금액!D:D,B9)</f>
        <v>1794971</v>
      </c>
      <c r="N19" s="138">
        <f>SUM(F19:M19)</f>
        <v>744181723</v>
      </c>
      <c r="O19" s="187"/>
    </row>
    <row r="20" spans="4:20" ht="24.95" customHeight="1">
      <c r="D20" s="337"/>
      <c r="E20" s="164" t="s">
        <v>272</v>
      </c>
      <c r="F20" s="188">
        <f>F19/F8</f>
        <v>1632.3664218551487</v>
      </c>
      <c r="G20" s="188">
        <f>IFERROR(G19/G8,0)</f>
        <v>0</v>
      </c>
      <c r="H20" s="188"/>
      <c r="I20" s="188">
        <f>IFERROR(I19/I8,0)</f>
        <v>10631.489933243411</v>
      </c>
      <c r="J20" s="188">
        <f t="shared" ref="J20:N20" si="9">J19/J8</f>
        <v>13706.031746731436</v>
      </c>
      <c r="K20" s="188">
        <f t="shared" si="9"/>
        <v>34155.611931205509</v>
      </c>
      <c r="L20" s="188"/>
      <c r="M20" s="188"/>
      <c r="N20" s="188">
        <f t="shared" si="9"/>
        <v>7341.4872900561268</v>
      </c>
      <c r="O20" s="187"/>
    </row>
    <row r="21" spans="4:20" ht="24.95" customHeight="1">
      <c r="D21" s="337"/>
      <c r="E21" s="164" t="s">
        <v>372</v>
      </c>
      <c r="F21" s="137">
        <f>F18/F8</f>
        <v>3.0250066437236258</v>
      </c>
      <c r="G21" s="137">
        <f>IFERROR(G18/G8,0)</f>
        <v>0</v>
      </c>
      <c r="H21" s="137"/>
      <c r="I21" s="137">
        <f>IFERROR(I18/I8,0)</f>
        <v>19.701659497641923</v>
      </c>
      <c r="J21" s="137">
        <f t="shared" ref="J21:N21" si="10">J18/J8</f>
        <v>25.399221833334803</v>
      </c>
      <c r="K21" s="137">
        <f t="shared" si="10"/>
        <v>63.295195671087576</v>
      </c>
      <c r="L21" s="137"/>
      <c r="M21" s="137"/>
      <c r="N21" s="137">
        <f t="shared" si="10"/>
        <v>13.604817739994401</v>
      </c>
      <c r="O21" s="187"/>
      <c r="Q21" s="183" t="s">
        <v>133</v>
      </c>
      <c r="R21" s="183">
        <f>SUMIFS(라인별전력적용비율!E:E,라인별전력적용비율!B:B,B8,라인별전력적용비율!D:D,B9)</f>
        <v>5.8957283647493121E-2</v>
      </c>
    </row>
    <row r="22" spans="4:20" ht="24.95" customHeight="1">
      <c r="D22" s="308" t="s">
        <v>374</v>
      </c>
      <c r="E22" s="164" t="s">
        <v>375</v>
      </c>
      <c r="F22" s="187">
        <f>SUMIFS(LNG사용량!M:M,LNG사용량!B:B,B8,LNG사용량!D:D,B9)</f>
        <v>862504</v>
      </c>
      <c r="G22" s="187"/>
      <c r="H22" s="187"/>
      <c r="I22" s="187"/>
      <c r="J22" s="187"/>
      <c r="K22" s="187">
        <f>SUMIFS(LNG사용량!N:N,LNG사용량!B:B,B8,LNG사용량!D:D,B9)</f>
        <v>836147</v>
      </c>
      <c r="L22" s="187"/>
      <c r="M22" s="187"/>
      <c r="N22" s="188">
        <f>SUM(F22:M22)</f>
        <v>1698651</v>
      </c>
      <c r="O22" s="187"/>
      <c r="Q22" s="183" t="s">
        <v>134</v>
      </c>
      <c r="R22" s="183">
        <f>SUMIFS(라인별전력적용비율!F:F,라인별전력적용비율!B:B,B8,라인별전력적용비율!D:D,B9)</f>
        <v>1.1288296660045298E-2</v>
      </c>
    </row>
    <row r="23" spans="4:20" ht="24.95" customHeight="1">
      <c r="D23" s="337" t="s">
        <v>382</v>
      </c>
      <c r="E23" s="164" t="s">
        <v>369</v>
      </c>
      <c r="F23" s="188">
        <f>SUMIFS(용수사용량!F:F,용수사용량!B:B,B8,용수사용량!D:D,B9,용수사용량!E:E,'21.6월'!B10)</f>
        <v>334.21345575688582</v>
      </c>
      <c r="G23" s="188">
        <f>SUMIFS(용수사용량!G:G,용수사용량!B:B,B8,용수사용량!D:D,B9,용수사용량!E:E,'21.6월'!B10)</f>
        <v>12.35394490940142</v>
      </c>
      <c r="H23" s="188">
        <f>SUMIFS(용수사용량!H:H,용수사용량!B:B,B8,용수사용량!D:D,B9,용수사용량!E:E,'21.6월'!B10)</f>
        <v>54.756642561144083</v>
      </c>
      <c r="I23" s="188">
        <f>SUMIFS(용수사용량!I:I,용수사용량!B:B,B8,용수사용량!D:D,B9,용수사용량!E:E,'21.6월'!B10)</f>
        <v>382.55423742585589</v>
      </c>
      <c r="J23" s="188">
        <f>SUMIFS(용수사용량!J:J,용수사용량!B:B,B8,용수사용량!D:D,B9,용수사용량!E:E,'21.6월'!B10)</f>
        <v>379.20126757129947</v>
      </c>
      <c r="K23" s="188">
        <f>SUMIFS(용수사용량!K:K,용수사용량!B:B,B8,용수사용량!D:D,B9,용수사용량!E:E,'21.6월'!B10)</f>
        <v>621.92045177541331</v>
      </c>
      <c r="L23" s="188"/>
      <c r="M23" s="188"/>
      <c r="N23" s="188">
        <f>SUM(F23:M23)</f>
        <v>1785</v>
      </c>
      <c r="O23" s="187"/>
      <c r="Q23" s="183" t="s">
        <v>135</v>
      </c>
      <c r="R23" s="183">
        <f>SUMIFS(라인별전력적용비율!G:G,라인별전력적용비율!B:B,B8,라인별전력적용비율!D:D,B9)</f>
        <v>0.36485923553032051</v>
      </c>
    </row>
    <row r="24" spans="4:20" ht="24.95" customHeight="1">
      <c r="D24" s="337"/>
      <c r="E24" s="164" t="s">
        <v>378</v>
      </c>
      <c r="F24" s="188">
        <f>SUMIFS(용수금액!F:F,용수사용량!B:B,B8,용수사용량!D:D,B9,용수사용량!E:E,'21.6월'!B10)</f>
        <v>1441092.8466821825</v>
      </c>
      <c r="G24" s="188">
        <f>SUMIFS(용수금액!G:G,용수사용량!B:B,B8,용수사용량!D:D,B9,용수사용량!E:E,'21.6월'!B10)</f>
        <v>53268.89546360627</v>
      </c>
      <c r="H24" s="188">
        <f>SUMIFS(용수금액!H:H,용수사용량!B:B,B8,용수사용량!D:D,B9,용수사용량!E:E,'21.6월'!B10)</f>
        <v>236104.81428550952</v>
      </c>
      <c r="I24" s="188">
        <f>SUMIFS(용수금액!I:I,용수사용량!B:B,B8,용수사용량!D:D,B9,용수사용량!E:E,'21.6월'!B10)</f>
        <v>1649533.1517214049</v>
      </c>
      <c r="J24" s="188">
        <f>SUMIFS(용수금액!J:J,용수사용량!B:B,B8,용수사용량!D:D,B9,용수사용량!E:E,'21.6월'!B10)</f>
        <v>1635075.5026073097</v>
      </c>
      <c r="K24" s="188">
        <f>SUMIFS(용수금액!K:K,용수사용량!B:B,B8,용수사용량!D:D,B9,용수사용량!E:E,'21.6월'!B10)</f>
        <v>2681654.7892399868</v>
      </c>
      <c r="L24" s="188"/>
      <c r="M24" s="188"/>
      <c r="N24" s="189">
        <f>SUM(F24:M24)</f>
        <v>7696729.9999999991</v>
      </c>
      <c r="O24" s="187"/>
      <c r="Q24" s="183" t="s">
        <v>136</v>
      </c>
      <c r="R24" s="183">
        <f>SUMIFS(라인별전력적용비율!H:H,라인별전력적용비율!B:B,B8,라인별전력적용비율!D:D,B9)</f>
        <v>0.31375138181993856</v>
      </c>
    </row>
    <row r="25" spans="4:20" ht="24.95" customHeight="1">
      <c r="D25" s="337"/>
      <c r="E25" s="164" t="s">
        <v>272</v>
      </c>
      <c r="F25" s="188">
        <f>F24/F8</f>
        <v>51.127403575784925</v>
      </c>
      <c r="G25" s="188">
        <f>G24/F8</f>
        <v>1.8898853898792096</v>
      </c>
      <c r="H25" s="188">
        <f>H24/H8</f>
        <v>9.2715416317702086</v>
      </c>
      <c r="I25" s="188">
        <f>IFERROR(I24/I8,0)</f>
        <v>62.762727858801149</v>
      </c>
      <c r="J25" s="188">
        <f t="shared" ref="J25:K25" si="11">J24/J8</f>
        <v>120.12474048430515</v>
      </c>
      <c r="K25" s="188">
        <f t="shared" si="11"/>
        <v>501.14927634969598</v>
      </c>
      <c r="L25" s="188"/>
      <c r="M25" s="188"/>
      <c r="N25" s="188">
        <f t="shared" ref="N25" si="12">N24/N8</f>
        <v>75.929633480119321</v>
      </c>
      <c r="O25" s="187"/>
      <c r="Q25" s="183" t="s">
        <v>137</v>
      </c>
      <c r="R25" s="183">
        <f>SUMIFS(라인별전력적용비율!I:I,라인별전력적용비율!B:B,B8,라인별전력적용비율!D:D,B9)</f>
        <v>0.14137766559815398</v>
      </c>
    </row>
    <row r="26" spans="4:20" ht="24.95" customHeight="1">
      <c r="D26" s="337"/>
      <c r="E26" s="164" t="s">
        <v>379</v>
      </c>
      <c r="F26" s="137">
        <f>F23/F8</f>
        <v>1.1857297239577859E-2</v>
      </c>
      <c r="G26" s="137">
        <f>G23/F8</f>
        <v>4.3829592839223793E-4</v>
      </c>
      <c r="H26" s="137">
        <f>H23/H8</f>
        <v>2.15022507125881E-3</v>
      </c>
      <c r="I26" s="137">
        <f>IFERROR(I23/I8,0)</f>
        <v>1.4555722914531243E-2</v>
      </c>
      <c r="J26" s="137">
        <f t="shared" ref="J26:K26" si="13">J23/J8</f>
        <v>2.7858929930565924E-2</v>
      </c>
      <c r="K26" s="137">
        <f t="shared" si="13"/>
        <v>0.11622487189809275</v>
      </c>
      <c r="L26" s="137"/>
      <c r="M26" s="137"/>
      <c r="N26" s="137">
        <f t="shared" ref="N26" si="14">N23/N8</f>
        <v>1.7609347834991355E-2</v>
      </c>
      <c r="O26" s="187"/>
      <c r="Q26" s="183" t="s">
        <v>138</v>
      </c>
      <c r="R26" s="183">
        <f>SUMIFS(라인별전력적용비율!J:J,라인별전력적용비율!B:B,B8,라인별전력적용비율!D:D,B9)</f>
        <v>0.10670641796749562</v>
      </c>
    </row>
    <row r="27" spans="4:20" ht="24.95" customHeight="1">
      <c r="D27" s="337" t="s">
        <v>297</v>
      </c>
      <c r="E27" s="164" t="s">
        <v>369</v>
      </c>
      <c r="F27" s="188">
        <f>SUMIFS(용수사용량!S:S,용수사용량!O:O,B8,용수사용량!Q:Q,B9,용수사용량!R:R,'21.6월'!B11)</f>
        <v>7999.0292755437968</v>
      </c>
      <c r="G27" s="188">
        <f>SUMIFS(용수사용량!T:T,용수사용량!O:O,B8,용수사용량!Q:Q,B9,용수사용량!R:R,'21.6월'!B11)</f>
        <v>295.67800247588093</v>
      </c>
      <c r="H27" s="188">
        <f>SUMIFS(용수사용량!U:U,용수사용량!O:O,B8,용수사용량!Q:Q,B9,용수사용량!R:R,'21.6월'!B11)</f>
        <v>1310.5396546202787</v>
      </c>
      <c r="I27" s="188">
        <f>SUMIFS(용수사용량!V:V,용수사용량!O:O,B8,용수사용량!Q:Q,B9,용수사용량!R:R,'21.6월'!B11)</f>
        <v>9156.0123984915499</v>
      </c>
      <c r="J27" s="188">
        <f>SUMIFS(용수사용량!W:W,용수사용량!O:O,B8,용수사용량!Q:Q,B9,용수사용량!R:R,'21.6월'!B11)</f>
        <v>9075.7627748913474</v>
      </c>
      <c r="K27" s="188">
        <f>SUMIFS(용수사용량!X:X,용수사용량!O:O,B8,용수사용량!Q:Q,B9,용수사용량!R:R,'21.6월'!B11)</f>
        <v>14884.977893977146</v>
      </c>
      <c r="L27" s="188"/>
      <c r="M27" s="188"/>
      <c r="N27" s="188">
        <f>SUM(F27:M27)</f>
        <v>42722</v>
      </c>
      <c r="O27" s="187"/>
      <c r="Q27" s="183" t="s">
        <v>139</v>
      </c>
      <c r="R27" s="183">
        <f>SUMIFS(라인별전력적용비율!K:K,라인별전력적용비율!B:B,B8,라인별전력적용비율!D:D,B9)</f>
        <v>3.0597187765529668E-3</v>
      </c>
    </row>
    <row r="28" spans="4:20" ht="24.95" customHeight="1">
      <c r="D28" s="337"/>
      <c r="E28" s="164" t="s">
        <v>376</v>
      </c>
      <c r="F28" s="213">
        <f>SUMIFS(용수금액!S:S,용수사용량!O:O,B8,용수사용량!Q:Q,B9,용수사용량!R:R,'21.6월'!B11)</f>
        <v>4474700.639808042</v>
      </c>
      <c r="G28" s="213">
        <f>SUMIFS(용수금액!T:T,용수사용량!O:O,B8,용수사용량!Q:Q,B9,용수사용량!R:R,'21.6월'!B11)</f>
        <v>165403.8885569702</v>
      </c>
      <c r="H28" s="213">
        <f>SUMIFS(용수금액!U:U,용수사용량!O:O,B8,용수사용량!Q:Q,B9,용수사용량!R:R,'21.6월'!B11)</f>
        <v>733123.03643550561</v>
      </c>
      <c r="I28" s="213">
        <f>SUMIFS(용수금액!V:V,용수사용량!O:O,B8,용수사용량!Q:Q,B9,용수사용량!R:R,'21.6월'!B11)</f>
        <v>5121923.3142305519</v>
      </c>
      <c r="J28" s="213">
        <f>SUMIFS(용수금액!W:W,용수사용량!O:O,B8,용수사용량!Q:Q,B9,용수사용량!R:R,'21.6월'!B11)</f>
        <v>5077031.2367423419</v>
      </c>
      <c r="K28" s="213">
        <f>SUMIFS(용수금액!X:X,용수사용량!O:O,B8,용수사용량!Q:Q,B9,용수사용량!R:R,'21.6월'!B11)</f>
        <v>8326737.8842265885</v>
      </c>
      <c r="L28" s="213"/>
      <c r="M28" s="213"/>
      <c r="N28" s="213">
        <f>SUM(F28:M28)</f>
        <v>23898920</v>
      </c>
      <c r="O28" s="187"/>
      <c r="R28" s="183">
        <f>SUM(R21:R27)</f>
        <v>1</v>
      </c>
    </row>
    <row r="29" spans="4:20" ht="24.95" customHeight="1">
      <c r="D29" s="337"/>
      <c r="E29" s="164" t="s">
        <v>272</v>
      </c>
      <c r="F29" s="188">
        <f>F28/F8</f>
        <v>158.75439671982753</v>
      </c>
      <c r="G29" s="188">
        <f>G28/F8</f>
        <v>5.8682349181914972</v>
      </c>
      <c r="H29" s="188">
        <f t="shared" ref="H29:N29" si="15">H28/H8</f>
        <v>28.788827428576248</v>
      </c>
      <c r="I29" s="188">
        <f>IFERROR(I28/I8,0)</f>
        <v>194.88294536501343</v>
      </c>
      <c r="J29" s="188">
        <f t="shared" si="15"/>
        <v>372.99626761691911</v>
      </c>
      <c r="K29" s="188">
        <f t="shared" si="15"/>
        <v>1556.1058350155556</v>
      </c>
      <c r="L29" s="188"/>
      <c r="M29" s="188"/>
      <c r="N29" s="188">
        <f t="shared" si="15"/>
        <v>235.76716815721659</v>
      </c>
      <c r="O29" s="187"/>
    </row>
    <row r="30" spans="4:20" ht="24.95" customHeight="1">
      <c r="D30" s="337"/>
      <c r="E30" s="164" t="s">
        <v>377</v>
      </c>
      <c r="F30" s="137">
        <f>F27/F8</f>
        <v>0.28379129001078168</v>
      </c>
      <c r="G30" s="137">
        <f>G27/F8</f>
        <v>1.0490128096791703E-2</v>
      </c>
      <c r="H30" s="137">
        <f t="shared" ref="H30:N30" si="16">H27/H8</f>
        <v>5.1463257980010585E-2</v>
      </c>
      <c r="I30" s="137">
        <f>IFERROR(I27/I8,0)</f>
        <v>0.3483751228877332</v>
      </c>
      <c r="J30" s="137">
        <f t="shared" si="16"/>
        <v>0.66677266358186971</v>
      </c>
      <c r="K30" s="137">
        <f t="shared" si="16"/>
        <v>2.7817137127340716</v>
      </c>
      <c r="L30" s="137"/>
      <c r="M30" s="137"/>
      <c r="N30" s="137">
        <f t="shared" si="16"/>
        <v>0.42146025669831971</v>
      </c>
      <c r="O30" s="187"/>
    </row>
    <row r="31" spans="4:20" ht="24.95" customHeight="1">
      <c r="D31" s="337" t="s">
        <v>299</v>
      </c>
      <c r="E31" s="164" t="s">
        <v>369</v>
      </c>
      <c r="F31" s="188">
        <f>SUMIFS(용수사용량!AF:AF,용수사용량!AB:AB,B8,용수사용량!AD:AD,B9,용수사용량!AE:AE,'21.6월'!B12)</f>
        <v>4593.6094809744745</v>
      </c>
      <c r="G31" s="188">
        <f>SUMIFS(용수사용량!AG:AG,용수사용량!AB:AB,B8,용수사용량!AD:AD,B9,용수사용량!AE:AE,'21.6월'!B12)</f>
        <v>169.79926297325179</v>
      </c>
      <c r="H31" s="188">
        <f>SUMIFS(용수사용량!AH:AH,용수사용량!AB:AB,B8,용수사용량!AD:AD,B9,용수사용량!AE:AE,'21.6월'!B12)</f>
        <v>752.60474431098532</v>
      </c>
      <c r="I31" s="188">
        <f>SUMIFS(용수사용량!AI:AI,용수사용량!AB:AB,B8,용수사용량!AD:AD,B9,용수사용량!AE:AE,'21.6월'!B12)</f>
        <v>5258.0311826363859</v>
      </c>
      <c r="J31" s="188">
        <f>SUMIFS(용수사용량!AJ:AJ,용수사용량!AB:AB,B8,용수사용량!AD:AD,B9,용수사용량!AE:AE,'21.6월'!B12)</f>
        <v>5211.946161677457</v>
      </c>
      <c r="K31" s="188">
        <f>SUMIFS(용수사용량!AK:AK,용수사용량!AB:AB,B8,용수사용량!AD:AD,B9,용수사용량!AE:AE,'21.6월'!B12)</f>
        <v>8548.0091674274445</v>
      </c>
      <c r="L31" s="188"/>
      <c r="M31" s="188"/>
      <c r="N31" s="188">
        <f>SUM(F31:M31)</f>
        <v>24534</v>
      </c>
      <c r="O31" s="187"/>
    </row>
    <row r="32" spans="4:20" ht="24.95" customHeight="1">
      <c r="D32" s="337"/>
      <c r="E32" s="164" t="s">
        <v>380</v>
      </c>
      <c r="F32" s="188">
        <f>SUMIFS(용수금액!AF:AF,용수금액!AB:AB,B8,용수금액!AD:AD,B9,용수금액!AE:AE,'21.6월'!B12)</f>
        <v>4019408.2958526653</v>
      </c>
      <c r="G32" s="188">
        <f>SUMIFS(용수금액!AG:AG,용수금액!AB:AB,B8,용수금액!AD:AD,B9,용수금액!AE:AE,'21.6월'!B12)</f>
        <v>148574.35510159531</v>
      </c>
      <c r="H32" s="188">
        <f>SUMIFS(용수금액!AH:AH,용수금액!AB:AB,B8,용수금액!AD:AD,B9,용수금액!AE:AE,'21.6월'!B12)</f>
        <v>658529.15127211215</v>
      </c>
      <c r="I32" s="188">
        <f>SUMIFS(용수금액!AI:AI,용수금액!AB:AB,B8,용수금액!AD:AD,B9,용수금액!AE:AE,'21.6월'!B12)</f>
        <v>4600777.2848068373</v>
      </c>
      <c r="J32" s="188">
        <f>SUMIFS(용수금액!AJ:AJ,용수금액!AB:AB,B8,용수금액!AD:AD,B9,용수금액!AE:AE,'21.6월'!B12)</f>
        <v>4560452.8914677752</v>
      </c>
      <c r="K32" s="188">
        <f>SUMIFS(용수금액!AK:AK,용수금액!AB:AB,B8,용수금액!AD:AD,B9,용수금액!AE:AE,'21.6월'!B12)</f>
        <v>7479508.0214990145</v>
      </c>
      <c r="L32" s="188"/>
      <c r="M32" s="188"/>
      <c r="N32" s="188">
        <f>SUM(F32:M32)</f>
        <v>21467250</v>
      </c>
      <c r="O32" s="187"/>
    </row>
    <row r="33" spans="4:15" ht="24.95" customHeight="1">
      <c r="D33" s="337"/>
      <c r="E33" s="164" t="s">
        <v>272</v>
      </c>
      <c r="F33" s="188">
        <f>F32/F8</f>
        <v>142.60143650774668</v>
      </c>
      <c r="G33" s="188">
        <f>G32/F8</f>
        <v>5.2711530917525318</v>
      </c>
      <c r="H33" s="188">
        <f t="shared" ref="H33:N33" si="17">H32/H8</f>
        <v>25.859618577580218</v>
      </c>
      <c r="I33" s="188">
        <f>IFERROR(I32/I8,0)</f>
        <v>175.0539735221125</v>
      </c>
      <c r="J33" s="188">
        <f t="shared" si="17"/>
        <v>335.04460142965905</v>
      </c>
      <c r="K33" s="188">
        <f t="shared" si="17"/>
        <v>1397.7750035038271</v>
      </c>
      <c r="L33" s="188"/>
      <c r="M33" s="188"/>
      <c r="N33" s="188">
        <f t="shared" si="17"/>
        <v>211.7783038155284</v>
      </c>
      <c r="O33" s="187"/>
    </row>
    <row r="34" spans="4:15" ht="24.95" customHeight="1">
      <c r="D34" s="337"/>
      <c r="E34" s="164" t="s">
        <v>381</v>
      </c>
      <c r="F34" s="137">
        <f>IFERROR(F31/F8,0)</f>
        <v>0.16297307029456762</v>
      </c>
      <c r="G34" s="137">
        <f>IFERROR(G31/F8,0)</f>
        <v>6.0241749620028933E-3</v>
      </c>
      <c r="H34" s="137">
        <f t="shared" ref="H34:N34" si="18">IFERROR(H31/H8,0)</f>
        <v>2.9553849802948819E-2</v>
      </c>
      <c r="I34" s="137">
        <f t="shared" si="18"/>
        <v>0.20006168402527144</v>
      </c>
      <c r="J34" s="137">
        <f t="shared" si="18"/>
        <v>0.38290811591961027</v>
      </c>
      <c r="K34" s="137">
        <f t="shared" si="18"/>
        <v>1.5974571468615166</v>
      </c>
      <c r="L34" s="137">
        <f t="shared" si="18"/>
        <v>0</v>
      </c>
      <c r="M34" s="137">
        <f t="shared" si="18"/>
        <v>0</v>
      </c>
      <c r="N34" s="137">
        <f t="shared" si="18"/>
        <v>0.24203234721774672</v>
      </c>
      <c r="O34" s="187"/>
    </row>
    <row r="35" spans="4:15" ht="24.95" customHeight="1"/>
    <row r="36" spans="4:15" ht="24.95" customHeight="1">
      <c r="G36" s="340">
        <f>G17+F17</f>
        <v>14.031669984471185</v>
      </c>
      <c r="H36" s="340">
        <f>H17</f>
        <v>80.667875097091994</v>
      </c>
      <c r="I36" s="340">
        <f t="shared" ref="I36:L36" si="19">I17</f>
        <v>91.927265947671501</v>
      </c>
      <c r="J36" s="340">
        <f t="shared" si="19"/>
        <v>58.47945998524775</v>
      </c>
      <c r="K36" s="340">
        <f>K17+L17</f>
        <v>119.24873478152028</v>
      </c>
      <c r="L36" s="340">
        <f t="shared" si="19"/>
        <v>6.9738558334338645</v>
      </c>
    </row>
    <row r="37" spans="4:15" ht="24.95" customHeight="1"/>
    <row r="39" spans="4:15">
      <c r="G39" s="173">
        <f>G18+F18</f>
        <v>173533.77501205367</v>
      </c>
      <c r="I39" s="173">
        <f>I18</f>
        <v>517800</v>
      </c>
      <c r="J39" s="173">
        <f t="shared" ref="J39:K39" si="20">J18</f>
        <v>345721</v>
      </c>
      <c r="K39" s="173">
        <f>K18+M18</f>
        <v>342019.56058794633</v>
      </c>
    </row>
  </sheetData>
  <mergeCells count="8">
    <mergeCell ref="A10:A12"/>
    <mergeCell ref="D18:D21"/>
    <mergeCell ref="D23:D26"/>
    <mergeCell ref="D27:D30"/>
    <mergeCell ref="D31:D34"/>
    <mergeCell ref="D4:L5"/>
    <mergeCell ref="D7:E7"/>
    <mergeCell ref="D8:D17"/>
  </mergeCells>
  <phoneticPr fontId="2" type="noConversion"/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3" fitToHeight="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9"/>
  <sheetViews>
    <sheetView workbookViewId="0">
      <selection activeCell="D7" sqref="D7"/>
    </sheetView>
  </sheetViews>
  <sheetFormatPr defaultRowHeight="16.5"/>
  <cols>
    <col min="2" max="4" width="13.125" bestFit="1" customWidth="1"/>
    <col min="5" max="5" width="14.25" bestFit="1" customWidth="1"/>
  </cols>
  <sheetData>
    <row r="5" spans="2:5">
      <c r="B5" s="216">
        <f>ROUNDDOWN(본전력량!D38+신설본전력량!D38-ESS전력량!D38,0)</f>
        <v>1078444</v>
      </c>
      <c r="C5" s="217">
        <f>ROUNDDOWN(본전력량!E38+신설본전력량!E38-ESS전력량!E38,0)</f>
        <v>710172</v>
      </c>
      <c r="D5" s="217">
        <f>ROUNDDOWN(본전력량!F38+신설본전력량!F38-ESS전력량!F38,0)</f>
        <v>259065</v>
      </c>
      <c r="E5" s="217">
        <f>ROUNDDOWN(본전력량!G38+신설본전력량!G38-ESS전력량!G38,0)</f>
        <v>2047681</v>
      </c>
    </row>
    <row r="7" spans="2:5">
      <c r="B7" s="88">
        <f>ROUND(총전력량!D39,0)</f>
        <v>1604853</v>
      </c>
      <c r="C7" s="88">
        <f>ROUND(총전력량!E39,0)</f>
        <v>843703</v>
      </c>
      <c r="D7" s="88">
        <f>ROUND(총전력량!F39,0)</f>
        <v>357915</v>
      </c>
    </row>
    <row r="8" spans="2:5">
      <c r="B8">
        <f>총전력량!D39*63.1</f>
        <v>101266224.3</v>
      </c>
      <c r="C8" s="183">
        <f>총전력량!E39*109.2</f>
        <v>92132367.600000009</v>
      </c>
      <c r="D8" s="183">
        <f>총전력량!F39*166.7</f>
        <v>59664430.499999993</v>
      </c>
    </row>
    <row r="9" spans="2:5">
      <c r="B9">
        <f>ROUNDDOWN(B7*63.1,0)</f>
        <v>101266224</v>
      </c>
      <c r="C9">
        <f>ROUNDDOWN(C7*109.2,0)</f>
        <v>92132367</v>
      </c>
      <c r="D9">
        <f>ROUNDDOWN(D7*166.7,0)</f>
        <v>59664430</v>
      </c>
      <c r="E9">
        <f>SUM(B9:D9)</f>
        <v>253063021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D3" sqref="D3:J3"/>
    </sheetView>
  </sheetViews>
  <sheetFormatPr defaultRowHeight="16.5"/>
  <cols>
    <col min="6" max="6" width="9" style="183"/>
  </cols>
  <sheetData>
    <row r="2" spans="2:8">
      <c r="B2" t="s">
        <v>81</v>
      </c>
      <c r="C2" t="s">
        <v>212</v>
      </c>
      <c r="D2" t="s">
        <v>471</v>
      </c>
      <c r="E2" t="s">
        <v>472</v>
      </c>
      <c r="F2" s="183" t="s">
        <v>475</v>
      </c>
      <c r="G2" t="s">
        <v>473</v>
      </c>
      <c r="H2" t="s">
        <v>474</v>
      </c>
    </row>
    <row r="3" spans="2:8">
      <c r="B3" s="293" t="s">
        <v>26</v>
      </c>
      <c r="C3" s="293" t="s">
        <v>9</v>
      </c>
    </row>
    <row r="4" spans="2:8">
      <c r="B4" s="293" t="s">
        <v>26</v>
      </c>
      <c r="C4" s="293" t="s">
        <v>13</v>
      </c>
    </row>
    <row r="5" spans="2:8">
      <c r="B5" s="293" t="s">
        <v>26</v>
      </c>
      <c r="C5" s="293" t="s">
        <v>14</v>
      </c>
    </row>
    <row r="6" spans="2:8">
      <c r="B6" s="293" t="s">
        <v>26</v>
      </c>
      <c r="C6" s="293" t="s">
        <v>15</v>
      </c>
    </row>
    <row r="7" spans="2:8">
      <c r="B7" s="293" t="s">
        <v>26</v>
      </c>
      <c r="C7" s="293" t="s">
        <v>16</v>
      </c>
    </row>
    <row r="8" spans="2:8">
      <c r="B8" s="293" t="s">
        <v>26</v>
      </c>
      <c r="C8" s="293" t="s">
        <v>17</v>
      </c>
    </row>
    <row r="9" spans="2:8">
      <c r="B9" s="293" t="s">
        <v>26</v>
      </c>
      <c r="C9" s="293" t="s">
        <v>18</v>
      </c>
    </row>
    <row r="10" spans="2:8">
      <c r="B10" s="293" t="s">
        <v>26</v>
      </c>
      <c r="C10" s="293" t="s">
        <v>19</v>
      </c>
    </row>
    <row r="11" spans="2:8">
      <c r="B11" s="293" t="s">
        <v>26</v>
      </c>
      <c r="C11" s="293" t="s">
        <v>20</v>
      </c>
    </row>
    <row r="12" spans="2:8">
      <c r="B12" s="293" t="s">
        <v>26</v>
      </c>
      <c r="C12" s="293" t="s">
        <v>21</v>
      </c>
    </row>
    <row r="13" spans="2:8">
      <c r="B13" s="293" t="s">
        <v>26</v>
      </c>
      <c r="C13" s="293" t="s">
        <v>22</v>
      </c>
    </row>
    <row r="14" spans="2:8">
      <c r="B14" s="293" t="s">
        <v>26</v>
      </c>
      <c r="C14" s="293" t="s">
        <v>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Z100"/>
  <sheetViews>
    <sheetView topLeftCell="A28" workbookViewId="0">
      <selection activeCell="X45" sqref="X45"/>
    </sheetView>
  </sheetViews>
  <sheetFormatPr defaultRowHeight="16.5"/>
  <cols>
    <col min="1" max="4" width="9" style="183"/>
    <col min="5" max="5" width="9" style="226"/>
    <col min="6" max="6" width="9" style="183"/>
    <col min="7" max="7" width="9" style="226"/>
    <col min="8" max="8" width="9" style="183"/>
    <col min="9" max="9" width="9" style="226"/>
    <col min="10" max="10" width="9" style="183"/>
    <col min="11" max="11" width="9" style="226"/>
    <col min="12" max="12" width="9" style="183"/>
    <col min="13" max="13" width="9" style="226"/>
    <col min="14" max="14" width="9" style="183"/>
    <col min="15" max="15" width="9" style="226"/>
    <col min="16" max="16" width="9" style="183"/>
    <col min="17" max="17" width="9" style="226"/>
    <col min="18" max="22" width="9" style="183"/>
    <col min="23" max="23" width="9" style="16"/>
    <col min="24" max="24" width="9" style="18"/>
    <col min="25" max="25" width="9" style="17"/>
    <col min="26" max="16384" width="9" style="183"/>
  </cols>
  <sheetData>
    <row r="1" spans="2:26" ht="17.25" thickTop="1">
      <c r="B1" s="316" t="s">
        <v>62</v>
      </c>
      <c r="C1" s="316" t="s">
        <v>63</v>
      </c>
      <c r="D1" s="59" t="s">
        <v>64</v>
      </c>
      <c r="E1" s="222"/>
      <c r="F1" s="59"/>
      <c r="G1" s="222"/>
      <c r="H1" s="59"/>
      <c r="I1" s="222"/>
      <c r="J1" s="316" t="s">
        <v>65</v>
      </c>
      <c r="K1" s="316"/>
      <c r="L1" s="316"/>
      <c r="M1" s="316"/>
      <c r="N1" s="316" t="s">
        <v>66</v>
      </c>
      <c r="O1" s="316"/>
      <c r="P1" s="316"/>
      <c r="Q1" s="316"/>
      <c r="R1" s="316" t="s">
        <v>67</v>
      </c>
      <c r="S1" s="313" t="s">
        <v>68</v>
      </c>
      <c r="T1" s="313" t="s">
        <v>69</v>
      </c>
      <c r="U1" s="318" t="s">
        <v>76</v>
      </c>
      <c r="V1" s="318" t="s">
        <v>77</v>
      </c>
      <c r="W1" s="319" t="s">
        <v>80</v>
      </c>
      <c r="X1" s="325" t="s">
        <v>79</v>
      </c>
      <c r="Y1" s="326" t="s">
        <v>78</v>
      </c>
    </row>
    <row r="2" spans="2:26" ht="33">
      <c r="B2" s="314"/>
      <c r="C2" s="314"/>
      <c r="D2" s="114" t="s">
        <v>157</v>
      </c>
      <c r="E2" s="223" t="s">
        <v>157</v>
      </c>
      <c r="F2" s="114" t="s">
        <v>158</v>
      </c>
      <c r="G2" s="223" t="s">
        <v>158</v>
      </c>
      <c r="H2" s="114" t="s">
        <v>159</v>
      </c>
      <c r="I2" s="223" t="s">
        <v>159</v>
      </c>
      <c r="J2" s="317" t="s">
        <v>70</v>
      </c>
      <c r="K2" s="317"/>
      <c r="L2" s="317" t="s">
        <v>71</v>
      </c>
      <c r="M2" s="317"/>
      <c r="N2" s="317" t="s">
        <v>72</v>
      </c>
      <c r="O2" s="317"/>
      <c r="P2" s="317" t="s">
        <v>73</v>
      </c>
      <c r="Q2" s="317"/>
      <c r="R2" s="314"/>
      <c r="S2" s="314"/>
      <c r="T2" s="314"/>
      <c r="U2" s="318"/>
      <c r="V2" s="318"/>
      <c r="W2" s="320"/>
      <c r="X2" s="318"/>
      <c r="Y2" s="327"/>
    </row>
    <row r="3" spans="2:26" ht="17.25" customHeight="1" thickBot="1">
      <c r="B3" s="315"/>
      <c r="C3" s="315"/>
      <c r="D3" s="27" t="s">
        <v>74</v>
      </c>
      <c r="E3" s="224" t="s">
        <v>75</v>
      </c>
      <c r="F3" s="27" t="s">
        <v>74</v>
      </c>
      <c r="G3" s="224" t="s">
        <v>75</v>
      </c>
      <c r="H3" s="27" t="s">
        <v>74</v>
      </c>
      <c r="I3" s="224" t="s">
        <v>75</v>
      </c>
      <c r="J3" s="27" t="s">
        <v>74</v>
      </c>
      <c r="K3" s="224" t="s">
        <v>75</v>
      </c>
      <c r="L3" s="27" t="s">
        <v>74</v>
      </c>
      <c r="M3" s="224" t="s">
        <v>75</v>
      </c>
      <c r="N3" s="27" t="s">
        <v>74</v>
      </c>
      <c r="O3" s="224" t="s">
        <v>75</v>
      </c>
      <c r="P3" s="27" t="s">
        <v>74</v>
      </c>
      <c r="Q3" s="224" t="s">
        <v>75</v>
      </c>
      <c r="R3" s="315"/>
      <c r="S3" s="315"/>
      <c r="T3" s="315"/>
      <c r="U3" s="318"/>
      <c r="V3" s="318"/>
      <c r="W3" s="320"/>
      <c r="X3" s="318"/>
      <c r="Y3" s="327"/>
    </row>
    <row r="4" spans="2:26" ht="17.25" thickTop="1">
      <c r="B4" s="183" t="s">
        <v>8</v>
      </c>
      <c r="C4" s="184" t="s">
        <v>9</v>
      </c>
      <c r="D4" s="28"/>
      <c r="E4" s="225"/>
      <c r="F4" s="28"/>
      <c r="G4" s="225"/>
      <c r="H4" s="28"/>
      <c r="I4" s="225"/>
      <c r="J4" s="29"/>
      <c r="K4" s="225"/>
      <c r="L4" s="29"/>
      <c r="M4" s="225"/>
      <c r="N4" s="29"/>
      <c r="O4" s="225"/>
      <c r="P4" s="29"/>
      <c r="Q4" s="225"/>
      <c r="Z4" s="183">
        <f>MAX(S4:T4,S4)</f>
        <v>0</v>
      </c>
    </row>
    <row r="5" spans="2:26">
      <c r="B5" s="183" t="s">
        <v>8</v>
      </c>
      <c r="C5" s="184" t="s">
        <v>13</v>
      </c>
      <c r="D5" s="29"/>
      <c r="E5" s="225"/>
      <c r="F5" s="29"/>
      <c r="G5" s="225"/>
      <c r="H5" s="29"/>
      <c r="I5" s="225"/>
      <c r="J5" s="29"/>
      <c r="K5" s="225"/>
      <c r="L5" s="29"/>
      <c r="M5" s="225"/>
      <c r="N5" s="29"/>
      <c r="O5" s="225"/>
      <c r="P5" s="29"/>
      <c r="Q5" s="225"/>
      <c r="Z5" s="183">
        <f t="shared" ref="Z5:Z39" si="0">MAX(S5:T5,S5)</f>
        <v>0</v>
      </c>
    </row>
    <row r="6" spans="2:26">
      <c r="B6" s="183" t="s">
        <v>8</v>
      </c>
      <c r="C6" s="184" t="s">
        <v>14</v>
      </c>
      <c r="D6" s="29"/>
      <c r="E6" s="225"/>
      <c r="F6" s="29"/>
      <c r="G6" s="225"/>
      <c r="H6" s="29"/>
      <c r="I6" s="225"/>
      <c r="J6" s="29"/>
      <c r="K6" s="225"/>
      <c r="L6" s="29"/>
      <c r="M6" s="225"/>
      <c r="N6" s="29"/>
      <c r="O6" s="225"/>
      <c r="P6" s="29"/>
      <c r="Q6" s="225"/>
      <c r="Z6" s="183">
        <f t="shared" si="0"/>
        <v>0</v>
      </c>
    </row>
    <row r="7" spans="2:26">
      <c r="B7" s="183" t="s">
        <v>8</v>
      </c>
      <c r="C7" s="184" t="s">
        <v>15</v>
      </c>
      <c r="D7" s="29"/>
      <c r="E7" s="225"/>
      <c r="F7" s="29"/>
      <c r="G7" s="225"/>
      <c r="H7" s="29"/>
      <c r="I7" s="225"/>
      <c r="J7" s="29"/>
      <c r="K7" s="225"/>
      <c r="L7" s="29"/>
      <c r="M7" s="225"/>
      <c r="N7" s="29"/>
      <c r="O7" s="225"/>
      <c r="P7" s="29"/>
      <c r="Q7" s="225"/>
      <c r="Z7" s="183">
        <f t="shared" si="0"/>
        <v>0</v>
      </c>
    </row>
    <row r="8" spans="2:26">
      <c r="B8" s="183" t="s">
        <v>8</v>
      </c>
      <c r="C8" s="184" t="s">
        <v>16</v>
      </c>
      <c r="D8" s="29"/>
      <c r="E8" s="225"/>
      <c r="F8" s="29"/>
      <c r="G8" s="225"/>
      <c r="H8" s="29"/>
      <c r="I8" s="225"/>
      <c r="J8" s="29"/>
      <c r="K8" s="225"/>
      <c r="L8" s="29"/>
      <c r="M8" s="225"/>
      <c r="N8" s="29"/>
      <c r="O8" s="225"/>
      <c r="P8" s="29"/>
      <c r="Q8" s="225"/>
      <c r="Z8" s="183">
        <f t="shared" si="0"/>
        <v>0</v>
      </c>
    </row>
    <row r="9" spans="2:26">
      <c r="B9" s="183" t="s">
        <v>8</v>
      </c>
      <c r="C9" s="184" t="s">
        <v>17</v>
      </c>
      <c r="D9" s="29"/>
      <c r="E9" s="225"/>
      <c r="F9" s="29"/>
      <c r="G9" s="225"/>
      <c r="H9" s="29"/>
      <c r="I9" s="225"/>
      <c r="J9" s="29"/>
      <c r="K9" s="225"/>
      <c r="L9" s="29"/>
      <c r="M9" s="225"/>
      <c r="N9" s="29"/>
      <c r="O9" s="225"/>
      <c r="P9" s="29"/>
      <c r="Q9" s="225"/>
      <c r="Z9" s="183">
        <f t="shared" si="0"/>
        <v>0</v>
      </c>
    </row>
    <row r="10" spans="2:26">
      <c r="B10" s="183" t="s">
        <v>8</v>
      </c>
      <c r="C10" s="184" t="s">
        <v>18</v>
      </c>
      <c r="D10" s="29"/>
      <c r="E10" s="225"/>
      <c r="F10" s="29"/>
      <c r="G10" s="225"/>
      <c r="H10" s="29"/>
      <c r="I10" s="225"/>
      <c r="J10" s="29"/>
      <c r="K10" s="225"/>
      <c r="L10" s="29"/>
      <c r="M10" s="225"/>
      <c r="N10" s="29"/>
      <c r="O10" s="225"/>
      <c r="P10" s="29"/>
      <c r="Q10" s="225"/>
      <c r="Z10" s="183">
        <f t="shared" si="0"/>
        <v>0</v>
      </c>
    </row>
    <row r="11" spans="2:26">
      <c r="B11" s="183" t="s">
        <v>8</v>
      </c>
      <c r="C11" s="184" t="s">
        <v>19</v>
      </c>
      <c r="D11" s="29"/>
      <c r="E11" s="225"/>
      <c r="F11" s="29"/>
      <c r="G11" s="225"/>
      <c r="H11" s="29"/>
      <c r="I11" s="225"/>
      <c r="J11" s="29"/>
      <c r="K11" s="225"/>
      <c r="L11" s="29"/>
      <c r="M11" s="225"/>
      <c r="N11" s="29"/>
      <c r="O11" s="225"/>
      <c r="P11" s="29"/>
      <c r="Q11" s="225"/>
      <c r="Z11" s="183">
        <f t="shared" si="0"/>
        <v>0</v>
      </c>
    </row>
    <row r="12" spans="2:26">
      <c r="B12" s="183" t="s">
        <v>8</v>
      </c>
      <c r="C12" s="184" t="s">
        <v>20</v>
      </c>
      <c r="D12" s="29"/>
      <c r="E12" s="225"/>
      <c r="F12" s="29"/>
      <c r="G12" s="225"/>
      <c r="H12" s="29"/>
      <c r="I12" s="225"/>
      <c r="J12" s="29"/>
      <c r="K12" s="225"/>
      <c r="L12" s="29"/>
      <c r="M12" s="225"/>
      <c r="N12" s="29"/>
      <c r="O12" s="225"/>
      <c r="P12" s="29"/>
      <c r="Q12" s="225"/>
      <c r="Z12" s="183">
        <f t="shared" si="0"/>
        <v>0</v>
      </c>
    </row>
    <row r="13" spans="2:26">
      <c r="B13" s="183" t="s">
        <v>8</v>
      </c>
      <c r="C13" s="184" t="s">
        <v>21</v>
      </c>
      <c r="D13" s="29"/>
      <c r="E13" s="225"/>
      <c r="F13" s="29"/>
      <c r="G13" s="225"/>
      <c r="H13" s="29"/>
      <c r="I13" s="225"/>
      <c r="J13" s="29"/>
      <c r="K13" s="225"/>
      <c r="L13" s="29"/>
      <c r="M13" s="225"/>
      <c r="N13" s="29"/>
      <c r="O13" s="225"/>
      <c r="P13" s="29"/>
      <c r="Q13" s="225"/>
      <c r="Z13" s="183">
        <f t="shared" si="0"/>
        <v>0</v>
      </c>
    </row>
    <row r="14" spans="2:26">
      <c r="B14" s="183" t="s">
        <v>8</v>
      </c>
      <c r="C14" s="184" t="s">
        <v>22</v>
      </c>
      <c r="D14" s="29"/>
      <c r="E14" s="225"/>
      <c r="F14" s="29"/>
      <c r="G14" s="225"/>
      <c r="H14" s="29"/>
      <c r="I14" s="225"/>
      <c r="J14" s="29"/>
      <c r="K14" s="225"/>
      <c r="L14" s="29"/>
      <c r="M14" s="225"/>
      <c r="N14" s="29"/>
      <c r="O14" s="225"/>
      <c r="P14" s="29"/>
      <c r="Q14" s="225"/>
      <c r="Z14" s="183">
        <f t="shared" si="0"/>
        <v>0</v>
      </c>
    </row>
    <row r="15" spans="2:26">
      <c r="B15" s="183" t="s">
        <v>8</v>
      </c>
      <c r="C15" s="184" t="s">
        <v>23</v>
      </c>
      <c r="D15" s="29"/>
      <c r="E15" s="225"/>
      <c r="F15" s="29"/>
      <c r="G15" s="225"/>
      <c r="H15" s="29"/>
      <c r="I15" s="225"/>
      <c r="J15" s="29"/>
      <c r="K15" s="225"/>
      <c r="L15" s="29"/>
      <c r="M15" s="225"/>
      <c r="N15" s="29"/>
      <c r="O15" s="225"/>
      <c r="P15" s="29"/>
      <c r="Q15" s="225"/>
      <c r="Z15" s="183">
        <f t="shared" si="0"/>
        <v>0</v>
      </c>
    </row>
    <row r="16" spans="2:26">
      <c r="B16" s="183" t="s">
        <v>24</v>
      </c>
      <c r="C16" s="184" t="s">
        <v>9</v>
      </c>
      <c r="D16" s="29"/>
      <c r="E16" s="225"/>
      <c r="F16" s="29"/>
      <c r="G16" s="225"/>
      <c r="H16" s="29"/>
      <c r="I16" s="225"/>
      <c r="J16" s="29"/>
      <c r="K16" s="225"/>
      <c r="L16" s="29"/>
      <c r="M16" s="225"/>
      <c r="N16" s="29"/>
      <c r="O16" s="225"/>
      <c r="P16" s="29"/>
      <c r="Q16" s="225"/>
      <c r="Z16" s="183">
        <f t="shared" si="0"/>
        <v>0</v>
      </c>
    </row>
    <row r="17" spans="2:26">
      <c r="B17" s="183" t="s">
        <v>24</v>
      </c>
      <c r="C17" s="184" t="s">
        <v>13</v>
      </c>
      <c r="D17" s="29"/>
      <c r="E17" s="225"/>
      <c r="F17" s="29"/>
      <c r="G17" s="225"/>
      <c r="H17" s="29"/>
      <c r="I17" s="225"/>
      <c r="J17" s="29"/>
      <c r="K17" s="225"/>
      <c r="L17" s="29"/>
      <c r="M17" s="225"/>
      <c r="N17" s="29"/>
      <c r="O17" s="225"/>
      <c r="P17" s="29"/>
      <c r="Q17" s="225"/>
      <c r="Z17" s="183">
        <f t="shared" si="0"/>
        <v>0</v>
      </c>
    </row>
    <row r="18" spans="2:26">
      <c r="B18" s="183" t="s">
        <v>24</v>
      </c>
      <c r="C18" s="184" t="s">
        <v>14</v>
      </c>
      <c r="D18" s="29"/>
      <c r="E18" s="225"/>
      <c r="F18" s="29"/>
      <c r="G18" s="225"/>
      <c r="H18" s="29"/>
      <c r="I18" s="225"/>
      <c r="J18" s="29"/>
      <c r="K18" s="225"/>
      <c r="L18" s="29"/>
      <c r="M18" s="225"/>
      <c r="N18" s="29"/>
      <c r="O18" s="225"/>
      <c r="P18" s="29"/>
      <c r="Q18" s="225"/>
      <c r="Z18" s="183">
        <f t="shared" si="0"/>
        <v>0</v>
      </c>
    </row>
    <row r="19" spans="2:26">
      <c r="B19" s="183" t="s">
        <v>24</v>
      </c>
      <c r="C19" s="184" t="s">
        <v>15</v>
      </c>
      <c r="D19" s="29"/>
      <c r="E19" s="225"/>
      <c r="F19" s="29"/>
      <c r="G19" s="225"/>
      <c r="H19" s="29"/>
      <c r="I19" s="225"/>
      <c r="J19" s="29"/>
      <c r="K19" s="225"/>
      <c r="L19" s="29"/>
      <c r="M19" s="225"/>
      <c r="N19" s="29"/>
      <c r="O19" s="225"/>
      <c r="P19" s="29"/>
      <c r="Q19" s="225"/>
      <c r="Z19" s="183">
        <f t="shared" si="0"/>
        <v>0</v>
      </c>
    </row>
    <row r="20" spans="2:26">
      <c r="B20" s="183" t="s">
        <v>24</v>
      </c>
      <c r="C20" s="184" t="s">
        <v>16</v>
      </c>
      <c r="D20" s="29"/>
      <c r="E20" s="225"/>
      <c r="F20" s="29"/>
      <c r="G20" s="225"/>
      <c r="H20" s="29"/>
      <c r="I20" s="225"/>
      <c r="J20" s="29"/>
      <c r="K20" s="225"/>
      <c r="L20" s="29"/>
      <c r="M20" s="225"/>
      <c r="N20" s="29"/>
      <c r="O20" s="225"/>
      <c r="P20" s="29"/>
      <c r="Q20" s="225"/>
      <c r="Z20" s="183">
        <f t="shared" si="0"/>
        <v>0</v>
      </c>
    </row>
    <row r="21" spans="2:26">
      <c r="B21" s="183" t="s">
        <v>24</v>
      </c>
      <c r="C21" s="184" t="s">
        <v>17</v>
      </c>
      <c r="D21" s="29"/>
      <c r="E21" s="225"/>
      <c r="F21" s="29"/>
      <c r="G21" s="225"/>
      <c r="H21" s="29"/>
      <c r="I21" s="225"/>
      <c r="J21" s="29"/>
      <c r="K21" s="225"/>
      <c r="L21" s="29"/>
      <c r="M21" s="225"/>
      <c r="N21" s="29"/>
      <c r="O21" s="225"/>
      <c r="P21" s="29"/>
      <c r="Q21" s="225"/>
      <c r="Z21" s="183">
        <f t="shared" si="0"/>
        <v>0</v>
      </c>
    </row>
    <row r="22" spans="2:26">
      <c r="B22" s="183" t="s">
        <v>24</v>
      </c>
      <c r="C22" s="184" t="s">
        <v>18</v>
      </c>
      <c r="D22" s="29"/>
      <c r="E22" s="225"/>
      <c r="F22" s="29"/>
      <c r="G22" s="225"/>
      <c r="H22" s="29"/>
      <c r="I22" s="225"/>
      <c r="J22" s="29"/>
      <c r="K22" s="225"/>
      <c r="L22" s="29"/>
      <c r="M22" s="225"/>
      <c r="N22" s="29"/>
      <c r="O22" s="225"/>
      <c r="P22" s="29"/>
      <c r="Q22" s="225"/>
      <c r="Z22" s="183">
        <f t="shared" si="0"/>
        <v>0</v>
      </c>
    </row>
    <row r="23" spans="2:26">
      <c r="B23" s="183" t="s">
        <v>24</v>
      </c>
      <c r="C23" s="184" t="s">
        <v>19</v>
      </c>
      <c r="D23" s="29"/>
      <c r="E23" s="225"/>
      <c r="F23" s="29"/>
      <c r="G23" s="225"/>
      <c r="H23" s="29"/>
      <c r="I23" s="225"/>
      <c r="J23" s="29"/>
      <c r="K23" s="225"/>
      <c r="L23" s="29"/>
      <c r="M23" s="225"/>
      <c r="N23" s="29"/>
      <c r="O23" s="225"/>
      <c r="P23" s="29"/>
      <c r="Q23" s="225"/>
      <c r="Z23" s="183">
        <f t="shared" si="0"/>
        <v>0</v>
      </c>
    </row>
    <row r="24" spans="2:26">
      <c r="B24" s="183" t="s">
        <v>24</v>
      </c>
      <c r="C24" s="184" t="s">
        <v>20</v>
      </c>
      <c r="D24" s="29"/>
      <c r="E24" s="225"/>
      <c r="F24" s="29"/>
      <c r="G24" s="225"/>
      <c r="H24" s="29"/>
      <c r="I24" s="225"/>
      <c r="J24" s="29"/>
      <c r="K24" s="225"/>
      <c r="L24" s="29"/>
      <c r="M24" s="225"/>
      <c r="N24" s="29"/>
      <c r="O24" s="225"/>
      <c r="P24" s="29"/>
      <c r="Q24" s="225"/>
      <c r="Z24" s="183">
        <f t="shared" si="0"/>
        <v>0</v>
      </c>
    </row>
    <row r="25" spans="2:26">
      <c r="B25" s="183" t="s">
        <v>24</v>
      </c>
      <c r="C25" s="184" t="s">
        <v>21</v>
      </c>
      <c r="D25" s="29"/>
      <c r="E25" s="225"/>
      <c r="F25" s="29"/>
      <c r="G25" s="225"/>
      <c r="H25" s="29"/>
      <c r="I25" s="225"/>
      <c r="J25" s="29"/>
      <c r="K25" s="225"/>
      <c r="L25" s="29"/>
      <c r="M25" s="225"/>
      <c r="N25" s="29"/>
      <c r="O25" s="225"/>
      <c r="P25" s="29"/>
      <c r="Q25" s="225"/>
      <c r="Z25" s="183">
        <f t="shared" si="0"/>
        <v>0</v>
      </c>
    </row>
    <row r="26" spans="2:26">
      <c r="B26" s="183" t="s">
        <v>24</v>
      </c>
      <c r="C26" s="184" t="s">
        <v>22</v>
      </c>
      <c r="D26" s="29"/>
      <c r="E26" s="225"/>
      <c r="F26" s="29"/>
      <c r="G26" s="225"/>
      <c r="H26" s="29"/>
      <c r="I26" s="225"/>
      <c r="J26" s="29"/>
      <c r="K26" s="225"/>
      <c r="L26" s="29"/>
      <c r="M26" s="225"/>
      <c r="N26" s="29"/>
      <c r="O26" s="225"/>
      <c r="P26" s="29"/>
      <c r="Q26" s="225"/>
      <c r="Z26" s="183">
        <f t="shared" si="0"/>
        <v>0</v>
      </c>
    </row>
    <row r="27" spans="2:26">
      <c r="B27" s="183" t="s">
        <v>24</v>
      </c>
      <c r="C27" s="184" t="s">
        <v>23</v>
      </c>
      <c r="D27" s="29"/>
      <c r="E27" s="225"/>
      <c r="F27" s="29"/>
      <c r="G27" s="225"/>
      <c r="H27" s="29"/>
      <c r="I27" s="225"/>
      <c r="J27" s="29"/>
      <c r="K27" s="225"/>
      <c r="L27" s="29"/>
      <c r="M27" s="225"/>
      <c r="N27" s="29"/>
      <c r="O27" s="225"/>
      <c r="P27" s="29"/>
      <c r="Q27" s="225"/>
      <c r="Z27" s="183">
        <f t="shared" si="0"/>
        <v>0</v>
      </c>
    </row>
    <row r="28" spans="2:26">
      <c r="B28" s="183" t="s">
        <v>25</v>
      </c>
      <c r="C28" s="184" t="s">
        <v>9</v>
      </c>
      <c r="D28" s="29"/>
      <c r="E28" s="225"/>
      <c r="F28" s="29"/>
      <c r="G28" s="225"/>
      <c r="H28" s="29"/>
      <c r="I28" s="225"/>
      <c r="J28" s="29"/>
      <c r="K28" s="225"/>
      <c r="L28" s="29"/>
      <c r="M28" s="225"/>
      <c r="N28" s="29"/>
      <c r="O28" s="225"/>
      <c r="P28" s="29"/>
      <c r="Q28" s="225"/>
      <c r="Z28" s="183">
        <f t="shared" si="0"/>
        <v>0</v>
      </c>
    </row>
    <row r="29" spans="2:26">
      <c r="B29" s="183" t="s">
        <v>25</v>
      </c>
      <c r="C29" s="184" t="s">
        <v>13</v>
      </c>
      <c r="D29" s="29"/>
      <c r="E29" s="225"/>
      <c r="F29" s="29"/>
      <c r="G29" s="225"/>
      <c r="H29" s="29"/>
      <c r="I29" s="225"/>
      <c r="J29" s="29"/>
      <c r="K29" s="225"/>
      <c r="L29" s="29"/>
      <c r="M29" s="225"/>
      <c r="N29" s="29"/>
      <c r="O29" s="225"/>
      <c r="P29" s="29"/>
      <c r="Q29" s="225"/>
      <c r="Z29" s="183">
        <f t="shared" si="0"/>
        <v>0</v>
      </c>
    </row>
    <row r="30" spans="2:26">
      <c r="B30" s="183" t="s">
        <v>25</v>
      </c>
      <c r="C30" s="184" t="s">
        <v>14</v>
      </c>
      <c r="D30" s="29"/>
      <c r="E30" s="225"/>
      <c r="F30" s="29"/>
      <c r="G30" s="225"/>
      <c r="H30" s="29"/>
      <c r="I30" s="225"/>
      <c r="J30" s="29"/>
      <c r="K30" s="225"/>
      <c r="L30" s="29"/>
      <c r="M30" s="225"/>
      <c r="N30" s="29"/>
      <c r="O30" s="225"/>
      <c r="P30" s="29"/>
      <c r="Q30" s="225"/>
      <c r="Z30" s="183">
        <f t="shared" si="0"/>
        <v>0</v>
      </c>
    </row>
    <row r="31" spans="2:26">
      <c r="B31" s="183" t="s">
        <v>25</v>
      </c>
      <c r="C31" s="184" t="s">
        <v>15</v>
      </c>
      <c r="D31" s="29"/>
      <c r="E31" s="225"/>
      <c r="F31" s="29"/>
      <c r="G31" s="225"/>
      <c r="H31" s="29"/>
      <c r="I31" s="225"/>
      <c r="J31" s="29"/>
      <c r="K31" s="225"/>
      <c r="L31" s="29"/>
      <c r="M31" s="225"/>
      <c r="N31" s="29"/>
      <c r="O31" s="225"/>
      <c r="P31" s="29"/>
      <c r="Q31" s="225"/>
      <c r="Z31" s="183">
        <f t="shared" si="0"/>
        <v>0</v>
      </c>
    </row>
    <row r="32" spans="2:26">
      <c r="B32" s="183" t="s">
        <v>25</v>
      </c>
      <c r="C32" s="184" t="s">
        <v>16</v>
      </c>
      <c r="D32" s="29"/>
      <c r="E32" s="225"/>
      <c r="F32" s="29"/>
      <c r="G32" s="225"/>
      <c r="H32" s="29"/>
      <c r="I32" s="225"/>
      <c r="J32" s="29"/>
      <c r="K32" s="225"/>
      <c r="L32" s="29"/>
      <c r="M32" s="225"/>
      <c r="N32" s="29"/>
      <c r="O32" s="225"/>
      <c r="P32" s="29"/>
      <c r="Q32" s="225"/>
      <c r="Z32" s="183">
        <f t="shared" si="0"/>
        <v>0</v>
      </c>
    </row>
    <row r="33" spans="2:26">
      <c r="B33" s="183" t="s">
        <v>25</v>
      </c>
      <c r="C33" s="184" t="s">
        <v>17</v>
      </c>
      <c r="D33" s="29"/>
      <c r="E33" s="225"/>
      <c r="F33" s="29"/>
      <c r="G33" s="225"/>
      <c r="H33" s="29"/>
      <c r="I33" s="225"/>
      <c r="J33" s="29"/>
      <c r="K33" s="225"/>
      <c r="L33" s="29"/>
      <c r="M33" s="225"/>
      <c r="N33" s="29"/>
      <c r="O33" s="225"/>
      <c r="P33" s="29"/>
      <c r="Q33" s="225"/>
      <c r="Z33" s="183">
        <f t="shared" si="0"/>
        <v>0</v>
      </c>
    </row>
    <row r="34" spans="2:26">
      <c r="B34" s="183" t="s">
        <v>25</v>
      </c>
      <c r="C34" s="184" t="s">
        <v>18</v>
      </c>
      <c r="D34" s="29"/>
      <c r="E34" s="225"/>
      <c r="F34" s="29"/>
      <c r="G34" s="225"/>
      <c r="H34" s="29"/>
      <c r="I34" s="225"/>
      <c r="J34" s="29"/>
      <c r="K34" s="225"/>
      <c r="L34" s="29"/>
      <c r="M34" s="225"/>
      <c r="N34" s="29"/>
      <c r="O34" s="225"/>
      <c r="P34" s="29"/>
      <c r="Q34" s="225"/>
      <c r="Z34" s="183">
        <f t="shared" si="0"/>
        <v>0</v>
      </c>
    </row>
    <row r="35" spans="2:26">
      <c r="B35" s="183" t="s">
        <v>25</v>
      </c>
      <c r="C35" s="184" t="s">
        <v>19</v>
      </c>
      <c r="D35" s="29"/>
      <c r="E35" s="225"/>
      <c r="F35" s="29"/>
      <c r="G35" s="225"/>
      <c r="H35" s="29"/>
      <c r="I35" s="225"/>
      <c r="J35" s="29"/>
      <c r="K35" s="225"/>
      <c r="L35" s="29"/>
      <c r="M35" s="225"/>
      <c r="N35" s="29"/>
      <c r="O35" s="225"/>
      <c r="P35" s="29"/>
      <c r="Q35" s="225"/>
      <c r="Z35" s="183">
        <f t="shared" si="0"/>
        <v>0</v>
      </c>
    </row>
    <row r="36" spans="2:26">
      <c r="B36" s="183" t="s">
        <v>25</v>
      </c>
      <c r="C36" s="184" t="s">
        <v>20</v>
      </c>
      <c r="D36" s="29"/>
      <c r="E36" s="225"/>
      <c r="F36" s="29"/>
      <c r="G36" s="225"/>
      <c r="H36" s="29"/>
      <c r="I36" s="225"/>
      <c r="J36" s="29"/>
      <c r="K36" s="225"/>
      <c r="L36" s="29"/>
      <c r="M36" s="225"/>
      <c r="N36" s="29"/>
      <c r="O36" s="225"/>
      <c r="P36" s="29"/>
      <c r="Q36" s="225"/>
      <c r="Z36" s="183">
        <f t="shared" si="0"/>
        <v>0</v>
      </c>
    </row>
    <row r="37" spans="2:26">
      <c r="B37" s="183" t="s">
        <v>25</v>
      </c>
      <c r="C37" s="184" t="s">
        <v>21</v>
      </c>
      <c r="D37" s="29"/>
      <c r="E37" s="225"/>
      <c r="F37" s="29"/>
      <c r="G37" s="225"/>
      <c r="H37" s="29"/>
      <c r="I37" s="225"/>
      <c r="J37" s="29"/>
      <c r="K37" s="225"/>
      <c r="L37" s="29"/>
      <c r="M37" s="225"/>
      <c r="N37" s="29"/>
      <c r="O37" s="225"/>
      <c r="P37" s="29"/>
      <c r="Q37" s="225"/>
      <c r="Z37" s="183">
        <f t="shared" si="0"/>
        <v>0</v>
      </c>
    </row>
    <row r="38" spans="2:26">
      <c r="B38" s="183" t="s">
        <v>25</v>
      </c>
      <c r="C38" s="184" t="s">
        <v>22</v>
      </c>
      <c r="D38" s="29"/>
      <c r="E38" s="225"/>
      <c r="F38" s="29"/>
      <c r="G38" s="225"/>
      <c r="H38" s="29"/>
      <c r="I38" s="225"/>
      <c r="J38" s="29"/>
      <c r="K38" s="225"/>
      <c r="L38" s="29"/>
      <c r="M38" s="225"/>
      <c r="N38" s="29"/>
      <c r="O38" s="225"/>
      <c r="P38" s="29"/>
      <c r="Q38" s="225"/>
      <c r="Z38" s="183">
        <f t="shared" si="0"/>
        <v>0</v>
      </c>
    </row>
    <row r="39" spans="2:26">
      <c r="B39" s="183" t="s">
        <v>25</v>
      </c>
      <c r="C39" s="184" t="s">
        <v>23</v>
      </c>
      <c r="D39" s="29">
        <v>0</v>
      </c>
      <c r="E39" s="225">
        <v>0</v>
      </c>
      <c r="F39" s="29">
        <v>0</v>
      </c>
      <c r="G39" s="225">
        <v>0</v>
      </c>
      <c r="H39" s="29">
        <v>0</v>
      </c>
      <c r="I39" s="225">
        <v>0</v>
      </c>
      <c r="J39" s="29">
        <v>0</v>
      </c>
      <c r="K39" s="225">
        <v>0</v>
      </c>
      <c r="L39" s="29">
        <v>0</v>
      </c>
      <c r="M39" s="225">
        <v>0</v>
      </c>
      <c r="N39" s="29">
        <v>0</v>
      </c>
      <c r="O39" s="225">
        <v>0</v>
      </c>
      <c r="P39" s="29">
        <v>0</v>
      </c>
      <c r="Q39" s="225">
        <v>0</v>
      </c>
      <c r="Z39" s="183">
        <f t="shared" si="0"/>
        <v>0</v>
      </c>
    </row>
    <row r="40" spans="2:26">
      <c r="B40" s="183" t="s">
        <v>26</v>
      </c>
      <c r="C40" s="184" t="s">
        <v>9</v>
      </c>
      <c r="D40" s="29">
        <f t="shared" ref="D40:D69" si="1">E39</f>
        <v>0</v>
      </c>
      <c r="E40" s="225">
        <v>0.46</v>
      </c>
      <c r="F40" s="29">
        <f t="shared" ref="F40:F69" si="2">G39</f>
        <v>0</v>
      </c>
      <c r="G40" s="225">
        <v>0.28000000000000003</v>
      </c>
      <c r="H40" s="29">
        <f t="shared" ref="H40:H69" si="3">I39</f>
        <v>0</v>
      </c>
      <c r="I40" s="225">
        <v>0.14000000000000001</v>
      </c>
      <c r="J40" s="29">
        <f t="shared" ref="J40:J69" si="4">K39</f>
        <v>0</v>
      </c>
      <c r="K40" s="225">
        <v>0.2</v>
      </c>
      <c r="L40" s="29">
        <f t="shared" ref="L40:L69" si="5">M39</f>
        <v>0</v>
      </c>
      <c r="M40" s="225">
        <v>7.0000000000000007E-2</v>
      </c>
      <c r="N40" s="29">
        <f t="shared" ref="N40:N69" si="6">O39</f>
        <v>0</v>
      </c>
      <c r="O40" s="225">
        <v>7.0000000000000007E-2</v>
      </c>
      <c r="P40" s="29">
        <f t="shared" ref="P40:P69" si="7">Q39</f>
        <v>0</v>
      </c>
      <c r="Q40" s="225">
        <v>0.06</v>
      </c>
      <c r="R40" s="183">
        <v>-0.01</v>
      </c>
      <c r="S40" s="183">
        <f t="shared" ref="S40:S69" si="8">(O40-N40)*14400</f>
        <v>1008.0000000000001</v>
      </c>
      <c r="T40" s="183">
        <f t="shared" ref="T40:T69" si="9">(Q40-P40)*14400</f>
        <v>864</v>
      </c>
      <c r="U40" s="183">
        <f>X40*W40</f>
        <v>7438.08</v>
      </c>
      <c r="V40" s="183">
        <f>Y40*W40</f>
        <v>6282.24</v>
      </c>
      <c r="W40" s="16">
        <v>120</v>
      </c>
      <c r="X40" s="18">
        <f>메인전력량계!Z40</f>
        <v>61.984000000000002</v>
      </c>
      <c r="Y40" s="17">
        <f>메인전력량계!AA40</f>
        <v>52.351999999999997</v>
      </c>
      <c r="Z40" s="183">
        <f>MAX(U40:V40,U40)</f>
        <v>7438.08</v>
      </c>
    </row>
    <row r="41" spans="2:26">
      <c r="B41" s="183" t="s">
        <v>26</v>
      </c>
      <c r="C41" s="265" t="s">
        <v>427</v>
      </c>
      <c r="D41" s="29">
        <f t="shared" si="1"/>
        <v>0.46</v>
      </c>
      <c r="E41" s="226">
        <v>51.28</v>
      </c>
      <c r="F41" s="29">
        <f t="shared" si="2"/>
        <v>0.28000000000000003</v>
      </c>
      <c r="G41" s="226">
        <v>25.83</v>
      </c>
      <c r="H41" s="29">
        <f t="shared" si="3"/>
        <v>0.14000000000000001</v>
      </c>
      <c r="I41" s="226">
        <v>13.46</v>
      </c>
      <c r="J41" s="29">
        <f t="shared" si="4"/>
        <v>0.2</v>
      </c>
      <c r="K41" s="226">
        <v>7.14</v>
      </c>
      <c r="L41" s="29">
        <f t="shared" si="5"/>
        <v>7.0000000000000007E-2</v>
      </c>
      <c r="M41" s="226">
        <v>3.64</v>
      </c>
      <c r="N41" s="29">
        <f t="shared" si="6"/>
        <v>7.0000000000000007E-2</v>
      </c>
      <c r="O41" s="226">
        <v>0.40500000000000003</v>
      </c>
      <c r="P41" s="29">
        <f t="shared" si="7"/>
        <v>0.06</v>
      </c>
      <c r="Q41" s="226">
        <v>0.312</v>
      </c>
      <c r="R41" s="183">
        <v>-0.01</v>
      </c>
      <c r="S41" s="183">
        <f t="shared" si="8"/>
        <v>4824</v>
      </c>
      <c r="T41" s="183">
        <f t="shared" si="9"/>
        <v>3628.8</v>
      </c>
      <c r="U41" s="183">
        <f t="shared" ref="U41:U100" si="10">X41*W41</f>
        <v>8620.8000000000011</v>
      </c>
      <c r="V41" s="183">
        <f t="shared" ref="V41:V100" si="11">Y41*W41</f>
        <v>8263.68</v>
      </c>
      <c r="W41" s="16">
        <v>120</v>
      </c>
      <c r="X41" s="18">
        <f>메인전력량계!Z41</f>
        <v>71.84</v>
      </c>
      <c r="Y41" s="17">
        <f>메인전력량계!AA41</f>
        <v>68.864000000000004</v>
      </c>
      <c r="Z41" s="183">
        <f t="shared" ref="Z41:Z100" si="12">MAX(U41:V41,U41)</f>
        <v>8620.8000000000011</v>
      </c>
    </row>
    <row r="42" spans="2:26">
      <c r="B42" s="183" t="s">
        <v>449</v>
      </c>
      <c r="C42" s="287" t="s">
        <v>14</v>
      </c>
      <c r="D42" s="29">
        <f t="shared" si="1"/>
        <v>51.28</v>
      </c>
      <c r="E42" s="226">
        <v>116.42</v>
      </c>
      <c r="F42" s="29">
        <f t="shared" si="2"/>
        <v>25.83</v>
      </c>
      <c r="G42" s="226">
        <v>67</v>
      </c>
      <c r="H42" s="29">
        <f t="shared" si="3"/>
        <v>13.46</v>
      </c>
      <c r="I42" s="226">
        <v>36.47</v>
      </c>
      <c r="J42" s="29">
        <f t="shared" si="4"/>
        <v>7.14</v>
      </c>
      <c r="K42" s="226">
        <v>17.75</v>
      </c>
      <c r="L42" s="29">
        <f t="shared" si="5"/>
        <v>3.64</v>
      </c>
      <c r="M42" s="226">
        <v>9.48</v>
      </c>
      <c r="N42" s="29">
        <f t="shared" si="6"/>
        <v>0.40500000000000003</v>
      </c>
      <c r="O42" s="226">
        <v>0.91400000000000003</v>
      </c>
      <c r="P42" s="29">
        <f t="shared" si="7"/>
        <v>0.312</v>
      </c>
      <c r="Q42" s="226">
        <v>0.75</v>
      </c>
      <c r="R42" s="183">
        <v>-0.01</v>
      </c>
      <c r="S42" s="183">
        <f t="shared" si="8"/>
        <v>7329.6</v>
      </c>
      <c r="T42" s="183">
        <f t="shared" si="9"/>
        <v>6307.2</v>
      </c>
      <c r="U42" s="183">
        <f t="shared" si="10"/>
        <v>12007.679999999998</v>
      </c>
      <c r="V42" s="183">
        <f t="shared" si="11"/>
        <v>11477.760000000002</v>
      </c>
      <c r="W42" s="16">
        <v>120</v>
      </c>
      <c r="X42" s="18">
        <f>메인전력량계!Z42</f>
        <v>100.06399999999999</v>
      </c>
      <c r="Y42" s="17">
        <f>메인전력량계!AA42</f>
        <v>95.64800000000001</v>
      </c>
      <c r="Z42" s="183">
        <f t="shared" si="12"/>
        <v>12007.679999999998</v>
      </c>
    </row>
    <row r="43" spans="2:26">
      <c r="B43" s="183" t="s">
        <v>449</v>
      </c>
      <c r="C43" s="290" t="s">
        <v>15</v>
      </c>
      <c r="D43" s="29">
        <f t="shared" si="1"/>
        <v>116.42</v>
      </c>
      <c r="E43" s="226">
        <v>166.72</v>
      </c>
      <c r="F43" s="29">
        <f t="shared" si="2"/>
        <v>67</v>
      </c>
      <c r="G43" s="226">
        <v>100.16</v>
      </c>
      <c r="H43" s="29">
        <f t="shared" si="3"/>
        <v>36.47</v>
      </c>
      <c r="I43" s="226">
        <v>55.06</v>
      </c>
      <c r="J43" s="29">
        <f t="shared" si="4"/>
        <v>17.75</v>
      </c>
      <c r="K43" s="226">
        <v>26.14</v>
      </c>
      <c r="L43" s="29">
        <f t="shared" si="5"/>
        <v>9.48</v>
      </c>
      <c r="M43" s="226">
        <v>14.09</v>
      </c>
      <c r="N43" s="29">
        <f t="shared" si="6"/>
        <v>0.91400000000000003</v>
      </c>
      <c r="O43" s="226">
        <v>1.3140000000000001</v>
      </c>
      <c r="P43" s="29">
        <f t="shared" si="7"/>
        <v>0.75</v>
      </c>
      <c r="Q43" s="226">
        <v>1.0329999999999999</v>
      </c>
      <c r="R43" s="183">
        <v>-0.01</v>
      </c>
      <c r="S43" s="183">
        <f t="shared" si="8"/>
        <v>5760</v>
      </c>
      <c r="T43" s="183">
        <f t="shared" si="9"/>
        <v>4075.1999999999989</v>
      </c>
      <c r="U43" s="183">
        <f t="shared" si="10"/>
        <v>11285.759999999997</v>
      </c>
      <c r="V43" s="183">
        <f t="shared" si="11"/>
        <v>10993.920000000002</v>
      </c>
      <c r="W43" s="16">
        <v>120</v>
      </c>
      <c r="X43" s="18">
        <f>메인전력량계!Z43</f>
        <v>94.047999999999973</v>
      </c>
      <c r="Y43" s="17">
        <f>메인전력량계!AA43</f>
        <v>91.616000000000014</v>
      </c>
      <c r="Z43" s="183">
        <f t="shared" si="12"/>
        <v>11285.759999999997</v>
      </c>
    </row>
    <row r="44" spans="2:26">
      <c r="B44" s="183" t="s">
        <v>449</v>
      </c>
      <c r="C44" s="293" t="s">
        <v>16</v>
      </c>
      <c r="D44" s="29">
        <f t="shared" si="1"/>
        <v>166.72</v>
      </c>
      <c r="E44" s="226">
        <v>241.75</v>
      </c>
      <c r="F44" s="29">
        <f t="shared" si="2"/>
        <v>100.16</v>
      </c>
      <c r="G44" s="226">
        <v>141.91999999999999</v>
      </c>
      <c r="H44" s="29">
        <f t="shared" si="3"/>
        <v>55.06</v>
      </c>
      <c r="I44" s="226">
        <v>76.53</v>
      </c>
      <c r="J44" s="29">
        <f t="shared" si="4"/>
        <v>26.14</v>
      </c>
      <c r="K44" s="226">
        <v>38</v>
      </c>
      <c r="L44" s="29">
        <f t="shared" si="5"/>
        <v>14.09</v>
      </c>
      <c r="M44" s="226">
        <v>20.49</v>
      </c>
      <c r="N44" s="29">
        <f t="shared" si="6"/>
        <v>1.3140000000000001</v>
      </c>
      <c r="O44" s="226">
        <v>1.891</v>
      </c>
      <c r="P44" s="29">
        <f t="shared" si="7"/>
        <v>1.0329999999999999</v>
      </c>
      <c r="Q44" s="226">
        <v>1.6479999999999999</v>
      </c>
      <c r="R44" s="183">
        <v>-0.01</v>
      </c>
      <c r="S44" s="183">
        <f t="shared" si="8"/>
        <v>8308.7999999999993</v>
      </c>
      <c r="T44" s="183">
        <f t="shared" si="9"/>
        <v>8856</v>
      </c>
      <c r="U44" s="183">
        <f t="shared" si="10"/>
        <v>11608.320000000005</v>
      </c>
      <c r="V44" s="183">
        <f t="shared" si="11"/>
        <v>11324.16</v>
      </c>
      <c r="W44" s="16">
        <v>120</v>
      </c>
      <c r="X44" s="18">
        <f>메인전력량계!Z44</f>
        <v>96.736000000000047</v>
      </c>
      <c r="Y44" s="17">
        <f>메인전력량계!AA44</f>
        <v>94.367999999999995</v>
      </c>
      <c r="Z44" s="183">
        <f t="shared" si="12"/>
        <v>11608.320000000005</v>
      </c>
    </row>
    <row r="45" spans="2:26">
      <c r="B45" s="183" t="s">
        <v>449</v>
      </c>
      <c r="C45" s="307" t="s">
        <v>479</v>
      </c>
      <c r="D45" s="29">
        <f t="shared" si="1"/>
        <v>241.75</v>
      </c>
      <c r="E45" s="226">
        <v>306.55</v>
      </c>
      <c r="F45" s="29">
        <f t="shared" si="2"/>
        <v>141.91999999999999</v>
      </c>
      <c r="G45" s="226">
        <v>186.49</v>
      </c>
      <c r="H45" s="29">
        <f t="shared" si="3"/>
        <v>76.53</v>
      </c>
      <c r="I45" s="226">
        <v>102.48</v>
      </c>
      <c r="J45" s="29">
        <f t="shared" si="4"/>
        <v>38</v>
      </c>
      <c r="K45" s="226">
        <v>50.05</v>
      </c>
      <c r="L45" s="29">
        <f t="shared" si="5"/>
        <v>20.49</v>
      </c>
      <c r="M45" s="226">
        <v>27.52</v>
      </c>
      <c r="N45" s="29">
        <f t="shared" si="6"/>
        <v>1.891</v>
      </c>
      <c r="O45" s="226">
        <v>2.35</v>
      </c>
      <c r="P45" s="29">
        <f t="shared" si="7"/>
        <v>1.6479999999999999</v>
      </c>
      <c r="Q45" s="226">
        <v>2.1219999999999999</v>
      </c>
      <c r="R45" s="183">
        <v>-0.01</v>
      </c>
      <c r="S45" s="183">
        <f t="shared" si="8"/>
        <v>6609.6000000000013</v>
      </c>
      <c r="T45" s="183">
        <f t="shared" si="9"/>
        <v>6825.5999999999995</v>
      </c>
      <c r="U45" s="183">
        <f t="shared" si="10"/>
        <v>11950.079999999994</v>
      </c>
      <c r="V45" s="183">
        <f t="shared" si="11"/>
        <v>11116.8</v>
      </c>
      <c r="W45" s="16">
        <v>120</v>
      </c>
      <c r="X45" s="18">
        <f>메인전력량계!Z45</f>
        <v>99.583999999999946</v>
      </c>
      <c r="Y45" s="17">
        <f>메인전력량계!AA45</f>
        <v>92.639999999999986</v>
      </c>
      <c r="Z45" s="183">
        <f t="shared" si="12"/>
        <v>11950.079999999994</v>
      </c>
    </row>
    <row r="46" spans="2:26">
      <c r="D46" s="29">
        <f t="shared" si="1"/>
        <v>306.55</v>
      </c>
      <c r="F46" s="29">
        <f t="shared" si="2"/>
        <v>186.49</v>
      </c>
      <c r="H46" s="29">
        <f t="shared" si="3"/>
        <v>102.48</v>
      </c>
      <c r="J46" s="29">
        <f t="shared" si="4"/>
        <v>50.05</v>
      </c>
      <c r="L46" s="29">
        <f t="shared" si="5"/>
        <v>27.52</v>
      </c>
      <c r="N46" s="29">
        <f t="shared" si="6"/>
        <v>2.35</v>
      </c>
      <c r="P46" s="29">
        <f t="shared" si="7"/>
        <v>2.1219999999999999</v>
      </c>
      <c r="S46" s="183">
        <f t="shared" si="8"/>
        <v>-33840</v>
      </c>
      <c r="T46" s="183">
        <f t="shared" si="9"/>
        <v>-30556.799999999999</v>
      </c>
      <c r="U46" s="183">
        <f t="shared" si="10"/>
        <v>0</v>
      </c>
      <c r="V46" s="183">
        <f t="shared" si="11"/>
        <v>0</v>
      </c>
      <c r="W46" s="16">
        <v>120</v>
      </c>
      <c r="X46" s="18">
        <f>메인전력량계!Z46</f>
        <v>0</v>
      </c>
      <c r="Y46" s="17">
        <f>메인전력량계!AA46</f>
        <v>0</v>
      </c>
      <c r="Z46" s="183">
        <f t="shared" si="12"/>
        <v>0</v>
      </c>
    </row>
    <row r="47" spans="2:26">
      <c r="D47" s="29">
        <f t="shared" si="1"/>
        <v>0</v>
      </c>
      <c r="F47" s="29">
        <f t="shared" si="2"/>
        <v>0</v>
      </c>
      <c r="H47" s="29">
        <f t="shared" si="3"/>
        <v>0</v>
      </c>
      <c r="J47" s="29">
        <f t="shared" si="4"/>
        <v>0</v>
      </c>
      <c r="L47" s="29">
        <f t="shared" si="5"/>
        <v>0</v>
      </c>
      <c r="N47" s="29">
        <f t="shared" si="6"/>
        <v>0</v>
      </c>
      <c r="P47" s="29">
        <f t="shared" si="7"/>
        <v>0</v>
      </c>
      <c r="S47" s="183">
        <f t="shared" si="8"/>
        <v>0</v>
      </c>
      <c r="T47" s="183">
        <f t="shared" si="9"/>
        <v>0</v>
      </c>
      <c r="U47" s="183">
        <f t="shared" si="10"/>
        <v>0</v>
      </c>
      <c r="V47" s="183">
        <f t="shared" si="11"/>
        <v>0</v>
      </c>
      <c r="W47" s="16">
        <v>120</v>
      </c>
      <c r="X47" s="18">
        <f>메인전력량계!Z47</f>
        <v>0</v>
      </c>
      <c r="Y47" s="17">
        <f>메인전력량계!AA47</f>
        <v>0</v>
      </c>
      <c r="Z47" s="183">
        <f t="shared" si="12"/>
        <v>0</v>
      </c>
    </row>
    <row r="48" spans="2:26">
      <c r="D48" s="29">
        <f t="shared" si="1"/>
        <v>0</v>
      </c>
      <c r="F48" s="29">
        <f t="shared" si="2"/>
        <v>0</v>
      </c>
      <c r="H48" s="29">
        <f t="shared" si="3"/>
        <v>0</v>
      </c>
      <c r="J48" s="29">
        <f t="shared" si="4"/>
        <v>0</v>
      </c>
      <c r="L48" s="29">
        <f t="shared" si="5"/>
        <v>0</v>
      </c>
      <c r="N48" s="29">
        <f t="shared" si="6"/>
        <v>0</v>
      </c>
      <c r="P48" s="29">
        <f t="shared" si="7"/>
        <v>0</v>
      </c>
      <c r="S48" s="183">
        <f t="shared" si="8"/>
        <v>0</v>
      </c>
      <c r="T48" s="183">
        <f t="shared" si="9"/>
        <v>0</v>
      </c>
      <c r="U48" s="183">
        <f t="shared" si="10"/>
        <v>0</v>
      </c>
      <c r="V48" s="183">
        <f t="shared" si="11"/>
        <v>0</v>
      </c>
      <c r="W48" s="16">
        <v>120</v>
      </c>
      <c r="Z48" s="183">
        <f t="shared" si="12"/>
        <v>0</v>
      </c>
    </row>
    <row r="49" spans="4:26">
      <c r="D49" s="29">
        <f t="shared" si="1"/>
        <v>0</v>
      </c>
      <c r="F49" s="29">
        <f t="shared" si="2"/>
        <v>0</v>
      </c>
      <c r="H49" s="29">
        <f t="shared" si="3"/>
        <v>0</v>
      </c>
      <c r="J49" s="29">
        <f t="shared" si="4"/>
        <v>0</v>
      </c>
      <c r="L49" s="29">
        <f t="shared" si="5"/>
        <v>0</v>
      </c>
      <c r="N49" s="29">
        <f t="shared" si="6"/>
        <v>0</v>
      </c>
      <c r="P49" s="29">
        <f t="shared" si="7"/>
        <v>0</v>
      </c>
      <c r="S49" s="183">
        <f t="shared" si="8"/>
        <v>0</v>
      </c>
      <c r="T49" s="183">
        <f t="shared" si="9"/>
        <v>0</v>
      </c>
      <c r="U49" s="183">
        <f t="shared" si="10"/>
        <v>0</v>
      </c>
      <c r="V49" s="183">
        <f t="shared" si="11"/>
        <v>0</v>
      </c>
      <c r="W49" s="16">
        <v>120</v>
      </c>
      <c r="Z49" s="183">
        <f t="shared" si="12"/>
        <v>0</v>
      </c>
    </row>
    <row r="50" spans="4:26">
      <c r="D50" s="29">
        <f t="shared" si="1"/>
        <v>0</v>
      </c>
      <c r="F50" s="29">
        <f t="shared" si="2"/>
        <v>0</v>
      </c>
      <c r="H50" s="29">
        <f t="shared" si="3"/>
        <v>0</v>
      </c>
      <c r="J50" s="29">
        <f t="shared" si="4"/>
        <v>0</v>
      </c>
      <c r="L50" s="29">
        <f t="shared" si="5"/>
        <v>0</v>
      </c>
      <c r="N50" s="29">
        <f t="shared" si="6"/>
        <v>0</v>
      </c>
      <c r="P50" s="29">
        <f t="shared" si="7"/>
        <v>0</v>
      </c>
      <c r="S50" s="183">
        <f t="shared" si="8"/>
        <v>0</v>
      </c>
      <c r="T50" s="183">
        <f t="shared" si="9"/>
        <v>0</v>
      </c>
      <c r="U50" s="183">
        <f t="shared" si="10"/>
        <v>0</v>
      </c>
      <c r="V50" s="183">
        <f t="shared" si="11"/>
        <v>0</v>
      </c>
      <c r="W50" s="16">
        <v>120</v>
      </c>
      <c r="Z50" s="183">
        <f t="shared" si="12"/>
        <v>0</v>
      </c>
    </row>
    <row r="51" spans="4:26">
      <c r="D51" s="29">
        <f t="shared" si="1"/>
        <v>0</v>
      </c>
      <c r="F51" s="29">
        <f t="shared" si="2"/>
        <v>0</v>
      </c>
      <c r="H51" s="29">
        <f t="shared" si="3"/>
        <v>0</v>
      </c>
      <c r="J51" s="29">
        <f t="shared" si="4"/>
        <v>0</v>
      </c>
      <c r="L51" s="29">
        <f t="shared" si="5"/>
        <v>0</v>
      </c>
      <c r="N51" s="29">
        <f t="shared" si="6"/>
        <v>0</v>
      </c>
      <c r="P51" s="29">
        <f t="shared" si="7"/>
        <v>0</v>
      </c>
      <c r="S51" s="183">
        <f t="shared" si="8"/>
        <v>0</v>
      </c>
      <c r="T51" s="183">
        <f t="shared" si="9"/>
        <v>0</v>
      </c>
      <c r="U51" s="183">
        <f t="shared" si="10"/>
        <v>0</v>
      </c>
      <c r="V51" s="183">
        <f t="shared" si="11"/>
        <v>0</v>
      </c>
      <c r="W51" s="16">
        <v>120</v>
      </c>
      <c r="Z51" s="183">
        <f t="shared" si="12"/>
        <v>0</v>
      </c>
    </row>
    <row r="52" spans="4:26">
      <c r="D52" s="29">
        <f t="shared" si="1"/>
        <v>0</v>
      </c>
      <c r="F52" s="29">
        <f t="shared" si="2"/>
        <v>0</v>
      </c>
      <c r="H52" s="29">
        <f t="shared" si="3"/>
        <v>0</v>
      </c>
      <c r="J52" s="29">
        <f t="shared" si="4"/>
        <v>0</v>
      </c>
      <c r="L52" s="29">
        <f t="shared" si="5"/>
        <v>0</v>
      </c>
      <c r="N52" s="29">
        <f t="shared" si="6"/>
        <v>0</v>
      </c>
      <c r="P52" s="29">
        <f t="shared" si="7"/>
        <v>0</v>
      </c>
      <c r="S52" s="183">
        <f t="shared" si="8"/>
        <v>0</v>
      </c>
      <c r="T52" s="183">
        <f t="shared" si="9"/>
        <v>0</v>
      </c>
      <c r="U52" s="183">
        <f t="shared" si="10"/>
        <v>0</v>
      </c>
      <c r="V52" s="183">
        <f t="shared" si="11"/>
        <v>0</v>
      </c>
      <c r="W52" s="16">
        <v>120</v>
      </c>
      <c r="Z52" s="183">
        <f t="shared" si="12"/>
        <v>0</v>
      </c>
    </row>
    <row r="53" spans="4:26">
      <c r="D53" s="29">
        <f t="shared" si="1"/>
        <v>0</v>
      </c>
      <c r="F53" s="29">
        <f t="shared" si="2"/>
        <v>0</v>
      </c>
      <c r="H53" s="29">
        <f t="shared" si="3"/>
        <v>0</v>
      </c>
      <c r="J53" s="29">
        <f t="shared" si="4"/>
        <v>0</v>
      </c>
      <c r="L53" s="29">
        <f t="shared" si="5"/>
        <v>0</v>
      </c>
      <c r="N53" s="29">
        <f t="shared" si="6"/>
        <v>0</v>
      </c>
      <c r="P53" s="29">
        <f t="shared" si="7"/>
        <v>0</v>
      </c>
      <c r="S53" s="183">
        <f t="shared" si="8"/>
        <v>0</v>
      </c>
      <c r="T53" s="183">
        <f t="shared" si="9"/>
        <v>0</v>
      </c>
      <c r="U53" s="183">
        <f t="shared" si="10"/>
        <v>0</v>
      </c>
      <c r="V53" s="183">
        <f t="shared" si="11"/>
        <v>0</v>
      </c>
      <c r="W53" s="16">
        <v>120</v>
      </c>
      <c r="Z53" s="183">
        <f t="shared" si="12"/>
        <v>0</v>
      </c>
    </row>
    <row r="54" spans="4:26">
      <c r="D54" s="29">
        <f t="shared" si="1"/>
        <v>0</v>
      </c>
      <c r="F54" s="29">
        <f t="shared" si="2"/>
        <v>0</v>
      </c>
      <c r="H54" s="29">
        <f t="shared" si="3"/>
        <v>0</v>
      </c>
      <c r="J54" s="29">
        <f t="shared" si="4"/>
        <v>0</v>
      </c>
      <c r="L54" s="29">
        <f t="shared" si="5"/>
        <v>0</v>
      </c>
      <c r="N54" s="29">
        <f t="shared" si="6"/>
        <v>0</v>
      </c>
      <c r="P54" s="29">
        <f t="shared" si="7"/>
        <v>0</v>
      </c>
      <c r="S54" s="183">
        <f t="shared" si="8"/>
        <v>0</v>
      </c>
      <c r="T54" s="183">
        <f t="shared" si="9"/>
        <v>0</v>
      </c>
      <c r="U54" s="183">
        <f t="shared" si="10"/>
        <v>0</v>
      </c>
      <c r="V54" s="183">
        <f t="shared" si="11"/>
        <v>0</v>
      </c>
      <c r="W54" s="16">
        <v>120</v>
      </c>
      <c r="Z54" s="183">
        <f t="shared" si="12"/>
        <v>0</v>
      </c>
    </row>
    <row r="55" spans="4:26">
      <c r="D55" s="29">
        <f t="shared" si="1"/>
        <v>0</v>
      </c>
      <c r="F55" s="29">
        <f t="shared" si="2"/>
        <v>0</v>
      </c>
      <c r="H55" s="29">
        <f t="shared" si="3"/>
        <v>0</v>
      </c>
      <c r="J55" s="29">
        <f t="shared" si="4"/>
        <v>0</v>
      </c>
      <c r="L55" s="29">
        <f t="shared" si="5"/>
        <v>0</v>
      </c>
      <c r="N55" s="29">
        <f t="shared" si="6"/>
        <v>0</v>
      </c>
      <c r="P55" s="29">
        <f t="shared" si="7"/>
        <v>0</v>
      </c>
      <c r="S55" s="183">
        <f t="shared" si="8"/>
        <v>0</v>
      </c>
      <c r="T55" s="183">
        <f t="shared" si="9"/>
        <v>0</v>
      </c>
      <c r="U55" s="183">
        <f t="shared" si="10"/>
        <v>0</v>
      </c>
      <c r="V55" s="183">
        <f t="shared" si="11"/>
        <v>0</v>
      </c>
      <c r="W55" s="16">
        <v>120</v>
      </c>
      <c r="Z55" s="183">
        <f t="shared" si="12"/>
        <v>0</v>
      </c>
    </row>
    <row r="56" spans="4:26">
      <c r="D56" s="29">
        <f t="shared" si="1"/>
        <v>0</v>
      </c>
      <c r="F56" s="29">
        <f t="shared" si="2"/>
        <v>0</v>
      </c>
      <c r="H56" s="29">
        <f t="shared" si="3"/>
        <v>0</v>
      </c>
      <c r="J56" s="29">
        <f t="shared" si="4"/>
        <v>0</v>
      </c>
      <c r="L56" s="29">
        <f t="shared" si="5"/>
        <v>0</v>
      </c>
      <c r="N56" s="29">
        <f t="shared" si="6"/>
        <v>0</v>
      </c>
      <c r="P56" s="29">
        <f t="shared" si="7"/>
        <v>0</v>
      </c>
      <c r="S56" s="183">
        <f t="shared" si="8"/>
        <v>0</v>
      </c>
      <c r="T56" s="183">
        <f t="shared" si="9"/>
        <v>0</v>
      </c>
      <c r="U56" s="183">
        <f t="shared" si="10"/>
        <v>0</v>
      </c>
      <c r="V56" s="183">
        <f t="shared" si="11"/>
        <v>0</v>
      </c>
      <c r="W56" s="16">
        <v>120</v>
      </c>
      <c r="Z56" s="183">
        <f t="shared" si="12"/>
        <v>0</v>
      </c>
    </row>
    <row r="57" spans="4:26">
      <c r="D57" s="29">
        <f t="shared" si="1"/>
        <v>0</v>
      </c>
      <c r="F57" s="29">
        <f t="shared" si="2"/>
        <v>0</v>
      </c>
      <c r="H57" s="29">
        <f t="shared" si="3"/>
        <v>0</v>
      </c>
      <c r="J57" s="29">
        <f t="shared" si="4"/>
        <v>0</v>
      </c>
      <c r="L57" s="29">
        <f t="shared" si="5"/>
        <v>0</v>
      </c>
      <c r="N57" s="29">
        <f t="shared" si="6"/>
        <v>0</v>
      </c>
      <c r="P57" s="29">
        <f t="shared" si="7"/>
        <v>0</v>
      </c>
      <c r="S57" s="183">
        <f t="shared" si="8"/>
        <v>0</v>
      </c>
      <c r="T57" s="183">
        <f t="shared" si="9"/>
        <v>0</v>
      </c>
      <c r="U57" s="183">
        <f t="shared" si="10"/>
        <v>0</v>
      </c>
      <c r="V57" s="183">
        <f t="shared" si="11"/>
        <v>0</v>
      </c>
      <c r="W57" s="16">
        <v>120</v>
      </c>
      <c r="Z57" s="183">
        <f t="shared" si="12"/>
        <v>0</v>
      </c>
    </row>
    <row r="58" spans="4:26">
      <c r="D58" s="29">
        <f t="shared" si="1"/>
        <v>0</v>
      </c>
      <c r="F58" s="29">
        <f t="shared" si="2"/>
        <v>0</v>
      </c>
      <c r="H58" s="29">
        <f t="shared" si="3"/>
        <v>0</v>
      </c>
      <c r="J58" s="29">
        <f t="shared" si="4"/>
        <v>0</v>
      </c>
      <c r="L58" s="29">
        <f t="shared" si="5"/>
        <v>0</v>
      </c>
      <c r="N58" s="29">
        <f t="shared" si="6"/>
        <v>0</v>
      </c>
      <c r="P58" s="29">
        <f t="shared" si="7"/>
        <v>0</v>
      </c>
      <c r="S58" s="183">
        <f t="shared" si="8"/>
        <v>0</v>
      </c>
      <c r="T58" s="183">
        <f t="shared" si="9"/>
        <v>0</v>
      </c>
      <c r="U58" s="183">
        <f t="shared" si="10"/>
        <v>0</v>
      </c>
      <c r="V58" s="183">
        <f t="shared" si="11"/>
        <v>0</v>
      </c>
      <c r="W58" s="16">
        <v>120</v>
      </c>
      <c r="Z58" s="183">
        <f t="shared" si="12"/>
        <v>0</v>
      </c>
    </row>
    <row r="59" spans="4:26">
      <c r="D59" s="29">
        <f t="shared" si="1"/>
        <v>0</v>
      </c>
      <c r="F59" s="29">
        <f t="shared" si="2"/>
        <v>0</v>
      </c>
      <c r="H59" s="29">
        <f t="shared" si="3"/>
        <v>0</v>
      </c>
      <c r="J59" s="29">
        <f t="shared" si="4"/>
        <v>0</v>
      </c>
      <c r="L59" s="29">
        <f t="shared" si="5"/>
        <v>0</v>
      </c>
      <c r="N59" s="29">
        <f t="shared" si="6"/>
        <v>0</v>
      </c>
      <c r="P59" s="29">
        <f t="shared" si="7"/>
        <v>0</v>
      </c>
      <c r="S59" s="183">
        <f t="shared" si="8"/>
        <v>0</v>
      </c>
      <c r="T59" s="183">
        <f t="shared" si="9"/>
        <v>0</v>
      </c>
      <c r="U59" s="183">
        <f t="shared" si="10"/>
        <v>0</v>
      </c>
      <c r="V59" s="183">
        <f t="shared" si="11"/>
        <v>0</v>
      </c>
      <c r="W59" s="16">
        <v>120</v>
      </c>
      <c r="Z59" s="183">
        <f t="shared" si="12"/>
        <v>0</v>
      </c>
    </row>
    <row r="60" spans="4:26">
      <c r="D60" s="29">
        <f t="shared" si="1"/>
        <v>0</v>
      </c>
      <c r="F60" s="29">
        <f t="shared" si="2"/>
        <v>0</v>
      </c>
      <c r="H60" s="29">
        <f t="shared" si="3"/>
        <v>0</v>
      </c>
      <c r="J60" s="29">
        <f t="shared" si="4"/>
        <v>0</v>
      </c>
      <c r="L60" s="29">
        <f t="shared" si="5"/>
        <v>0</v>
      </c>
      <c r="N60" s="29">
        <f t="shared" si="6"/>
        <v>0</v>
      </c>
      <c r="P60" s="29">
        <f t="shared" si="7"/>
        <v>0</v>
      </c>
      <c r="S60" s="183">
        <f t="shared" si="8"/>
        <v>0</v>
      </c>
      <c r="T60" s="183">
        <f t="shared" si="9"/>
        <v>0</v>
      </c>
      <c r="U60" s="183">
        <f t="shared" si="10"/>
        <v>0</v>
      </c>
      <c r="V60" s="183">
        <f t="shared" si="11"/>
        <v>0</v>
      </c>
      <c r="W60" s="16">
        <v>120</v>
      </c>
      <c r="Z60" s="183">
        <f t="shared" si="12"/>
        <v>0</v>
      </c>
    </row>
    <row r="61" spans="4:26">
      <c r="D61" s="29">
        <f t="shared" si="1"/>
        <v>0</v>
      </c>
      <c r="F61" s="29">
        <f t="shared" si="2"/>
        <v>0</v>
      </c>
      <c r="H61" s="29">
        <f t="shared" si="3"/>
        <v>0</v>
      </c>
      <c r="J61" s="29">
        <f t="shared" si="4"/>
        <v>0</v>
      </c>
      <c r="L61" s="29">
        <f t="shared" si="5"/>
        <v>0</v>
      </c>
      <c r="N61" s="29">
        <f t="shared" si="6"/>
        <v>0</v>
      </c>
      <c r="P61" s="29">
        <f t="shared" si="7"/>
        <v>0</v>
      </c>
      <c r="S61" s="183">
        <f t="shared" si="8"/>
        <v>0</v>
      </c>
      <c r="T61" s="183">
        <f t="shared" si="9"/>
        <v>0</v>
      </c>
      <c r="U61" s="183">
        <f t="shared" si="10"/>
        <v>0</v>
      </c>
      <c r="V61" s="183">
        <f t="shared" si="11"/>
        <v>0</v>
      </c>
      <c r="W61" s="16">
        <v>120</v>
      </c>
      <c r="Z61" s="183">
        <f t="shared" si="12"/>
        <v>0</v>
      </c>
    </row>
    <row r="62" spans="4:26">
      <c r="D62" s="29">
        <f t="shared" si="1"/>
        <v>0</v>
      </c>
      <c r="F62" s="29">
        <f t="shared" si="2"/>
        <v>0</v>
      </c>
      <c r="H62" s="29">
        <f t="shared" si="3"/>
        <v>0</v>
      </c>
      <c r="J62" s="29">
        <f t="shared" si="4"/>
        <v>0</v>
      </c>
      <c r="L62" s="29">
        <f t="shared" si="5"/>
        <v>0</v>
      </c>
      <c r="N62" s="29">
        <f t="shared" si="6"/>
        <v>0</v>
      </c>
      <c r="P62" s="29">
        <f t="shared" si="7"/>
        <v>0</v>
      </c>
      <c r="S62" s="183">
        <f t="shared" si="8"/>
        <v>0</v>
      </c>
      <c r="T62" s="183">
        <f t="shared" si="9"/>
        <v>0</v>
      </c>
      <c r="U62" s="183">
        <f t="shared" si="10"/>
        <v>0</v>
      </c>
      <c r="V62" s="183">
        <f t="shared" si="11"/>
        <v>0</v>
      </c>
      <c r="W62" s="16">
        <v>120</v>
      </c>
      <c r="Z62" s="183">
        <f t="shared" si="12"/>
        <v>0</v>
      </c>
    </row>
    <row r="63" spans="4:26">
      <c r="D63" s="29">
        <f t="shared" si="1"/>
        <v>0</v>
      </c>
      <c r="F63" s="29">
        <f t="shared" si="2"/>
        <v>0</v>
      </c>
      <c r="H63" s="29">
        <f t="shared" si="3"/>
        <v>0</v>
      </c>
      <c r="J63" s="29">
        <f t="shared" si="4"/>
        <v>0</v>
      </c>
      <c r="L63" s="29">
        <f t="shared" si="5"/>
        <v>0</v>
      </c>
      <c r="N63" s="29">
        <f t="shared" si="6"/>
        <v>0</v>
      </c>
      <c r="P63" s="29">
        <f t="shared" si="7"/>
        <v>0</v>
      </c>
      <c r="S63" s="183">
        <f t="shared" si="8"/>
        <v>0</v>
      </c>
      <c r="T63" s="183">
        <f t="shared" si="9"/>
        <v>0</v>
      </c>
      <c r="U63" s="183">
        <f t="shared" si="10"/>
        <v>0</v>
      </c>
      <c r="V63" s="183">
        <f t="shared" si="11"/>
        <v>0</v>
      </c>
      <c r="W63" s="16">
        <v>120</v>
      </c>
      <c r="Z63" s="183">
        <f t="shared" si="12"/>
        <v>0</v>
      </c>
    </row>
    <row r="64" spans="4:26">
      <c r="D64" s="29">
        <f t="shared" si="1"/>
        <v>0</v>
      </c>
      <c r="F64" s="29">
        <f t="shared" si="2"/>
        <v>0</v>
      </c>
      <c r="H64" s="29">
        <f t="shared" si="3"/>
        <v>0</v>
      </c>
      <c r="J64" s="29">
        <f t="shared" si="4"/>
        <v>0</v>
      </c>
      <c r="L64" s="29">
        <f t="shared" si="5"/>
        <v>0</v>
      </c>
      <c r="N64" s="29">
        <f t="shared" si="6"/>
        <v>0</v>
      </c>
      <c r="P64" s="29">
        <f t="shared" si="7"/>
        <v>0</v>
      </c>
      <c r="S64" s="183">
        <f t="shared" si="8"/>
        <v>0</v>
      </c>
      <c r="T64" s="183">
        <f t="shared" si="9"/>
        <v>0</v>
      </c>
      <c r="U64" s="183">
        <f t="shared" si="10"/>
        <v>0</v>
      </c>
      <c r="V64" s="183">
        <f t="shared" si="11"/>
        <v>0</v>
      </c>
      <c r="W64" s="16">
        <v>120</v>
      </c>
      <c r="Z64" s="183">
        <f t="shared" si="12"/>
        <v>0</v>
      </c>
    </row>
    <row r="65" spans="4:26">
      <c r="D65" s="29">
        <f t="shared" si="1"/>
        <v>0</v>
      </c>
      <c r="F65" s="29">
        <f t="shared" si="2"/>
        <v>0</v>
      </c>
      <c r="H65" s="29">
        <f t="shared" si="3"/>
        <v>0</v>
      </c>
      <c r="J65" s="29">
        <f t="shared" si="4"/>
        <v>0</v>
      </c>
      <c r="L65" s="29">
        <f t="shared" si="5"/>
        <v>0</v>
      </c>
      <c r="N65" s="29">
        <f t="shared" si="6"/>
        <v>0</v>
      </c>
      <c r="P65" s="29">
        <f t="shared" si="7"/>
        <v>0</v>
      </c>
      <c r="S65" s="183">
        <f t="shared" si="8"/>
        <v>0</v>
      </c>
      <c r="T65" s="183">
        <f t="shared" si="9"/>
        <v>0</v>
      </c>
      <c r="U65" s="183">
        <f t="shared" si="10"/>
        <v>0</v>
      </c>
      <c r="V65" s="183">
        <f t="shared" si="11"/>
        <v>0</v>
      </c>
      <c r="W65" s="16">
        <v>120</v>
      </c>
      <c r="Z65" s="183">
        <f t="shared" si="12"/>
        <v>0</v>
      </c>
    </row>
    <row r="66" spans="4:26">
      <c r="D66" s="29">
        <f t="shared" si="1"/>
        <v>0</v>
      </c>
      <c r="F66" s="29">
        <f t="shared" si="2"/>
        <v>0</v>
      </c>
      <c r="H66" s="29">
        <f t="shared" si="3"/>
        <v>0</v>
      </c>
      <c r="J66" s="29">
        <f t="shared" si="4"/>
        <v>0</v>
      </c>
      <c r="L66" s="29">
        <f t="shared" si="5"/>
        <v>0</v>
      </c>
      <c r="N66" s="29">
        <f t="shared" si="6"/>
        <v>0</v>
      </c>
      <c r="P66" s="29">
        <f t="shared" si="7"/>
        <v>0</v>
      </c>
      <c r="S66" s="183">
        <f t="shared" si="8"/>
        <v>0</v>
      </c>
      <c r="T66" s="183">
        <f t="shared" si="9"/>
        <v>0</v>
      </c>
      <c r="U66" s="183">
        <f t="shared" si="10"/>
        <v>0</v>
      </c>
      <c r="V66" s="183">
        <f t="shared" si="11"/>
        <v>0</v>
      </c>
      <c r="W66" s="16">
        <v>120</v>
      </c>
      <c r="Z66" s="183">
        <f t="shared" si="12"/>
        <v>0</v>
      </c>
    </row>
    <row r="67" spans="4:26">
      <c r="D67" s="29">
        <f t="shared" si="1"/>
        <v>0</v>
      </c>
      <c r="F67" s="29">
        <f t="shared" si="2"/>
        <v>0</v>
      </c>
      <c r="H67" s="29">
        <f t="shared" si="3"/>
        <v>0</v>
      </c>
      <c r="J67" s="29">
        <f t="shared" si="4"/>
        <v>0</v>
      </c>
      <c r="L67" s="29">
        <f t="shared" si="5"/>
        <v>0</v>
      </c>
      <c r="N67" s="29">
        <f t="shared" si="6"/>
        <v>0</v>
      </c>
      <c r="P67" s="29">
        <f t="shared" si="7"/>
        <v>0</v>
      </c>
      <c r="S67" s="183">
        <f t="shared" si="8"/>
        <v>0</v>
      </c>
      <c r="T67" s="183">
        <f t="shared" si="9"/>
        <v>0</v>
      </c>
      <c r="U67" s="183">
        <f t="shared" si="10"/>
        <v>0</v>
      </c>
      <c r="V67" s="183">
        <f t="shared" si="11"/>
        <v>0</v>
      </c>
      <c r="W67" s="16">
        <v>120</v>
      </c>
      <c r="Z67" s="183">
        <f t="shared" si="12"/>
        <v>0</v>
      </c>
    </row>
    <row r="68" spans="4:26">
      <c r="D68" s="29">
        <f t="shared" si="1"/>
        <v>0</v>
      </c>
      <c r="F68" s="29">
        <f t="shared" si="2"/>
        <v>0</v>
      </c>
      <c r="H68" s="29">
        <f t="shared" si="3"/>
        <v>0</v>
      </c>
      <c r="J68" s="29">
        <f t="shared" si="4"/>
        <v>0</v>
      </c>
      <c r="L68" s="29">
        <f t="shared" si="5"/>
        <v>0</v>
      </c>
      <c r="N68" s="29">
        <f t="shared" si="6"/>
        <v>0</v>
      </c>
      <c r="P68" s="29">
        <f t="shared" si="7"/>
        <v>0</v>
      </c>
      <c r="S68" s="183">
        <f t="shared" si="8"/>
        <v>0</v>
      </c>
      <c r="T68" s="183">
        <f t="shared" si="9"/>
        <v>0</v>
      </c>
      <c r="U68" s="183">
        <f t="shared" si="10"/>
        <v>0</v>
      </c>
      <c r="V68" s="183">
        <f t="shared" si="11"/>
        <v>0</v>
      </c>
      <c r="W68" s="16">
        <v>120</v>
      </c>
      <c r="Z68" s="183">
        <f t="shared" si="12"/>
        <v>0</v>
      </c>
    </row>
    <row r="69" spans="4:26">
      <c r="D69" s="29">
        <f t="shared" si="1"/>
        <v>0</v>
      </c>
      <c r="F69" s="29">
        <f t="shared" si="2"/>
        <v>0</v>
      </c>
      <c r="H69" s="29">
        <f t="shared" si="3"/>
        <v>0</v>
      </c>
      <c r="J69" s="29">
        <f t="shared" si="4"/>
        <v>0</v>
      </c>
      <c r="L69" s="29">
        <f t="shared" si="5"/>
        <v>0</v>
      </c>
      <c r="N69" s="29">
        <f t="shared" si="6"/>
        <v>0</v>
      </c>
      <c r="P69" s="29">
        <f t="shared" si="7"/>
        <v>0</v>
      </c>
      <c r="S69" s="183">
        <f t="shared" si="8"/>
        <v>0</v>
      </c>
      <c r="T69" s="183">
        <f t="shared" si="9"/>
        <v>0</v>
      </c>
      <c r="U69" s="183">
        <f t="shared" si="10"/>
        <v>0</v>
      </c>
      <c r="V69" s="183">
        <f t="shared" si="11"/>
        <v>0</v>
      </c>
      <c r="W69" s="16">
        <v>120</v>
      </c>
      <c r="Z69" s="183">
        <f t="shared" si="12"/>
        <v>0</v>
      </c>
    </row>
    <row r="70" spans="4:26">
      <c r="D70" s="29">
        <f t="shared" ref="D70:D100" si="13">E69</f>
        <v>0</v>
      </c>
      <c r="F70" s="29">
        <f t="shared" ref="F70:F100" si="14">G69</f>
        <v>0</v>
      </c>
      <c r="H70" s="29">
        <f t="shared" ref="H70:H100" si="15">I69</f>
        <v>0</v>
      </c>
      <c r="J70" s="29">
        <f t="shared" ref="J70:J100" si="16">K69</f>
        <v>0</v>
      </c>
      <c r="L70" s="29">
        <f t="shared" ref="L70:L100" si="17">M69</f>
        <v>0</v>
      </c>
      <c r="N70" s="29">
        <f t="shared" ref="N70:N100" si="18">O69</f>
        <v>0</v>
      </c>
      <c r="P70" s="29">
        <f t="shared" ref="P70:P100" si="19">Q69</f>
        <v>0</v>
      </c>
      <c r="S70" s="183">
        <f t="shared" ref="S70:S100" si="20">(O70-N70)*14400</f>
        <v>0</v>
      </c>
      <c r="T70" s="183">
        <f t="shared" ref="T70:T100" si="21">(Q70-P70)*14400</f>
        <v>0</v>
      </c>
      <c r="U70" s="183">
        <f t="shared" si="10"/>
        <v>0</v>
      </c>
      <c r="V70" s="183">
        <f t="shared" si="11"/>
        <v>0</v>
      </c>
      <c r="W70" s="16">
        <v>120</v>
      </c>
      <c r="Z70" s="183">
        <f t="shared" si="12"/>
        <v>0</v>
      </c>
    </row>
    <row r="71" spans="4:26">
      <c r="D71" s="29">
        <f t="shared" si="13"/>
        <v>0</v>
      </c>
      <c r="F71" s="29">
        <f t="shared" si="14"/>
        <v>0</v>
      </c>
      <c r="H71" s="29">
        <f t="shared" si="15"/>
        <v>0</v>
      </c>
      <c r="J71" s="29">
        <f t="shared" si="16"/>
        <v>0</v>
      </c>
      <c r="L71" s="29">
        <f t="shared" si="17"/>
        <v>0</v>
      </c>
      <c r="N71" s="29">
        <f t="shared" si="18"/>
        <v>0</v>
      </c>
      <c r="P71" s="29">
        <f t="shared" si="19"/>
        <v>0</v>
      </c>
      <c r="S71" s="183">
        <f t="shared" si="20"/>
        <v>0</v>
      </c>
      <c r="T71" s="183">
        <f t="shared" si="21"/>
        <v>0</v>
      </c>
      <c r="U71" s="183">
        <f t="shared" si="10"/>
        <v>0</v>
      </c>
      <c r="V71" s="183">
        <f t="shared" si="11"/>
        <v>0</v>
      </c>
      <c r="W71" s="16">
        <v>120</v>
      </c>
      <c r="Z71" s="183">
        <f t="shared" si="12"/>
        <v>0</v>
      </c>
    </row>
    <row r="72" spans="4:26">
      <c r="D72" s="29">
        <f t="shared" si="13"/>
        <v>0</v>
      </c>
      <c r="F72" s="29">
        <f t="shared" si="14"/>
        <v>0</v>
      </c>
      <c r="H72" s="29">
        <f t="shared" si="15"/>
        <v>0</v>
      </c>
      <c r="J72" s="29">
        <f t="shared" si="16"/>
        <v>0</v>
      </c>
      <c r="L72" s="29">
        <f t="shared" si="17"/>
        <v>0</v>
      </c>
      <c r="N72" s="29">
        <f t="shared" si="18"/>
        <v>0</v>
      </c>
      <c r="P72" s="29">
        <f t="shared" si="19"/>
        <v>0</v>
      </c>
      <c r="S72" s="183">
        <f t="shared" si="20"/>
        <v>0</v>
      </c>
      <c r="T72" s="183">
        <f t="shared" si="21"/>
        <v>0</v>
      </c>
      <c r="U72" s="183">
        <f t="shared" si="10"/>
        <v>0</v>
      </c>
      <c r="V72" s="183">
        <f t="shared" si="11"/>
        <v>0</v>
      </c>
      <c r="W72" s="16">
        <v>120</v>
      </c>
      <c r="Z72" s="183">
        <f t="shared" si="12"/>
        <v>0</v>
      </c>
    </row>
    <row r="73" spans="4:26">
      <c r="D73" s="29">
        <f t="shared" si="13"/>
        <v>0</v>
      </c>
      <c r="F73" s="29">
        <f t="shared" si="14"/>
        <v>0</v>
      </c>
      <c r="H73" s="29">
        <f t="shared" si="15"/>
        <v>0</v>
      </c>
      <c r="J73" s="29">
        <f t="shared" si="16"/>
        <v>0</v>
      </c>
      <c r="L73" s="29">
        <f t="shared" si="17"/>
        <v>0</v>
      </c>
      <c r="N73" s="29">
        <f t="shared" si="18"/>
        <v>0</v>
      </c>
      <c r="P73" s="29">
        <f t="shared" si="19"/>
        <v>0</v>
      </c>
      <c r="S73" s="183">
        <f t="shared" si="20"/>
        <v>0</v>
      </c>
      <c r="T73" s="183">
        <f t="shared" si="21"/>
        <v>0</v>
      </c>
      <c r="U73" s="183">
        <f t="shared" si="10"/>
        <v>0</v>
      </c>
      <c r="V73" s="183">
        <f t="shared" si="11"/>
        <v>0</v>
      </c>
      <c r="W73" s="16">
        <v>120</v>
      </c>
      <c r="Z73" s="183">
        <f t="shared" si="12"/>
        <v>0</v>
      </c>
    </row>
    <row r="74" spans="4:26">
      <c r="D74" s="29">
        <f t="shared" si="13"/>
        <v>0</v>
      </c>
      <c r="F74" s="29">
        <f t="shared" si="14"/>
        <v>0</v>
      </c>
      <c r="H74" s="29">
        <f t="shared" si="15"/>
        <v>0</v>
      </c>
      <c r="J74" s="29">
        <f t="shared" si="16"/>
        <v>0</v>
      </c>
      <c r="L74" s="29">
        <f t="shared" si="17"/>
        <v>0</v>
      </c>
      <c r="N74" s="29">
        <f t="shared" si="18"/>
        <v>0</v>
      </c>
      <c r="P74" s="29">
        <f t="shared" si="19"/>
        <v>0</v>
      </c>
      <c r="S74" s="183">
        <f t="shared" si="20"/>
        <v>0</v>
      </c>
      <c r="T74" s="183">
        <f t="shared" si="21"/>
        <v>0</v>
      </c>
      <c r="U74" s="183">
        <f t="shared" si="10"/>
        <v>0</v>
      </c>
      <c r="V74" s="183">
        <f t="shared" si="11"/>
        <v>0</v>
      </c>
      <c r="W74" s="16">
        <v>120</v>
      </c>
      <c r="Z74" s="183">
        <f t="shared" si="12"/>
        <v>0</v>
      </c>
    </row>
    <row r="75" spans="4:26">
      <c r="D75" s="29">
        <f t="shared" si="13"/>
        <v>0</v>
      </c>
      <c r="F75" s="29">
        <f t="shared" si="14"/>
        <v>0</v>
      </c>
      <c r="H75" s="29">
        <f t="shared" si="15"/>
        <v>0</v>
      </c>
      <c r="J75" s="29">
        <f t="shared" si="16"/>
        <v>0</v>
      </c>
      <c r="L75" s="29">
        <f t="shared" si="17"/>
        <v>0</v>
      </c>
      <c r="N75" s="29">
        <f t="shared" si="18"/>
        <v>0</v>
      </c>
      <c r="P75" s="29">
        <f t="shared" si="19"/>
        <v>0</v>
      </c>
      <c r="S75" s="183">
        <f t="shared" si="20"/>
        <v>0</v>
      </c>
      <c r="T75" s="183">
        <f t="shared" si="21"/>
        <v>0</v>
      </c>
      <c r="U75" s="183">
        <f t="shared" si="10"/>
        <v>0</v>
      </c>
      <c r="V75" s="183">
        <f t="shared" si="11"/>
        <v>0</v>
      </c>
      <c r="W75" s="16">
        <v>120</v>
      </c>
      <c r="Z75" s="183">
        <f t="shared" si="12"/>
        <v>0</v>
      </c>
    </row>
    <row r="76" spans="4:26">
      <c r="D76" s="29">
        <f t="shared" si="13"/>
        <v>0</v>
      </c>
      <c r="F76" s="29">
        <f t="shared" si="14"/>
        <v>0</v>
      </c>
      <c r="H76" s="29">
        <f t="shared" si="15"/>
        <v>0</v>
      </c>
      <c r="J76" s="29">
        <f t="shared" si="16"/>
        <v>0</v>
      </c>
      <c r="L76" s="29">
        <f t="shared" si="17"/>
        <v>0</v>
      </c>
      <c r="N76" s="29">
        <f t="shared" si="18"/>
        <v>0</v>
      </c>
      <c r="P76" s="29">
        <f t="shared" si="19"/>
        <v>0</v>
      </c>
      <c r="S76" s="183">
        <f t="shared" si="20"/>
        <v>0</v>
      </c>
      <c r="T76" s="183">
        <f t="shared" si="21"/>
        <v>0</v>
      </c>
      <c r="U76" s="183">
        <f t="shared" si="10"/>
        <v>0</v>
      </c>
      <c r="V76" s="183">
        <f t="shared" si="11"/>
        <v>0</v>
      </c>
      <c r="W76" s="16">
        <v>120</v>
      </c>
      <c r="Z76" s="183">
        <f t="shared" si="12"/>
        <v>0</v>
      </c>
    </row>
    <row r="77" spans="4:26">
      <c r="D77" s="29">
        <f t="shared" si="13"/>
        <v>0</v>
      </c>
      <c r="F77" s="29">
        <f t="shared" si="14"/>
        <v>0</v>
      </c>
      <c r="H77" s="29">
        <f t="shared" si="15"/>
        <v>0</v>
      </c>
      <c r="J77" s="29">
        <f t="shared" si="16"/>
        <v>0</v>
      </c>
      <c r="L77" s="29">
        <f t="shared" si="17"/>
        <v>0</v>
      </c>
      <c r="N77" s="29">
        <f t="shared" si="18"/>
        <v>0</v>
      </c>
      <c r="P77" s="29">
        <f t="shared" si="19"/>
        <v>0</v>
      </c>
      <c r="S77" s="183">
        <f t="shared" si="20"/>
        <v>0</v>
      </c>
      <c r="T77" s="183">
        <f t="shared" si="21"/>
        <v>0</v>
      </c>
      <c r="U77" s="183">
        <f t="shared" si="10"/>
        <v>0</v>
      </c>
      <c r="V77" s="183">
        <f t="shared" si="11"/>
        <v>0</v>
      </c>
      <c r="W77" s="16">
        <v>120</v>
      </c>
      <c r="Z77" s="183">
        <f t="shared" si="12"/>
        <v>0</v>
      </c>
    </row>
    <row r="78" spans="4:26">
      <c r="D78" s="29">
        <f t="shared" si="13"/>
        <v>0</v>
      </c>
      <c r="F78" s="29">
        <f t="shared" si="14"/>
        <v>0</v>
      </c>
      <c r="H78" s="29">
        <f t="shared" si="15"/>
        <v>0</v>
      </c>
      <c r="J78" s="29">
        <f t="shared" si="16"/>
        <v>0</v>
      </c>
      <c r="L78" s="29">
        <f t="shared" si="17"/>
        <v>0</v>
      </c>
      <c r="N78" s="29">
        <f t="shared" si="18"/>
        <v>0</v>
      </c>
      <c r="P78" s="29">
        <f t="shared" si="19"/>
        <v>0</v>
      </c>
      <c r="S78" s="183">
        <f t="shared" si="20"/>
        <v>0</v>
      </c>
      <c r="T78" s="183">
        <f t="shared" si="21"/>
        <v>0</v>
      </c>
      <c r="U78" s="183">
        <f t="shared" si="10"/>
        <v>0</v>
      </c>
      <c r="V78" s="183">
        <f t="shared" si="11"/>
        <v>0</v>
      </c>
      <c r="W78" s="16">
        <v>120</v>
      </c>
      <c r="Z78" s="183">
        <f t="shared" si="12"/>
        <v>0</v>
      </c>
    </row>
    <row r="79" spans="4:26">
      <c r="D79" s="29">
        <f t="shared" si="13"/>
        <v>0</v>
      </c>
      <c r="F79" s="29">
        <f t="shared" si="14"/>
        <v>0</v>
      </c>
      <c r="H79" s="29">
        <f t="shared" si="15"/>
        <v>0</v>
      </c>
      <c r="J79" s="29">
        <f t="shared" si="16"/>
        <v>0</v>
      </c>
      <c r="L79" s="29">
        <f t="shared" si="17"/>
        <v>0</v>
      </c>
      <c r="N79" s="29">
        <f t="shared" si="18"/>
        <v>0</v>
      </c>
      <c r="P79" s="29">
        <f t="shared" si="19"/>
        <v>0</v>
      </c>
      <c r="S79" s="183">
        <f t="shared" si="20"/>
        <v>0</v>
      </c>
      <c r="T79" s="183">
        <f t="shared" si="21"/>
        <v>0</v>
      </c>
      <c r="U79" s="183">
        <f t="shared" si="10"/>
        <v>0</v>
      </c>
      <c r="V79" s="183">
        <f t="shared" si="11"/>
        <v>0</v>
      </c>
      <c r="W79" s="16">
        <v>120</v>
      </c>
      <c r="Z79" s="183">
        <f t="shared" si="12"/>
        <v>0</v>
      </c>
    </row>
    <row r="80" spans="4:26">
      <c r="D80" s="29">
        <f t="shared" si="13"/>
        <v>0</v>
      </c>
      <c r="F80" s="29">
        <f t="shared" si="14"/>
        <v>0</v>
      </c>
      <c r="H80" s="29">
        <f t="shared" si="15"/>
        <v>0</v>
      </c>
      <c r="J80" s="29">
        <f t="shared" si="16"/>
        <v>0</v>
      </c>
      <c r="L80" s="29">
        <f t="shared" si="17"/>
        <v>0</v>
      </c>
      <c r="N80" s="29">
        <f t="shared" si="18"/>
        <v>0</v>
      </c>
      <c r="P80" s="29">
        <f t="shared" si="19"/>
        <v>0</v>
      </c>
      <c r="S80" s="183">
        <f t="shared" si="20"/>
        <v>0</v>
      </c>
      <c r="T80" s="183">
        <f t="shared" si="21"/>
        <v>0</v>
      </c>
      <c r="U80" s="183">
        <f t="shared" si="10"/>
        <v>0</v>
      </c>
      <c r="V80" s="183">
        <f t="shared" si="11"/>
        <v>0</v>
      </c>
      <c r="W80" s="16">
        <v>120</v>
      </c>
      <c r="Z80" s="183">
        <f t="shared" si="12"/>
        <v>0</v>
      </c>
    </row>
    <row r="81" spans="4:26">
      <c r="D81" s="29">
        <f t="shared" si="13"/>
        <v>0</v>
      </c>
      <c r="F81" s="29">
        <f t="shared" si="14"/>
        <v>0</v>
      </c>
      <c r="H81" s="29">
        <f t="shared" si="15"/>
        <v>0</v>
      </c>
      <c r="J81" s="29">
        <f t="shared" si="16"/>
        <v>0</v>
      </c>
      <c r="L81" s="29">
        <f t="shared" si="17"/>
        <v>0</v>
      </c>
      <c r="N81" s="29">
        <f t="shared" si="18"/>
        <v>0</v>
      </c>
      <c r="P81" s="29">
        <f t="shared" si="19"/>
        <v>0</v>
      </c>
      <c r="S81" s="183">
        <f t="shared" si="20"/>
        <v>0</v>
      </c>
      <c r="T81" s="183">
        <f t="shared" si="21"/>
        <v>0</v>
      </c>
      <c r="U81" s="183">
        <f t="shared" si="10"/>
        <v>0</v>
      </c>
      <c r="V81" s="183">
        <f t="shared" si="11"/>
        <v>0</v>
      </c>
      <c r="W81" s="16">
        <v>120</v>
      </c>
      <c r="Z81" s="183">
        <f t="shared" si="12"/>
        <v>0</v>
      </c>
    </row>
    <row r="82" spans="4:26">
      <c r="D82" s="29">
        <f t="shared" si="13"/>
        <v>0</v>
      </c>
      <c r="F82" s="29">
        <f t="shared" si="14"/>
        <v>0</v>
      </c>
      <c r="H82" s="29">
        <f t="shared" si="15"/>
        <v>0</v>
      </c>
      <c r="J82" s="29">
        <f t="shared" si="16"/>
        <v>0</v>
      </c>
      <c r="L82" s="29">
        <f t="shared" si="17"/>
        <v>0</v>
      </c>
      <c r="N82" s="29">
        <f t="shared" si="18"/>
        <v>0</v>
      </c>
      <c r="P82" s="29">
        <f t="shared" si="19"/>
        <v>0</v>
      </c>
      <c r="S82" s="183">
        <f t="shared" si="20"/>
        <v>0</v>
      </c>
      <c r="T82" s="183">
        <f t="shared" si="21"/>
        <v>0</v>
      </c>
      <c r="U82" s="183">
        <f t="shared" si="10"/>
        <v>0</v>
      </c>
      <c r="V82" s="183">
        <f t="shared" si="11"/>
        <v>0</v>
      </c>
      <c r="W82" s="16">
        <v>120</v>
      </c>
      <c r="Z82" s="183">
        <f t="shared" si="12"/>
        <v>0</v>
      </c>
    </row>
    <row r="83" spans="4:26">
      <c r="D83" s="29">
        <f t="shared" si="13"/>
        <v>0</v>
      </c>
      <c r="F83" s="29">
        <f t="shared" si="14"/>
        <v>0</v>
      </c>
      <c r="H83" s="29">
        <f t="shared" si="15"/>
        <v>0</v>
      </c>
      <c r="J83" s="29">
        <f t="shared" si="16"/>
        <v>0</v>
      </c>
      <c r="L83" s="29">
        <f t="shared" si="17"/>
        <v>0</v>
      </c>
      <c r="N83" s="29">
        <f t="shared" si="18"/>
        <v>0</v>
      </c>
      <c r="P83" s="29">
        <f t="shared" si="19"/>
        <v>0</v>
      </c>
      <c r="S83" s="183">
        <f t="shared" si="20"/>
        <v>0</v>
      </c>
      <c r="T83" s="183">
        <f t="shared" si="21"/>
        <v>0</v>
      </c>
      <c r="U83" s="183">
        <f t="shared" si="10"/>
        <v>0</v>
      </c>
      <c r="V83" s="183">
        <f t="shared" si="11"/>
        <v>0</v>
      </c>
      <c r="W83" s="16">
        <v>120</v>
      </c>
      <c r="Z83" s="183">
        <f t="shared" si="12"/>
        <v>0</v>
      </c>
    </row>
    <row r="84" spans="4:26">
      <c r="D84" s="29">
        <f t="shared" si="13"/>
        <v>0</v>
      </c>
      <c r="F84" s="29">
        <f t="shared" si="14"/>
        <v>0</v>
      </c>
      <c r="H84" s="29">
        <f t="shared" si="15"/>
        <v>0</v>
      </c>
      <c r="J84" s="29">
        <f t="shared" si="16"/>
        <v>0</v>
      </c>
      <c r="L84" s="29">
        <f t="shared" si="17"/>
        <v>0</v>
      </c>
      <c r="N84" s="29">
        <f t="shared" si="18"/>
        <v>0</v>
      </c>
      <c r="P84" s="29">
        <f t="shared" si="19"/>
        <v>0</v>
      </c>
      <c r="S84" s="183">
        <f t="shared" si="20"/>
        <v>0</v>
      </c>
      <c r="T84" s="183">
        <f t="shared" si="21"/>
        <v>0</v>
      </c>
      <c r="U84" s="183">
        <f t="shared" si="10"/>
        <v>0</v>
      </c>
      <c r="V84" s="183">
        <f t="shared" si="11"/>
        <v>0</v>
      </c>
      <c r="W84" s="16">
        <v>120</v>
      </c>
      <c r="Z84" s="183">
        <f t="shared" si="12"/>
        <v>0</v>
      </c>
    </row>
    <row r="85" spans="4:26">
      <c r="D85" s="29">
        <f t="shared" si="13"/>
        <v>0</v>
      </c>
      <c r="F85" s="29">
        <f t="shared" si="14"/>
        <v>0</v>
      </c>
      <c r="H85" s="29">
        <f t="shared" si="15"/>
        <v>0</v>
      </c>
      <c r="J85" s="29">
        <f t="shared" si="16"/>
        <v>0</v>
      </c>
      <c r="L85" s="29">
        <f t="shared" si="17"/>
        <v>0</v>
      </c>
      <c r="N85" s="29">
        <f t="shared" si="18"/>
        <v>0</v>
      </c>
      <c r="P85" s="29">
        <f t="shared" si="19"/>
        <v>0</v>
      </c>
      <c r="S85" s="183">
        <f t="shared" si="20"/>
        <v>0</v>
      </c>
      <c r="T85" s="183">
        <f t="shared" si="21"/>
        <v>0</v>
      </c>
      <c r="U85" s="183">
        <f t="shared" si="10"/>
        <v>0</v>
      </c>
      <c r="V85" s="183">
        <f t="shared" si="11"/>
        <v>0</v>
      </c>
      <c r="W85" s="16">
        <v>120</v>
      </c>
      <c r="Z85" s="183">
        <f t="shared" si="12"/>
        <v>0</v>
      </c>
    </row>
    <row r="86" spans="4:26">
      <c r="D86" s="29">
        <f t="shared" si="13"/>
        <v>0</v>
      </c>
      <c r="F86" s="29">
        <f t="shared" si="14"/>
        <v>0</v>
      </c>
      <c r="H86" s="29">
        <f t="shared" si="15"/>
        <v>0</v>
      </c>
      <c r="J86" s="29">
        <f t="shared" si="16"/>
        <v>0</v>
      </c>
      <c r="L86" s="29">
        <f t="shared" si="17"/>
        <v>0</v>
      </c>
      <c r="N86" s="29">
        <f t="shared" si="18"/>
        <v>0</v>
      </c>
      <c r="P86" s="29">
        <f t="shared" si="19"/>
        <v>0</v>
      </c>
      <c r="S86" s="183">
        <f t="shared" si="20"/>
        <v>0</v>
      </c>
      <c r="T86" s="183">
        <f t="shared" si="21"/>
        <v>0</v>
      </c>
      <c r="U86" s="183">
        <f t="shared" si="10"/>
        <v>0</v>
      </c>
      <c r="V86" s="183">
        <f t="shared" si="11"/>
        <v>0</v>
      </c>
      <c r="W86" s="16">
        <v>120</v>
      </c>
      <c r="Z86" s="183">
        <f t="shared" si="12"/>
        <v>0</v>
      </c>
    </row>
    <row r="87" spans="4:26">
      <c r="D87" s="29">
        <f t="shared" si="13"/>
        <v>0</v>
      </c>
      <c r="F87" s="29">
        <f t="shared" si="14"/>
        <v>0</v>
      </c>
      <c r="H87" s="29">
        <f t="shared" si="15"/>
        <v>0</v>
      </c>
      <c r="J87" s="29">
        <f t="shared" si="16"/>
        <v>0</v>
      </c>
      <c r="L87" s="29">
        <f t="shared" si="17"/>
        <v>0</v>
      </c>
      <c r="N87" s="29">
        <f t="shared" si="18"/>
        <v>0</v>
      </c>
      <c r="P87" s="29">
        <f t="shared" si="19"/>
        <v>0</v>
      </c>
      <c r="S87" s="183">
        <f t="shared" si="20"/>
        <v>0</v>
      </c>
      <c r="T87" s="183">
        <f t="shared" si="21"/>
        <v>0</v>
      </c>
      <c r="U87" s="183">
        <f t="shared" si="10"/>
        <v>0</v>
      </c>
      <c r="V87" s="183">
        <f t="shared" si="11"/>
        <v>0</v>
      </c>
      <c r="W87" s="16">
        <v>120</v>
      </c>
      <c r="Z87" s="183">
        <f t="shared" si="12"/>
        <v>0</v>
      </c>
    </row>
    <row r="88" spans="4:26">
      <c r="D88" s="29">
        <f t="shared" si="13"/>
        <v>0</v>
      </c>
      <c r="F88" s="29">
        <f t="shared" si="14"/>
        <v>0</v>
      </c>
      <c r="H88" s="29">
        <f t="shared" si="15"/>
        <v>0</v>
      </c>
      <c r="J88" s="29">
        <f t="shared" si="16"/>
        <v>0</v>
      </c>
      <c r="L88" s="29">
        <f t="shared" si="17"/>
        <v>0</v>
      </c>
      <c r="N88" s="29">
        <f t="shared" si="18"/>
        <v>0</v>
      </c>
      <c r="P88" s="29">
        <f t="shared" si="19"/>
        <v>0</v>
      </c>
      <c r="S88" s="183">
        <f t="shared" si="20"/>
        <v>0</v>
      </c>
      <c r="T88" s="183">
        <f t="shared" si="21"/>
        <v>0</v>
      </c>
      <c r="U88" s="183">
        <f t="shared" si="10"/>
        <v>0</v>
      </c>
      <c r="V88" s="183">
        <f t="shared" si="11"/>
        <v>0</v>
      </c>
      <c r="W88" s="16">
        <v>120</v>
      </c>
      <c r="Z88" s="183">
        <f t="shared" si="12"/>
        <v>0</v>
      </c>
    </row>
    <row r="89" spans="4:26">
      <c r="D89" s="29">
        <f t="shared" si="13"/>
        <v>0</v>
      </c>
      <c r="F89" s="29">
        <f t="shared" si="14"/>
        <v>0</v>
      </c>
      <c r="H89" s="29">
        <f t="shared" si="15"/>
        <v>0</v>
      </c>
      <c r="J89" s="29">
        <f t="shared" si="16"/>
        <v>0</v>
      </c>
      <c r="L89" s="29">
        <f t="shared" si="17"/>
        <v>0</v>
      </c>
      <c r="N89" s="29">
        <f t="shared" si="18"/>
        <v>0</v>
      </c>
      <c r="P89" s="29">
        <f t="shared" si="19"/>
        <v>0</v>
      </c>
      <c r="S89" s="183">
        <f t="shared" si="20"/>
        <v>0</v>
      </c>
      <c r="T89" s="183">
        <f t="shared" si="21"/>
        <v>0</v>
      </c>
      <c r="U89" s="183">
        <f t="shared" si="10"/>
        <v>0</v>
      </c>
      <c r="V89" s="183">
        <f t="shared" si="11"/>
        <v>0</v>
      </c>
      <c r="W89" s="16">
        <v>120</v>
      </c>
      <c r="Z89" s="183">
        <f t="shared" si="12"/>
        <v>0</v>
      </c>
    </row>
    <row r="90" spans="4:26">
      <c r="D90" s="29">
        <f t="shared" si="13"/>
        <v>0</v>
      </c>
      <c r="F90" s="29">
        <f t="shared" si="14"/>
        <v>0</v>
      </c>
      <c r="H90" s="29">
        <f t="shared" si="15"/>
        <v>0</v>
      </c>
      <c r="J90" s="29">
        <f t="shared" si="16"/>
        <v>0</v>
      </c>
      <c r="L90" s="29">
        <f t="shared" si="17"/>
        <v>0</v>
      </c>
      <c r="N90" s="29">
        <f t="shared" si="18"/>
        <v>0</v>
      </c>
      <c r="P90" s="29">
        <f t="shared" si="19"/>
        <v>0</v>
      </c>
      <c r="S90" s="183">
        <f t="shared" si="20"/>
        <v>0</v>
      </c>
      <c r="T90" s="183">
        <f t="shared" si="21"/>
        <v>0</v>
      </c>
      <c r="U90" s="183">
        <f t="shared" si="10"/>
        <v>0</v>
      </c>
      <c r="V90" s="183">
        <f t="shared" si="11"/>
        <v>0</v>
      </c>
      <c r="W90" s="16">
        <v>120</v>
      </c>
      <c r="Z90" s="183">
        <f t="shared" si="12"/>
        <v>0</v>
      </c>
    </row>
    <row r="91" spans="4:26">
      <c r="D91" s="29">
        <f t="shared" si="13"/>
        <v>0</v>
      </c>
      <c r="F91" s="29">
        <f t="shared" si="14"/>
        <v>0</v>
      </c>
      <c r="H91" s="29">
        <f t="shared" si="15"/>
        <v>0</v>
      </c>
      <c r="J91" s="29">
        <f t="shared" si="16"/>
        <v>0</v>
      </c>
      <c r="L91" s="29">
        <f t="shared" si="17"/>
        <v>0</v>
      </c>
      <c r="N91" s="29">
        <f t="shared" si="18"/>
        <v>0</v>
      </c>
      <c r="P91" s="29">
        <f t="shared" si="19"/>
        <v>0</v>
      </c>
      <c r="S91" s="183">
        <f t="shared" si="20"/>
        <v>0</v>
      </c>
      <c r="T91" s="183">
        <f t="shared" si="21"/>
        <v>0</v>
      </c>
      <c r="U91" s="183">
        <f t="shared" si="10"/>
        <v>0</v>
      </c>
      <c r="V91" s="183">
        <f t="shared" si="11"/>
        <v>0</v>
      </c>
      <c r="W91" s="16">
        <v>120</v>
      </c>
      <c r="Z91" s="183">
        <f t="shared" si="12"/>
        <v>0</v>
      </c>
    </row>
    <row r="92" spans="4:26">
      <c r="D92" s="29">
        <f t="shared" si="13"/>
        <v>0</v>
      </c>
      <c r="F92" s="29">
        <f t="shared" si="14"/>
        <v>0</v>
      </c>
      <c r="H92" s="29">
        <f t="shared" si="15"/>
        <v>0</v>
      </c>
      <c r="J92" s="29">
        <f t="shared" si="16"/>
        <v>0</v>
      </c>
      <c r="L92" s="29">
        <f t="shared" si="17"/>
        <v>0</v>
      </c>
      <c r="N92" s="29">
        <f t="shared" si="18"/>
        <v>0</v>
      </c>
      <c r="P92" s="29">
        <f t="shared" si="19"/>
        <v>0</v>
      </c>
      <c r="S92" s="183">
        <f t="shared" si="20"/>
        <v>0</v>
      </c>
      <c r="T92" s="183">
        <f t="shared" si="21"/>
        <v>0</v>
      </c>
      <c r="U92" s="183">
        <f t="shared" si="10"/>
        <v>0</v>
      </c>
      <c r="V92" s="183">
        <f t="shared" si="11"/>
        <v>0</v>
      </c>
      <c r="W92" s="16">
        <v>120</v>
      </c>
      <c r="Z92" s="183">
        <f t="shared" si="12"/>
        <v>0</v>
      </c>
    </row>
    <row r="93" spans="4:26">
      <c r="D93" s="29">
        <f t="shared" si="13"/>
        <v>0</v>
      </c>
      <c r="F93" s="29">
        <f t="shared" si="14"/>
        <v>0</v>
      </c>
      <c r="H93" s="29">
        <f t="shared" si="15"/>
        <v>0</v>
      </c>
      <c r="J93" s="29">
        <f t="shared" si="16"/>
        <v>0</v>
      </c>
      <c r="L93" s="29">
        <f t="shared" si="17"/>
        <v>0</v>
      </c>
      <c r="N93" s="29">
        <f t="shared" si="18"/>
        <v>0</v>
      </c>
      <c r="P93" s="29">
        <f t="shared" si="19"/>
        <v>0</v>
      </c>
      <c r="S93" s="183">
        <f t="shared" si="20"/>
        <v>0</v>
      </c>
      <c r="T93" s="183">
        <f t="shared" si="21"/>
        <v>0</v>
      </c>
      <c r="U93" s="183">
        <f t="shared" si="10"/>
        <v>0</v>
      </c>
      <c r="V93" s="183">
        <f t="shared" si="11"/>
        <v>0</v>
      </c>
      <c r="W93" s="16">
        <v>120</v>
      </c>
      <c r="Z93" s="183">
        <f t="shared" si="12"/>
        <v>0</v>
      </c>
    </row>
    <row r="94" spans="4:26">
      <c r="D94" s="29">
        <f t="shared" si="13"/>
        <v>0</v>
      </c>
      <c r="F94" s="29">
        <f t="shared" si="14"/>
        <v>0</v>
      </c>
      <c r="H94" s="29">
        <f t="shared" si="15"/>
        <v>0</v>
      </c>
      <c r="J94" s="29">
        <f t="shared" si="16"/>
        <v>0</v>
      </c>
      <c r="L94" s="29">
        <f t="shared" si="17"/>
        <v>0</v>
      </c>
      <c r="N94" s="29">
        <f t="shared" si="18"/>
        <v>0</v>
      </c>
      <c r="P94" s="29">
        <f t="shared" si="19"/>
        <v>0</v>
      </c>
      <c r="S94" s="183">
        <f t="shared" si="20"/>
        <v>0</v>
      </c>
      <c r="T94" s="183">
        <f t="shared" si="21"/>
        <v>0</v>
      </c>
      <c r="U94" s="183">
        <f t="shared" si="10"/>
        <v>0</v>
      </c>
      <c r="V94" s="183">
        <f t="shared" si="11"/>
        <v>0</v>
      </c>
      <c r="W94" s="16">
        <v>120</v>
      </c>
      <c r="Z94" s="183">
        <f t="shared" si="12"/>
        <v>0</v>
      </c>
    </row>
    <row r="95" spans="4:26">
      <c r="D95" s="29">
        <f t="shared" si="13"/>
        <v>0</v>
      </c>
      <c r="F95" s="29">
        <f t="shared" si="14"/>
        <v>0</v>
      </c>
      <c r="H95" s="29">
        <f t="shared" si="15"/>
        <v>0</v>
      </c>
      <c r="J95" s="29">
        <f t="shared" si="16"/>
        <v>0</v>
      </c>
      <c r="L95" s="29">
        <f t="shared" si="17"/>
        <v>0</v>
      </c>
      <c r="N95" s="29">
        <f t="shared" si="18"/>
        <v>0</v>
      </c>
      <c r="P95" s="29">
        <f t="shared" si="19"/>
        <v>0</v>
      </c>
      <c r="S95" s="183">
        <f t="shared" si="20"/>
        <v>0</v>
      </c>
      <c r="T95" s="183">
        <f t="shared" si="21"/>
        <v>0</v>
      </c>
      <c r="U95" s="183">
        <f t="shared" si="10"/>
        <v>0</v>
      </c>
      <c r="V95" s="183">
        <f t="shared" si="11"/>
        <v>0</v>
      </c>
      <c r="W95" s="16">
        <v>120</v>
      </c>
      <c r="Z95" s="183">
        <f t="shared" si="12"/>
        <v>0</v>
      </c>
    </row>
    <row r="96" spans="4:26">
      <c r="D96" s="29">
        <f t="shared" si="13"/>
        <v>0</v>
      </c>
      <c r="F96" s="29">
        <f t="shared" si="14"/>
        <v>0</v>
      </c>
      <c r="H96" s="29">
        <f t="shared" si="15"/>
        <v>0</v>
      </c>
      <c r="J96" s="29">
        <f t="shared" si="16"/>
        <v>0</v>
      </c>
      <c r="L96" s="29">
        <f t="shared" si="17"/>
        <v>0</v>
      </c>
      <c r="N96" s="29">
        <f t="shared" si="18"/>
        <v>0</v>
      </c>
      <c r="P96" s="29">
        <f t="shared" si="19"/>
        <v>0</v>
      </c>
      <c r="S96" s="183">
        <f t="shared" si="20"/>
        <v>0</v>
      </c>
      <c r="T96" s="183">
        <f t="shared" si="21"/>
        <v>0</v>
      </c>
      <c r="U96" s="183">
        <f t="shared" si="10"/>
        <v>0</v>
      </c>
      <c r="V96" s="183">
        <f t="shared" si="11"/>
        <v>0</v>
      </c>
      <c r="W96" s="16">
        <v>120</v>
      </c>
      <c r="Z96" s="183">
        <f t="shared" si="12"/>
        <v>0</v>
      </c>
    </row>
    <row r="97" spans="4:26">
      <c r="D97" s="29">
        <f t="shared" si="13"/>
        <v>0</v>
      </c>
      <c r="F97" s="29">
        <f t="shared" si="14"/>
        <v>0</v>
      </c>
      <c r="H97" s="29">
        <f t="shared" si="15"/>
        <v>0</v>
      </c>
      <c r="J97" s="29">
        <f t="shared" si="16"/>
        <v>0</v>
      </c>
      <c r="L97" s="29">
        <f t="shared" si="17"/>
        <v>0</v>
      </c>
      <c r="N97" s="29">
        <f t="shared" si="18"/>
        <v>0</v>
      </c>
      <c r="P97" s="29">
        <f t="shared" si="19"/>
        <v>0</v>
      </c>
      <c r="S97" s="183">
        <f t="shared" si="20"/>
        <v>0</v>
      </c>
      <c r="T97" s="183">
        <f t="shared" si="21"/>
        <v>0</v>
      </c>
      <c r="U97" s="183">
        <f t="shared" si="10"/>
        <v>0</v>
      </c>
      <c r="V97" s="183">
        <f t="shared" si="11"/>
        <v>0</v>
      </c>
      <c r="W97" s="16">
        <v>120</v>
      </c>
      <c r="Z97" s="183">
        <f t="shared" si="12"/>
        <v>0</v>
      </c>
    </row>
    <row r="98" spans="4:26">
      <c r="D98" s="29">
        <f t="shared" si="13"/>
        <v>0</v>
      </c>
      <c r="F98" s="29">
        <f t="shared" si="14"/>
        <v>0</v>
      </c>
      <c r="H98" s="29">
        <f t="shared" si="15"/>
        <v>0</v>
      </c>
      <c r="J98" s="29">
        <f t="shared" si="16"/>
        <v>0</v>
      </c>
      <c r="L98" s="29">
        <f t="shared" si="17"/>
        <v>0</v>
      </c>
      <c r="N98" s="29">
        <f t="shared" si="18"/>
        <v>0</v>
      </c>
      <c r="P98" s="29">
        <f t="shared" si="19"/>
        <v>0</v>
      </c>
      <c r="S98" s="183">
        <f t="shared" si="20"/>
        <v>0</v>
      </c>
      <c r="T98" s="183">
        <f t="shared" si="21"/>
        <v>0</v>
      </c>
      <c r="U98" s="183">
        <f t="shared" si="10"/>
        <v>0</v>
      </c>
      <c r="V98" s="183">
        <f t="shared" si="11"/>
        <v>0</v>
      </c>
      <c r="W98" s="16">
        <v>120</v>
      </c>
      <c r="Z98" s="183">
        <f t="shared" si="12"/>
        <v>0</v>
      </c>
    </row>
    <row r="99" spans="4:26">
      <c r="D99" s="29">
        <f t="shared" si="13"/>
        <v>0</v>
      </c>
      <c r="F99" s="29">
        <f t="shared" si="14"/>
        <v>0</v>
      </c>
      <c r="H99" s="29">
        <f t="shared" si="15"/>
        <v>0</v>
      </c>
      <c r="J99" s="29">
        <f t="shared" si="16"/>
        <v>0</v>
      </c>
      <c r="L99" s="29">
        <f t="shared" si="17"/>
        <v>0</v>
      </c>
      <c r="N99" s="29">
        <f t="shared" si="18"/>
        <v>0</v>
      </c>
      <c r="P99" s="29">
        <f t="shared" si="19"/>
        <v>0</v>
      </c>
      <c r="S99" s="183">
        <f t="shared" si="20"/>
        <v>0</v>
      </c>
      <c r="T99" s="183">
        <f t="shared" si="21"/>
        <v>0</v>
      </c>
      <c r="U99" s="183">
        <f t="shared" si="10"/>
        <v>0</v>
      </c>
      <c r="V99" s="183">
        <f t="shared" si="11"/>
        <v>0</v>
      </c>
      <c r="W99" s="16">
        <v>120</v>
      </c>
      <c r="Z99" s="183">
        <f t="shared" si="12"/>
        <v>0</v>
      </c>
    </row>
    <row r="100" spans="4:26">
      <c r="D100" s="29">
        <f t="shared" si="13"/>
        <v>0</v>
      </c>
      <c r="F100" s="29">
        <f t="shared" si="14"/>
        <v>0</v>
      </c>
      <c r="H100" s="29">
        <f t="shared" si="15"/>
        <v>0</v>
      </c>
      <c r="J100" s="29">
        <f t="shared" si="16"/>
        <v>0</v>
      </c>
      <c r="L100" s="29">
        <f t="shared" si="17"/>
        <v>0</v>
      </c>
      <c r="N100" s="29">
        <f t="shared" si="18"/>
        <v>0</v>
      </c>
      <c r="P100" s="29">
        <f t="shared" si="19"/>
        <v>0</v>
      </c>
      <c r="S100" s="183">
        <f t="shared" si="20"/>
        <v>0</v>
      </c>
      <c r="T100" s="183">
        <f t="shared" si="21"/>
        <v>0</v>
      </c>
      <c r="U100" s="183">
        <f t="shared" si="10"/>
        <v>0</v>
      </c>
      <c r="V100" s="183">
        <f t="shared" si="11"/>
        <v>0</v>
      </c>
      <c r="W100" s="16">
        <v>120</v>
      </c>
      <c r="Z100" s="183">
        <f t="shared" si="12"/>
        <v>0</v>
      </c>
    </row>
  </sheetData>
  <mergeCells count="16">
    <mergeCell ref="Y1:Y3"/>
    <mergeCell ref="B1:B3"/>
    <mergeCell ref="C1:C3"/>
    <mergeCell ref="J1:M1"/>
    <mergeCell ref="N1:Q1"/>
    <mergeCell ref="R1:R3"/>
    <mergeCell ref="S1:S3"/>
    <mergeCell ref="J2:K2"/>
    <mergeCell ref="L2:M2"/>
    <mergeCell ref="N2:O2"/>
    <mergeCell ref="P2:Q2"/>
    <mergeCell ref="T1:T3"/>
    <mergeCell ref="U1:U3"/>
    <mergeCell ref="V1:V3"/>
    <mergeCell ref="W1:W3"/>
    <mergeCell ref="X1:X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T100"/>
  <sheetViews>
    <sheetView topLeftCell="D16" workbookViewId="0">
      <selection activeCell="Q45" sqref="Q45"/>
    </sheetView>
  </sheetViews>
  <sheetFormatPr defaultRowHeight="16.5"/>
  <cols>
    <col min="1" max="3" width="9" style="8"/>
    <col min="4" max="4" width="9" style="24"/>
    <col min="5" max="5" width="9" style="236"/>
    <col min="6" max="6" width="9" style="14"/>
    <col min="7" max="7" width="9" style="236"/>
    <col min="8" max="8" width="9" style="14"/>
    <col min="9" max="9" width="9" style="241"/>
    <col min="10" max="10" width="9" style="8"/>
    <col min="11" max="11" width="9" style="233"/>
    <col min="12" max="12" width="9" style="8"/>
    <col min="13" max="13" width="9.375" style="233" bestFit="1" customWidth="1"/>
    <col min="14" max="14" width="9" style="8"/>
    <col min="15" max="15" width="9" style="233"/>
    <col min="16" max="16" width="9" style="8"/>
    <col min="17" max="17" width="10.875" style="31" bestFit="1" customWidth="1"/>
    <col min="18" max="19" width="10.875" style="299" customWidth="1"/>
    <col min="20" max="20" width="9" style="302"/>
    <col min="21" max="16384" width="9" style="8"/>
  </cols>
  <sheetData>
    <row r="1" spans="2:19" ht="17.25" customHeight="1" thickTop="1">
      <c r="B1" s="316" t="s">
        <v>93</v>
      </c>
      <c r="C1" s="316" t="s">
        <v>94</v>
      </c>
      <c r="D1" s="85" t="s">
        <v>97</v>
      </c>
      <c r="E1" s="222"/>
      <c r="F1" s="59"/>
      <c r="G1" s="222"/>
      <c r="H1" s="59"/>
      <c r="I1" s="237"/>
      <c r="J1" s="87" t="s">
        <v>98</v>
      </c>
      <c r="K1" s="242"/>
      <c r="L1" s="21"/>
      <c r="M1" s="242"/>
      <c r="N1" s="21"/>
      <c r="O1" s="242"/>
      <c r="P1" s="21"/>
      <c r="Q1" s="328" t="s">
        <v>80</v>
      </c>
      <c r="R1" s="297"/>
      <c r="S1" s="297"/>
    </row>
    <row r="2" spans="2:19" ht="33">
      <c r="B2" s="314"/>
      <c r="C2" s="314"/>
      <c r="D2" s="86" t="s">
        <v>157</v>
      </c>
      <c r="E2" s="223" t="s">
        <v>157</v>
      </c>
      <c r="F2" s="15" t="s">
        <v>173</v>
      </c>
      <c r="G2" s="223" t="s">
        <v>173</v>
      </c>
      <c r="H2" s="15" t="s">
        <v>174</v>
      </c>
      <c r="I2" s="238" t="s">
        <v>175</v>
      </c>
      <c r="J2" s="86" t="s">
        <v>157</v>
      </c>
      <c r="K2" s="223" t="s">
        <v>157</v>
      </c>
      <c r="L2" s="15" t="s">
        <v>173</v>
      </c>
      <c r="M2" s="223" t="s">
        <v>173</v>
      </c>
      <c r="N2" s="15" t="s">
        <v>174</v>
      </c>
      <c r="O2" s="223" t="s">
        <v>174</v>
      </c>
      <c r="P2" s="84"/>
      <c r="Q2" s="329"/>
      <c r="R2" s="297"/>
      <c r="S2" s="297"/>
    </row>
    <row r="3" spans="2:19" ht="17.25" customHeight="1" thickBot="1">
      <c r="B3" s="315"/>
      <c r="C3" s="315"/>
      <c r="D3" s="79" t="s">
        <v>95</v>
      </c>
      <c r="E3" s="232" t="s">
        <v>96</v>
      </c>
      <c r="F3" s="77" t="s">
        <v>95</v>
      </c>
      <c r="G3" s="232" t="s">
        <v>96</v>
      </c>
      <c r="H3" s="77" t="s">
        <v>95</v>
      </c>
      <c r="I3" s="239" t="s">
        <v>96</v>
      </c>
      <c r="J3" s="77" t="s">
        <v>95</v>
      </c>
      <c r="K3" s="232" t="s">
        <v>96</v>
      </c>
      <c r="L3" s="77" t="s">
        <v>95</v>
      </c>
      <c r="M3" s="232" t="s">
        <v>96</v>
      </c>
      <c r="N3" s="77" t="s">
        <v>95</v>
      </c>
      <c r="O3" s="232" t="s">
        <v>96</v>
      </c>
      <c r="P3" s="27"/>
      <c r="Q3" s="32">
        <v>1736</v>
      </c>
      <c r="R3" s="298"/>
      <c r="S3" s="298"/>
    </row>
    <row r="4" spans="2:19" ht="17.25" thickTop="1">
      <c r="B4" s="25" t="s">
        <v>8</v>
      </c>
      <c r="C4" s="26" t="s">
        <v>9</v>
      </c>
      <c r="D4" s="28"/>
      <c r="E4" s="233"/>
      <c r="F4" s="28"/>
      <c r="G4" s="233"/>
      <c r="H4" s="28"/>
      <c r="I4" s="240"/>
      <c r="J4" s="22"/>
      <c r="L4" s="28"/>
      <c r="N4" s="28"/>
      <c r="P4" s="12"/>
    </row>
    <row r="5" spans="2:19">
      <c r="B5" s="25" t="s">
        <v>8</v>
      </c>
      <c r="C5" s="26" t="s">
        <v>13</v>
      </c>
      <c r="D5" s="25"/>
      <c r="E5" s="233"/>
      <c r="F5" s="25"/>
      <c r="G5" s="233"/>
      <c r="H5" s="25"/>
      <c r="I5" s="233"/>
      <c r="J5" s="25"/>
      <c r="L5" s="25"/>
      <c r="N5" s="25"/>
      <c r="P5" s="12"/>
    </row>
    <row r="6" spans="2:19">
      <c r="B6" s="25" t="s">
        <v>8</v>
      </c>
      <c r="C6" s="26" t="s">
        <v>14</v>
      </c>
      <c r="D6" s="25"/>
      <c r="E6" s="233"/>
      <c r="F6" s="25"/>
      <c r="G6" s="233"/>
      <c r="H6" s="25"/>
      <c r="I6" s="233"/>
      <c r="J6" s="25"/>
      <c r="L6" s="25"/>
      <c r="N6" s="25"/>
      <c r="P6" s="12"/>
    </row>
    <row r="7" spans="2:19">
      <c r="B7" s="25" t="s">
        <v>8</v>
      </c>
      <c r="C7" s="26" t="s">
        <v>15</v>
      </c>
      <c r="D7" s="25"/>
      <c r="E7" s="233"/>
      <c r="F7" s="25"/>
      <c r="G7" s="233"/>
      <c r="H7" s="25"/>
      <c r="I7" s="233"/>
      <c r="J7" s="25"/>
      <c r="L7" s="25"/>
      <c r="N7" s="25"/>
      <c r="P7" s="12"/>
    </row>
    <row r="8" spans="2:19">
      <c r="B8" s="25" t="s">
        <v>8</v>
      </c>
      <c r="C8" s="26" t="s">
        <v>16</v>
      </c>
      <c r="D8" s="25"/>
      <c r="E8" s="233"/>
      <c r="F8" s="25"/>
      <c r="G8" s="233"/>
      <c r="H8" s="25"/>
      <c r="I8" s="233"/>
      <c r="J8" s="25"/>
      <c r="L8" s="25"/>
      <c r="N8" s="25"/>
      <c r="P8" s="12"/>
    </row>
    <row r="9" spans="2:19">
      <c r="B9" s="25" t="s">
        <v>8</v>
      </c>
      <c r="C9" s="26" t="s">
        <v>17</v>
      </c>
      <c r="D9" s="25"/>
      <c r="E9" s="233"/>
      <c r="F9" s="25"/>
      <c r="G9" s="233"/>
      <c r="H9" s="25"/>
      <c r="I9" s="233"/>
      <c r="J9" s="25"/>
      <c r="L9" s="25"/>
      <c r="N9" s="25"/>
      <c r="P9" s="12"/>
    </row>
    <row r="10" spans="2:19">
      <c r="B10" s="25" t="s">
        <v>8</v>
      </c>
      <c r="C10" s="26" t="s">
        <v>18</v>
      </c>
      <c r="D10" s="29">
        <v>0</v>
      </c>
      <c r="E10" s="234">
        <v>101.66</v>
      </c>
      <c r="F10" s="29">
        <v>0</v>
      </c>
      <c r="G10" s="234">
        <v>1.19</v>
      </c>
      <c r="H10" s="29">
        <v>0</v>
      </c>
      <c r="I10" s="234">
        <v>0.09</v>
      </c>
      <c r="J10" s="30">
        <v>0</v>
      </c>
      <c r="K10" s="234">
        <v>0</v>
      </c>
      <c r="L10" s="29">
        <v>0</v>
      </c>
      <c r="M10" s="234">
        <v>18.739999999999998</v>
      </c>
      <c r="N10" s="29">
        <v>0</v>
      </c>
      <c r="O10" s="234">
        <v>75.77</v>
      </c>
      <c r="P10" s="12"/>
      <c r="Q10" s="31">
        <f>((M10-L10)+(O10-N10))*$Q$3</f>
        <v>164069.35999999999</v>
      </c>
    </row>
    <row r="11" spans="2:19">
      <c r="B11" s="25" t="s">
        <v>8</v>
      </c>
      <c r="C11" s="26" t="s">
        <v>19</v>
      </c>
      <c r="D11" s="29">
        <v>101.66</v>
      </c>
      <c r="E11" s="234">
        <v>238.26</v>
      </c>
      <c r="F11" s="29">
        <v>1.19</v>
      </c>
      <c r="G11" s="234">
        <v>1.65</v>
      </c>
      <c r="H11" s="29">
        <v>0.09</v>
      </c>
      <c r="I11" s="234">
        <v>0.09</v>
      </c>
      <c r="J11" s="30">
        <v>0</v>
      </c>
      <c r="K11" s="234">
        <v>0</v>
      </c>
      <c r="L11" s="29">
        <v>18.739999999999998</v>
      </c>
      <c r="M11" s="234">
        <v>41.59</v>
      </c>
      <c r="N11" s="29">
        <v>75.77</v>
      </c>
      <c r="O11" s="234">
        <v>178.07</v>
      </c>
      <c r="P11" s="12"/>
      <c r="Q11" s="31">
        <f t="shared" ref="Q11:Q45" si="0">((M11-L11)+(O11-N11))*$Q$3</f>
        <v>217260.40000000002</v>
      </c>
    </row>
    <row r="12" spans="2:19">
      <c r="B12" s="25" t="s">
        <v>8</v>
      </c>
      <c r="C12" s="26" t="s">
        <v>20</v>
      </c>
      <c r="D12" s="29">
        <v>238.26</v>
      </c>
      <c r="E12" s="234">
        <v>361.85</v>
      </c>
      <c r="F12" s="29">
        <v>1.65</v>
      </c>
      <c r="G12" s="234">
        <v>2.0499999999999998</v>
      </c>
      <c r="H12" s="29">
        <v>0.09</v>
      </c>
      <c r="I12" s="234">
        <v>0.1</v>
      </c>
      <c r="J12" s="30">
        <v>0</v>
      </c>
      <c r="K12" s="234">
        <v>0</v>
      </c>
      <c r="L12" s="29">
        <v>41.59</v>
      </c>
      <c r="M12" s="234">
        <v>67.84</v>
      </c>
      <c r="N12" s="29">
        <v>178.07</v>
      </c>
      <c r="O12" s="234">
        <v>264.89999999999998</v>
      </c>
      <c r="P12" s="12"/>
      <c r="Q12" s="31">
        <f t="shared" si="0"/>
        <v>196306.87999999998</v>
      </c>
    </row>
    <row r="13" spans="2:19">
      <c r="B13" s="25" t="s">
        <v>8</v>
      </c>
      <c r="C13" s="26" t="s">
        <v>21</v>
      </c>
      <c r="D13" s="29">
        <v>361.85</v>
      </c>
      <c r="E13" s="234">
        <v>502.13</v>
      </c>
      <c r="F13" s="29">
        <v>2.0499999999999998</v>
      </c>
      <c r="G13" s="234">
        <v>2.5299999999999998</v>
      </c>
      <c r="H13" s="29">
        <v>0.1</v>
      </c>
      <c r="I13" s="234">
        <v>0.13</v>
      </c>
      <c r="J13" s="30">
        <v>0</v>
      </c>
      <c r="K13" s="234">
        <v>0</v>
      </c>
      <c r="L13" s="29">
        <v>67.84</v>
      </c>
      <c r="M13" s="234">
        <v>88.73</v>
      </c>
      <c r="N13" s="29">
        <v>264.89999999999998</v>
      </c>
      <c r="O13" s="234">
        <v>372.39</v>
      </c>
      <c r="P13" s="12"/>
      <c r="Q13" s="31">
        <f t="shared" si="0"/>
        <v>222867.68</v>
      </c>
    </row>
    <row r="14" spans="2:19">
      <c r="B14" s="25" t="s">
        <v>8</v>
      </c>
      <c r="C14" s="26" t="s">
        <v>22</v>
      </c>
      <c r="D14" s="29">
        <v>502.13</v>
      </c>
      <c r="E14" s="234">
        <v>647.39</v>
      </c>
      <c r="F14" s="29">
        <v>2.5299999999999998</v>
      </c>
      <c r="G14" s="234">
        <v>2.99</v>
      </c>
      <c r="H14" s="29">
        <v>0.13</v>
      </c>
      <c r="I14" s="234">
        <v>0.16</v>
      </c>
      <c r="J14" s="30">
        <v>0</v>
      </c>
      <c r="K14" s="234">
        <v>0</v>
      </c>
      <c r="L14" s="29">
        <v>88.73</v>
      </c>
      <c r="M14" s="234">
        <v>109.23</v>
      </c>
      <c r="N14" s="29">
        <v>372.39</v>
      </c>
      <c r="O14" s="234">
        <v>484.89</v>
      </c>
      <c r="P14" s="12"/>
      <c r="Q14" s="31">
        <f t="shared" si="0"/>
        <v>230888</v>
      </c>
    </row>
    <row r="15" spans="2:19">
      <c r="B15" s="25" t="s">
        <v>8</v>
      </c>
      <c r="C15" s="26" t="s">
        <v>23</v>
      </c>
      <c r="D15" s="29">
        <v>647.39</v>
      </c>
      <c r="E15" s="234">
        <v>779.73</v>
      </c>
      <c r="F15" s="29">
        <v>2.99</v>
      </c>
      <c r="G15" s="234">
        <v>3.44</v>
      </c>
      <c r="H15" s="29">
        <v>0.16</v>
      </c>
      <c r="I15" s="234">
        <v>0.19</v>
      </c>
      <c r="J15" s="30">
        <v>0</v>
      </c>
      <c r="K15" s="234">
        <v>0.04</v>
      </c>
      <c r="L15" s="29">
        <v>109.23</v>
      </c>
      <c r="M15" s="234">
        <v>133.44999999999999</v>
      </c>
      <c r="N15" s="29">
        <v>484.89</v>
      </c>
      <c r="O15" s="234">
        <v>581.62</v>
      </c>
      <c r="P15" s="12"/>
      <c r="Q15" s="31">
        <f t="shared" si="0"/>
        <v>209969.2</v>
      </c>
    </row>
    <row r="16" spans="2:19">
      <c r="B16" s="25" t="s">
        <v>24</v>
      </c>
      <c r="C16" s="26" t="s">
        <v>9</v>
      </c>
      <c r="D16" s="29">
        <v>779.73</v>
      </c>
      <c r="E16" s="234">
        <v>921.67</v>
      </c>
      <c r="F16" s="29">
        <v>3.44</v>
      </c>
      <c r="G16" s="234">
        <v>3.91</v>
      </c>
      <c r="H16" s="29">
        <v>0.19</v>
      </c>
      <c r="I16" s="234">
        <v>0.22</v>
      </c>
      <c r="J16" s="30">
        <v>0.04</v>
      </c>
      <c r="K16" s="234">
        <v>0.04</v>
      </c>
      <c r="L16" s="29">
        <v>133.44999999999999</v>
      </c>
      <c r="M16" s="234">
        <v>153.85</v>
      </c>
      <c r="N16" s="29">
        <v>581.62</v>
      </c>
      <c r="O16" s="234">
        <v>691.12</v>
      </c>
      <c r="P16" s="12"/>
      <c r="Q16" s="31">
        <f t="shared" si="0"/>
        <v>225506.40000000002</v>
      </c>
    </row>
    <row r="17" spans="2:17">
      <c r="B17" s="25" t="s">
        <v>24</v>
      </c>
      <c r="C17" s="26" t="s">
        <v>13</v>
      </c>
      <c r="D17" s="29">
        <v>921.67</v>
      </c>
      <c r="E17" s="235">
        <v>1037.5899999999999</v>
      </c>
      <c r="F17" s="29">
        <v>3.91</v>
      </c>
      <c r="G17" s="234">
        <v>4.29</v>
      </c>
      <c r="H17" s="29">
        <v>0.22</v>
      </c>
      <c r="I17" s="234">
        <v>0.25</v>
      </c>
      <c r="J17" s="30">
        <v>0.04</v>
      </c>
      <c r="K17" s="234">
        <v>0.04</v>
      </c>
      <c r="L17" s="29">
        <v>153.85</v>
      </c>
      <c r="M17" s="234">
        <v>174.3</v>
      </c>
      <c r="N17" s="29">
        <v>691.12</v>
      </c>
      <c r="O17" s="234">
        <v>776.62</v>
      </c>
      <c r="P17" s="12"/>
      <c r="Q17" s="31">
        <f t="shared" si="0"/>
        <v>183929.20000000004</v>
      </c>
    </row>
    <row r="18" spans="2:17">
      <c r="B18" s="25" t="s">
        <v>24</v>
      </c>
      <c r="C18" s="26" t="s">
        <v>14</v>
      </c>
      <c r="D18" s="28">
        <v>1037.5899999999999</v>
      </c>
      <c r="E18" s="235">
        <v>1176.6199999999999</v>
      </c>
      <c r="F18" s="29">
        <v>4.29</v>
      </c>
      <c r="G18" s="234">
        <v>4.75</v>
      </c>
      <c r="H18" s="29">
        <v>0.25</v>
      </c>
      <c r="I18" s="234">
        <v>0.27</v>
      </c>
      <c r="J18" s="30">
        <v>0.04</v>
      </c>
      <c r="K18" s="234">
        <v>0.04</v>
      </c>
      <c r="L18" s="29">
        <v>174.3</v>
      </c>
      <c r="M18" s="234">
        <v>199.78</v>
      </c>
      <c r="N18" s="29">
        <v>776.62</v>
      </c>
      <c r="O18" s="234">
        <v>878.45</v>
      </c>
      <c r="P18" s="12"/>
      <c r="Q18" s="31">
        <f t="shared" si="0"/>
        <v>221010.16000000006</v>
      </c>
    </row>
    <row r="19" spans="2:17">
      <c r="B19" s="25" t="s">
        <v>24</v>
      </c>
      <c r="C19" s="26" t="s">
        <v>15</v>
      </c>
      <c r="D19" s="28">
        <v>1176.6199999999999</v>
      </c>
      <c r="E19" s="235">
        <v>1321.22</v>
      </c>
      <c r="F19" s="29">
        <v>4.75</v>
      </c>
      <c r="G19" s="234">
        <v>5.23</v>
      </c>
      <c r="H19" s="29">
        <v>0.27</v>
      </c>
      <c r="I19" s="234">
        <v>0.3</v>
      </c>
      <c r="J19" s="30">
        <v>0.04</v>
      </c>
      <c r="K19" s="234">
        <v>0.04</v>
      </c>
      <c r="L19" s="29">
        <v>199.78</v>
      </c>
      <c r="M19" s="234">
        <v>220.13</v>
      </c>
      <c r="N19" s="29">
        <v>878.45</v>
      </c>
      <c r="O19" s="234">
        <v>990.49</v>
      </c>
      <c r="P19" s="12"/>
      <c r="Q19" s="31">
        <f t="shared" si="0"/>
        <v>229829.03999999992</v>
      </c>
    </row>
    <row r="20" spans="2:17">
      <c r="B20" s="25" t="s">
        <v>24</v>
      </c>
      <c r="C20" s="26" t="s">
        <v>16</v>
      </c>
      <c r="D20" s="28">
        <v>1321.22</v>
      </c>
      <c r="E20" s="235">
        <v>1465.35</v>
      </c>
      <c r="F20" s="29">
        <v>5.23</v>
      </c>
      <c r="G20" s="234">
        <v>5.62</v>
      </c>
      <c r="H20" s="29">
        <v>0.3</v>
      </c>
      <c r="I20" s="234">
        <v>0.33</v>
      </c>
      <c r="J20" s="30">
        <v>0.04</v>
      </c>
      <c r="K20" s="234">
        <v>0.04</v>
      </c>
      <c r="L20" s="29">
        <v>220.13</v>
      </c>
      <c r="M20" s="234">
        <v>240.45</v>
      </c>
      <c r="N20" s="29">
        <v>990.49</v>
      </c>
      <c r="O20" s="235">
        <v>1102.18</v>
      </c>
      <c r="P20" s="12"/>
      <c r="Q20" s="31">
        <f t="shared" si="0"/>
        <v>229169.36000000007</v>
      </c>
    </row>
    <row r="21" spans="2:17">
      <c r="B21" s="25" t="s">
        <v>24</v>
      </c>
      <c r="C21" s="26" t="s">
        <v>17</v>
      </c>
      <c r="D21" s="28">
        <v>1465.35</v>
      </c>
      <c r="E21" s="235">
        <v>1598.09</v>
      </c>
      <c r="F21" s="29">
        <v>5.62</v>
      </c>
      <c r="G21" s="234">
        <v>6.03</v>
      </c>
      <c r="H21" s="29">
        <v>0.33</v>
      </c>
      <c r="I21" s="234">
        <v>0.35</v>
      </c>
      <c r="J21" s="30">
        <v>0.04</v>
      </c>
      <c r="K21" s="234">
        <v>0.04</v>
      </c>
      <c r="L21" s="29">
        <v>240.45</v>
      </c>
      <c r="M21" s="234">
        <v>266.29000000000002</v>
      </c>
      <c r="N21" s="28">
        <v>1102.18</v>
      </c>
      <c r="O21" s="235">
        <v>1198</v>
      </c>
      <c r="P21" s="12"/>
      <c r="Q21" s="31">
        <f t="shared" si="0"/>
        <v>211201.75999999995</v>
      </c>
    </row>
    <row r="22" spans="2:17">
      <c r="B22" s="25" t="s">
        <v>24</v>
      </c>
      <c r="C22" s="26" t="s">
        <v>18</v>
      </c>
      <c r="D22" s="28">
        <v>1598.09</v>
      </c>
      <c r="E22" s="235">
        <v>1746.6</v>
      </c>
      <c r="F22" s="29">
        <v>6.03</v>
      </c>
      <c r="G22" s="234">
        <v>6.41</v>
      </c>
      <c r="H22" s="29">
        <v>0.35</v>
      </c>
      <c r="I22" s="234">
        <v>0.38</v>
      </c>
      <c r="J22" s="30">
        <v>0.04</v>
      </c>
      <c r="K22" s="234">
        <v>0.04</v>
      </c>
      <c r="L22" s="29">
        <v>266.29000000000002</v>
      </c>
      <c r="M22" s="234">
        <v>286.48</v>
      </c>
      <c r="N22" s="28">
        <v>1198</v>
      </c>
      <c r="O22" s="235">
        <v>1313.91</v>
      </c>
      <c r="P22" s="12"/>
      <c r="Q22" s="31">
        <f t="shared" si="0"/>
        <v>236269.60000000015</v>
      </c>
    </row>
    <row r="23" spans="2:17">
      <c r="B23" s="25" t="s">
        <v>24</v>
      </c>
      <c r="C23" s="26" t="s">
        <v>19</v>
      </c>
      <c r="D23" s="28">
        <v>1746.6</v>
      </c>
      <c r="E23" s="235">
        <v>1884.02</v>
      </c>
      <c r="F23" s="29">
        <v>6.41</v>
      </c>
      <c r="G23" s="234">
        <v>6.78</v>
      </c>
      <c r="H23" s="29">
        <v>0.38</v>
      </c>
      <c r="I23" s="234">
        <v>0.41</v>
      </c>
      <c r="J23" s="30">
        <v>0.04</v>
      </c>
      <c r="K23" s="234">
        <v>0.04</v>
      </c>
      <c r="L23" s="29">
        <v>286.48</v>
      </c>
      <c r="M23" s="234">
        <v>312.24</v>
      </c>
      <c r="N23" s="28">
        <v>1313.91</v>
      </c>
      <c r="O23" s="235">
        <v>1414.06</v>
      </c>
      <c r="P23" s="12"/>
      <c r="Q23" s="31">
        <f t="shared" si="0"/>
        <v>218579.75999999975</v>
      </c>
    </row>
    <row r="24" spans="2:17">
      <c r="B24" s="25" t="s">
        <v>24</v>
      </c>
      <c r="C24" s="26" t="s">
        <v>20</v>
      </c>
      <c r="D24" s="28">
        <v>1884.02</v>
      </c>
      <c r="E24" s="235">
        <v>2003.77</v>
      </c>
      <c r="F24" s="29">
        <v>6.78</v>
      </c>
      <c r="G24" s="234">
        <v>7.09</v>
      </c>
      <c r="H24" s="29">
        <v>0.41</v>
      </c>
      <c r="I24" s="234">
        <v>0.43</v>
      </c>
      <c r="J24" s="30">
        <v>0.04</v>
      </c>
      <c r="K24" s="234">
        <v>0.04</v>
      </c>
      <c r="L24" s="29">
        <v>312.24</v>
      </c>
      <c r="M24" s="234">
        <v>327.29000000000002</v>
      </c>
      <c r="N24" s="28">
        <v>1414.06</v>
      </c>
      <c r="O24" s="235">
        <v>1508.59</v>
      </c>
      <c r="P24" s="12"/>
      <c r="Q24" s="31">
        <f t="shared" si="0"/>
        <v>190230.87999999998</v>
      </c>
    </row>
    <row r="25" spans="2:17">
      <c r="B25" s="25" t="s">
        <v>24</v>
      </c>
      <c r="C25" s="26" t="s">
        <v>21</v>
      </c>
      <c r="D25" s="28">
        <v>2003.77</v>
      </c>
      <c r="E25" s="235">
        <v>2136.7600000000002</v>
      </c>
      <c r="F25" s="29">
        <v>7.09</v>
      </c>
      <c r="G25" s="234">
        <v>7.44</v>
      </c>
      <c r="H25" s="29">
        <v>0.43</v>
      </c>
      <c r="I25" s="234">
        <v>0.46</v>
      </c>
      <c r="J25" s="30">
        <v>0.04</v>
      </c>
      <c r="K25" s="234">
        <v>0.04</v>
      </c>
      <c r="L25" s="29">
        <v>327.29000000000002</v>
      </c>
      <c r="M25" s="234">
        <v>346.83</v>
      </c>
      <c r="N25" s="28">
        <v>1508.59</v>
      </c>
      <c r="O25" s="235">
        <v>1610.82</v>
      </c>
      <c r="P25" s="12"/>
      <c r="Q25" s="31">
        <f t="shared" si="0"/>
        <v>211392.71999999997</v>
      </c>
    </row>
    <row r="26" spans="2:17">
      <c r="B26" s="25" t="s">
        <v>24</v>
      </c>
      <c r="C26" s="26" t="s">
        <v>22</v>
      </c>
      <c r="D26" s="28">
        <v>2136.7600000000002</v>
      </c>
      <c r="E26" s="235">
        <v>2273.48</v>
      </c>
      <c r="F26" s="29">
        <v>7.44</v>
      </c>
      <c r="G26" s="234">
        <v>7.81</v>
      </c>
      <c r="H26" s="29">
        <v>0.46</v>
      </c>
      <c r="I26" s="234">
        <v>0.5</v>
      </c>
      <c r="J26" s="30">
        <v>0.04</v>
      </c>
      <c r="K26" s="234">
        <v>0.04</v>
      </c>
      <c r="L26" s="29">
        <v>346.83</v>
      </c>
      <c r="M26" s="234">
        <v>370.95</v>
      </c>
      <c r="N26" s="28">
        <v>1610.82</v>
      </c>
      <c r="O26" s="235">
        <v>1712.01</v>
      </c>
      <c r="P26" s="12"/>
      <c r="Q26" s="31">
        <f t="shared" si="0"/>
        <v>217538.16000000009</v>
      </c>
    </row>
    <row r="27" spans="2:17">
      <c r="B27" s="25" t="s">
        <v>24</v>
      </c>
      <c r="C27" s="26" t="s">
        <v>23</v>
      </c>
      <c r="D27" s="28">
        <v>2273.48</v>
      </c>
      <c r="E27" s="235">
        <v>2378.9299999999998</v>
      </c>
      <c r="F27" s="29">
        <v>7.81</v>
      </c>
      <c r="G27" s="234">
        <v>8.17</v>
      </c>
      <c r="H27" s="29">
        <v>0.5</v>
      </c>
      <c r="I27" s="234">
        <v>0.54</v>
      </c>
      <c r="J27" s="30">
        <v>0.04</v>
      </c>
      <c r="K27" s="234">
        <v>0.04</v>
      </c>
      <c r="L27" s="29">
        <v>370.95</v>
      </c>
      <c r="M27" s="234">
        <v>385.95</v>
      </c>
      <c r="N27" s="28">
        <v>1712.01</v>
      </c>
      <c r="O27" s="235">
        <v>1793.51</v>
      </c>
      <c r="P27" s="12"/>
      <c r="Q27" s="31">
        <f t="shared" si="0"/>
        <v>167524</v>
      </c>
    </row>
    <row r="28" spans="2:17">
      <c r="B28" s="25" t="s">
        <v>25</v>
      </c>
      <c r="C28" s="26" t="s">
        <v>9</v>
      </c>
      <c r="D28" s="28">
        <v>2378.9299999999998</v>
      </c>
      <c r="E28" s="235">
        <v>2434.02</v>
      </c>
      <c r="F28" s="29">
        <v>8.17</v>
      </c>
      <c r="G28" s="234">
        <v>8.52</v>
      </c>
      <c r="H28" s="29">
        <v>0.54</v>
      </c>
      <c r="I28" s="234">
        <v>0.66</v>
      </c>
      <c r="J28" s="30">
        <v>0.04</v>
      </c>
      <c r="K28" s="234">
        <v>0.04</v>
      </c>
      <c r="L28" s="29">
        <v>385.95</v>
      </c>
      <c r="M28" s="234">
        <v>396.18</v>
      </c>
      <c r="N28" s="28">
        <v>1793.51</v>
      </c>
      <c r="O28" s="235">
        <v>1833.4</v>
      </c>
      <c r="P28" s="12"/>
      <c r="Q28" s="31">
        <f t="shared" si="0"/>
        <v>87008.320000000211</v>
      </c>
    </row>
    <row r="29" spans="2:17">
      <c r="B29" s="25" t="s">
        <v>25</v>
      </c>
      <c r="C29" s="26" t="s">
        <v>13</v>
      </c>
      <c r="D29" s="28">
        <v>2434.02</v>
      </c>
      <c r="E29" s="235">
        <v>2562.39</v>
      </c>
      <c r="F29" s="29">
        <v>8.52</v>
      </c>
      <c r="G29" s="234">
        <v>8.8800000000000008</v>
      </c>
      <c r="H29" s="29">
        <v>0.66</v>
      </c>
      <c r="I29" s="234">
        <v>0.69</v>
      </c>
      <c r="J29" s="30">
        <v>0.04</v>
      </c>
      <c r="K29" s="234">
        <v>0.04</v>
      </c>
      <c r="L29" s="29">
        <v>396.18</v>
      </c>
      <c r="M29" s="234">
        <v>419.61</v>
      </c>
      <c r="N29" s="28">
        <v>1833.4</v>
      </c>
      <c r="O29" s="235">
        <v>1927.69</v>
      </c>
      <c r="P29" s="12"/>
      <c r="Q29" s="31">
        <f t="shared" si="0"/>
        <v>204361.91999999995</v>
      </c>
    </row>
    <row r="30" spans="2:17">
      <c r="B30" s="25" t="s">
        <v>25</v>
      </c>
      <c r="C30" s="26" t="s">
        <v>14</v>
      </c>
      <c r="D30" s="29">
        <v>2562.39</v>
      </c>
      <c r="E30" s="234">
        <v>2702.05</v>
      </c>
      <c r="F30" s="29">
        <v>8.8800000000000008</v>
      </c>
      <c r="G30" s="234">
        <v>9.25</v>
      </c>
      <c r="H30" s="29">
        <v>0.69</v>
      </c>
      <c r="I30" s="234">
        <v>0.71</v>
      </c>
      <c r="J30" s="30">
        <v>0.04</v>
      </c>
      <c r="K30" s="234">
        <v>0.04</v>
      </c>
      <c r="L30" s="29">
        <v>419.61</v>
      </c>
      <c r="M30" s="234">
        <v>439.3</v>
      </c>
      <c r="N30" s="29">
        <v>1927.69</v>
      </c>
      <c r="O30" s="234">
        <v>2035.99</v>
      </c>
      <c r="P30" s="12"/>
      <c r="Q30" s="31">
        <f t="shared" si="0"/>
        <v>222190.63999999993</v>
      </c>
    </row>
    <row r="31" spans="2:17">
      <c r="B31" s="25" t="s">
        <v>25</v>
      </c>
      <c r="C31" s="26" t="s">
        <v>15</v>
      </c>
      <c r="D31" s="29">
        <v>2702.05</v>
      </c>
      <c r="E31" s="234">
        <v>2826.03</v>
      </c>
      <c r="F31" s="29">
        <v>9.25</v>
      </c>
      <c r="G31" s="234">
        <v>9.59</v>
      </c>
      <c r="H31" s="29">
        <v>0.71</v>
      </c>
      <c r="I31" s="234">
        <v>0.74</v>
      </c>
      <c r="J31" s="30">
        <v>0.04</v>
      </c>
      <c r="K31" s="234">
        <v>0.04</v>
      </c>
      <c r="L31" s="29">
        <v>439.3</v>
      </c>
      <c r="M31" s="234">
        <v>458.2</v>
      </c>
      <c r="N31" s="29">
        <v>2035.99</v>
      </c>
      <c r="O31" s="234">
        <v>2130.67</v>
      </c>
      <c r="P31" s="12"/>
      <c r="Q31" s="31">
        <f t="shared" si="0"/>
        <v>197174.88000000006</v>
      </c>
    </row>
    <row r="32" spans="2:17">
      <c r="B32" s="25" t="s">
        <v>25</v>
      </c>
      <c r="C32" s="26" t="s">
        <v>16</v>
      </c>
      <c r="D32" s="29">
        <v>2826.03</v>
      </c>
      <c r="E32" s="234">
        <v>2952.11</v>
      </c>
      <c r="F32" s="29">
        <v>9.59</v>
      </c>
      <c r="G32" s="234">
        <v>10</v>
      </c>
      <c r="H32" s="29">
        <v>0.74</v>
      </c>
      <c r="I32" s="234">
        <v>0.76</v>
      </c>
      <c r="J32" s="30">
        <v>0.04</v>
      </c>
      <c r="K32" s="234">
        <v>0.04</v>
      </c>
      <c r="L32" s="29">
        <v>458.2</v>
      </c>
      <c r="M32" s="234">
        <v>478.19</v>
      </c>
      <c r="N32" s="29">
        <v>2130.67</v>
      </c>
      <c r="O32" s="234">
        <v>2223.08</v>
      </c>
      <c r="P32" s="12"/>
      <c r="Q32" s="31">
        <f t="shared" si="0"/>
        <v>195126.39999999976</v>
      </c>
    </row>
    <row r="33" spans="2:18">
      <c r="B33" s="25" t="s">
        <v>25</v>
      </c>
      <c r="C33" s="26" t="s">
        <v>17</v>
      </c>
      <c r="D33" s="29">
        <v>2952.11</v>
      </c>
      <c r="E33" s="234">
        <v>3049.09</v>
      </c>
      <c r="F33" s="29">
        <v>10</v>
      </c>
      <c r="G33" s="234">
        <v>10.49</v>
      </c>
      <c r="H33" s="29">
        <v>0.76</v>
      </c>
      <c r="I33" s="234">
        <v>0.81</v>
      </c>
      <c r="J33" s="30">
        <v>0.04</v>
      </c>
      <c r="K33" s="234">
        <v>0.04</v>
      </c>
      <c r="L33" s="29">
        <v>478.19</v>
      </c>
      <c r="M33" s="234">
        <v>486.74</v>
      </c>
      <c r="N33" s="29">
        <v>2223.08</v>
      </c>
      <c r="O33" s="234">
        <v>2306.6799999999998</v>
      </c>
      <c r="P33" s="12"/>
      <c r="Q33" s="31">
        <f t="shared" si="0"/>
        <v>159972.39999999985</v>
      </c>
    </row>
    <row r="34" spans="2:18">
      <c r="B34" s="25" t="s">
        <v>25</v>
      </c>
      <c r="C34" s="26" t="s">
        <v>18</v>
      </c>
      <c r="D34" s="29">
        <v>3049.09</v>
      </c>
      <c r="E34" s="234">
        <v>3161.83</v>
      </c>
      <c r="F34" s="29">
        <v>10.49</v>
      </c>
      <c r="G34" s="234">
        <v>10.87</v>
      </c>
      <c r="H34" s="29">
        <v>0.81</v>
      </c>
      <c r="I34" s="234">
        <v>0.85</v>
      </c>
      <c r="J34" s="30">
        <v>0.04</v>
      </c>
      <c r="K34" s="234">
        <v>0.04</v>
      </c>
      <c r="L34" s="29">
        <v>486.74</v>
      </c>
      <c r="M34" s="234">
        <v>502.05</v>
      </c>
      <c r="N34" s="29">
        <v>2306.6799999999998</v>
      </c>
      <c r="O34" s="234">
        <v>2394.71</v>
      </c>
      <c r="P34" s="12"/>
      <c r="Q34" s="31">
        <f t="shared" si="0"/>
        <v>179398.24000000034</v>
      </c>
    </row>
    <row r="35" spans="2:18">
      <c r="B35" s="25" t="s">
        <v>25</v>
      </c>
      <c r="C35" s="26" t="s">
        <v>19</v>
      </c>
      <c r="D35" s="29">
        <v>3161.83</v>
      </c>
      <c r="E35" s="234">
        <v>3266.1</v>
      </c>
      <c r="F35" s="29">
        <v>10.87</v>
      </c>
      <c r="G35" s="234">
        <v>11.27</v>
      </c>
      <c r="H35" s="29">
        <v>0.85</v>
      </c>
      <c r="I35" s="234">
        <v>0.89</v>
      </c>
      <c r="J35" s="30">
        <v>0.04</v>
      </c>
      <c r="K35" s="234">
        <v>0.04</v>
      </c>
      <c r="L35" s="29">
        <v>502.05</v>
      </c>
      <c r="M35" s="234">
        <v>517.33000000000004</v>
      </c>
      <c r="N35" s="29">
        <v>2394.71</v>
      </c>
      <c r="O35" s="234">
        <v>2474.94</v>
      </c>
      <c r="P35" s="12"/>
      <c r="Q35" s="31">
        <f t="shared" si="0"/>
        <v>165805.36000000007</v>
      </c>
    </row>
    <row r="36" spans="2:18">
      <c r="B36" s="25" t="s">
        <v>25</v>
      </c>
      <c r="C36" s="26" t="s">
        <v>20</v>
      </c>
      <c r="D36" s="29">
        <v>3266.1</v>
      </c>
      <c r="E36" s="234">
        <v>3368.79</v>
      </c>
      <c r="F36" s="29">
        <v>11.27</v>
      </c>
      <c r="G36" s="234">
        <v>11.62</v>
      </c>
      <c r="H36" s="29">
        <v>0.89</v>
      </c>
      <c r="I36" s="234">
        <v>0.94</v>
      </c>
      <c r="J36" s="30">
        <v>0.04</v>
      </c>
      <c r="K36" s="234">
        <v>0.04</v>
      </c>
      <c r="L36" s="29">
        <v>517.33000000000004</v>
      </c>
      <c r="M36" s="234">
        <v>535.79</v>
      </c>
      <c r="N36" s="29">
        <v>2474.94</v>
      </c>
      <c r="O36" s="234">
        <v>2550.4899999999998</v>
      </c>
      <c r="P36" s="12"/>
      <c r="Q36" s="31">
        <f t="shared" si="0"/>
        <v>163201.3599999994</v>
      </c>
    </row>
    <row r="37" spans="2:18">
      <c r="B37" s="25" t="s">
        <v>25</v>
      </c>
      <c r="C37" s="26" t="s">
        <v>21</v>
      </c>
      <c r="D37" s="29">
        <v>3368.79</v>
      </c>
      <c r="E37" s="234">
        <v>3464.64</v>
      </c>
      <c r="F37" s="29">
        <v>11.62</v>
      </c>
      <c r="G37" s="234">
        <v>11.95</v>
      </c>
      <c r="H37" s="29">
        <v>0.94</v>
      </c>
      <c r="I37" s="234">
        <v>0.98</v>
      </c>
      <c r="J37" s="30">
        <v>0.04</v>
      </c>
      <c r="K37" s="234">
        <v>0.04</v>
      </c>
      <c r="L37" s="29">
        <v>535.79</v>
      </c>
      <c r="M37" s="234">
        <v>551.04</v>
      </c>
      <c r="N37" s="29">
        <v>2550.4899999999998</v>
      </c>
      <c r="O37" s="234">
        <v>2622.88</v>
      </c>
      <c r="P37" s="12"/>
      <c r="Q37" s="31">
        <f t="shared" si="0"/>
        <v>152143.04000000056</v>
      </c>
    </row>
    <row r="38" spans="2:18">
      <c r="B38" s="25" t="s">
        <v>25</v>
      </c>
      <c r="C38" s="26" t="s">
        <v>22</v>
      </c>
      <c r="D38" s="29">
        <v>3464.64</v>
      </c>
      <c r="E38" s="234">
        <v>3566.79</v>
      </c>
      <c r="F38" s="29">
        <v>11.95</v>
      </c>
      <c r="G38" s="234">
        <v>12.31</v>
      </c>
      <c r="H38" s="29">
        <v>0.98</v>
      </c>
      <c r="I38" s="234">
        <v>1.03</v>
      </c>
      <c r="J38" s="30">
        <v>0.04</v>
      </c>
      <c r="K38" s="234">
        <v>0.04</v>
      </c>
      <c r="L38" s="29">
        <v>551.04</v>
      </c>
      <c r="M38" s="234">
        <v>566.45000000000005</v>
      </c>
      <c r="N38" s="29">
        <v>2622.88</v>
      </c>
      <c r="O38" s="234">
        <v>2700.98</v>
      </c>
      <c r="P38" s="12"/>
      <c r="Q38" s="31">
        <f t="shared" si="0"/>
        <v>162333.35999999999</v>
      </c>
    </row>
    <row r="39" spans="2:18">
      <c r="B39" s="25" t="s">
        <v>25</v>
      </c>
      <c r="C39" s="26" t="s">
        <v>23</v>
      </c>
      <c r="D39" s="29">
        <v>3566.79</v>
      </c>
      <c r="E39" s="234">
        <v>3671.91</v>
      </c>
      <c r="F39" s="29">
        <v>12.31</v>
      </c>
      <c r="G39" s="234">
        <v>12.68</v>
      </c>
      <c r="H39" s="29">
        <v>1.03</v>
      </c>
      <c r="I39" s="234">
        <v>1.08</v>
      </c>
      <c r="J39" s="30">
        <v>0.04</v>
      </c>
      <c r="K39" s="234">
        <v>0.04</v>
      </c>
      <c r="L39" s="29">
        <v>566.45000000000005</v>
      </c>
      <c r="M39" s="234">
        <v>582.5</v>
      </c>
      <c r="N39" s="29">
        <v>2700.98</v>
      </c>
      <c r="O39" s="234">
        <v>2779.13</v>
      </c>
      <c r="P39" s="12"/>
      <c r="Q39" s="31">
        <f t="shared" si="0"/>
        <v>163531.20000000007</v>
      </c>
    </row>
    <row r="40" spans="2:18">
      <c r="B40" s="25" t="s">
        <v>26</v>
      </c>
      <c r="C40" s="26" t="s">
        <v>9</v>
      </c>
      <c r="D40" s="29">
        <v>3671.91</v>
      </c>
      <c r="E40" s="234">
        <v>3765.82</v>
      </c>
      <c r="F40" s="29">
        <v>12.68</v>
      </c>
      <c r="G40" s="234">
        <v>13.06</v>
      </c>
      <c r="H40" s="29">
        <v>1.08</v>
      </c>
      <c r="I40" s="234">
        <v>1.1299999999999999</v>
      </c>
      <c r="J40" s="30">
        <v>0.04</v>
      </c>
      <c r="K40" s="234">
        <v>0.04</v>
      </c>
      <c r="L40" s="29">
        <v>582.5</v>
      </c>
      <c r="M40" s="234">
        <v>597.63</v>
      </c>
      <c r="N40" s="29">
        <v>2779.13</v>
      </c>
      <c r="O40" s="234">
        <v>2852.14</v>
      </c>
      <c r="P40" s="12"/>
      <c r="Q40" s="31">
        <f t="shared" si="0"/>
        <v>153011.03999999957</v>
      </c>
    </row>
    <row r="41" spans="2:18">
      <c r="B41" s="183" t="s">
        <v>26</v>
      </c>
      <c r="C41" s="265" t="s">
        <v>427</v>
      </c>
      <c r="D41" s="13">
        <f>E40</f>
        <v>3765.82</v>
      </c>
      <c r="E41" s="236">
        <v>3853.43</v>
      </c>
      <c r="F41" s="23">
        <f>G40</f>
        <v>13.06</v>
      </c>
      <c r="G41" s="236">
        <v>13.36</v>
      </c>
      <c r="H41" s="23">
        <f>I40</f>
        <v>1.1299999999999999</v>
      </c>
      <c r="I41" s="241">
        <v>1.17</v>
      </c>
      <c r="J41" s="12">
        <f>K40</f>
        <v>0.04</v>
      </c>
      <c r="K41" s="233">
        <v>0.04</v>
      </c>
      <c r="L41" s="12">
        <f>M40</f>
        <v>597.63</v>
      </c>
      <c r="M41" s="233">
        <v>609.27</v>
      </c>
      <c r="N41" s="12">
        <f>O40</f>
        <v>2852.14</v>
      </c>
      <c r="O41" s="233">
        <v>2920.76</v>
      </c>
      <c r="P41" s="12"/>
      <c r="Q41" s="31">
        <f t="shared" si="0"/>
        <v>139331.36000000057</v>
      </c>
    </row>
    <row r="42" spans="2:18">
      <c r="B42" s="183" t="s">
        <v>26</v>
      </c>
      <c r="C42" s="287" t="s">
        <v>424</v>
      </c>
      <c r="D42" s="13">
        <f>E41</f>
        <v>3853.43</v>
      </c>
      <c r="E42" s="236">
        <v>3965.95</v>
      </c>
      <c r="F42" s="23">
        <f>G41</f>
        <v>13.36</v>
      </c>
      <c r="G42" s="236">
        <v>13.72</v>
      </c>
      <c r="H42" s="23">
        <f>I41</f>
        <v>1.17</v>
      </c>
      <c r="I42" s="241">
        <v>1.22</v>
      </c>
      <c r="J42" s="12">
        <f>K41</f>
        <v>0.04</v>
      </c>
      <c r="K42" s="233">
        <v>0.04</v>
      </c>
      <c r="L42" s="12">
        <f>M41</f>
        <v>609.27</v>
      </c>
      <c r="M42" s="233">
        <v>625.14</v>
      </c>
      <c r="N42" s="12">
        <f>O41</f>
        <v>2920.76</v>
      </c>
      <c r="O42" s="233">
        <v>3007.93</v>
      </c>
      <c r="P42" s="12"/>
      <c r="Q42" s="31">
        <f t="shared" si="0"/>
        <v>178877.43999999933</v>
      </c>
    </row>
    <row r="43" spans="2:18">
      <c r="B43" s="183" t="s">
        <v>26</v>
      </c>
      <c r="C43" s="290" t="s">
        <v>15</v>
      </c>
      <c r="D43" s="13">
        <f>E42</f>
        <v>3965.95</v>
      </c>
      <c r="E43" s="236">
        <v>4078.08</v>
      </c>
      <c r="F43" s="23">
        <f>G42</f>
        <v>13.72</v>
      </c>
      <c r="G43" s="236">
        <v>14.08</v>
      </c>
      <c r="H43" s="23">
        <f>I42</f>
        <v>1.22</v>
      </c>
      <c r="I43" s="241">
        <v>1.27</v>
      </c>
      <c r="J43" s="12">
        <f>K42</f>
        <v>0.04</v>
      </c>
      <c r="K43" s="233">
        <v>0</v>
      </c>
      <c r="L43" s="12">
        <f>M42</f>
        <v>625.14</v>
      </c>
      <c r="M43" s="233">
        <f>L43+15.84</f>
        <v>640.98</v>
      </c>
      <c r="N43" s="12">
        <f>O42</f>
        <v>3007.93</v>
      </c>
      <c r="O43" s="233">
        <f>N43+86.91</f>
        <v>3094.8399999999997</v>
      </c>
      <c r="P43" s="12"/>
      <c r="Q43" s="31">
        <f t="shared" si="0"/>
        <v>178373.9999999998</v>
      </c>
      <c r="R43" s="300"/>
    </row>
    <row r="44" spans="2:18">
      <c r="B44" s="183" t="s">
        <v>26</v>
      </c>
      <c r="C44" s="293" t="s">
        <v>16</v>
      </c>
      <c r="D44" s="13">
        <f>E43</f>
        <v>4078.08</v>
      </c>
      <c r="E44" s="236">
        <v>4181.03</v>
      </c>
      <c r="F44" s="23">
        <f>G43</f>
        <v>14.08</v>
      </c>
      <c r="G44" s="236">
        <v>14.42</v>
      </c>
      <c r="H44" s="23">
        <f>I43</f>
        <v>1.27</v>
      </c>
      <c r="I44" s="241">
        <v>1.31</v>
      </c>
      <c r="J44" s="12">
        <f>K43</f>
        <v>0</v>
      </c>
      <c r="K44" s="233">
        <v>0</v>
      </c>
      <c r="L44" s="12">
        <v>3.95</v>
      </c>
      <c r="M44" s="301">
        <v>23.63</v>
      </c>
      <c r="N44" s="12">
        <v>34.06</v>
      </c>
      <c r="O44" s="233">
        <v>108.56</v>
      </c>
      <c r="P44" s="12"/>
      <c r="Q44" s="31">
        <f t="shared" si="0"/>
        <v>163496.48000000001</v>
      </c>
      <c r="R44" s="300"/>
    </row>
    <row r="45" spans="2:18">
      <c r="B45" s="183" t="s">
        <v>26</v>
      </c>
      <c r="C45" s="307" t="s">
        <v>479</v>
      </c>
      <c r="D45" s="13">
        <f>E44</f>
        <v>4181.03</v>
      </c>
      <c r="E45" s="236">
        <v>4291.12</v>
      </c>
      <c r="F45" s="23">
        <f>G44</f>
        <v>14.42</v>
      </c>
      <c r="G45" s="236">
        <v>14.84</v>
      </c>
      <c r="H45" s="23">
        <f>I44</f>
        <v>1.31</v>
      </c>
      <c r="I45" s="241">
        <v>1.36</v>
      </c>
      <c r="J45" s="12">
        <f>K44</f>
        <v>0</v>
      </c>
      <c r="K45" s="233">
        <v>0</v>
      </c>
      <c r="L45" s="310">
        <f>M44</f>
        <v>23.63</v>
      </c>
      <c r="M45" s="233">
        <v>39.21</v>
      </c>
      <c r="N45" s="12">
        <f>O44</f>
        <v>108.56</v>
      </c>
      <c r="O45" s="233">
        <v>193.87</v>
      </c>
      <c r="P45" s="12"/>
      <c r="Q45" s="31">
        <f t="shared" si="0"/>
        <v>175145.04</v>
      </c>
    </row>
    <row r="46" spans="2:18">
      <c r="D46" s="13"/>
      <c r="F46" s="23"/>
      <c r="H46" s="23"/>
      <c r="J46" s="12"/>
      <c r="L46" s="12"/>
      <c r="N46" s="12"/>
      <c r="P46" s="12"/>
    </row>
    <row r="47" spans="2:18">
      <c r="D47" s="13"/>
      <c r="F47" s="23"/>
      <c r="H47" s="23"/>
      <c r="J47" s="12"/>
      <c r="L47" s="12"/>
      <c r="N47" s="12"/>
      <c r="P47" s="12"/>
    </row>
    <row r="48" spans="2:18">
      <c r="D48" s="13"/>
      <c r="F48" s="23"/>
      <c r="H48" s="23"/>
      <c r="J48" s="12"/>
      <c r="L48" s="12"/>
      <c r="N48" s="12"/>
      <c r="P48" s="12"/>
    </row>
    <row r="49" spans="4:16">
      <c r="D49" s="13"/>
      <c r="F49" s="23"/>
      <c r="H49" s="23"/>
      <c r="J49" s="12"/>
      <c r="L49" s="12"/>
      <c r="N49" s="12"/>
      <c r="P49" s="12"/>
    </row>
    <row r="50" spans="4:16">
      <c r="D50" s="13"/>
      <c r="F50" s="23"/>
      <c r="H50" s="23"/>
      <c r="J50" s="12"/>
      <c r="L50" s="12"/>
      <c r="N50" s="12"/>
      <c r="P50" s="12"/>
    </row>
    <row r="51" spans="4:16">
      <c r="D51" s="13"/>
      <c r="F51" s="23"/>
      <c r="H51" s="23"/>
      <c r="J51" s="12"/>
      <c r="L51" s="12"/>
      <c r="N51" s="12"/>
      <c r="P51" s="12"/>
    </row>
    <row r="52" spans="4:16">
      <c r="D52" s="13"/>
      <c r="F52" s="23"/>
      <c r="H52" s="23"/>
      <c r="J52" s="12"/>
      <c r="L52" s="12"/>
      <c r="N52" s="12"/>
      <c r="P52" s="12"/>
    </row>
    <row r="53" spans="4:16">
      <c r="D53" s="13"/>
      <c r="F53" s="23"/>
      <c r="H53" s="23"/>
      <c r="J53" s="12"/>
      <c r="L53" s="12"/>
      <c r="N53" s="12"/>
      <c r="P53" s="12"/>
    </row>
    <row r="54" spans="4:16">
      <c r="D54" s="13"/>
      <c r="F54" s="23"/>
      <c r="H54" s="23"/>
      <c r="J54" s="12"/>
      <c r="L54" s="12"/>
      <c r="N54" s="12"/>
      <c r="P54" s="12"/>
    </row>
    <row r="55" spans="4:16">
      <c r="D55" s="13"/>
      <c r="F55" s="23"/>
      <c r="H55" s="23"/>
      <c r="J55" s="12"/>
      <c r="L55" s="12"/>
      <c r="N55" s="12"/>
      <c r="P55" s="12"/>
    </row>
    <row r="56" spans="4:16">
      <c r="D56" s="13"/>
      <c r="F56" s="23"/>
      <c r="H56" s="23"/>
      <c r="J56" s="12"/>
      <c r="L56" s="12"/>
      <c r="N56" s="12"/>
      <c r="P56" s="12"/>
    </row>
    <row r="57" spans="4:16">
      <c r="D57" s="13"/>
      <c r="F57" s="23"/>
      <c r="H57" s="23"/>
      <c r="J57" s="12"/>
      <c r="L57" s="12"/>
      <c r="N57" s="12"/>
      <c r="P57" s="12"/>
    </row>
    <row r="58" spans="4:16">
      <c r="D58" s="13"/>
      <c r="F58" s="23"/>
      <c r="H58" s="23"/>
      <c r="J58" s="12"/>
      <c r="L58" s="12"/>
      <c r="N58" s="12"/>
      <c r="P58" s="12"/>
    </row>
    <row r="59" spans="4:16">
      <c r="D59" s="13"/>
      <c r="F59" s="23"/>
      <c r="H59" s="23"/>
      <c r="J59" s="12"/>
      <c r="L59" s="12"/>
      <c r="N59" s="12"/>
      <c r="P59" s="12"/>
    </row>
    <row r="60" spans="4:16">
      <c r="D60" s="13"/>
      <c r="F60" s="23"/>
      <c r="H60" s="23"/>
      <c r="J60" s="12"/>
      <c r="L60" s="12"/>
      <c r="N60" s="12"/>
      <c r="P60" s="12"/>
    </row>
    <row r="61" spans="4:16">
      <c r="D61" s="13"/>
      <c r="F61" s="23"/>
      <c r="H61" s="23"/>
      <c r="J61" s="12"/>
      <c r="L61" s="12"/>
      <c r="N61" s="12"/>
      <c r="P61" s="12"/>
    </row>
    <row r="62" spans="4:16">
      <c r="D62" s="13"/>
      <c r="F62" s="23"/>
      <c r="H62" s="23"/>
      <c r="J62" s="12"/>
      <c r="L62" s="12"/>
      <c r="N62" s="12"/>
      <c r="P62" s="12"/>
    </row>
    <row r="63" spans="4:16">
      <c r="D63" s="13"/>
      <c r="F63" s="23"/>
      <c r="H63" s="23"/>
      <c r="J63" s="12"/>
      <c r="L63" s="12"/>
      <c r="N63" s="12"/>
      <c r="P63" s="12"/>
    </row>
    <row r="64" spans="4:16">
      <c r="D64" s="13"/>
      <c r="F64" s="23"/>
      <c r="H64" s="23"/>
      <c r="J64" s="12"/>
      <c r="L64" s="12"/>
      <c r="N64" s="12"/>
      <c r="P64" s="12"/>
    </row>
    <row r="65" spans="4:16">
      <c r="D65" s="13"/>
      <c r="F65" s="23"/>
      <c r="H65" s="23"/>
      <c r="J65" s="12"/>
      <c r="L65" s="12"/>
      <c r="N65" s="12"/>
      <c r="P65" s="12"/>
    </row>
    <row r="66" spans="4:16">
      <c r="D66" s="13"/>
      <c r="F66" s="23"/>
      <c r="H66" s="23"/>
      <c r="J66" s="12"/>
      <c r="L66" s="12"/>
      <c r="N66" s="12"/>
      <c r="P66" s="12"/>
    </row>
    <row r="67" spans="4:16">
      <c r="D67" s="13"/>
      <c r="F67" s="23"/>
      <c r="H67" s="23"/>
      <c r="J67" s="12"/>
      <c r="L67" s="12"/>
      <c r="N67" s="12"/>
      <c r="P67" s="12"/>
    </row>
    <row r="68" spans="4:16">
      <c r="D68" s="13"/>
      <c r="F68" s="23"/>
      <c r="H68" s="23"/>
      <c r="J68" s="12"/>
      <c r="L68" s="12"/>
      <c r="N68" s="12"/>
      <c r="P68" s="12"/>
    </row>
    <row r="69" spans="4:16">
      <c r="D69" s="13"/>
      <c r="F69" s="23"/>
      <c r="H69" s="23"/>
      <c r="J69" s="12"/>
      <c r="L69" s="12"/>
      <c r="N69" s="12"/>
      <c r="P69" s="12"/>
    </row>
    <row r="70" spans="4:16">
      <c r="D70" s="13"/>
      <c r="F70" s="23"/>
      <c r="H70" s="23"/>
      <c r="J70" s="12"/>
      <c r="L70" s="12"/>
      <c r="N70" s="12"/>
      <c r="P70" s="12"/>
    </row>
    <row r="71" spans="4:16">
      <c r="D71" s="13"/>
      <c r="F71" s="23"/>
      <c r="H71" s="23"/>
      <c r="J71" s="12"/>
      <c r="L71" s="12"/>
      <c r="N71" s="12"/>
      <c r="P71" s="12"/>
    </row>
    <row r="72" spans="4:16">
      <c r="D72" s="13"/>
      <c r="F72" s="23"/>
      <c r="H72" s="23"/>
      <c r="J72" s="12"/>
      <c r="L72" s="12"/>
      <c r="N72" s="12"/>
      <c r="P72" s="12"/>
    </row>
    <row r="73" spans="4:16">
      <c r="D73" s="13"/>
      <c r="F73" s="23"/>
      <c r="H73" s="23"/>
      <c r="J73" s="12"/>
      <c r="L73" s="12"/>
      <c r="N73" s="12"/>
      <c r="P73" s="12"/>
    </row>
    <row r="74" spans="4:16">
      <c r="D74" s="13"/>
      <c r="F74" s="23"/>
      <c r="H74" s="23"/>
      <c r="J74" s="12"/>
      <c r="L74" s="12"/>
      <c r="N74" s="12"/>
      <c r="P74" s="12"/>
    </row>
    <row r="75" spans="4:16">
      <c r="D75" s="13"/>
      <c r="F75" s="23"/>
      <c r="H75" s="23"/>
      <c r="J75" s="12"/>
      <c r="L75" s="12"/>
      <c r="N75" s="12"/>
      <c r="P75" s="12"/>
    </row>
    <row r="76" spans="4:16">
      <c r="D76" s="13"/>
      <c r="F76" s="23"/>
      <c r="H76" s="23"/>
      <c r="J76" s="12"/>
      <c r="L76" s="12"/>
      <c r="N76" s="12"/>
      <c r="P76" s="12"/>
    </row>
    <row r="77" spans="4:16">
      <c r="D77" s="13"/>
      <c r="F77" s="23"/>
      <c r="H77" s="23"/>
      <c r="J77" s="12"/>
      <c r="L77" s="12"/>
      <c r="N77" s="12"/>
      <c r="P77" s="12"/>
    </row>
    <row r="78" spans="4:16">
      <c r="D78" s="13"/>
      <c r="F78" s="23"/>
      <c r="H78" s="23"/>
      <c r="J78" s="12"/>
      <c r="L78" s="12"/>
      <c r="N78" s="12"/>
      <c r="P78" s="12"/>
    </row>
    <row r="79" spans="4:16">
      <c r="D79" s="13"/>
      <c r="F79" s="23"/>
      <c r="H79" s="23"/>
      <c r="J79" s="12"/>
      <c r="L79" s="12"/>
      <c r="N79" s="12"/>
      <c r="P79" s="12"/>
    </row>
    <row r="80" spans="4:16">
      <c r="D80" s="13"/>
      <c r="F80" s="23"/>
      <c r="H80" s="23"/>
      <c r="J80" s="12"/>
      <c r="L80" s="12"/>
      <c r="N80" s="12"/>
      <c r="P80" s="12"/>
    </row>
    <row r="81" spans="4:16">
      <c r="D81" s="13"/>
      <c r="F81" s="23"/>
      <c r="H81" s="23"/>
      <c r="J81" s="12"/>
      <c r="L81" s="12"/>
      <c r="N81" s="12"/>
      <c r="P81" s="12"/>
    </row>
    <row r="82" spans="4:16">
      <c r="D82" s="13"/>
      <c r="F82" s="23"/>
      <c r="H82" s="23"/>
      <c r="J82" s="12"/>
      <c r="L82" s="12"/>
      <c r="N82" s="12"/>
      <c r="P82" s="12"/>
    </row>
    <row r="83" spans="4:16">
      <c r="D83" s="13"/>
      <c r="F83" s="23"/>
      <c r="H83" s="23"/>
      <c r="J83" s="12"/>
      <c r="L83" s="12"/>
      <c r="N83" s="12"/>
      <c r="P83" s="12"/>
    </row>
    <row r="84" spans="4:16">
      <c r="D84" s="13"/>
      <c r="F84" s="23"/>
      <c r="H84" s="23"/>
      <c r="J84" s="12"/>
      <c r="L84" s="12"/>
      <c r="N84" s="12"/>
      <c r="P84" s="12"/>
    </row>
    <row r="85" spans="4:16">
      <c r="D85" s="13"/>
      <c r="F85" s="23"/>
      <c r="H85" s="23"/>
      <c r="J85" s="12"/>
      <c r="L85" s="12"/>
      <c r="N85" s="12"/>
      <c r="P85" s="12"/>
    </row>
    <row r="86" spans="4:16">
      <c r="D86" s="13"/>
      <c r="F86" s="23"/>
      <c r="H86" s="23"/>
      <c r="J86" s="12"/>
      <c r="L86" s="12"/>
      <c r="N86" s="12"/>
      <c r="P86" s="12"/>
    </row>
    <row r="87" spans="4:16">
      <c r="D87" s="13"/>
      <c r="F87" s="23"/>
      <c r="H87" s="23"/>
      <c r="J87" s="12"/>
      <c r="L87" s="12"/>
      <c r="N87" s="12"/>
      <c r="P87" s="12"/>
    </row>
    <row r="88" spans="4:16">
      <c r="D88" s="13"/>
      <c r="F88" s="23"/>
      <c r="H88" s="23"/>
      <c r="J88" s="12"/>
      <c r="L88" s="12"/>
      <c r="N88" s="12"/>
      <c r="P88" s="12"/>
    </row>
    <row r="89" spans="4:16">
      <c r="D89" s="13"/>
      <c r="F89" s="23"/>
      <c r="H89" s="23"/>
      <c r="J89" s="12"/>
      <c r="L89" s="12"/>
      <c r="N89" s="12"/>
      <c r="P89" s="12"/>
    </row>
    <row r="90" spans="4:16">
      <c r="D90" s="13"/>
      <c r="F90" s="23"/>
      <c r="H90" s="23"/>
      <c r="J90" s="12"/>
      <c r="L90" s="12"/>
      <c r="N90" s="12"/>
      <c r="P90" s="12"/>
    </row>
    <row r="91" spans="4:16">
      <c r="D91" s="13"/>
      <c r="F91" s="23"/>
      <c r="H91" s="23"/>
      <c r="J91" s="12"/>
      <c r="L91" s="12"/>
      <c r="N91" s="12"/>
      <c r="P91" s="12"/>
    </row>
    <row r="92" spans="4:16">
      <c r="D92" s="13"/>
      <c r="F92" s="23"/>
      <c r="H92" s="23"/>
      <c r="J92" s="12"/>
      <c r="L92" s="12"/>
      <c r="N92" s="12"/>
      <c r="P92" s="12"/>
    </row>
    <row r="93" spans="4:16">
      <c r="D93" s="13"/>
      <c r="F93" s="23"/>
      <c r="H93" s="23"/>
      <c r="J93" s="12"/>
      <c r="L93" s="12"/>
      <c r="N93" s="12"/>
      <c r="P93" s="12"/>
    </row>
    <row r="94" spans="4:16">
      <c r="D94" s="13"/>
      <c r="F94" s="23"/>
      <c r="H94" s="23"/>
      <c r="J94" s="12"/>
      <c r="L94" s="12"/>
      <c r="N94" s="12"/>
      <c r="P94" s="12"/>
    </row>
    <row r="95" spans="4:16">
      <c r="D95" s="13"/>
      <c r="F95" s="23"/>
      <c r="H95" s="23"/>
      <c r="J95" s="12"/>
      <c r="L95" s="12"/>
      <c r="N95" s="12"/>
      <c r="P95" s="12"/>
    </row>
    <row r="96" spans="4:16">
      <c r="D96" s="13"/>
      <c r="F96" s="23"/>
      <c r="H96" s="23"/>
      <c r="J96" s="12"/>
      <c r="L96" s="12"/>
      <c r="N96" s="12"/>
      <c r="P96" s="12"/>
    </row>
    <row r="97" spans="4:16">
      <c r="D97" s="13"/>
      <c r="F97" s="23"/>
      <c r="H97" s="23"/>
      <c r="J97" s="12"/>
      <c r="L97" s="12"/>
      <c r="N97" s="12"/>
      <c r="P97" s="12"/>
    </row>
    <row r="98" spans="4:16">
      <c r="D98" s="13"/>
      <c r="F98" s="23"/>
      <c r="H98" s="23"/>
      <c r="J98" s="12"/>
      <c r="L98" s="12"/>
      <c r="N98" s="12"/>
      <c r="P98" s="12"/>
    </row>
    <row r="99" spans="4:16">
      <c r="D99" s="13"/>
      <c r="F99" s="23"/>
      <c r="H99" s="23"/>
      <c r="J99" s="12"/>
      <c r="L99" s="12"/>
      <c r="N99" s="12"/>
      <c r="P99" s="12"/>
    </row>
    <row r="100" spans="4:16">
      <c r="D100" s="13"/>
      <c r="F100" s="23"/>
      <c r="H100" s="23"/>
      <c r="J100" s="12"/>
      <c r="L100" s="12"/>
      <c r="N100" s="12"/>
      <c r="P100" s="12"/>
    </row>
  </sheetData>
  <mergeCells count="3">
    <mergeCell ref="Q1:Q2"/>
    <mergeCell ref="B1:B3"/>
    <mergeCell ref="C1:C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J40"/>
  <sheetViews>
    <sheetView topLeftCell="D1" workbookViewId="0">
      <selection activeCell="J4" sqref="J4"/>
    </sheetView>
  </sheetViews>
  <sheetFormatPr defaultRowHeight="16.5"/>
  <cols>
    <col min="1" max="16384" width="9" style="8"/>
  </cols>
  <sheetData>
    <row r="1" spans="2:10" ht="17.25" customHeight="1" thickTop="1" thickBot="1">
      <c r="B1" s="316" t="s">
        <v>62</v>
      </c>
      <c r="C1" s="316" t="s">
        <v>63</v>
      </c>
    </row>
    <row r="2" spans="2:10" ht="18" thickTop="1" thickBot="1">
      <c r="B2" s="314"/>
      <c r="C2" s="314"/>
      <c r="E2" s="8" t="s">
        <v>81</v>
      </c>
      <c r="F2" s="8" t="s">
        <v>4</v>
      </c>
      <c r="G2" s="8" t="s">
        <v>82</v>
      </c>
      <c r="H2" s="8" t="s">
        <v>83</v>
      </c>
      <c r="J2" s="20" t="s">
        <v>92</v>
      </c>
    </row>
    <row r="3" spans="2:10" ht="17.25" customHeight="1" thickTop="1" thickBot="1">
      <c r="B3" s="315"/>
      <c r="C3" s="315"/>
      <c r="E3" s="246" t="s">
        <v>91</v>
      </c>
      <c r="F3" s="247" t="s">
        <v>84</v>
      </c>
      <c r="G3" s="249">
        <f>SUMIFS(메인전력량계!AB:AB,메인전력량계!B:B,E:E,메인전력량계!C:C,F:F)</f>
        <v>7438.08</v>
      </c>
      <c r="H3" s="198">
        <f>RANK(G3,$G$3:$G$8)</f>
        <v>5</v>
      </c>
      <c r="J3" s="19">
        <f>MAX(G3:G8)</f>
        <v>11448.000000000025</v>
      </c>
    </row>
    <row r="4" spans="2:10" ht="17.25" thickTop="1">
      <c r="B4" s="8" t="s">
        <v>8</v>
      </c>
      <c r="C4" s="9" t="s">
        <v>9</v>
      </c>
      <c r="E4" s="248" t="s">
        <v>428</v>
      </c>
      <c r="F4" s="250" t="s">
        <v>86</v>
      </c>
      <c r="G4" s="249">
        <f>SUMIFS(메인전력량계!AB:AB,메인전력량계!B:B,E:E,메인전력량계!C:C,F:F)</f>
        <v>8620.8000000000011</v>
      </c>
      <c r="H4" s="198">
        <f t="shared" ref="H4:H8" si="0">RANK(G4,$G$3:$G$8)</f>
        <v>4</v>
      </c>
    </row>
    <row r="5" spans="2:10">
      <c r="B5" s="8" t="s">
        <v>8</v>
      </c>
      <c r="C5" s="9" t="s">
        <v>13</v>
      </c>
      <c r="E5" s="248" t="s">
        <v>85</v>
      </c>
      <c r="F5" s="250" t="s">
        <v>87</v>
      </c>
      <c r="G5" s="249">
        <f>SUMIFS(메인전력량계!AB:AB,메인전력량계!B:B,E:E,메인전력량계!C:C,F:F)</f>
        <v>11448.000000000025</v>
      </c>
      <c r="H5" s="198">
        <f t="shared" si="0"/>
        <v>1</v>
      </c>
    </row>
    <row r="6" spans="2:10">
      <c r="B6" s="8" t="s">
        <v>8</v>
      </c>
      <c r="C6" s="9" t="s">
        <v>14</v>
      </c>
      <c r="E6" s="248" t="s">
        <v>85</v>
      </c>
      <c r="F6" s="250" t="s">
        <v>88</v>
      </c>
      <c r="G6" s="249">
        <f>SUMIFS(메인전력량계!AB:AB,메인전력량계!B:B,E:E,메인전력량계!C:C,F:F)</f>
        <v>10958.40000000004</v>
      </c>
      <c r="H6" s="198">
        <f t="shared" si="0"/>
        <v>2</v>
      </c>
    </row>
    <row r="7" spans="2:10">
      <c r="B7" s="8" t="s">
        <v>8</v>
      </c>
      <c r="C7" s="9" t="s">
        <v>15</v>
      </c>
      <c r="E7" s="248" t="s">
        <v>85</v>
      </c>
      <c r="F7" s="250" t="s">
        <v>89</v>
      </c>
      <c r="G7" s="249">
        <f>SUMIFS(메인전력량계!AB:AB,메인전력량계!B:B,E:E,메인전력량계!C:C,F:F)</f>
        <v>10526.399999999921</v>
      </c>
      <c r="H7" s="198">
        <f t="shared" si="0"/>
        <v>3</v>
      </c>
    </row>
    <row r="8" spans="2:10" ht="17.25" thickBot="1">
      <c r="B8" s="8" t="s">
        <v>8</v>
      </c>
      <c r="C8" s="9" t="s">
        <v>16</v>
      </c>
      <c r="E8" s="251" t="s">
        <v>85</v>
      </c>
      <c r="F8" s="252" t="s">
        <v>90</v>
      </c>
      <c r="G8" s="249">
        <f>SUMIFS(메인전력량계!AB:AB,메인전력량계!B:B,E:E,메인전력량계!C:C,F:F)</f>
        <v>3110.3999999999132</v>
      </c>
      <c r="H8" s="198">
        <f t="shared" si="0"/>
        <v>6</v>
      </c>
    </row>
    <row r="9" spans="2:10" ht="17.25" thickTop="1">
      <c r="B9" s="8" t="s">
        <v>8</v>
      </c>
      <c r="C9" s="9" t="s">
        <v>17</v>
      </c>
    </row>
    <row r="10" spans="2:10">
      <c r="B10" s="8" t="s">
        <v>8</v>
      </c>
      <c r="C10" s="9" t="s">
        <v>18</v>
      </c>
    </row>
    <row r="11" spans="2:10">
      <c r="B11" s="8" t="s">
        <v>8</v>
      </c>
      <c r="C11" s="9" t="s">
        <v>19</v>
      </c>
    </row>
    <row r="12" spans="2:10">
      <c r="B12" s="8" t="s">
        <v>8</v>
      </c>
      <c r="C12" s="9" t="s">
        <v>20</v>
      </c>
    </row>
    <row r="13" spans="2:10">
      <c r="B13" s="8" t="s">
        <v>8</v>
      </c>
      <c r="C13" s="9" t="s">
        <v>21</v>
      </c>
    </row>
    <row r="14" spans="2:10">
      <c r="B14" s="8" t="s">
        <v>8</v>
      </c>
      <c r="C14" s="9" t="s">
        <v>22</v>
      </c>
    </row>
    <row r="15" spans="2:10">
      <c r="B15" s="8" t="s">
        <v>8</v>
      </c>
      <c r="C15" s="9" t="s">
        <v>23</v>
      </c>
    </row>
    <row r="16" spans="2:10">
      <c r="B16" s="8" t="s">
        <v>24</v>
      </c>
      <c r="C16" s="9" t="s">
        <v>9</v>
      </c>
    </row>
    <row r="17" spans="2:3">
      <c r="B17" s="8" t="s">
        <v>24</v>
      </c>
      <c r="C17" s="9" t="s">
        <v>13</v>
      </c>
    </row>
    <row r="18" spans="2:3">
      <c r="B18" s="8" t="s">
        <v>24</v>
      </c>
      <c r="C18" s="9" t="s">
        <v>14</v>
      </c>
    </row>
    <row r="19" spans="2:3">
      <c r="B19" s="8" t="s">
        <v>24</v>
      </c>
      <c r="C19" s="9" t="s">
        <v>15</v>
      </c>
    </row>
    <row r="20" spans="2:3">
      <c r="B20" s="8" t="s">
        <v>24</v>
      </c>
      <c r="C20" s="9" t="s">
        <v>16</v>
      </c>
    </row>
    <row r="21" spans="2:3">
      <c r="B21" s="8" t="s">
        <v>24</v>
      </c>
      <c r="C21" s="9" t="s">
        <v>17</v>
      </c>
    </row>
    <row r="22" spans="2:3">
      <c r="B22" s="8" t="s">
        <v>24</v>
      </c>
      <c r="C22" s="9" t="s">
        <v>18</v>
      </c>
    </row>
    <row r="23" spans="2:3">
      <c r="B23" s="8" t="s">
        <v>24</v>
      </c>
      <c r="C23" s="9" t="s">
        <v>19</v>
      </c>
    </row>
    <row r="24" spans="2:3">
      <c r="B24" s="8" t="s">
        <v>24</v>
      </c>
      <c r="C24" s="9" t="s">
        <v>20</v>
      </c>
    </row>
    <row r="25" spans="2:3">
      <c r="B25" s="8" t="s">
        <v>24</v>
      </c>
      <c r="C25" s="9" t="s">
        <v>21</v>
      </c>
    </row>
    <row r="26" spans="2:3">
      <c r="B26" s="8" t="s">
        <v>24</v>
      </c>
      <c r="C26" s="9" t="s">
        <v>22</v>
      </c>
    </row>
    <row r="27" spans="2:3">
      <c r="B27" s="8" t="s">
        <v>24</v>
      </c>
      <c r="C27" s="9" t="s">
        <v>23</v>
      </c>
    </row>
    <row r="28" spans="2:3">
      <c r="B28" s="8" t="s">
        <v>25</v>
      </c>
      <c r="C28" s="9" t="s">
        <v>9</v>
      </c>
    </row>
    <row r="29" spans="2:3">
      <c r="B29" s="8" t="s">
        <v>25</v>
      </c>
      <c r="C29" s="9" t="s">
        <v>13</v>
      </c>
    </row>
    <row r="30" spans="2:3">
      <c r="B30" s="8" t="s">
        <v>25</v>
      </c>
      <c r="C30" s="9" t="s">
        <v>14</v>
      </c>
    </row>
    <row r="31" spans="2:3">
      <c r="B31" s="8" t="s">
        <v>25</v>
      </c>
      <c r="C31" s="9" t="s">
        <v>15</v>
      </c>
    </row>
    <row r="32" spans="2:3">
      <c r="B32" s="8" t="s">
        <v>25</v>
      </c>
      <c r="C32" s="9" t="s">
        <v>16</v>
      </c>
    </row>
    <row r="33" spans="2:3">
      <c r="B33" s="8" t="s">
        <v>25</v>
      </c>
      <c r="C33" s="9" t="s">
        <v>17</v>
      </c>
    </row>
    <row r="34" spans="2:3">
      <c r="B34" s="8" t="s">
        <v>25</v>
      </c>
      <c r="C34" s="9" t="s">
        <v>18</v>
      </c>
    </row>
    <row r="35" spans="2:3">
      <c r="B35" s="8" t="s">
        <v>25</v>
      </c>
      <c r="C35" s="9" t="s">
        <v>19</v>
      </c>
    </row>
    <row r="36" spans="2:3">
      <c r="B36" s="8" t="s">
        <v>25</v>
      </c>
      <c r="C36" s="9" t="s">
        <v>20</v>
      </c>
    </row>
    <row r="37" spans="2:3">
      <c r="B37" s="8" t="s">
        <v>25</v>
      </c>
      <c r="C37" s="9" t="s">
        <v>21</v>
      </c>
    </row>
    <row r="38" spans="2:3">
      <c r="B38" s="8" t="s">
        <v>25</v>
      </c>
      <c r="C38" s="9" t="s">
        <v>22</v>
      </c>
    </row>
    <row r="39" spans="2:3">
      <c r="B39" s="8" t="s">
        <v>25</v>
      </c>
      <c r="C39" s="9" t="s">
        <v>23</v>
      </c>
    </row>
    <row r="40" spans="2:3">
      <c r="B40" s="8" t="s">
        <v>26</v>
      </c>
      <c r="C40" s="9" t="s">
        <v>9</v>
      </c>
    </row>
  </sheetData>
  <mergeCells count="2">
    <mergeCell ref="B1:B3"/>
    <mergeCell ref="C1:C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26"/>
  <sheetViews>
    <sheetView topLeftCell="G1" workbookViewId="0">
      <selection activeCell="J21" sqref="J21"/>
    </sheetView>
  </sheetViews>
  <sheetFormatPr defaultRowHeight="16.5"/>
  <cols>
    <col min="1" max="1" width="9" style="35"/>
    <col min="4" max="4" width="9.375" style="40" bestFit="1" customWidth="1"/>
    <col min="5" max="10" width="9.375" bestFit="1" customWidth="1"/>
    <col min="11" max="12" width="9.875" bestFit="1" customWidth="1"/>
    <col min="13" max="13" width="11" bestFit="1" customWidth="1"/>
    <col min="14" max="14" width="9.875" bestFit="1" customWidth="1"/>
    <col min="15" max="15" width="11" bestFit="1" customWidth="1"/>
    <col min="16" max="16" width="9.875" bestFit="1" customWidth="1"/>
    <col min="17" max="17" width="9.375" bestFit="1" customWidth="1"/>
    <col min="19" max="19" width="9" style="42"/>
    <col min="20" max="20" width="9" customWidth="1"/>
    <col min="21" max="21" width="9.375" bestFit="1" customWidth="1"/>
  </cols>
  <sheetData>
    <row r="1" spans="2:22">
      <c r="B1" s="330" t="s">
        <v>126</v>
      </c>
      <c r="C1" s="330" t="s">
        <v>127</v>
      </c>
      <c r="D1" s="41" t="s">
        <v>99</v>
      </c>
      <c r="E1" s="47" t="s">
        <v>100</v>
      </c>
      <c r="F1" s="47" t="s">
        <v>101</v>
      </c>
      <c r="G1" s="47" t="s">
        <v>102</v>
      </c>
      <c r="H1" s="47" t="s">
        <v>103</v>
      </c>
      <c r="I1" s="47" t="s">
        <v>104</v>
      </c>
      <c r="J1" s="47" t="s">
        <v>105</v>
      </c>
      <c r="K1" s="36" t="s">
        <v>106</v>
      </c>
      <c r="L1" s="36" t="s">
        <v>107</v>
      </c>
      <c r="M1" s="36" t="s">
        <v>108</v>
      </c>
      <c r="N1" s="36" t="s">
        <v>109</v>
      </c>
      <c r="O1" s="36" t="s">
        <v>110</v>
      </c>
      <c r="P1" s="36" t="s">
        <v>111</v>
      </c>
      <c r="Q1" s="36" t="s">
        <v>112</v>
      </c>
      <c r="R1" s="35"/>
      <c r="S1" s="331" t="s">
        <v>128</v>
      </c>
      <c r="T1" s="333" t="s">
        <v>129</v>
      </c>
      <c r="U1" s="333" t="s">
        <v>130</v>
      </c>
      <c r="V1" s="330"/>
    </row>
    <row r="2" spans="2:22" ht="33">
      <c r="B2" s="330"/>
      <c r="C2" s="330"/>
      <c r="D2" s="41" t="s">
        <v>113</v>
      </c>
      <c r="E2" s="47" t="s">
        <v>114</v>
      </c>
      <c r="F2" s="47" t="s">
        <v>115</v>
      </c>
      <c r="G2" s="47" t="s">
        <v>116</v>
      </c>
      <c r="H2" s="47" t="s">
        <v>117</v>
      </c>
      <c r="I2" s="47" t="s">
        <v>118</v>
      </c>
      <c r="J2" s="47" t="s">
        <v>119</v>
      </c>
      <c r="K2" s="36" t="s">
        <v>120</v>
      </c>
      <c r="L2" s="36" t="s">
        <v>121</v>
      </c>
      <c r="M2" s="37" t="s">
        <v>122</v>
      </c>
      <c r="N2" s="36" t="s">
        <v>123</v>
      </c>
      <c r="O2" s="36" t="s">
        <v>124</v>
      </c>
      <c r="P2" s="36" t="s">
        <v>124</v>
      </c>
      <c r="Q2" s="36" t="s">
        <v>125</v>
      </c>
      <c r="R2" s="35"/>
      <c r="S2" s="332"/>
      <c r="T2" s="330"/>
      <c r="U2" s="330"/>
      <c r="V2" s="330"/>
    </row>
    <row r="3" spans="2:22">
      <c r="B3" s="39" t="s">
        <v>25</v>
      </c>
      <c r="C3" s="39" t="s">
        <v>9</v>
      </c>
      <c r="D3" s="33">
        <v>5785.125</v>
      </c>
      <c r="E3" s="48">
        <v>267.40234379999998</v>
      </c>
      <c r="F3" s="48">
        <v>687.20312999999999</v>
      </c>
      <c r="G3" s="48">
        <v>1054</v>
      </c>
      <c r="H3" s="48">
        <v>1922.0938000000001</v>
      </c>
      <c r="I3" s="48">
        <v>1009.8984</v>
      </c>
      <c r="J3" s="48">
        <v>798.10155999999995</v>
      </c>
      <c r="K3" s="34">
        <v>55820</v>
      </c>
      <c r="L3" s="34">
        <v>15102</v>
      </c>
      <c r="M3" s="38">
        <v>225148</v>
      </c>
      <c r="N3" s="34">
        <v>17953</v>
      </c>
      <c r="O3" s="34">
        <v>0</v>
      </c>
      <c r="P3" s="34">
        <v>0</v>
      </c>
      <c r="Q3" s="34">
        <v>0</v>
      </c>
      <c r="S3" s="50">
        <f>SUM(E3:J3)</f>
        <v>5738.6992338</v>
      </c>
      <c r="T3" s="43">
        <f>D3-S3</f>
        <v>46.425766199999998</v>
      </c>
      <c r="U3" s="43">
        <f>M3+SUM(O3:Q3)</f>
        <v>225148</v>
      </c>
      <c r="V3" s="43">
        <f>SUM(O3:Q3)</f>
        <v>0</v>
      </c>
    </row>
    <row r="4" spans="2:22">
      <c r="B4" s="39" t="s">
        <v>25</v>
      </c>
      <c r="C4" s="39" t="s">
        <v>13</v>
      </c>
      <c r="D4" s="33">
        <v>5976.8125</v>
      </c>
      <c r="E4" s="49">
        <v>288.59765625</v>
      </c>
      <c r="F4" s="48">
        <v>738.1953125</v>
      </c>
      <c r="G4" s="48">
        <v>1319.10156250003</v>
      </c>
      <c r="H4" s="48">
        <v>1899.10937499997</v>
      </c>
      <c r="I4" s="48">
        <v>888.10156249998499</v>
      </c>
      <c r="J4" s="48">
        <v>796.5</v>
      </c>
      <c r="K4" s="44">
        <v>70065</v>
      </c>
      <c r="L4" s="45">
        <v>15455</v>
      </c>
      <c r="M4" s="45">
        <v>251548</v>
      </c>
      <c r="N4" s="34">
        <v>16099</v>
      </c>
      <c r="O4" s="34">
        <v>0</v>
      </c>
      <c r="P4" s="34">
        <v>0</v>
      </c>
      <c r="Q4" s="34">
        <v>0</v>
      </c>
      <c r="S4" s="50">
        <f t="shared" ref="S4:S15" si="0">SUM(E4:J4)</f>
        <v>5929.6054687499854</v>
      </c>
      <c r="T4" s="43">
        <f t="shared" ref="T4:T15" si="1">D4-S4</f>
        <v>47.207031250014552</v>
      </c>
      <c r="U4" s="43">
        <f t="shared" ref="U4:U15" si="2">M4+SUM(O4:Q4)</f>
        <v>251548</v>
      </c>
      <c r="V4" s="43">
        <f t="shared" ref="V4:V15" si="3">SUM(O4:Q4)</f>
        <v>0</v>
      </c>
    </row>
    <row r="5" spans="2:22">
      <c r="B5" s="39" t="s">
        <v>25</v>
      </c>
      <c r="C5" s="39" t="s">
        <v>14</v>
      </c>
      <c r="D5" s="33">
        <v>5707.4967499999993</v>
      </c>
      <c r="E5" s="48">
        <v>249.5</v>
      </c>
      <c r="F5" s="48">
        <v>680.89800000000002</v>
      </c>
      <c r="G5" s="48">
        <v>1041.8050000000001</v>
      </c>
      <c r="H5" s="48">
        <v>2013.09375</v>
      </c>
      <c r="I5" s="48">
        <v>963.5</v>
      </c>
      <c r="J5" s="48">
        <v>758.7</v>
      </c>
      <c r="K5" s="45">
        <v>56720</v>
      </c>
      <c r="L5" s="45">
        <v>15517</v>
      </c>
      <c r="M5" s="45">
        <v>264436</v>
      </c>
      <c r="N5" s="45">
        <v>10753</v>
      </c>
      <c r="O5" s="46">
        <v>188172</v>
      </c>
      <c r="P5" s="45">
        <v>70343</v>
      </c>
      <c r="Q5" s="45">
        <v>10835</v>
      </c>
      <c r="S5" s="50">
        <f t="shared" si="0"/>
        <v>5707.4967499999993</v>
      </c>
      <c r="T5" s="43">
        <f t="shared" si="1"/>
        <v>0</v>
      </c>
      <c r="U5" s="43">
        <f t="shared" si="2"/>
        <v>533786</v>
      </c>
      <c r="V5" s="43">
        <f t="shared" si="3"/>
        <v>269350</v>
      </c>
    </row>
    <row r="6" spans="2:22">
      <c r="B6" s="39" t="s">
        <v>25</v>
      </c>
      <c r="C6" s="39" t="s">
        <v>15</v>
      </c>
      <c r="D6" s="33">
        <v>5612</v>
      </c>
      <c r="E6" s="48">
        <v>258.40234375</v>
      </c>
      <c r="F6" s="48">
        <v>683.20312500002899</v>
      </c>
      <c r="G6" s="48">
        <v>1144.1953125</v>
      </c>
      <c r="H6" s="48">
        <v>1793.29687500003</v>
      </c>
      <c r="I6" s="48">
        <v>910.59374999997101</v>
      </c>
      <c r="J6" s="48">
        <v>783.296875</v>
      </c>
      <c r="K6" s="45">
        <v>56733</v>
      </c>
      <c r="L6" s="45">
        <v>20631</v>
      </c>
      <c r="M6" s="45">
        <v>258412</v>
      </c>
      <c r="N6" s="45">
        <v>14972</v>
      </c>
      <c r="O6" s="45">
        <v>61</v>
      </c>
      <c r="P6" s="45">
        <v>13676</v>
      </c>
      <c r="Q6" s="45">
        <v>563</v>
      </c>
      <c r="S6" s="50">
        <f t="shared" si="0"/>
        <v>5572.98828125003</v>
      </c>
      <c r="T6" s="43">
        <f t="shared" si="1"/>
        <v>39.011718749969987</v>
      </c>
      <c r="U6" s="43">
        <f t="shared" si="2"/>
        <v>272712</v>
      </c>
      <c r="V6" s="43">
        <f t="shared" si="3"/>
        <v>14300</v>
      </c>
    </row>
    <row r="7" spans="2:22">
      <c r="B7" s="39" t="s">
        <v>25</v>
      </c>
      <c r="C7" s="39" t="s">
        <v>16</v>
      </c>
      <c r="D7" s="33">
        <v>5642.9375000001201</v>
      </c>
      <c r="E7" s="48">
        <v>289.8984375</v>
      </c>
      <c r="F7" s="48">
        <v>685.5</v>
      </c>
      <c r="G7" s="48">
        <v>1201.6015625</v>
      </c>
      <c r="H7" s="48">
        <v>1773.60937499997</v>
      </c>
      <c r="I7" s="48">
        <v>900.70312500002899</v>
      </c>
      <c r="J7" s="48">
        <v>750.203125</v>
      </c>
      <c r="K7" s="45">
        <v>70508</v>
      </c>
      <c r="L7" s="45">
        <v>18238</v>
      </c>
      <c r="M7" s="45">
        <v>259228</v>
      </c>
      <c r="N7" s="45">
        <v>12037</v>
      </c>
      <c r="O7" s="45">
        <v>3413</v>
      </c>
      <c r="P7" s="45">
        <v>255375</v>
      </c>
      <c r="Q7" s="45">
        <v>9511</v>
      </c>
      <c r="S7" s="50">
        <f t="shared" si="0"/>
        <v>5601.5156249999991</v>
      </c>
      <c r="T7" s="43">
        <f t="shared" si="1"/>
        <v>41.421875000120963</v>
      </c>
      <c r="U7" s="43">
        <f t="shared" si="2"/>
        <v>527527</v>
      </c>
      <c r="V7" s="43">
        <f t="shared" si="3"/>
        <v>268299</v>
      </c>
    </row>
    <row r="8" spans="2:22">
      <c r="B8" s="39" t="s">
        <v>25</v>
      </c>
      <c r="C8" s="39" t="s">
        <v>17</v>
      </c>
      <c r="D8" s="33">
        <v>5753.5624999998799</v>
      </c>
      <c r="E8" s="48">
        <v>348.30078125</v>
      </c>
      <c r="F8" s="48">
        <v>653.8984375</v>
      </c>
      <c r="G8" s="48">
        <v>1175.703125</v>
      </c>
      <c r="H8" s="48">
        <v>1797</v>
      </c>
      <c r="I8" s="48">
        <v>950.10156250001501</v>
      </c>
      <c r="J8" s="48">
        <v>783.59374999997101</v>
      </c>
      <c r="K8" s="45">
        <v>65657</v>
      </c>
      <c r="L8" s="45">
        <v>20873</v>
      </c>
      <c r="M8" s="45">
        <v>223472</v>
      </c>
      <c r="N8" s="45">
        <v>12692</v>
      </c>
      <c r="O8" s="45">
        <v>134448</v>
      </c>
      <c r="P8" s="45">
        <v>4469</v>
      </c>
      <c r="Q8" s="45">
        <v>4966</v>
      </c>
      <c r="S8" s="50">
        <f t="shared" si="0"/>
        <v>5708.5976562499854</v>
      </c>
      <c r="T8" s="43">
        <f t="shared" si="1"/>
        <v>44.964843749894499</v>
      </c>
      <c r="U8" s="43">
        <f t="shared" si="2"/>
        <v>367355</v>
      </c>
      <c r="V8" s="43">
        <f t="shared" si="3"/>
        <v>143883</v>
      </c>
    </row>
    <row r="9" spans="2:22">
      <c r="B9" s="39" t="s">
        <v>25</v>
      </c>
      <c r="C9" s="39" t="s">
        <v>18</v>
      </c>
      <c r="D9" s="33">
        <v>6273.3125000001201</v>
      </c>
      <c r="E9" s="48">
        <v>321</v>
      </c>
      <c r="F9" s="48">
        <v>769.20312500001501</v>
      </c>
      <c r="G9" s="48">
        <v>1292.09374999997</v>
      </c>
      <c r="H9" s="48">
        <v>2052.79687500003</v>
      </c>
      <c r="I9" s="48">
        <v>975.695312499956</v>
      </c>
      <c r="J9" s="48">
        <v>800.10156250002899</v>
      </c>
      <c r="K9" s="45">
        <v>75433</v>
      </c>
      <c r="L9" s="45">
        <v>16579</v>
      </c>
      <c r="M9" s="45">
        <v>255768</v>
      </c>
      <c r="N9" s="45">
        <v>13745</v>
      </c>
      <c r="O9" s="45">
        <v>241259</v>
      </c>
      <c r="P9" s="45">
        <v>16</v>
      </c>
      <c r="Q9" s="45">
        <v>9021</v>
      </c>
      <c r="S9" s="50">
        <f t="shared" si="0"/>
        <v>6210.890625</v>
      </c>
      <c r="T9" s="43">
        <f t="shared" si="1"/>
        <v>62.421875000120053</v>
      </c>
      <c r="U9" s="43">
        <f t="shared" si="2"/>
        <v>506064</v>
      </c>
      <c r="V9" s="43">
        <f t="shared" si="3"/>
        <v>250296</v>
      </c>
    </row>
    <row r="10" spans="2:22">
      <c r="B10" s="39" t="s">
        <v>25</v>
      </c>
      <c r="C10" s="39" t="s">
        <v>19</v>
      </c>
      <c r="D10" s="33">
        <v>5908.6874999998799</v>
      </c>
      <c r="E10" s="48">
        <v>302.5</v>
      </c>
      <c r="F10" s="48">
        <v>771.195312499956</v>
      </c>
      <c r="G10" s="48">
        <v>1157</v>
      </c>
      <c r="H10" s="48">
        <v>1971.70312499997</v>
      </c>
      <c r="I10" s="48">
        <v>918.10156250002899</v>
      </c>
      <c r="J10" s="48">
        <v>733.89843749997101</v>
      </c>
      <c r="K10" s="45">
        <v>62065</v>
      </c>
      <c r="L10" s="45">
        <v>15787</v>
      </c>
      <c r="M10" s="45">
        <v>250896</v>
      </c>
      <c r="N10" s="45">
        <v>14479</v>
      </c>
      <c r="O10" s="45">
        <v>229203</v>
      </c>
      <c r="P10" s="45">
        <v>3468</v>
      </c>
      <c r="Q10" s="45">
        <v>8053</v>
      </c>
      <c r="S10" s="50">
        <f t="shared" si="0"/>
        <v>5854.3984374999254</v>
      </c>
      <c r="T10" s="43">
        <f t="shared" si="1"/>
        <v>54.289062499954525</v>
      </c>
      <c r="U10" s="43">
        <f t="shared" si="2"/>
        <v>491620</v>
      </c>
      <c r="V10" s="43">
        <f t="shared" si="3"/>
        <v>240724</v>
      </c>
    </row>
    <row r="11" spans="2:22">
      <c r="B11" s="39" t="s">
        <v>25</v>
      </c>
      <c r="C11" s="39" t="s">
        <v>20</v>
      </c>
      <c r="D11" s="33">
        <v>5672.3125000001201</v>
      </c>
      <c r="E11" s="48">
        <v>292.5</v>
      </c>
      <c r="F11" s="48">
        <v>703.60156250002899</v>
      </c>
      <c r="G11" s="48">
        <v>1130.5</v>
      </c>
      <c r="H11" s="48">
        <v>1809.79687500003</v>
      </c>
      <c r="I11" s="48">
        <v>900.1015625</v>
      </c>
      <c r="J11" s="48">
        <v>781.70312500002899</v>
      </c>
      <c r="K11" s="45">
        <v>66739</v>
      </c>
      <c r="L11" s="45">
        <v>18455</v>
      </c>
      <c r="M11" s="45">
        <v>249264</v>
      </c>
      <c r="N11" s="45">
        <v>12014</v>
      </c>
      <c r="O11" s="45">
        <v>203557</v>
      </c>
      <c r="P11" s="45">
        <v>1157</v>
      </c>
      <c r="Q11" s="45">
        <v>7359</v>
      </c>
      <c r="S11" s="50">
        <f t="shared" si="0"/>
        <v>5618.2031250000882</v>
      </c>
      <c r="T11" s="43">
        <f t="shared" si="1"/>
        <v>54.109375000031832</v>
      </c>
      <c r="U11" s="43">
        <f t="shared" si="2"/>
        <v>461337</v>
      </c>
      <c r="V11" s="43">
        <f t="shared" si="3"/>
        <v>212073</v>
      </c>
    </row>
    <row r="12" spans="2:22">
      <c r="B12" s="39" t="s">
        <v>25</v>
      </c>
      <c r="C12" s="39" t="s">
        <v>21</v>
      </c>
      <c r="D12" s="33">
        <v>6087.1874999998799</v>
      </c>
      <c r="E12" s="48">
        <v>421.30078125</v>
      </c>
      <c r="F12" s="48">
        <v>685.5</v>
      </c>
      <c r="G12" s="48">
        <v>1317</v>
      </c>
      <c r="H12" s="48">
        <v>1852.70312499997</v>
      </c>
      <c r="I12" s="48">
        <v>952.79687499997101</v>
      </c>
      <c r="J12" s="48">
        <v>796.60156250001501</v>
      </c>
      <c r="K12" s="45">
        <v>68788</v>
      </c>
      <c r="L12" s="45">
        <v>17677</v>
      </c>
      <c r="M12" s="45">
        <v>257500</v>
      </c>
      <c r="N12" s="45">
        <v>11467</v>
      </c>
      <c r="O12" s="45">
        <v>250458</v>
      </c>
      <c r="P12" s="45">
        <v>268</v>
      </c>
      <c r="Q12" s="45">
        <v>8896</v>
      </c>
      <c r="S12" s="50">
        <f t="shared" si="0"/>
        <v>6025.9023437499563</v>
      </c>
      <c r="T12" s="43">
        <f t="shared" si="1"/>
        <v>61.285156249923602</v>
      </c>
      <c r="U12" s="43">
        <f t="shared" si="2"/>
        <v>517122</v>
      </c>
      <c r="V12" s="43">
        <f t="shared" si="3"/>
        <v>259622</v>
      </c>
    </row>
    <row r="13" spans="2:22">
      <c r="B13" s="39" t="s">
        <v>25</v>
      </c>
      <c r="C13" s="39" t="s">
        <v>22</v>
      </c>
      <c r="D13" s="33">
        <v>2109.8125000001201</v>
      </c>
      <c r="E13" s="48">
        <v>65.5</v>
      </c>
      <c r="F13" s="48">
        <v>202.39843749997101</v>
      </c>
      <c r="G13" s="48">
        <v>15.8046875000437</v>
      </c>
      <c r="H13" s="48">
        <v>440.39062500002899</v>
      </c>
      <c r="I13" s="48">
        <v>684</v>
      </c>
      <c r="J13" s="48">
        <v>800.89843749998499</v>
      </c>
      <c r="K13" s="45">
        <v>8933</v>
      </c>
      <c r="L13" s="45">
        <v>19239</v>
      </c>
      <c r="M13" s="45">
        <v>254252</v>
      </c>
      <c r="N13" s="45">
        <v>15265</v>
      </c>
      <c r="O13" s="45">
        <v>1647</v>
      </c>
      <c r="P13" s="45">
        <v>804</v>
      </c>
      <c r="Q13" s="45">
        <v>0</v>
      </c>
      <c r="S13" s="50">
        <f t="shared" si="0"/>
        <v>2208.9921875000286</v>
      </c>
      <c r="T13" s="43">
        <f t="shared" si="1"/>
        <v>-99.179687499908596</v>
      </c>
      <c r="U13" s="43">
        <f t="shared" si="2"/>
        <v>256703</v>
      </c>
      <c r="V13" s="43">
        <f t="shared" si="3"/>
        <v>2451</v>
      </c>
    </row>
    <row r="14" spans="2:22">
      <c r="B14" s="39" t="s">
        <v>25</v>
      </c>
      <c r="C14" s="39" t="s">
        <v>23</v>
      </c>
      <c r="D14" s="33">
        <v>1973.6874999998799</v>
      </c>
      <c r="E14" s="48">
        <v>50.8984375</v>
      </c>
      <c r="F14" s="48">
        <v>147.10156250002899</v>
      </c>
      <c r="G14" s="48">
        <v>1</v>
      </c>
      <c r="H14" s="48">
        <v>310.79687499997101</v>
      </c>
      <c r="I14" s="48">
        <v>831.20312500002899</v>
      </c>
      <c r="J14" s="48">
        <v>743</v>
      </c>
      <c r="K14" s="45">
        <v>598</v>
      </c>
      <c r="L14" s="45">
        <v>17512</v>
      </c>
      <c r="M14" s="45">
        <v>177784</v>
      </c>
      <c r="N14" s="45">
        <v>18818</v>
      </c>
      <c r="O14" s="45">
        <v>82718</v>
      </c>
      <c r="P14" s="45">
        <v>1415</v>
      </c>
      <c r="Q14" s="45">
        <v>3282</v>
      </c>
      <c r="S14" s="50">
        <f t="shared" si="0"/>
        <v>2084.0000000000291</v>
      </c>
      <c r="T14" s="43">
        <f t="shared" si="1"/>
        <v>-110.31250000014916</v>
      </c>
      <c r="U14" s="43">
        <f t="shared" si="2"/>
        <v>265199</v>
      </c>
      <c r="V14" s="43">
        <f t="shared" si="3"/>
        <v>87415</v>
      </c>
    </row>
    <row r="15" spans="2:22">
      <c r="B15" s="39" t="s">
        <v>26</v>
      </c>
      <c r="C15" s="39" t="s">
        <v>9</v>
      </c>
      <c r="D15" s="33">
        <v>2236.1875000001201</v>
      </c>
      <c r="E15" s="48">
        <v>105.40234374999299</v>
      </c>
      <c r="F15" s="48">
        <v>248.70312500001501</v>
      </c>
      <c r="G15" s="48">
        <v>49.898437499985398</v>
      </c>
      <c r="H15" s="48">
        <v>358.5</v>
      </c>
      <c r="I15" s="48">
        <v>935.10156250001501</v>
      </c>
      <c r="J15" s="48">
        <v>626.79687499997101</v>
      </c>
      <c r="K15" s="34">
        <v>2898</v>
      </c>
      <c r="L15" s="34">
        <v>18387</v>
      </c>
      <c r="M15" s="34">
        <v>100404</v>
      </c>
      <c r="N15" s="34">
        <v>19328</v>
      </c>
      <c r="O15" s="34">
        <v>177469</v>
      </c>
      <c r="P15" s="34">
        <v>1367</v>
      </c>
      <c r="Q15" s="34">
        <v>7785</v>
      </c>
      <c r="S15" s="50">
        <f t="shared" si="0"/>
        <v>2324.4023437499795</v>
      </c>
      <c r="T15" s="43">
        <f t="shared" si="1"/>
        <v>-88.214843749859483</v>
      </c>
      <c r="U15" s="43">
        <f t="shared" si="2"/>
        <v>287025</v>
      </c>
      <c r="V15" s="43">
        <f t="shared" si="3"/>
        <v>186621</v>
      </c>
    </row>
    <row r="16" spans="2:22" s="186" customFormat="1">
      <c r="B16" s="269" t="s">
        <v>26</v>
      </c>
      <c r="C16" s="269" t="s">
        <v>13</v>
      </c>
      <c r="D16" s="270">
        <v>1729.4375</v>
      </c>
      <c r="E16" s="186">
        <v>53.699218750007297</v>
      </c>
      <c r="F16" s="186">
        <v>198.89843749998499</v>
      </c>
      <c r="G16" s="186">
        <v>89.703125</v>
      </c>
      <c r="H16" s="186">
        <v>404.40625</v>
      </c>
      <c r="I16" s="186">
        <v>488.39843749998499</v>
      </c>
      <c r="J16" s="186">
        <v>520</v>
      </c>
      <c r="K16" s="186">
        <v>1666</v>
      </c>
      <c r="L16" s="186">
        <v>12614</v>
      </c>
      <c r="M16" s="186">
        <v>164688</v>
      </c>
      <c r="N16" s="186">
        <v>10888</v>
      </c>
      <c r="O16" s="186">
        <v>19965</v>
      </c>
      <c r="P16" s="186">
        <v>766</v>
      </c>
      <c r="Q16" s="186">
        <v>0</v>
      </c>
      <c r="S16" s="50">
        <f t="shared" ref="S16" si="4">SUM(E16:J16)</f>
        <v>1755.1054687499773</v>
      </c>
      <c r="T16" s="173">
        <f t="shared" ref="T16" si="5">D16-S16</f>
        <v>-25.667968749977263</v>
      </c>
      <c r="U16" s="173">
        <f t="shared" ref="U16" si="6">M16+SUM(O16:Q16)</f>
        <v>185419</v>
      </c>
      <c r="V16" s="173">
        <f t="shared" ref="V16" si="7">SUM(O16:Q16)</f>
        <v>20731</v>
      </c>
    </row>
    <row r="17" spans="2:22">
      <c r="B17" s="39" t="s">
        <v>26</v>
      </c>
      <c r="C17" s="39" t="s">
        <v>14</v>
      </c>
      <c r="D17" s="270">
        <v>6391.0625</v>
      </c>
      <c r="E17" s="186">
        <v>308.19921875</v>
      </c>
      <c r="F17" s="186">
        <v>715.8984375</v>
      </c>
      <c r="G17" s="186">
        <v>1013.59374999997</v>
      </c>
      <c r="H17" s="186">
        <v>1977.79687500003</v>
      </c>
      <c r="I17" s="186">
        <v>1199.3984375</v>
      </c>
      <c r="J17" s="186">
        <v>1120.70312500003</v>
      </c>
      <c r="K17" s="186">
        <v>63277</v>
      </c>
      <c r="L17" s="186">
        <v>24551</v>
      </c>
      <c r="M17" s="186">
        <v>349474</v>
      </c>
      <c r="N17" s="186">
        <v>20425</v>
      </c>
      <c r="O17" s="186">
        <v>195000</v>
      </c>
      <c r="P17" s="186">
        <v>1003</v>
      </c>
      <c r="Q17" s="186">
        <v>8809</v>
      </c>
      <c r="S17" s="50">
        <f t="shared" ref="S17" si="8">SUM(E17:J17)</f>
        <v>6335.58984375003</v>
      </c>
      <c r="T17" s="173">
        <f t="shared" ref="T17" si="9">D17-S17</f>
        <v>55.472656249969987</v>
      </c>
      <c r="U17" s="173">
        <f t="shared" ref="U17" si="10">M17+SUM(O17:Q17)</f>
        <v>554286</v>
      </c>
      <c r="V17" s="173">
        <f t="shared" ref="V17" si="11">SUM(O17:Q17)</f>
        <v>204812</v>
      </c>
    </row>
    <row r="18" spans="2:22">
      <c r="B18" s="39" t="s">
        <v>26</v>
      </c>
      <c r="C18" s="39" t="s">
        <v>15</v>
      </c>
      <c r="D18" s="270">
        <v>5542.5</v>
      </c>
      <c r="E18" s="186">
        <v>270.30078125</v>
      </c>
      <c r="F18" s="186">
        <v>655.89843749997101</v>
      </c>
      <c r="G18" s="186">
        <v>1104.30468750004</v>
      </c>
      <c r="H18" s="186">
        <v>1713</v>
      </c>
      <c r="I18" s="186">
        <v>933.6015625</v>
      </c>
      <c r="J18" s="186">
        <v>809.703125</v>
      </c>
      <c r="K18" s="186">
        <v>59100</v>
      </c>
      <c r="L18" s="186">
        <v>18694</v>
      </c>
      <c r="M18" s="186">
        <v>254914</v>
      </c>
      <c r="N18" s="186">
        <v>13039</v>
      </c>
      <c r="O18" s="186">
        <v>153432</v>
      </c>
      <c r="P18" s="186">
        <v>52519</v>
      </c>
      <c r="Q18" s="186">
        <v>6701</v>
      </c>
      <c r="R18" s="186"/>
      <c r="S18" s="50">
        <f t="shared" ref="S18" si="12">SUM(E18:J18)</f>
        <v>5486.8085937500109</v>
      </c>
      <c r="T18" s="173">
        <f t="shared" ref="T18" si="13">D18-S18</f>
        <v>55.691406249989086</v>
      </c>
      <c r="U18" s="173">
        <f t="shared" ref="U18" si="14">M18+SUM(O18:Q18)</f>
        <v>467566</v>
      </c>
      <c r="V18" s="173">
        <f t="shared" ref="V18" si="15">SUM(O18:Q18)</f>
        <v>212652</v>
      </c>
    </row>
    <row r="19" spans="2:22">
      <c r="B19" s="39" t="s">
        <v>26</v>
      </c>
      <c r="C19" s="39" t="s">
        <v>16</v>
      </c>
      <c r="D19" s="270">
        <v>5651.3124999998799</v>
      </c>
      <c r="E19" s="186">
        <v>411.80078124999301</v>
      </c>
      <c r="F19" s="186">
        <v>630.304687500044</v>
      </c>
      <c r="G19" s="186">
        <v>1107.89843749999</v>
      </c>
      <c r="H19" s="186">
        <v>1687.60937499997</v>
      </c>
      <c r="I19" s="186">
        <v>1047.8984375</v>
      </c>
      <c r="J19" s="186">
        <v>712.1953125</v>
      </c>
      <c r="K19" s="186">
        <v>63834</v>
      </c>
      <c r="L19" s="186">
        <v>15760</v>
      </c>
      <c r="M19" s="186">
        <v>179168</v>
      </c>
      <c r="N19" s="186">
        <v>12655</v>
      </c>
      <c r="O19" s="186">
        <v>253643</v>
      </c>
      <c r="P19" s="186">
        <v>49057</v>
      </c>
      <c r="Q19" s="186">
        <v>9580</v>
      </c>
      <c r="S19" s="50">
        <f t="shared" ref="S19:S20" si="16">SUM(E19:J19)</f>
        <v>5597.7070312499973</v>
      </c>
      <c r="T19" s="173">
        <f t="shared" ref="T19" si="17">D19-S19</f>
        <v>53.605468749882675</v>
      </c>
      <c r="U19" s="173">
        <f t="shared" ref="U19:U20" si="18">M19+SUM(O19:Q19)</f>
        <v>491448</v>
      </c>
      <c r="V19" s="173">
        <f t="shared" ref="V19:V20" si="19">SUM(O19:Q19)</f>
        <v>312280</v>
      </c>
    </row>
    <row r="20" spans="2:22">
      <c r="B20" s="39" t="s">
        <v>26</v>
      </c>
      <c r="C20" s="39" t="s">
        <v>17</v>
      </c>
      <c r="D20" s="40">
        <f>5665+55</f>
        <v>5720</v>
      </c>
      <c r="E20" s="186">
        <f>285-5</f>
        <v>280</v>
      </c>
      <c r="F20" s="186">
        <f>703+50+20-10-10-5+3-1</f>
        <v>750</v>
      </c>
      <c r="G20" s="186">
        <v>1131</v>
      </c>
      <c r="H20" s="186">
        <f>1786-70-10-50-5</f>
        <v>1651</v>
      </c>
      <c r="I20" s="186">
        <f>934+70-5+10+10</f>
        <v>1019</v>
      </c>
      <c r="J20" s="311">
        <f>782-5+5-3+1</f>
        <v>780</v>
      </c>
      <c r="K20" s="186">
        <v>63556</v>
      </c>
      <c r="L20" s="186">
        <v>17227</v>
      </c>
      <c r="M20" s="186">
        <v>248614</v>
      </c>
      <c r="N20" s="186">
        <v>13585</v>
      </c>
      <c r="O20" s="186">
        <v>252051</v>
      </c>
      <c r="P20" s="186">
        <v>49000</v>
      </c>
      <c r="Q20" s="186">
        <v>8582</v>
      </c>
      <c r="S20" s="42">
        <f t="shared" si="16"/>
        <v>5611</v>
      </c>
      <c r="U20" s="173">
        <f t="shared" si="18"/>
        <v>558247</v>
      </c>
      <c r="V20" s="173">
        <f t="shared" si="19"/>
        <v>309633</v>
      </c>
    </row>
    <row r="21" spans="2:22">
      <c r="B21" s="39" t="s">
        <v>26</v>
      </c>
      <c r="C21" s="39" t="s">
        <v>18</v>
      </c>
      <c r="E21" s="173"/>
      <c r="F21" s="173"/>
      <c r="K21" s="312"/>
      <c r="L21" s="312"/>
      <c r="M21" s="312"/>
      <c r="N21" s="312"/>
      <c r="O21" s="312"/>
      <c r="P21" s="312"/>
      <c r="Q21" s="312"/>
    </row>
    <row r="22" spans="2:22">
      <c r="B22" s="39" t="s">
        <v>26</v>
      </c>
      <c r="C22" s="39" t="s">
        <v>19</v>
      </c>
      <c r="E22" s="173"/>
      <c r="F22" s="173"/>
    </row>
    <row r="23" spans="2:22">
      <c r="B23" s="39" t="s">
        <v>26</v>
      </c>
      <c r="C23" s="39" t="s">
        <v>20</v>
      </c>
      <c r="E23" s="173"/>
      <c r="F23" s="173"/>
    </row>
    <row r="24" spans="2:22">
      <c r="B24" s="39" t="s">
        <v>26</v>
      </c>
      <c r="C24" s="39" t="s">
        <v>21</v>
      </c>
    </row>
    <row r="25" spans="2:22">
      <c r="B25" s="39" t="s">
        <v>26</v>
      </c>
      <c r="C25" s="39" t="s">
        <v>22</v>
      </c>
    </row>
    <row r="26" spans="2:22">
      <c r="B26" s="39" t="s">
        <v>26</v>
      </c>
      <c r="C26" s="39" t="s">
        <v>23</v>
      </c>
    </row>
  </sheetData>
  <mergeCells count="6">
    <mergeCell ref="V1:V2"/>
    <mergeCell ref="B1:B2"/>
    <mergeCell ref="C1:C2"/>
    <mergeCell ref="S1:S2"/>
    <mergeCell ref="T1:T2"/>
    <mergeCell ref="U1:U2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C185"/>
  <sheetViews>
    <sheetView workbookViewId="0">
      <selection activeCell="N20" sqref="N20"/>
    </sheetView>
  </sheetViews>
  <sheetFormatPr defaultRowHeight="16.5"/>
  <cols>
    <col min="6" max="6" width="10.875" bestFit="1" customWidth="1"/>
    <col min="11" max="11" width="9" customWidth="1"/>
    <col min="12" max="12" width="9" style="54"/>
    <col min="13" max="13" width="10" style="51" customWidth="1"/>
    <col min="14" max="14" width="9.25" style="254" bestFit="1" customWidth="1"/>
    <col min="15" max="15" width="9.375" style="51" bestFit="1" customWidth="1"/>
    <col min="16" max="16" width="9.375" style="51" customWidth="1"/>
    <col min="20" max="20" width="9.375" bestFit="1" customWidth="1"/>
    <col min="22" max="22" width="9.375" bestFit="1" customWidth="1"/>
  </cols>
  <sheetData>
    <row r="1" spans="2:29" ht="17.25" thickTop="1">
      <c r="B1" t="s">
        <v>131</v>
      </c>
      <c r="C1" t="s">
        <v>4</v>
      </c>
      <c r="N1" s="253"/>
      <c r="R1" s="330" t="s">
        <v>146</v>
      </c>
      <c r="S1" s="330"/>
      <c r="T1" s="330"/>
      <c r="U1" s="330"/>
      <c r="V1" s="330"/>
      <c r="X1" s="330" t="s">
        <v>151</v>
      </c>
      <c r="Y1" s="330"/>
      <c r="Z1" s="330"/>
      <c r="AA1" s="330"/>
      <c r="AB1" s="330"/>
      <c r="AC1" s="330"/>
    </row>
    <row r="2" spans="2:29">
      <c r="D2" t="s">
        <v>133</v>
      </c>
      <c r="E2" t="s">
        <v>134</v>
      </c>
      <c r="F2" t="s">
        <v>135</v>
      </c>
      <c r="G2" t="s">
        <v>136</v>
      </c>
      <c r="H2" t="s">
        <v>137</v>
      </c>
      <c r="I2" t="s">
        <v>138</v>
      </c>
      <c r="J2" t="s">
        <v>139</v>
      </c>
      <c r="K2" t="s">
        <v>140</v>
      </c>
      <c r="L2" s="54" t="s">
        <v>152</v>
      </c>
      <c r="M2" s="51" t="s">
        <v>153</v>
      </c>
      <c r="N2" s="254" t="s">
        <v>154</v>
      </c>
      <c r="R2" t="s">
        <v>141</v>
      </c>
      <c r="S2" s="51" t="s">
        <v>142</v>
      </c>
      <c r="T2" t="s">
        <v>143</v>
      </c>
      <c r="U2" t="s">
        <v>144</v>
      </c>
      <c r="V2" t="s">
        <v>145</v>
      </c>
      <c r="X2" s="52" t="s">
        <v>147</v>
      </c>
      <c r="Y2" s="52" t="s">
        <v>148</v>
      </c>
      <c r="Z2" s="52" t="s">
        <v>149</v>
      </c>
      <c r="AA2" s="52" t="s">
        <v>150</v>
      </c>
      <c r="AB2" s="52" t="s">
        <v>138</v>
      </c>
      <c r="AC2" s="52" t="s">
        <v>145</v>
      </c>
    </row>
    <row r="3" spans="2:29">
      <c r="B3" s="60" t="s">
        <v>25</v>
      </c>
      <c r="C3" s="60" t="s">
        <v>9</v>
      </c>
      <c r="D3" s="65">
        <f>(SUMIFS(전력감시DATA!E:E,전력감시DATA!B:B,B:B,전력감시DATA!C:C,C:C)*1000)-(SUMIFS(전력감시DATA!K:K,전력감시DATA!B:B,B:B,전력감시DATA!C:C,C:C))+(X3*N3)+(V3*X3)</f>
        <v>250129.74379999997</v>
      </c>
      <c r="E3" s="63">
        <f>SUMIFS(전력감시DATA!K:K,전력감시DATA!B:B,B:B,전력감시DATA!C:C,C:C)</f>
        <v>55820</v>
      </c>
      <c r="F3" s="63">
        <f>(SUMIFS(전력감시DATA!F:F,전력감시DATA!B:B,B:B,전력감시DATA!C:C,C:C)*1000)+(SUMIFS(전력감시DATA!G:G,전력감시DATA!B:B,B:B,전력감시DATA!C:C,C:C)*1000)+(Y3*N3)+(Y3*V3)</f>
        <v>1799024.2299999997</v>
      </c>
      <c r="G3" s="65">
        <f>(SUMIFS(전력감시DATA!H:H,전력감시DATA!B:B,B:B,전력감시DATA!C:C,C:C)*1000)+(Z3*N3)+(Z3*V3)</f>
        <v>1960641.2000000002</v>
      </c>
      <c r="H3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3*N3)+(AA3*V3)</f>
        <v>1038808.95</v>
      </c>
      <c r="I3" s="65">
        <f>SUMIFS(전력감시DATA!J:J,전력감시DATA!B:B,B:B,전력감시DATA!C:C,C:C)*1000-SUMIFS(전력감시DATA!L:L,전력감시DATA!B:B,B:B,전력감시DATA!C:C,C:C)-SUMIFS(전력감시DATA!M:M,전력감시DATA!B:B,B:B,전력감시DATA!C:C,C:C)+(AB3*N3)+(AB3*V3)</f>
        <v>586762.10999999987</v>
      </c>
      <c r="J3" s="63">
        <f>SUMIFS(전력감시DATA!L:L,전력감시DATA!B:B,B:B,전력감시DATA!C:C,C:C)</f>
        <v>15102</v>
      </c>
      <c r="K3" s="53">
        <f>ROUNDDOWN(SUM(D3:J3),0)</f>
        <v>5706288</v>
      </c>
      <c r="L3" s="83">
        <f>ROUND(SUMIFS(본전력량!G:G,본전력량!B:B,B:B,본전력량!C:C,C:C),0)</f>
        <v>5706288</v>
      </c>
      <c r="M3" s="56">
        <f>L3-(K3+V3)</f>
        <v>-225148</v>
      </c>
      <c r="N3" s="254">
        <v>-32411</v>
      </c>
      <c r="O3" s="43">
        <f>V3+M3</f>
        <v>0</v>
      </c>
      <c r="P3" s="56" t="str">
        <f>IF(K3=L3,"일치","불일치")</f>
        <v>일치</v>
      </c>
      <c r="R3" s="43">
        <f>SUMIFS(전력감시DATA!O:O,전력감시DATA!B:B,B:B,전력감시DATA!C:C,C:C)</f>
        <v>0</v>
      </c>
      <c r="S3" s="43">
        <f>SUMIFS(전력감시DATA!P:P,전력감시DATA!B:B,B:B,전력감시DATA!C:C,C:C)</f>
        <v>0</v>
      </c>
      <c r="T3" s="43">
        <f>SUMIFS(전력감시DATA!M:M,전력감시DATA!B:B,B:B,전력감시DATA!C:C,C:C)</f>
        <v>225148</v>
      </c>
      <c r="U3" s="43">
        <f>SUMIFS(전력감시DATA!Q:Q,전력감시DATA!B:B,B:B,전력감시DATA!C:C,C:C)</f>
        <v>0</v>
      </c>
      <c r="V3" s="43">
        <f>ROUNDDOWN(SUM(R3:U3),0)</f>
        <v>225148</v>
      </c>
      <c r="X3">
        <v>0.2</v>
      </c>
      <c r="Y3">
        <v>0.3</v>
      </c>
      <c r="Z3">
        <v>0.2</v>
      </c>
      <c r="AA3">
        <v>0.15</v>
      </c>
      <c r="AB3">
        <v>0.15</v>
      </c>
      <c r="AC3">
        <f>SUM(X3:AB3)</f>
        <v>1</v>
      </c>
    </row>
    <row r="4" spans="2:29">
      <c r="B4" s="60" t="s">
        <v>25</v>
      </c>
      <c r="C4" s="60" t="s">
        <v>13</v>
      </c>
      <c r="D4" s="58">
        <f>(SUMIFS(전력감시DATA!E:E,전력감시DATA!B:B,B:B,전력감시DATA!C:C,C:C)*1000)-(SUMIFS(전력감시DATA!K:K,전력감시DATA!B:B,B:B,전력감시DATA!C:C,C:C))+(X4*N4)+(V4*X4)</f>
        <v>261906.85625000001</v>
      </c>
      <c r="E4" s="55">
        <f>SUMIFS(전력감시DATA!K:K,전력감시DATA!B:B,B:B,전력감시DATA!C:C,C:C)</f>
        <v>70065</v>
      </c>
      <c r="F4" s="55">
        <f>(SUMIFS(전력감시DATA!F:F,전력감시DATA!B:B,B:B,전력감시DATA!C:C,C:C)*1000)+(SUMIFS(전력감시DATA!G:G,전력감시DATA!B:B,B:B,전력감시DATA!C:C,C:C)*1000)+(Y4*N4)+(Y4*V4)</f>
        <v>2122358.1750000301</v>
      </c>
      <c r="G4" s="58">
        <f>(SUMIFS(전력감시DATA!H:H,전력감시DATA!B:B,B:B,전력감시DATA!C:C,C:C)*1000)+(Z4*N4)+(Z4*V4)</f>
        <v>1942483.5749999702</v>
      </c>
      <c r="H4" s="58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4*N4)+(AA4*V4)</f>
        <v>920632.21249998489</v>
      </c>
      <c r="I4" s="58">
        <f>SUMIFS(전력감시DATA!J:J,전력감시DATA!B:B,B:B,전력감시DATA!C:C,C:C)*1000-SUMIFS(전력감시DATA!L:L,전력감시DATA!B:B,B:B,전력감시DATA!C:C,C:C)-SUMIFS(전력감시DATA!M:M,전력감시DATA!B:B,B:B,전력감시DATA!C:C,C:C)+(AB4*N4)+(AB4*V4)</f>
        <v>562027.64999999991</v>
      </c>
      <c r="J4" s="55">
        <f>SUMIFS(전력감시DATA!L:L,전력감시DATA!B:B,B:B,전력감시DATA!C:C,C:C)</f>
        <v>15455</v>
      </c>
      <c r="K4" s="62">
        <f>ROUNDDOWN(SUM(D4:J4),0)</f>
        <v>5894928</v>
      </c>
      <c r="L4" s="83">
        <f>ROUND(SUMIFS(본전력량!G:G,본전력량!B:B,B:B,본전력량!C:C,C:C),0)</f>
        <v>5894928</v>
      </c>
      <c r="M4" s="64">
        <f t="shared" ref="M4:M26" si="0">L4-(K4+V4)</f>
        <v>-251548</v>
      </c>
      <c r="N4" s="254">
        <v>-34677</v>
      </c>
      <c r="O4" s="64">
        <f t="shared" ref="O4:O26" si="1">V4+M4</f>
        <v>0</v>
      </c>
      <c r="P4" s="64" t="str">
        <f t="shared" ref="P4:P26" si="2">IF(K4=L4,"일치","불일치")</f>
        <v>일치</v>
      </c>
      <c r="R4" s="64">
        <f>SUMIFS(전력감시DATA!O:O,전력감시DATA!B:B,B:B,전력감시DATA!C:C,C:C)</f>
        <v>0</v>
      </c>
      <c r="S4" s="64">
        <f>SUMIFS(전력감시DATA!P:P,전력감시DATA!B:B,B:B,전력감시DATA!C:C,C:C)</f>
        <v>0</v>
      </c>
      <c r="T4" s="64">
        <f>SUMIFS(전력감시DATA!M:M,전력감시DATA!B:B,B:B,전력감시DATA!C:C,C:C)</f>
        <v>251548</v>
      </c>
      <c r="U4" s="64">
        <f>SUMIFS(전력감시DATA!Q:Q,전력감시DATA!B:B,B:B,전력감시DATA!C:C,C:C)</f>
        <v>0</v>
      </c>
      <c r="V4" s="64">
        <f>ROUNDDOWN(SUM(R4:U4),0)</f>
        <v>251548</v>
      </c>
      <c r="X4" s="51">
        <v>0.2</v>
      </c>
      <c r="Y4" s="51">
        <v>0.3</v>
      </c>
      <c r="Z4" s="51">
        <v>0.2</v>
      </c>
      <c r="AA4" s="51">
        <v>0.15</v>
      </c>
      <c r="AB4" s="51">
        <v>0.15</v>
      </c>
      <c r="AC4" s="51">
        <f t="shared" ref="AC4:AC67" si="3">SUM(X4:AB4)</f>
        <v>1</v>
      </c>
    </row>
    <row r="5" spans="2:29">
      <c r="B5" s="60" t="s">
        <v>25</v>
      </c>
      <c r="C5" s="60" t="s">
        <v>14</v>
      </c>
      <c r="D5" s="65">
        <f>(SUMIFS(전력감시DATA!E:E,전력감시DATA!B:B,B:B,전력감시DATA!C:C,C:C)*1000)-(SUMIFS(전력감시DATA!K:K,전력감시DATA!B:B,B:B,전력감시DATA!C:C,C:C))+(X5*N5)+(V5*X5)</f>
        <v>301311.59999999998</v>
      </c>
      <c r="E5" s="63">
        <f>SUMIFS(전력감시DATA!K:K,전력감시DATA!B:B,B:B,전력감시DATA!C:C,C:C)</f>
        <v>56720</v>
      </c>
      <c r="F5" s="63">
        <f>(SUMIFS(전력감시DATA!F:F,전력감시DATA!B:B,B:B,전력감시DATA!C:C,C:C)*1000)+(SUMIFS(전력감시DATA!G:G,전력감시DATA!B:B,B:B,전력감시DATA!C:C,C:C)*1000)+(Y5*N5)+(Y5*V5)</f>
        <v>1885500.4000000001</v>
      </c>
      <c r="G5" s="65">
        <f>(SUMIFS(전력감시DATA!H:H,전력감시DATA!B:B,B:B,전력감시DATA!C:C,C:C)*1000)+(Z5*N5)+(Z5*V5)</f>
        <v>2121625.35</v>
      </c>
      <c r="H5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5*N5)+(AA5*V5)</f>
        <v>775548.70000000007</v>
      </c>
      <c r="I5" s="65">
        <f>SUMIFS(전력감시DATA!J:J,전력감시DATA!B:B,B:B,전력감시DATA!C:C,C:C)*1000-SUMIFS(전력감시DATA!L:L,전력감시DATA!B:B,B:B,전력감시DATA!C:C,C:C)-SUMIFS(전력감시DATA!M:M,전력감시DATA!B:B,B:B,전력감시DATA!C:C,C:C)+(AB5*N5)+(AB5*V5)</f>
        <v>560145.69999999995</v>
      </c>
      <c r="J5" s="63">
        <f>SUMIFS(전력감시DATA!L:L,전력감시DATA!B:B,B:B,전력감시DATA!C:C,C:C)</f>
        <v>15517</v>
      </c>
      <c r="K5" s="62">
        <f t="shared" ref="K5:K26" si="4">ROUNDDOWN(SUM(D5:J5),0)</f>
        <v>5716368</v>
      </c>
      <c r="L5" s="83">
        <f>ROUND(SUMIFS(본전력량!G:G,본전력량!B:B,B:B,본전력량!C:C,C:C),0)</f>
        <v>5716368</v>
      </c>
      <c r="M5" s="64">
        <f t="shared" si="0"/>
        <v>-533786</v>
      </c>
      <c r="N5" s="254">
        <v>8872</v>
      </c>
      <c r="O5" s="64">
        <f t="shared" si="1"/>
        <v>0</v>
      </c>
      <c r="P5" s="64" t="str">
        <f t="shared" si="2"/>
        <v>일치</v>
      </c>
      <c r="R5" s="64">
        <f>SUMIFS(전력감시DATA!O:O,전력감시DATA!B:B,B:B,전력감시DATA!C:C,C:C)</f>
        <v>188172</v>
      </c>
      <c r="S5" s="64">
        <f>SUMIFS(전력감시DATA!P:P,전력감시DATA!B:B,B:B,전력감시DATA!C:C,C:C)</f>
        <v>70343</v>
      </c>
      <c r="T5" s="64">
        <f>SUMIFS(전력감시DATA!M:M,전력감시DATA!B:B,B:B,전력감시DATA!C:C,C:C)</f>
        <v>264436</v>
      </c>
      <c r="U5" s="64">
        <f>SUMIFS(전력감시DATA!Q:Q,전력감시DATA!B:B,B:B,전력감시DATA!C:C,C:C)</f>
        <v>10835</v>
      </c>
      <c r="V5" s="64">
        <f t="shared" ref="V5:V26" si="5">ROUNDDOWN(SUM(R5:U5),0)</f>
        <v>533786</v>
      </c>
      <c r="X5" s="51">
        <v>0.2</v>
      </c>
      <c r="Y5" s="51">
        <v>0.3</v>
      </c>
      <c r="Z5" s="51">
        <v>0.2</v>
      </c>
      <c r="AA5" s="51">
        <v>0.15</v>
      </c>
      <c r="AB5" s="51">
        <v>0.15</v>
      </c>
      <c r="AC5" s="51">
        <f t="shared" si="3"/>
        <v>1</v>
      </c>
    </row>
    <row r="6" spans="2:29">
      <c r="B6" s="60" t="s">
        <v>25</v>
      </c>
      <c r="C6" s="60" t="s">
        <v>15</v>
      </c>
      <c r="D6" s="65">
        <f>(SUMIFS(전력감시DATA!E:E,전력감시DATA!B:B,B:B,전력감시DATA!C:C,C:C)*1000)-(SUMIFS(전력감시DATA!K:K,전력감시DATA!B:B,B:B,전력감시DATA!C:C,C:C))+(X6*N6)+(V6*X6)</f>
        <v>248945.34375</v>
      </c>
      <c r="E6" s="63">
        <f>SUMIFS(전력감시DATA!K:K,전력감시DATA!B:B,B:B,전력감시DATA!C:C,C:C)</f>
        <v>56733</v>
      </c>
      <c r="F6" s="63">
        <f>(SUMIFS(전력감시DATA!F:F,전력감시DATA!B:B,B:B,전력감시DATA!C:C,C:C)*1000)+(SUMIFS(전력감시DATA!G:G,전력감시DATA!B:B,B:B,전력감시DATA!C:C,C:C)*1000)+(Y6*N6)+(Y6*V6)</f>
        <v>1898312.4375000289</v>
      </c>
      <c r="G6" s="65">
        <f>(SUMIFS(전력감시DATA!H:H,전력감시DATA!B:B,B:B,전력감시DATA!C:C,C:C)*1000)+(Z6*N6)+(Z6*V6)</f>
        <v>1840572.87500003</v>
      </c>
      <c r="H6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6*N6)+(AA6*V6)</f>
        <v>931750.74999997101</v>
      </c>
      <c r="I6" s="65">
        <f>SUMIFS(전력감시DATA!J:J,전력감시DATA!B:B,B:B,전력감시DATA!C:C,C:C)*1000-SUMIFS(전력감시DATA!L:L,전력감시DATA!B:B,B:B,전력감시DATA!C:C,C:C)-SUMIFS(전력감시DATA!M:M,전력감시DATA!B:B,B:B,전력감시DATA!C:C,C:C)+(AB6*N6)+(AB6*V6)</f>
        <v>539710.875</v>
      </c>
      <c r="J6" s="63">
        <f>SUMIFS(전력감시DATA!L:L,전력감시DATA!B:B,B:B,전력감시DATA!C:C,C:C)</f>
        <v>20631</v>
      </c>
      <c r="K6" s="62">
        <f t="shared" si="4"/>
        <v>5536656</v>
      </c>
      <c r="L6" s="83">
        <f>ROUND(SUMIFS(본전력량!G:G,본전력량!B:B,B:B,본전력량!C:C,C:C),0)</f>
        <v>5536656</v>
      </c>
      <c r="M6" s="64">
        <f t="shared" si="0"/>
        <v>-272712</v>
      </c>
      <c r="N6" s="254">
        <v>-36332</v>
      </c>
      <c r="O6" s="64">
        <f t="shared" si="1"/>
        <v>0</v>
      </c>
      <c r="P6" s="64" t="str">
        <f t="shared" si="2"/>
        <v>일치</v>
      </c>
      <c r="R6" s="64">
        <f>SUMIFS(전력감시DATA!O:O,전력감시DATA!B:B,B:B,전력감시DATA!C:C,C:C)</f>
        <v>61</v>
      </c>
      <c r="S6" s="64">
        <f>SUMIFS(전력감시DATA!P:P,전력감시DATA!B:B,B:B,전력감시DATA!C:C,C:C)</f>
        <v>13676</v>
      </c>
      <c r="T6" s="64">
        <f>SUMIFS(전력감시DATA!M:M,전력감시DATA!B:B,B:B,전력감시DATA!C:C,C:C)</f>
        <v>258412</v>
      </c>
      <c r="U6" s="64">
        <f>SUMIFS(전력감시DATA!Q:Q,전력감시DATA!B:B,B:B,전력감시DATA!C:C,C:C)</f>
        <v>563</v>
      </c>
      <c r="V6" s="64">
        <f t="shared" si="5"/>
        <v>272712</v>
      </c>
      <c r="X6" s="51">
        <v>0.2</v>
      </c>
      <c r="Y6" s="51">
        <v>0.3</v>
      </c>
      <c r="Z6" s="51">
        <v>0.2</v>
      </c>
      <c r="AA6" s="51">
        <v>0.15</v>
      </c>
      <c r="AB6" s="51">
        <v>0.15</v>
      </c>
      <c r="AC6" s="51">
        <f t="shared" si="3"/>
        <v>1</v>
      </c>
    </row>
    <row r="7" spans="2:29">
      <c r="B7" s="60" t="s">
        <v>25</v>
      </c>
      <c r="C7" s="60" t="s">
        <v>16</v>
      </c>
      <c r="D7" s="65">
        <f>(SUMIFS(전력감시DATA!E:E,전력감시DATA!B:B,B:B,전력감시DATA!C:C,C:C)*1000)-(SUMIFS(전력감시DATA!K:K,전력감시DATA!B:B,B:B,전력감시DATA!C:C,C:C))+(X7*N7)+(V7*X7)</f>
        <v>318087.23749999999</v>
      </c>
      <c r="E7" s="63">
        <f>SUMIFS(전력감시DATA!K:K,전력감시DATA!B:B,B:B,전력감시DATA!C:C,C:C)</f>
        <v>70508</v>
      </c>
      <c r="F7" s="63">
        <f>(SUMIFS(전력감시DATA!F:F,전력감시DATA!B:B,B:B,전력감시DATA!C:C,C:C)*1000)+(SUMIFS(전력감시DATA!G:G,전력감시DATA!B:B,B:B,전력감시DATA!C:C,C:C)*1000)+(Y7*N7)+(Y7*V7)</f>
        <v>2035146.7625000002</v>
      </c>
      <c r="G7" s="65">
        <f>(SUMIFS(전력감시DATA!H:H,전력감시DATA!B:B,B:B,전력감시DATA!C:C,C:C)*1000)+(Z7*N7)+(Z7*V7)</f>
        <v>1872306.1749999698</v>
      </c>
      <c r="H7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7*N7)+(AA7*V7)</f>
        <v>706426.72500002908</v>
      </c>
      <c r="I7" s="65">
        <f>SUMIFS(전력감시DATA!J:J,전력감시DATA!B:B,B:B,전력감시DATA!C:C,C:C)*1000-SUMIFS(전력감시DATA!L:L,전력감시DATA!B:B,B:B,전력감시DATA!C:C,C:C)-SUMIFS(전력감시DATA!M:M,전력감시DATA!B:B,B:B,전력감시DATA!C:C,C:C)+(AB7*N7)+(AB7*V7)</f>
        <v>546759.72499999998</v>
      </c>
      <c r="J7" s="63">
        <f>SUMIFS(전력감시DATA!L:L,전력감시DATA!B:B,B:B,전력감시DATA!C:C,C:C)</f>
        <v>18238</v>
      </c>
      <c r="K7" s="62">
        <f t="shared" si="4"/>
        <v>5567472</v>
      </c>
      <c r="L7" s="83">
        <f>ROUND(SUMIFS(본전력량!G:G,본전력량!B:B,B:B,본전력량!C:C,C:C),0)</f>
        <v>5567472</v>
      </c>
      <c r="M7" s="64">
        <f t="shared" si="0"/>
        <v>-527527</v>
      </c>
      <c r="N7" s="254">
        <v>-34043</v>
      </c>
      <c r="O7" s="64">
        <f t="shared" si="1"/>
        <v>0</v>
      </c>
      <c r="P7" s="64" t="str">
        <f t="shared" si="2"/>
        <v>일치</v>
      </c>
      <c r="R7" s="64">
        <f>SUMIFS(전력감시DATA!O:O,전력감시DATA!B:B,B:B,전력감시DATA!C:C,C:C)</f>
        <v>3413</v>
      </c>
      <c r="S7" s="64">
        <f>SUMIFS(전력감시DATA!P:P,전력감시DATA!B:B,B:B,전력감시DATA!C:C,C:C)</f>
        <v>255375</v>
      </c>
      <c r="T7" s="64">
        <f>SUMIFS(전력감시DATA!M:M,전력감시DATA!B:B,B:B,전력감시DATA!C:C,C:C)</f>
        <v>259228</v>
      </c>
      <c r="U7" s="64">
        <f>SUMIFS(전력감시DATA!Q:Q,전력감시DATA!B:B,B:B,전력감시DATA!C:C,C:C)</f>
        <v>9511</v>
      </c>
      <c r="V7" s="64">
        <f t="shared" si="5"/>
        <v>527527</v>
      </c>
      <c r="X7" s="51">
        <v>0.2</v>
      </c>
      <c r="Y7" s="51">
        <v>0.3</v>
      </c>
      <c r="Z7" s="51">
        <v>0.2</v>
      </c>
      <c r="AA7" s="51">
        <v>0.15</v>
      </c>
      <c r="AB7" s="51">
        <v>0.15</v>
      </c>
      <c r="AC7" s="51">
        <f t="shared" si="3"/>
        <v>1</v>
      </c>
    </row>
    <row r="8" spans="2:29">
      <c r="B8" s="60" t="s">
        <v>25</v>
      </c>
      <c r="C8" s="60" t="s">
        <v>17</v>
      </c>
      <c r="D8" s="65">
        <f>(SUMIFS(전력감시DATA!E:E,전력감시DATA!B:B,B:B,전력감시DATA!C:C,C:C)*1000)-(SUMIFS(전력감시DATA!K:K,전력감시DATA!B:B,B:B,전력감시DATA!C:C,C:C))+(X8*N8)+(V8*X8)</f>
        <v>349720.18125000002</v>
      </c>
      <c r="E8" s="63">
        <f>SUMIFS(전력감시DATA!K:K,전력감시DATA!B:B,B:B,전력감시DATA!C:C,C:C)</f>
        <v>65657</v>
      </c>
      <c r="F8" s="63">
        <f>(SUMIFS(전력감시DATA!F:F,전력감시DATA!B:B,B:B,전력감시DATA!C:C,C:C)*1000)+(SUMIFS(전력감시DATA!G:G,전력감시DATA!B:B,B:B,전력감시DATA!C:C,C:C)*1000)+(Y8*N8)+(Y8*V8)</f>
        <v>1930216.1625000001</v>
      </c>
      <c r="G8" s="65">
        <f>(SUMIFS(전력감시DATA!H:H,전력감시DATA!B:B,B:B,전력감시DATA!C:C,C:C)*1000)+(Z8*N8)+(Z8*V8)</f>
        <v>1864076.4</v>
      </c>
      <c r="H8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8*N8)+(AA8*V8)</f>
        <v>856525.86250001506</v>
      </c>
      <c r="I8" s="65">
        <f>SUMIFS(전력감시DATA!J:J,전력감시DATA!B:B,B:B,전력감시DATA!C:C,C:C)*1000-SUMIFS(전력감시DATA!L:L,전력감시DATA!B:B,B:B,전력감시DATA!C:C,C:C)-SUMIFS(전력감시DATA!M:M,전력감시DATA!B:B,B:B,전력감시DATA!C:C,C:C)+(AB8*N8)+(AB8*V8)</f>
        <v>589556.04999997106</v>
      </c>
      <c r="J8" s="63">
        <f>SUMIFS(전력감시DATA!L:L,전력감시DATA!B:B,B:B,전력감시DATA!C:C,C:C)</f>
        <v>20873</v>
      </c>
      <c r="K8" s="62">
        <f t="shared" si="4"/>
        <v>5676624</v>
      </c>
      <c r="L8" s="83">
        <f>ROUND(SUMIFS(본전력량!G:G,본전력량!B:B,B:B,본전력량!C:C,C:C),0)</f>
        <v>5676624</v>
      </c>
      <c r="M8" s="64">
        <f t="shared" si="0"/>
        <v>-367355</v>
      </c>
      <c r="N8" s="254">
        <v>-31973</v>
      </c>
      <c r="O8" s="64">
        <f t="shared" si="1"/>
        <v>0</v>
      </c>
      <c r="P8" s="64" t="str">
        <f t="shared" si="2"/>
        <v>일치</v>
      </c>
      <c r="R8" s="64">
        <f>SUMIFS(전력감시DATA!O:O,전력감시DATA!B:B,B:B,전력감시DATA!C:C,C:C)</f>
        <v>134448</v>
      </c>
      <c r="S8" s="64">
        <f>SUMIFS(전력감시DATA!P:P,전력감시DATA!B:B,B:B,전력감시DATA!C:C,C:C)</f>
        <v>4469</v>
      </c>
      <c r="T8" s="64">
        <f>SUMIFS(전력감시DATA!M:M,전력감시DATA!B:B,B:B,전력감시DATA!C:C,C:C)</f>
        <v>223472</v>
      </c>
      <c r="U8" s="64">
        <f>SUMIFS(전력감시DATA!Q:Q,전력감시DATA!B:B,B:B,전력감시DATA!C:C,C:C)</f>
        <v>4966</v>
      </c>
      <c r="V8" s="64">
        <f t="shared" si="5"/>
        <v>367355</v>
      </c>
      <c r="X8" s="51">
        <v>0.2</v>
      </c>
      <c r="Y8" s="51">
        <v>0.3</v>
      </c>
      <c r="Z8" s="51">
        <v>0.2</v>
      </c>
      <c r="AA8" s="51">
        <v>0.15</v>
      </c>
      <c r="AB8" s="51">
        <v>0.15</v>
      </c>
      <c r="AC8" s="51">
        <f t="shared" si="3"/>
        <v>1</v>
      </c>
    </row>
    <row r="9" spans="2:29">
      <c r="B9" s="60" t="s">
        <v>25</v>
      </c>
      <c r="C9" s="60" t="s">
        <v>18</v>
      </c>
      <c r="D9" s="65">
        <f>(SUMIFS(전력감시DATA!E:E,전력감시DATA!B:B,B:B,전력감시DATA!C:C,C:C)*1000)-(SUMIFS(전력감시DATA!K:K,전력감시DATA!B:B,B:B,전력감시DATA!C:C,C:C))+(X9*N9)+(V9*X9)</f>
        <v>342281.8</v>
      </c>
      <c r="E9" s="63">
        <f>SUMIFS(전력감시DATA!K:K,전력감시DATA!B:B,B:B,전력감시DATA!C:C,C:C)</f>
        <v>75433</v>
      </c>
      <c r="F9" s="63">
        <f>(SUMIFS(전력감시DATA!F:F,전력감시DATA!B:B,B:B,전력감시DATA!C:C,C:C)*1000)+(SUMIFS(전력감시DATA!G:G,전력감시DATA!B:B,B:B,전력감시DATA!C:C,C:C)*1000)+(Y9*N9)+(Y9*V9)</f>
        <v>2206369.0749999853</v>
      </c>
      <c r="G9" s="65">
        <f>(SUMIFS(전력감시DATA!H:H,전력감시DATA!B:B,B:B,전력감시DATA!C:C,C:C)*1000)+(Z9*N9)+(Z9*V9)</f>
        <v>2149511.6750000301</v>
      </c>
      <c r="H9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9*N9)+(AA9*V9)</f>
        <v>797935.41249995597</v>
      </c>
      <c r="I9" s="65">
        <f>SUMIFS(전력감시DATA!J:J,전력감시DATA!B:B,B:B,전력감시DATA!C:C,C:C)*1000-SUMIFS(전력감시DATA!L:L,전력감시DATA!B:B,B:B,전력감시DATA!C:C,C:C)-SUMIFS(전력감시DATA!M:M,전력감시DATA!B:B,B:B,전력감시DATA!C:C,C:C)+(AB9*N9)+(AB9*V9)</f>
        <v>600290.66250002896</v>
      </c>
      <c r="J9" s="63">
        <f>SUMIFS(전력감시DATA!L:L,전력감시DATA!B:B,B:B,전력감시DATA!C:C,C:C)</f>
        <v>16579</v>
      </c>
      <c r="K9" s="62">
        <f t="shared" si="4"/>
        <v>6188400</v>
      </c>
      <c r="L9" s="83">
        <f>ROUND(SUMIFS(본전력량!G:G,본전력량!B:B,B:B,본전력량!C:C,C:C),0)</f>
        <v>6188400</v>
      </c>
      <c r="M9" s="64">
        <f t="shared" si="0"/>
        <v>-506064</v>
      </c>
      <c r="N9" s="254">
        <v>-22490</v>
      </c>
      <c r="O9" s="64">
        <f t="shared" si="1"/>
        <v>0</v>
      </c>
      <c r="P9" s="64" t="str">
        <f t="shared" si="2"/>
        <v>일치</v>
      </c>
      <c r="R9" s="64">
        <f>SUMIFS(전력감시DATA!O:O,전력감시DATA!B:B,B:B,전력감시DATA!C:C,C:C)</f>
        <v>241259</v>
      </c>
      <c r="S9" s="64">
        <f>SUMIFS(전력감시DATA!P:P,전력감시DATA!B:B,B:B,전력감시DATA!C:C,C:C)</f>
        <v>16</v>
      </c>
      <c r="T9" s="64">
        <f>SUMIFS(전력감시DATA!M:M,전력감시DATA!B:B,B:B,전력감시DATA!C:C,C:C)</f>
        <v>255768</v>
      </c>
      <c r="U9" s="64">
        <f>SUMIFS(전력감시DATA!Q:Q,전력감시DATA!B:B,B:B,전력감시DATA!C:C,C:C)</f>
        <v>9021</v>
      </c>
      <c r="V9" s="64">
        <f t="shared" si="5"/>
        <v>506064</v>
      </c>
      <c r="X9" s="51">
        <v>0.2</v>
      </c>
      <c r="Y9" s="51">
        <v>0.3</v>
      </c>
      <c r="Z9" s="51">
        <v>0.2</v>
      </c>
      <c r="AA9" s="51">
        <v>0.15</v>
      </c>
      <c r="AB9" s="51">
        <v>0.15</v>
      </c>
      <c r="AC9" s="51">
        <f t="shared" si="3"/>
        <v>1</v>
      </c>
    </row>
    <row r="10" spans="2:29">
      <c r="B10" s="60" t="s">
        <v>25</v>
      </c>
      <c r="C10" s="60" t="s">
        <v>19</v>
      </c>
      <c r="D10" s="65">
        <f>(SUMIFS(전력감시DATA!E:E,전력감시DATA!B:B,B:B,전력감시DATA!C:C,C:C)*1000)-(SUMIFS(전력감시DATA!K:K,전력감시DATA!B:B,B:B,전력감시DATA!C:C,C:C))+(X10*N10)+(V10*X10)</f>
        <v>333761</v>
      </c>
      <c r="E10" s="63">
        <f>SUMIFS(전력감시DATA!K:K,전력감시DATA!B:B,B:B,전력감시DATA!C:C,C:C)</f>
        <v>62065</v>
      </c>
      <c r="F10" s="63">
        <f>(SUMIFS(전력감시DATA!F:F,전력감시DATA!B:B,B:B,전력감시DATA!C:C,C:C)*1000)+(SUMIFS(전력감시DATA!G:G,전력감시DATA!B:B,B:B,전력감시DATA!C:C,C:C)*1000)+(Y10*N10)+(Y10*V10)</f>
        <v>2068184.312499956</v>
      </c>
      <c r="G10" s="65">
        <f>(SUMIFS(전력감시DATA!H:H,전력감시DATA!B:B,B:B,전력감시DATA!C:C,C:C)*1000)+(Z10*N10)+(Z10*V10)</f>
        <v>2065029.12499997</v>
      </c>
      <c r="H10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10*N10)+(AA10*V10)</f>
        <v>747372.06250002899</v>
      </c>
      <c r="I10" s="65">
        <f>SUMIFS(전력감시DATA!J:J,전력감시DATA!B:B,B:B,전력감시DATA!C:C,C:C)*1000-SUMIFS(전력감시DATA!L:L,전력감시DATA!B:B,B:B,전력감시DATA!C:C,C:C)-SUMIFS(전력감시DATA!M:M,전력감시DATA!B:B,B:B,전력감시DATA!C:C,C:C)+(AB10*N10)+(AB10*V10)</f>
        <v>537209.93749997101</v>
      </c>
      <c r="J10" s="63">
        <f>SUMIFS(전력감시DATA!L:L,전력감시DATA!B:B,B:B,전력감시DATA!C:C,C:C)</f>
        <v>15787</v>
      </c>
      <c r="K10" s="62">
        <f t="shared" si="4"/>
        <v>5829408</v>
      </c>
      <c r="L10" s="83">
        <f>ROUND(SUMIFS(본전력량!G:G,본전력량!B:B,B:B,본전력량!C:C,C:C),0)</f>
        <v>5829408</v>
      </c>
      <c r="M10" s="64">
        <f t="shared" si="0"/>
        <v>-491620</v>
      </c>
      <c r="N10" s="254">
        <v>-24990</v>
      </c>
      <c r="O10" s="64">
        <f t="shared" si="1"/>
        <v>0</v>
      </c>
      <c r="P10" s="64" t="str">
        <f t="shared" si="2"/>
        <v>일치</v>
      </c>
      <c r="R10" s="64">
        <f>SUMIFS(전력감시DATA!O:O,전력감시DATA!B:B,B:B,전력감시DATA!C:C,C:C)</f>
        <v>229203</v>
      </c>
      <c r="S10" s="64">
        <f>SUMIFS(전력감시DATA!P:P,전력감시DATA!B:B,B:B,전력감시DATA!C:C,C:C)</f>
        <v>3468</v>
      </c>
      <c r="T10" s="64">
        <f>SUMIFS(전력감시DATA!M:M,전력감시DATA!B:B,B:B,전력감시DATA!C:C,C:C)</f>
        <v>250896</v>
      </c>
      <c r="U10" s="64">
        <f>SUMIFS(전력감시DATA!Q:Q,전력감시DATA!B:B,B:B,전력감시DATA!C:C,C:C)</f>
        <v>8053</v>
      </c>
      <c r="V10" s="64">
        <f t="shared" si="5"/>
        <v>491620</v>
      </c>
      <c r="X10" s="51">
        <v>0.2</v>
      </c>
      <c r="Y10" s="51">
        <v>0.3</v>
      </c>
      <c r="Z10" s="51">
        <v>0.2</v>
      </c>
      <c r="AA10" s="51">
        <v>0.15</v>
      </c>
      <c r="AB10" s="51">
        <v>0.15</v>
      </c>
      <c r="AC10" s="51">
        <f t="shared" si="3"/>
        <v>1</v>
      </c>
    </row>
    <row r="11" spans="2:29">
      <c r="B11" s="60" t="s">
        <v>25</v>
      </c>
      <c r="C11" s="60" t="s">
        <v>20</v>
      </c>
      <c r="D11" s="65">
        <f>(SUMIFS(전력감시DATA!E:E,전력감시DATA!B:B,B:B,전력감시DATA!C:C,C:C)*1000)-(SUMIFS(전력감시DATA!K:K,전력감시DATA!B:B,B:B,전력감시DATA!C:C,C:C))+(X11*N11)+(V11*X11)</f>
        <v>313411.8</v>
      </c>
      <c r="E11" s="63">
        <f>SUMIFS(전력감시DATA!K:K,전력감시DATA!B:B,B:B,전력감시DATA!C:C,C:C)</f>
        <v>66739</v>
      </c>
      <c r="F11" s="63">
        <f>(SUMIFS(전력감시DATA!F:F,전력감시DATA!B:B,B:B,전력감시DATA!C:C,C:C)*1000)+(SUMIFS(전력감시DATA!G:G,전력감시DATA!B:B,B:B,전력감시DATA!C:C,C:C)*1000)+(Y11*N11)+(Y11*V11)</f>
        <v>1965577.7625000291</v>
      </c>
      <c r="G11" s="65">
        <f>(SUMIFS(전력감시DATA!H:H,전력감시DATA!B:B,B:B,전력감시DATA!C:C,C:C)*1000)+(Z11*N11)+(Z11*V11)</f>
        <v>1897447.6750000298</v>
      </c>
      <c r="H11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11*N11)+(AA11*V11)</f>
        <v>753766.66250000009</v>
      </c>
      <c r="I11" s="65">
        <f>SUMIFS(전력감시DATA!J:J,전력감시DATA!B:B,B:B,전력감시DATA!C:C,C:C)*1000-SUMIFS(전력감시DATA!L:L,전력감시DATA!B:B,B:B,전력감시DATA!C:C,C:C)-SUMIFS(전력감시DATA!M:M,전력감시DATA!B:B,B:B,전력감시DATA!C:C,C:C)+(AB11*N11)+(AB11*V11)</f>
        <v>579722.22500002896</v>
      </c>
      <c r="J11" s="63">
        <f>SUMIFS(전력감시DATA!L:L,전력감시DATA!B:B,B:B,전력감시DATA!C:C,C:C)</f>
        <v>18455</v>
      </c>
      <c r="K11" s="62">
        <f t="shared" si="4"/>
        <v>5595120</v>
      </c>
      <c r="L11" s="83">
        <f>ROUND(SUMIFS(본전력량!G:G,본전력량!B:B,B:B,본전력량!C:C,C:C),0)</f>
        <v>5595120</v>
      </c>
      <c r="M11" s="64">
        <f t="shared" si="0"/>
        <v>-461337</v>
      </c>
      <c r="N11" s="254">
        <v>-23083</v>
      </c>
      <c r="O11" s="64">
        <f t="shared" si="1"/>
        <v>0</v>
      </c>
      <c r="P11" s="64" t="str">
        <f t="shared" si="2"/>
        <v>일치</v>
      </c>
      <c r="R11" s="64">
        <f>SUMIFS(전력감시DATA!O:O,전력감시DATA!B:B,B:B,전력감시DATA!C:C,C:C)</f>
        <v>203557</v>
      </c>
      <c r="S11" s="64">
        <f>SUMIFS(전력감시DATA!P:P,전력감시DATA!B:B,B:B,전력감시DATA!C:C,C:C)</f>
        <v>1157</v>
      </c>
      <c r="T11" s="64">
        <f>SUMIFS(전력감시DATA!M:M,전력감시DATA!B:B,B:B,전력감시DATA!C:C,C:C)</f>
        <v>249264</v>
      </c>
      <c r="U11" s="64">
        <f>SUMIFS(전력감시DATA!Q:Q,전력감시DATA!B:B,B:B,전력감시DATA!C:C,C:C)</f>
        <v>7359</v>
      </c>
      <c r="V11" s="64">
        <f t="shared" si="5"/>
        <v>461337</v>
      </c>
      <c r="X11" s="51">
        <v>0.2</v>
      </c>
      <c r="Y11" s="51">
        <v>0.3</v>
      </c>
      <c r="Z11" s="51">
        <v>0.2</v>
      </c>
      <c r="AA11" s="51">
        <v>0.15</v>
      </c>
      <c r="AB11" s="51">
        <v>0.15</v>
      </c>
      <c r="AC11" s="51">
        <f t="shared" si="3"/>
        <v>1</v>
      </c>
    </row>
    <row r="12" spans="2:29">
      <c r="B12" s="60" t="s">
        <v>25</v>
      </c>
      <c r="C12" s="60" t="s">
        <v>21</v>
      </c>
      <c r="D12" s="65">
        <f>(SUMIFS(전력감시DATA!E:E,전력감시DATA!B:B,B:B,전력감시DATA!C:C,C:C)*1000)-(SUMIFS(전력감시DATA!K:K,전력감시DATA!B:B,B:B,전력감시DATA!C:C,C:C))+(X12*N12)+(V12*X12)</f>
        <v>451601.58125000005</v>
      </c>
      <c r="E12" s="63">
        <f>SUMIFS(전력감시DATA!K:K,전력감시DATA!B:B,B:B,전력감시DATA!C:C,C:C)</f>
        <v>68788</v>
      </c>
      <c r="F12" s="63">
        <f>(SUMIFS(전력감시DATA!F:F,전력감시DATA!B:B,B:B,전력감시DATA!C:C,C:C)*1000)+(SUMIFS(전력감시DATA!G:G,전력감시DATA!B:B,B:B,전력감시DATA!C:C,C:C)*1000)+(Y12*N12)+(Y12*V12)</f>
        <v>2151133.2000000002</v>
      </c>
      <c r="G12" s="65">
        <f>(SUMIFS(전력감시DATA!H:H,전력감시DATA!B:B,B:B,전력감시DATA!C:C,C:C)*1000)+(Z12*N12)+(Z12*V12)</f>
        <v>1951791.9249999698</v>
      </c>
      <c r="H12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12*N12)+(AA12*V12)</f>
        <v>767491.47499997111</v>
      </c>
      <c r="I12" s="65">
        <f>SUMIFS(전력감시DATA!J:J,전력감시DATA!B:B,B:B,전력감시DATA!C:C,C:C)*1000-SUMIFS(전력감시DATA!L:L,전력감시DATA!B:B,B:B,전력감시DATA!C:C,C:C)-SUMIFS(전력감시DATA!M:M,전력감시DATA!B:B,B:B,전력감시DATA!C:C,C:C)+(AB12*N12)+(AB12*V12)</f>
        <v>595741.16250001499</v>
      </c>
      <c r="J12" s="63">
        <f>SUMIFS(전력감시DATA!L:L,전력감시DATA!B:B,B:B,전력감시DATA!C:C,C:C)</f>
        <v>17677</v>
      </c>
      <c r="K12" s="62">
        <f t="shared" si="4"/>
        <v>6004224</v>
      </c>
      <c r="L12" s="83">
        <f>ROUND(SUMIFS(본전력량!G:G,본전력량!B:B,B:B,본전력량!C:C,C:C),0)</f>
        <v>6004224</v>
      </c>
      <c r="M12" s="64">
        <f t="shared" si="0"/>
        <v>-517122</v>
      </c>
      <c r="N12" s="254">
        <v>-21678</v>
      </c>
      <c r="O12" s="64">
        <f t="shared" si="1"/>
        <v>0</v>
      </c>
      <c r="P12" s="64" t="str">
        <f t="shared" si="2"/>
        <v>일치</v>
      </c>
      <c r="R12" s="64">
        <f>SUMIFS(전력감시DATA!O:O,전력감시DATA!B:B,B:B,전력감시DATA!C:C,C:C)</f>
        <v>250458</v>
      </c>
      <c r="S12" s="64">
        <f>SUMIFS(전력감시DATA!P:P,전력감시DATA!B:B,B:B,전력감시DATA!C:C,C:C)</f>
        <v>268</v>
      </c>
      <c r="T12" s="64">
        <f>SUMIFS(전력감시DATA!M:M,전력감시DATA!B:B,B:B,전력감시DATA!C:C,C:C)</f>
        <v>257500</v>
      </c>
      <c r="U12" s="64">
        <f>SUMIFS(전력감시DATA!Q:Q,전력감시DATA!B:B,B:B,전력감시DATA!C:C,C:C)</f>
        <v>8896</v>
      </c>
      <c r="V12" s="64">
        <f t="shared" si="5"/>
        <v>517122</v>
      </c>
      <c r="X12" s="51">
        <v>0.2</v>
      </c>
      <c r="Y12" s="51">
        <v>0.3</v>
      </c>
      <c r="Z12" s="51">
        <v>0.2</v>
      </c>
      <c r="AA12" s="51">
        <v>0.15</v>
      </c>
      <c r="AB12" s="51">
        <v>0.15</v>
      </c>
      <c r="AC12" s="51">
        <f t="shared" si="3"/>
        <v>1</v>
      </c>
    </row>
    <row r="13" spans="2:29">
      <c r="B13" s="60" t="s">
        <v>25</v>
      </c>
      <c r="C13" s="60" t="s">
        <v>22</v>
      </c>
      <c r="D13" s="65">
        <f>(SUMIFS(전력감시DATA!E:E,전력감시DATA!B:B,B:B,전력감시DATA!C:C,C:C)*1000)-(SUMIFS(전력감시DATA!K:K,전력감시DATA!B:B,B:B,전력감시DATA!C:C,C:C))+(X13*N13)+(V13*X13)</f>
        <v>82614.8</v>
      </c>
      <c r="E13" s="63">
        <f>SUMIFS(전력감시DATA!K:K,전력감시DATA!B:B,B:B,전력감시DATA!C:C,C:C)</f>
        <v>8933</v>
      </c>
      <c r="F13" s="63">
        <f>(SUMIFS(전력감시DATA!F:F,전력감시DATA!B:B,B:B,전력감시DATA!C:C,C:C)*1000)+(SUMIFS(전력감시DATA!G:G,전력감시DATA!B:B,B:B,전력감시DATA!C:C,C:C)*1000)+(Y13*N13)+(Y13*V13)</f>
        <v>257274.82500001471</v>
      </c>
      <c r="G13" s="65">
        <f>(SUMIFS(전력감시DATA!H:H,전력감시DATA!B:B,B:B,전력감시DATA!C:C,C:C)*1000)+(Z13*N13)+(Z13*V13)</f>
        <v>466438.42500002903</v>
      </c>
      <c r="H13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13*N13)+(AA13*V13)</f>
        <v>701084.85</v>
      </c>
      <c r="I13" s="65">
        <f>SUMIFS(전력감시DATA!J:J,전력감시DATA!B:B,B:B,전력감시DATA!C:C,C:C)*1000-SUMIFS(전력감시DATA!L:L,전력감시DATA!B:B,B:B,전력감시DATA!C:C,C:C)-SUMIFS(전력감시DATA!M:M,전력감시DATA!B:B,B:B,전력감시DATA!C:C,C:C)+(AB13*N13)+(AB13*V13)</f>
        <v>546943.28749998496</v>
      </c>
      <c r="J13" s="63">
        <f>SUMIFS(전력감시DATA!L:L,전력감시DATA!B:B,B:B,전력감시DATA!C:C,C:C)</f>
        <v>19239</v>
      </c>
      <c r="K13" s="62">
        <f t="shared" si="4"/>
        <v>2082528</v>
      </c>
      <c r="L13" s="83">
        <f>ROUND(SUMIFS(본전력량!G:G,본전력량!B:B,B:B,본전력량!C:C,C:C),0)</f>
        <v>2082528</v>
      </c>
      <c r="M13" s="64">
        <f t="shared" si="0"/>
        <v>-256703</v>
      </c>
      <c r="N13" s="254">
        <v>-126464</v>
      </c>
      <c r="O13" s="64">
        <f t="shared" si="1"/>
        <v>0</v>
      </c>
      <c r="P13" s="64" t="str">
        <f t="shared" si="2"/>
        <v>일치</v>
      </c>
      <c r="R13" s="64">
        <f>SUMIFS(전력감시DATA!O:O,전력감시DATA!B:B,B:B,전력감시DATA!C:C,C:C)</f>
        <v>1647</v>
      </c>
      <c r="S13" s="64">
        <f>SUMIFS(전력감시DATA!P:P,전력감시DATA!B:B,B:B,전력감시DATA!C:C,C:C)</f>
        <v>804</v>
      </c>
      <c r="T13" s="64">
        <f>SUMIFS(전력감시DATA!M:M,전력감시DATA!B:B,B:B,전력감시DATA!C:C,C:C)</f>
        <v>254252</v>
      </c>
      <c r="U13" s="64">
        <f>SUMIFS(전력감시DATA!Q:Q,전력감시DATA!B:B,B:B,전력감시DATA!C:C,C:C)</f>
        <v>0</v>
      </c>
      <c r="V13" s="64">
        <f t="shared" si="5"/>
        <v>256703</v>
      </c>
      <c r="X13" s="51">
        <v>0.2</v>
      </c>
      <c r="Y13" s="51">
        <v>0.3</v>
      </c>
      <c r="Z13" s="51">
        <v>0.2</v>
      </c>
      <c r="AA13" s="51">
        <v>0.15</v>
      </c>
      <c r="AB13" s="51">
        <v>0.15</v>
      </c>
      <c r="AC13" s="51">
        <f t="shared" si="3"/>
        <v>1</v>
      </c>
    </row>
    <row r="14" spans="2:29">
      <c r="B14" s="60" t="s">
        <v>25</v>
      </c>
      <c r="C14" s="60" t="s">
        <v>23</v>
      </c>
      <c r="D14" s="65">
        <f>(SUMIFS(전력감시DATA!E:E,전력감시DATA!B:B,B:B,전력감시DATA!C:C,C:C)*1000)-(SUMIFS(전력감시DATA!K:K,전력감시DATA!B:B,B:B,전력감시DATA!C:C,C:C))+(X14*N14)+(V14*X14)</f>
        <v>76492.237500000003</v>
      </c>
      <c r="E14" s="63">
        <f>SUMIFS(전력감시DATA!K:K,전력감시DATA!B:B,B:B,전력감시DATA!C:C,C:C)</f>
        <v>598</v>
      </c>
      <c r="F14" s="63">
        <f>(SUMIFS(전력감시DATA!F:F,전력감시DATA!B:B,B:B,전력감시DATA!C:C,C:C)*1000)+(SUMIFS(전력감시DATA!G:G,전력감시DATA!B:B,B:B,전력감시DATA!C:C,C:C)*1000)+(Y14*N14)+(Y14*V14)</f>
        <v>187389.262500029</v>
      </c>
      <c r="G14" s="65">
        <f>(SUMIFS(전력감시DATA!H:H,전력감시DATA!B:B,B:B,전력감시DATA!C:C,C:C)*1000)+(Z14*N14)+(Z14*V14)</f>
        <v>336988.674999971</v>
      </c>
      <c r="H14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14*N14)+(AA14*V14)</f>
        <v>763431.97500002896</v>
      </c>
      <c r="I14" s="65">
        <f>SUMIFS(전력감시DATA!J:J,전력감시DATA!B:B,B:B,전력감시DATA!C:C,C:C)*1000-SUMIFS(전력감시DATA!L:L,전력감시DATA!B:B,B:B,전력감시DATA!C:C,C:C)-SUMIFS(전력감시DATA!M:M,전력감시DATA!B:B,B:B,전력감시DATA!C:C,C:C)+(AB14*N14)+(AB14*V14)</f>
        <v>567347.85</v>
      </c>
      <c r="J14" s="63">
        <f>SUMIFS(전력감시DATA!L:L,전력감시DATA!B:B,B:B,전력감시DATA!C:C,C:C)</f>
        <v>17512</v>
      </c>
      <c r="K14" s="62">
        <f t="shared" si="4"/>
        <v>1949760</v>
      </c>
      <c r="L14" s="83">
        <f>ROUND(SUMIFS(본전력량!G:G,본전력량!B:B,B:B,본전력량!C:C,C:C),0)</f>
        <v>1949760</v>
      </c>
      <c r="M14" s="64">
        <f t="shared" si="0"/>
        <v>-265199</v>
      </c>
      <c r="N14" s="254">
        <v>-134240</v>
      </c>
      <c r="O14" s="64">
        <f t="shared" si="1"/>
        <v>0</v>
      </c>
      <c r="P14" s="64" t="str">
        <f t="shared" si="2"/>
        <v>일치</v>
      </c>
      <c r="R14" s="64">
        <f>SUMIFS(전력감시DATA!O:O,전력감시DATA!B:B,B:B,전력감시DATA!C:C,C:C)</f>
        <v>82718</v>
      </c>
      <c r="S14" s="64">
        <f>SUMIFS(전력감시DATA!P:P,전력감시DATA!B:B,B:B,전력감시DATA!C:C,C:C)</f>
        <v>1415</v>
      </c>
      <c r="T14" s="64">
        <f>SUMIFS(전력감시DATA!M:M,전력감시DATA!B:B,B:B,전력감시DATA!C:C,C:C)</f>
        <v>177784</v>
      </c>
      <c r="U14" s="64">
        <f>SUMIFS(전력감시DATA!Q:Q,전력감시DATA!B:B,B:B,전력감시DATA!C:C,C:C)</f>
        <v>3282</v>
      </c>
      <c r="V14" s="64">
        <f t="shared" si="5"/>
        <v>265199</v>
      </c>
      <c r="X14" s="51">
        <v>0.2</v>
      </c>
      <c r="Y14" s="51">
        <v>0.3</v>
      </c>
      <c r="Z14" s="51">
        <v>0.2</v>
      </c>
      <c r="AA14" s="51">
        <v>0.15</v>
      </c>
      <c r="AB14" s="51">
        <v>0.15</v>
      </c>
      <c r="AC14" s="51">
        <f t="shared" si="3"/>
        <v>1</v>
      </c>
    </row>
    <row r="15" spans="2:29">
      <c r="B15" s="61" t="s">
        <v>26</v>
      </c>
      <c r="C15" s="61" t="s">
        <v>9</v>
      </c>
      <c r="D15" s="65">
        <f>(SUMIFS(전력감시DATA!E:E,전력감시DATA!B:B,B:B,전력감시DATA!C:C,C:C)*1000)-(SUMIFS(전력감시DATA!K:K,전력감시DATA!B:B,B:B,전력감시DATA!C:C,C:C))+(X15*N15)+(V15*X15)</f>
        <v>136475.34374999302</v>
      </c>
      <c r="E15" s="63">
        <f>SUMIFS(전력감시DATA!K:K,전력감시DATA!B:B,B:B,전력감시DATA!C:C,C:C)</f>
        <v>2898</v>
      </c>
      <c r="F15" s="63">
        <f>(SUMIFS(전력감시DATA!F:F,전력감시DATA!B:B,B:B,전력감시DATA!C:C,C:C)*1000)+(SUMIFS(전력감시DATA!G:G,전력감시DATA!B:B,B:B,전력감시DATA!C:C,C:C)*1000)+(Y15*N15)+(Y15*V15)</f>
        <v>349558.06250000041</v>
      </c>
      <c r="G15" s="65">
        <f>(SUMIFS(전력감시DATA!H:H,전력감시DATA!B:B,B:B,전력감시DATA!C:C,C:C)*1000)+(Z15*N15)+(Z15*V15)</f>
        <v>392471</v>
      </c>
      <c r="H15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15*N15)+(AA15*V15)</f>
        <v>773958.81250001502</v>
      </c>
      <c r="I15" s="65">
        <f>SUMIFS(전력감시DATA!J:J,전력감시DATA!B:B,B:B,전력감시DATA!C:C,C:C)*1000-SUMIFS(전력감시DATA!L:L,전력감시DATA!B:B,B:B,전력감시DATA!C:C,C:C)-SUMIFS(전력감시DATA!M:M,전력감시DATA!B:B,B:B,전력감시DATA!C:C,C:C)+(AB15*N15)+(AB15*V15)</f>
        <v>533484.12499997101</v>
      </c>
      <c r="J15" s="63">
        <f>SUMIFS(전력감시DATA!L:L,전력감시DATA!B:B,B:B,전력감시DATA!C:C,C:C)</f>
        <v>18387</v>
      </c>
      <c r="K15" s="62">
        <f t="shared" si="4"/>
        <v>2207232</v>
      </c>
      <c r="L15" s="83">
        <f>ROUND(SUMIFS(본전력량!G:G,본전력량!B:B,B:B,본전력량!C:C,C:C),0)</f>
        <v>2207232</v>
      </c>
      <c r="M15" s="64">
        <f t="shared" si="0"/>
        <v>-287025</v>
      </c>
      <c r="N15" s="254">
        <v>-117170</v>
      </c>
      <c r="O15" s="173">
        <f t="shared" si="1"/>
        <v>0</v>
      </c>
      <c r="P15" s="64" t="str">
        <f t="shared" si="2"/>
        <v>일치</v>
      </c>
      <c r="R15" s="64">
        <f>SUMIFS(전력감시DATA!O:O,전력감시DATA!B:B,B:B,전력감시DATA!C:C,C:C)</f>
        <v>177469</v>
      </c>
      <c r="S15" s="64">
        <f>SUMIFS(전력감시DATA!P:P,전력감시DATA!B:B,B:B,전력감시DATA!C:C,C:C)</f>
        <v>1367</v>
      </c>
      <c r="T15" s="64">
        <f>SUMIFS(전력감시DATA!M:M,전력감시DATA!B:B,B:B,전력감시DATA!C:C,C:C)</f>
        <v>100404</v>
      </c>
      <c r="U15" s="64">
        <f>SUMIFS(전력감시DATA!Q:Q,전력감시DATA!B:B,B:B,전력감시DATA!C:C,C:C)</f>
        <v>7785</v>
      </c>
      <c r="V15" s="64">
        <f t="shared" si="5"/>
        <v>287025</v>
      </c>
      <c r="X15" s="51">
        <v>0.2</v>
      </c>
      <c r="Y15" s="51">
        <v>0.3</v>
      </c>
      <c r="Z15" s="51">
        <v>0.2</v>
      </c>
      <c r="AA15" s="51">
        <v>0.15</v>
      </c>
      <c r="AB15" s="51">
        <v>0.15</v>
      </c>
      <c r="AC15" s="51">
        <f t="shared" si="3"/>
        <v>1</v>
      </c>
    </row>
    <row r="16" spans="2:29">
      <c r="B16" s="61" t="s">
        <v>26</v>
      </c>
      <c r="C16" s="61" t="s">
        <v>13</v>
      </c>
      <c r="D16" s="65">
        <f>(SUMIFS(전력감시DATA!E:E,전력감시DATA!B:B,B:B,전력감시DATA!C:C,C:C)*1000)-(SUMIFS(전력감시DATA!K:K,전력감시DATA!B:B,B:B,전력감시DATA!C:C,C:C))+(X16*N16)+(V16*X16)</f>
        <v>243824.01875000732</v>
      </c>
      <c r="E16" s="63">
        <f>SUMIFS(전력감시DATA!K:K,전력감시DATA!B:B,B:B,전력감시DATA!C:C,C:C)</f>
        <v>1666</v>
      </c>
      <c r="F16" s="63">
        <f>(SUMIFS(전력감시DATA!F:F,전력감시DATA!B:B,B:B,전력감시DATA!C:C,C:C)*1000)+(SUMIFS(전력감시DATA!G:G,전력감시DATA!B:B,B:B,전력감시DATA!C:C,C:C)*1000)+(Y16*N16)+(Y16*V16)</f>
        <v>576287.76249998494</v>
      </c>
      <c r="G16" s="65">
        <f>(SUMIFS(전력감시DATA!H:H,전력감시DATA!B:B,B:B,전력감시DATA!C:C,C:C)*1000)+(Z16*N16)+(Z16*V16)</f>
        <v>596197.05000000005</v>
      </c>
      <c r="H16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16*N16)+(AA16*V16)</f>
        <v>611510.53749998496</v>
      </c>
      <c r="I16" s="65">
        <f>SUMIFS(전력감시DATA!J:J,전력감시DATA!B:B,B:B,전력감시DATA!C:C,C:C)*1000-SUMIFS(전력감시DATA!L:L,전력감시DATA!B:B,B:B,전력감시DATA!C:C,C:C)-SUMIFS(전력감시DATA!M:M,전력감시DATA!B:B,B:B,전력감시DATA!C:C,C:C)+(AB16*N16)+(AB16*V16)</f>
        <v>486541.1</v>
      </c>
      <c r="J16" s="63">
        <f>SUMIFS(전력감시DATA!L:L,전력감시DATA!B:B,B:B,전력감시DATA!C:C,C:C)</f>
        <v>12614</v>
      </c>
      <c r="K16" s="62">
        <f t="shared" si="4"/>
        <v>2528640</v>
      </c>
      <c r="L16" s="83">
        <f>ROUND(SUMIFS(본전력량!G:G,본전력량!B:B,B:B,본전력량!C:C,C:C),0)</f>
        <v>2528640</v>
      </c>
      <c r="M16" s="64">
        <f t="shared" si="0"/>
        <v>-185419</v>
      </c>
      <c r="N16" s="254">
        <v>773535</v>
      </c>
      <c r="O16" s="64">
        <f t="shared" si="1"/>
        <v>0</v>
      </c>
      <c r="P16" s="64" t="str">
        <f t="shared" si="2"/>
        <v>일치</v>
      </c>
      <c r="R16" s="64">
        <f>SUMIFS(전력감시DATA!O:O,전력감시DATA!B:B,B:B,전력감시DATA!C:C,C:C)</f>
        <v>19965</v>
      </c>
      <c r="S16" s="64">
        <f>SUMIFS(전력감시DATA!P:P,전력감시DATA!B:B,B:B,전력감시DATA!C:C,C:C)</f>
        <v>766</v>
      </c>
      <c r="T16" s="64">
        <f>SUMIFS(전력감시DATA!M:M,전력감시DATA!B:B,B:B,전력감시DATA!C:C,C:C)</f>
        <v>164688</v>
      </c>
      <c r="U16" s="64">
        <f>SUMIFS(전력감시DATA!Q:Q,전력감시DATA!B:B,B:B,전력감시DATA!C:C,C:C)</f>
        <v>0</v>
      </c>
      <c r="V16" s="64">
        <f t="shared" si="5"/>
        <v>185419</v>
      </c>
      <c r="X16" s="51">
        <v>0.2</v>
      </c>
      <c r="Y16" s="51">
        <v>0.3</v>
      </c>
      <c r="Z16" s="51">
        <v>0.2</v>
      </c>
      <c r="AA16" s="51">
        <v>0.15</v>
      </c>
      <c r="AB16" s="51">
        <v>0.15</v>
      </c>
      <c r="AC16" s="51">
        <f t="shared" si="3"/>
        <v>1</v>
      </c>
    </row>
    <row r="17" spans="2:29">
      <c r="B17" s="61" t="s">
        <v>26</v>
      </c>
      <c r="C17" s="61" t="s">
        <v>14</v>
      </c>
      <c r="D17" s="65">
        <f>(SUMIFS(전력감시DATA!E:E,전력감시DATA!B:B,B:B,전력감시DATA!C:C,C:C)*1000)-(SUMIFS(전력감시DATA!K:K,전력감시DATA!B:B,B:B,전력감시DATA!C:C,C:C))+(X17*N17)+(V17*X17)</f>
        <v>186258.41875000001</v>
      </c>
      <c r="E17" s="63">
        <f>SUMIFS(전력감시DATA!K:K,전력감시DATA!B:B,B:B,전력감시DATA!C:C,C:C)</f>
        <v>63277</v>
      </c>
      <c r="F17" s="63">
        <f>(SUMIFS(전력감시DATA!F:F,전력감시DATA!B:B,B:B,전력감시DATA!C:C,C:C)*1000)+(SUMIFS(전력감시DATA!G:G,전력감시DATA!B:B,B:B,전력감시DATA!C:C,C:C)*1000)+(Y17*N17)+(Y17*V17)</f>
        <v>1641496.48749997</v>
      </c>
      <c r="G17" s="65">
        <f>(SUMIFS(전력감시DATA!H:H,전력감시DATA!B:B,B:B,전력감시DATA!C:C,C:C)*1000)+(Z17*N17)+(Z17*V17)</f>
        <v>1919133.07500003</v>
      </c>
      <c r="H17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17*N17)+(AA17*V17)</f>
        <v>950588.58750000002</v>
      </c>
      <c r="I17" s="65">
        <f>SUMIFS(전력감시DATA!J:J,전력감시DATA!B:B,B:B,전력감시DATA!C:C,C:C)*1000-SUMIFS(전력감시DATA!L:L,전력감시DATA!B:B,B:B,전력감시DATA!C:C,C:C)-SUMIFS(전력감시DATA!M:M,전력감시DATA!B:B,B:B,전력감시DATA!C:C,C:C)+(AB17*N17)+(AB17*V17)</f>
        <v>702680.27500003006</v>
      </c>
      <c r="J17" s="63">
        <f>SUMIFS(전력감시DATA!L:L,전력감시DATA!B:B,B:B,전력감시DATA!C:C,C:C)</f>
        <v>24551</v>
      </c>
      <c r="K17" s="62">
        <f t="shared" si="4"/>
        <v>5487984</v>
      </c>
      <c r="L17" s="83">
        <f>ROUND(SUMIFS(본전력량!G:G,본전력량!B:B,B:B,본전력량!C:C,C:C),0)</f>
        <v>5487984</v>
      </c>
      <c r="M17" s="64">
        <f t="shared" si="0"/>
        <v>-554286</v>
      </c>
      <c r="N17" s="254">
        <v>-847605</v>
      </c>
      <c r="O17" s="64">
        <f t="shared" si="1"/>
        <v>0</v>
      </c>
      <c r="P17" s="64" t="str">
        <f t="shared" si="2"/>
        <v>일치</v>
      </c>
      <c r="R17" s="64">
        <f>SUMIFS(전력감시DATA!O:O,전력감시DATA!B:B,B:B,전력감시DATA!C:C,C:C)</f>
        <v>195000</v>
      </c>
      <c r="S17" s="64">
        <f>SUMIFS(전력감시DATA!P:P,전력감시DATA!B:B,B:B,전력감시DATA!C:C,C:C)</f>
        <v>1003</v>
      </c>
      <c r="T17" s="64">
        <f>SUMIFS(전력감시DATA!M:M,전력감시DATA!B:B,B:B,전력감시DATA!C:C,C:C)</f>
        <v>349474</v>
      </c>
      <c r="U17" s="64">
        <f>SUMIFS(전력감시DATA!Q:Q,전력감시DATA!B:B,B:B,전력감시DATA!C:C,C:C)</f>
        <v>8809</v>
      </c>
      <c r="V17" s="64">
        <f t="shared" si="5"/>
        <v>554286</v>
      </c>
      <c r="X17" s="51">
        <v>0.2</v>
      </c>
      <c r="Y17" s="51">
        <v>0.3</v>
      </c>
      <c r="Z17" s="51">
        <v>0.2</v>
      </c>
      <c r="AA17" s="51">
        <v>0.15</v>
      </c>
      <c r="AB17" s="51">
        <v>0.15</v>
      </c>
      <c r="AC17" s="51">
        <f t="shared" si="3"/>
        <v>1</v>
      </c>
    </row>
    <row r="18" spans="2:29">
      <c r="B18" s="61" t="s">
        <v>26</v>
      </c>
      <c r="C18" s="61" t="s">
        <v>15</v>
      </c>
      <c r="D18" s="65">
        <f>(SUMIFS(전력감시DATA!E:E,전력감시DATA!B:B,B:B,전력감시DATA!C:C,C:C)*1000)-(SUMIFS(전력감시DATA!K:K,전력감시DATA!B:B,B:B,전력감시DATA!C:C,C:C))+(X18*N18)+(V18*X18)</f>
        <v>300398.78125</v>
      </c>
      <c r="E18" s="63">
        <f>SUMIFS(전력감시DATA!K:K,전력감시DATA!B:B,B:B,전력감시DATA!C:C,C:C)</f>
        <v>59100</v>
      </c>
      <c r="F18" s="63">
        <f>(SUMIFS(전력감시DATA!F:F,전력감시DATA!B:B,B:B,전력감시DATA!C:C,C:C)*1000)+(SUMIFS(전력감시DATA!G:G,전력감시DATA!B:B,B:B,전력감시DATA!C:C,C:C)*1000)+(Y18*N18)+(Y18*V18)</f>
        <v>1894000.1250000112</v>
      </c>
      <c r="G18" s="65">
        <f>(SUMIFS(전력감시DATA!H:H,전력감시DATA!B:B,B:B,전력감시DATA!C:C,C:C)*1000)+(Z18*N18)+(Z18*V18)</f>
        <v>1802198</v>
      </c>
      <c r="H18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18*N18)+(AA18*V18)</f>
        <v>787848.0625</v>
      </c>
      <c r="I18" s="65">
        <f>SUMIFS(전력감시DATA!J:J,전력감시DATA!B:B,B:B,전력감시DATA!C:C,C:C)*1000-SUMIFS(전력감시DATA!L:L,전력감시DATA!B:B,B:B,전력감시DATA!C:C,C:C)-SUMIFS(전력감시DATA!M:M,전력감시DATA!B:B,B:B,전력감시DATA!C:C,C:C)+(AB18*N18)+(AB18*V18)</f>
        <v>602993.625</v>
      </c>
      <c r="J18" s="63">
        <f>SUMIFS(전력감시DATA!L:L,전력감시DATA!B:B,B:B,전력감시DATA!C:C,C:C)</f>
        <v>18694</v>
      </c>
      <c r="K18" s="62">
        <f t="shared" si="4"/>
        <v>5465232</v>
      </c>
      <c r="L18" s="83">
        <f>ROUND(SUMIFS(본전력량!G:G,본전력량!B:B,B:B,본전력량!C:C,C:C),0)</f>
        <v>5465232</v>
      </c>
      <c r="M18" s="64">
        <f t="shared" si="0"/>
        <v>-467566</v>
      </c>
      <c r="N18" s="254">
        <v>-21576</v>
      </c>
      <c r="O18" s="64">
        <f t="shared" si="1"/>
        <v>0</v>
      </c>
      <c r="P18" s="64" t="str">
        <f t="shared" si="2"/>
        <v>일치</v>
      </c>
      <c r="R18" s="64">
        <f>SUMIFS(전력감시DATA!O:O,전력감시DATA!B:B,B:B,전력감시DATA!C:C,C:C)</f>
        <v>153432</v>
      </c>
      <c r="S18" s="64">
        <f>SUMIFS(전력감시DATA!P:P,전력감시DATA!B:B,B:B,전력감시DATA!C:C,C:C)</f>
        <v>52519</v>
      </c>
      <c r="T18" s="64">
        <f>SUMIFS(전력감시DATA!M:M,전력감시DATA!B:B,B:B,전력감시DATA!C:C,C:C)</f>
        <v>254914</v>
      </c>
      <c r="U18" s="64">
        <f>SUMIFS(전력감시DATA!Q:Q,전력감시DATA!B:B,B:B,전력감시DATA!C:C,C:C)</f>
        <v>6701</v>
      </c>
      <c r="V18" s="64">
        <f t="shared" si="5"/>
        <v>467566</v>
      </c>
      <c r="X18" s="51">
        <v>0.2</v>
      </c>
      <c r="Y18" s="51">
        <v>0.3</v>
      </c>
      <c r="Z18" s="51">
        <v>0.2</v>
      </c>
      <c r="AA18" s="51">
        <v>0.15</v>
      </c>
      <c r="AB18" s="51">
        <v>0.15</v>
      </c>
      <c r="AC18" s="51">
        <f t="shared" si="3"/>
        <v>1</v>
      </c>
    </row>
    <row r="19" spans="2:29">
      <c r="B19" s="61" t="s">
        <v>26</v>
      </c>
      <c r="C19" s="61" t="s">
        <v>16</v>
      </c>
      <c r="D19" s="65">
        <f>(SUMIFS(전력감시DATA!E:E,전력감시DATA!B:B,B:B,전력감시DATA!C:C,C:C)*1000)-(SUMIFS(전력감시DATA!K:K,전력감시DATA!B:B,B:B,전력감시DATA!C:C,C:C))+(X19*N19)+(V19*X19)</f>
        <v>441505.38124999299</v>
      </c>
      <c r="E19" s="63">
        <f>SUMIFS(전력감시DATA!K:K,전력감시DATA!B:B,B:B,전력감시DATA!C:C,C:C)</f>
        <v>63834</v>
      </c>
      <c r="F19" s="63">
        <f>(SUMIFS(전력감시DATA!F:F,전력감시DATA!B:B,B:B,전력감시DATA!C:C,C:C)*1000)+(SUMIFS(전력감시DATA!G:G,전력감시DATA!B:B,B:B,전력감시DATA!C:C,C:C)*1000)+(Y19*N19)+(Y19*V19)</f>
        <v>1878511.0250000339</v>
      </c>
      <c r="G19" s="65">
        <f>(SUMIFS(전력감시DATA!H:H,전력감시DATA!B:B,B:B,전력감시DATA!C:C,C:C)*1000)+(Z19*N19)+(Z19*V19)</f>
        <v>1781147.9749999701</v>
      </c>
      <c r="H19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19*N19)+(AA19*V19)</f>
        <v>805772.38749999995</v>
      </c>
      <c r="I19" s="65">
        <f>SUMIFS(전력감시DATA!J:J,전력감시DATA!B:B,B:B,전력감시DATA!C:C,C:C)*1000-SUMIFS(전력감시DATA!L:L,전력감시DATA!B:B,B:B,전력감시DATA!C:C,C:C)-SUMIFS(전력감시DATA!M:M,전력감시DATA!B:B,B:B,전력감시DATA!C:C,C:C)+(AB19*N19)+(AB19*V19)</f>
        <v>587421.26249999995</v>
      </c>
      <c r="J19" s="63">
        <f>SUMIFS(전력감시DATA!L:L,전력감시DATA!B:B,B:B,전력감시DATA!C:C,C:C)</f>
        <v>15760</v>
      </c>
      <c r="K19" s="62">
        <f t="shared" si="4"/>
        <v>5573952</v>
      </c>
      <c r="L19" s="83">
        <f>ROUND(SUMIFS(본전력량!G:G,본전력량!B:B,B:B,본전력량!C:C,C:C),0)</f>
        <v>5573952</v>
      </c>
      <c r="M19" s="64">
        <f t="shared" si="0"/>
        <v>-491448</v>
      </c>
      <c r="N19" s="254">
        <v>-23755</v>
      </c>
      <c r="O19" s="64">
        <f t="shared" si="1"/>
        <v>0</v>
      </c>
      <c r="P19" s="64" t="str">
        <f t="shared" si="2"/>
        <v>일치</v>
      </c>
      <c r="R19" s="64">
        <f>SUMIFS(전력감시DATA!O:O,전력감시DATA!B:B,B:B,전력감시DATA!C:C,C:C)</f>
        <v>253643</v>
      </c>
      <c r="S19" s="64">
        <f>SUMIFS(전력감시DATA!P:P,전력감시DATA!B:B,B:B,전력감시DATA!C:C,C:C)</f>
        <v>49057</v>
      </c>
      <c r="T19" s="64">
        <f>SUMIFS(전력감시DATA!M:M,전력감시DATA!B:B,B:B,전력감시DATA!C:C,C:C)</f>
        <v>179168</v>
      </c>
      <c r="U19" s="64">
        <f>SUMIFS(전력감시DATA!Q:Q,전력감시DATA!B:B,B:B,전력감시DATA!C:C,C:C)</f>
        <v>9580</v>
      </c>
      <c r="V19" s="64">
        <f t="shared" si="5"/>
        <v>491448</v>
      </c>
      <c r="X19" s="51">
        <v>0.2</v>
      </c>
      <c r="Y19" s="51">
        <v>0.3</v>
      </c>
      <c r="Z19" s="51">
        <v>0.2</v>
      </c>
      <c r="AA19" s="51">
        <v>0.15</v>
      </c>
      <c r="AB19" s="51">
        <v>0.15</v>
      </c>
      <c r="AC19" s="51">
        <f t="shared" si="3"/>
        <v>1</v>
      </c>
    </row>
    <row r="20" spans="2:29">
      <c r="B20" s="61" t="s">
        <v>26</v>
      </c>
      <c r="C20" s="61" t="s">
        <v>17</v>
      </c>
      <c r="D20" s="65">
        <f>(SUMIFS(전력감시DATA!E:E,전력감시DATA!B:B,B:B,전력감시DATA!C:C,C:C)*1000)-(SUMIFS(전력감시DATA!K:K,전력감시DATA!B:B,B:B,전력감시DATA!C:C,C:C))+(X20*N20)+(V20*X20)</f>
        <v>331944.60000000003</v>
      </c>
      <c r="E20" s="63">
        <f>SUMIFS(전력감시DATA!K:K,전력감시DATA!B:B,B:B,전력감시DATA!C:C,C:C)</f>
        <v>63556</v>
      </c>
      <c r="F20" s="63">
        <f>(SUMIFS(전력감시DATA!F:F,전력감시DATA!B:B,B:B,전력감시DATA!C:C,C:C)*1000)+(SUMIFS(전력감시DATA!G:G,전력감시DATA!B:B,B:B,전력감시DATA!C:C,C:C)*1000)+(Y20*N20)+(Y20*V20)</f>
        <v>2054250.9000000001</v>
      </c>
      <c r="G20" s="65">
        <f>(SUMIFS(전력감시DATA!H:H,전력감시DATA!B:B,B:B,전력감시DATA!C:C,C:C)*1000)+(Z20*N20)+(Z20*V20)</f>
        <v>1766500.5999999999</v>
      </c>
      <c r="H20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20*N20)+(AA20*V20)</f>
        <v>795992.45000000007</v>
      </c>
      <c r="I20" s="65">
        <f>SUMIFS(전력감시DATA!J:J,전력감시DATA!B:B,B:B,전력감시DATA!C:C,C:C)*1000-SUMIFS(전력감시DATA!L:L,전력감시DATA!B:B,B:B,전력감시DATA!C:C,C:C)-SUMIFS(전력감시DATA!M:M,전력감시DATA!B:B,B:B,전력감시DATA!C:C,C:C)+(AB20*N20)+(AB20*V20)</f>
        <v>600784.45000000007</v>
      </c>
      <c r="J20" s="63">
        <f>SUMIFS(전력감시DATA!L:L,전력감시DATA!B:B,B:B,전력감시DATA!C:C,C:C)</f>
        <v>17227</v>
      </c>
      <c r="K20" s="62">
        <f t="shared" si="4"/>
        <v>5630256</v>
      </c>
      <c r="L20" s="83">
        <f>ROUND(SUMIFS(본전력량!G:G,본전력량!B:B,B:B,본전력량!C:C,C:C),0)</f>
        <v>5630256</v>
      </c>
      <c r="M20" s="64">
        <f t="shared" si="0"/>
        <v>-558247</v>
      </c>
      <c r="N20" s="254">
        <v>19256</v>
      </c>
      <c r="O20" s="64">
        <f t="shared" si="1"/>
        <v>0</v>
      </c>
      <c r="P20" s="64" t="str">
        <f t="shared" si="2"/>
        <v>일치</v>
      </c>
      <c r="R20" s="64">
        <f>SUMIFS(전력감시DATA!O:O,전력감시DATA!B:B,B:B,전력감시DATA!C:C,C:C)</f>
        <v>252051</v>
      </c>
      <c r="S20" s="64">
        <f>SUMIFS(전력감시DATA!P:P,전력감시DATA!B:B,B:B,전력감시DATA!C:C,C:C)</f>
        <v>49000</v>
      </c>
      <c r="T20" s="64">
        <f>SUMIFS(전력감시DATA!M:M,전력감시DATA!B:B,B:B,전력감시DATA!C:C,C:C)</f>
        <v>248614</v>
      </c>
      <c r="U20" s="64">
        <f>SUMIFS(전력감시DATA!Q:Q,전력감시DATA!B:B,B:B,전력감시DATA!C:C,C:C)</f>
        <v>8582</v>
      </c>
      <c r="V20" s="64">
        <f t="shared" si="5"/>
        <v>558247</v>
      </c>
      <c r="X20" s="51">
        <v>0.2</v>
      </c>
      <c r="Y20" s="51">
        <v>0.3</v>
      </c>
      <c r="Z20" s="51">
        <v>0.2</v>
      </c>
      <c r="AA20" s="51">
        <v>0.15</v>
      </c>
      <c r="AB20" s="51">
        <v>0.15</v>
      </c>
      <c r="AC20" s="51">
        <f t="shared" si="3"/>
        <v>1</v>
      </c>
    </row>
    <row r="21" spans="2:29">
      <c r="B21" s="61" t="s">
        <v>26</v>
      </c>
      <c r="C21" s="61" t="s">
        <v>18</v>
      </c>
      <c r="D21" s="65">
        <f>(SUMIFS(전력감시DATA!E:E,전력감시DATA!B:B,B:B,전력감시DATA!C:C,C:C)*1000)-(SUMIFS(전력감시DATA!K:K,전력감시DATA!B:B,B:B,전력감시DATA!C:C,C:C))+(X21*N21)+(V21*X21)</f>
        <v>0</v>
      </c>
      <c r="E21" s="63">
        <f>SUMIFS(전력감시DATA!K:K,전력감시DATA!B:B,B:B,전력감시DATA!C:C,C:C)</f>
        <v>0</v>
      </c>
      <c r="F21" s="63">
        <f>(SUMIFS(전력감시DATA!F:F,전력감시DATA!B:B,B:B,전력감시DATA!C:C,C:C)*1000)+(SUMIFS(전력감시DATA!G:G,전력감시DATA!B:B,B:B,전력감시DATA!C:C,C:C)*1000)+(Y21*N21)+(Y21*V21)</f>
        <v>0</v>
      </c>
      <c r="G21" s="65">
        <f>(SUMIFS(전력감시DATA!H:H,전력감시DATA!B:B,B:B,전력감시DATA!C:C,C:C)*1000)+(Z21*N21)+(Z21*V21)</f>
        <v>0</v>
      </c>
      <c r="H21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21*N21)+(AA21*V21)</f>
        <v>0</v>
      </c>
      <c r="I21" s="65">
        <f>SUMIFS(전력감시DATA!J:J,전력감시DATA!B:B,B:B,전력감시DATA!C:C,C:C)*1000-SUMIFS(전력감시DATA!L:L,전력감시DATA!B:B,B:B,전력감시DATA!C:C,C:C)-SUMIFS(전력감시DATA!M:M,전력감시DATA!B:B,B:B,전력감시DATA!C:C,C:C)+(AB21*N21)+(AB21*V21)</f>
        <v>0</v>
      </c>
      <c r="J21" s="63">
        <f>SUMIFS(전력감시DATA!L:L,전력감시DATA!B:B,B:B,전력감시DATA!C:C,C:C)</f>
        <v>0</v>
      </c>
      <c r="K21" s="62">
        <f t="shared" si="4"/>
        <v>0</v>
      </c>
      <c r="L21" s="83">
        <f>ROUND(SUMIFS(본전력량!G:G,본전력량!B:B,B:B,본전력량!C:C,C:C),0)</f>
        <v>0</v>
      </c>
      <c r="M21" s="64">
        <f t="shared" si="0"/>
        <v>0</v>
      </c>
      <c r="O21" s="64">
        <f t="shared" si="1"/>
        <v>0</v>
      </c>
      <c r="P21" s="64" t="str">
        <f t="shared" si="2"/>
        <v>일치</v>
      </c>
      <c r="R21" s="64">
        <f>SUMIFS(전력감시DATA!O:O,전력감시DATA!B:B,B:B,전력감시DATA!C:C,C:C)</f>
        <v>0</v>
      </c>
      <c r="S21" s="64">
        <f>SUMIFS(전력감시DATA!P:P,전력감시DATA!B:B,B:B,전력감시DATA!C:C,C:C)</f>
        <v>0</v>
      </c>
      <c r="T21" s="64">
        <f>SUMIFS(전력감시DATA!M:M,전력감시DATA!B:B,B:B,전력감시DATA!C:C,C:C)</f>
        <v>0</v>
      </c>
      <c r="U21" s="64">
        <f>SUMIFS(전력감시DATA!Q:Q,전력감시DATA!B:B,B:B,전력감시DATA!C:C,C:C)</f>
        <v>0</v>
      </c>
      <c r="V21" s="64">
        <f t="shared" si="5"/>
        <v>0</v>
      </c>
      <c r="X21" s="51">
        <v>0.2</v>
      </c>
      <c r="Y21" s="51">
        <v>0.3</v>
      </c>
      <c r="Z21" s="51">
        <v>0.2</v>
      </c>
      <c r="AA21" s="51">
        <v>0.15</v>
      </c>
      <c r="AB21" s="51">
        <v>0.15</v>
      </c>
      <c r="AC21" s="51">
        <f t="shared" si="3"/>
        <v>1</v>
      </c>
    </row>
    <row r="22" spans="2:29">
      <c r="B22" s="61" t="s">
        <v>26</v>
      </c>
      <c r="C22" s="61" t="s">
        <v>19</v>
      </c>
      <c r="D22" s="65">
        <f>(SUMIFS(전력감시DATA!E:E,전력감시DATA!B:B,B:B,전력감시DATA!C:C,C:C)*1000)-(SUMIFS(전력감시DATA!K:K,전력감시DATA!B:B,B:B,전력감시DATA!C:C,C:C))+(X22*N22)+(V22*X22)</f>
        <v>0</v>
      </c>
      <c r="E22" s="63">
        <f>SUMIFS(전력감시DATA!K:K,전력감시DATA!B:B,B:B,전력감시DATA!C:C,C:C)</f>
        <v>0</v>
      </c>
      <c r="F22" s="63">
        <f>(SUMIFS(전력감시DATA!F:F,전력감시DATA!B:B,B:B,전력감시DATA!C:C,C:C)*1000)+(SUMIFS(전력감시DATA!G:G,전력감시DATA!B:B,B:B,전력감시DATA!C:C,C:C)*1000)+(Y22*N22)+(Y22*V22)</f>
        <v>0</v>
      </c>
      <c r="G22" s="65">
        <f>(SUMIFS(전력감시DATA!H:H,전력감시DATA!B:B,B:B,전력감시DATA!C:C,C:C)*1000)+(Z22*N22)+(Z22*V22)</f>
        <v>0</v>
      </c>
      <c r="H22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22*N22)+(AA22*V22)</f>
        <v>0</v>
      </c>
      <c r="I22" s="65">
        <f>SUMIFS(전력감시DATA!J:J,전력감시DATA!B:B,B:B,전력감시DATA!C:C,C:C)*1000-SUMIFS(전력감시DATA!L:L,전력감시DATA!B:B,B:B,전력감시DATA!C:C,C:C)-SUMIFS(전력감시DATA!M:M,전력감시DATA!B:B,B:B,전력감시DATA!C:C,C:C)+(AB22*N22)+(AB22*V22)</f>
        <v>0</v>
      </c>
      <c r="J22" s="63">
        <f>SUMIFS(전력감시DATA!L:L,전력감시DATA!B:B,B:B,전력감시DATA!C:C,C:C)</f>
        <v>0</v>
      </c>
      <c r="K22" s="62">
        <f t="shared" si="4"/>
        <v>0</v>
      </c>
      <c r="L22" s="83">
        <f>ROUND(SUMIFS(본전력량!G:G,본전력량!B:B,B:B,본전력량!C:C,C:C),0)</f>
        <v>0</v>
      </c>
      <c r="M22" s="64">
        <f t="shared" si="0"/>
        <v>0</v>
      </c>
      <c r="O22" s="64">
        <f t="shared" si="1"/>
        <v>0</v>
      </c>
      <c r="P22" s="64" t="str">
        <f t="shared" si="2"/>
        <v>일치</v>
      </c>
      <c r="R22" s="64">
        <f>SUMIFS(전력감시DATA!O:O,전력감시DATA!B:B,B:B,전력감시DATA!C:C,C:C)</f>
        <v>0</v>
      </c>
      <c r="S22" s="64">
        <f>SUMIFS(전력감시DATA!P:P,전력감시DATA!B:B,B:B,전력감시DATA!C:C,C:C)</f>
        <v>0</v>
      </c>
      <c r="T22" s="64">
        <f>SUMIFS(전력감시DATA!M:M,전력감시DATA!B:B,B:B,전력감시DATA!C:C,C:C)</f>
        <v>0</v>
      </c>
      <c r="U22" s="64">
        <f>SUMIFS(전력감시DATA!Q:Q,전력감시DATA!B:B,B:B,전력감시DATA!C:C,C:C)</f>
        <v>0</v>
      </c>
      <c r="V22" s="64">
        <f t="shared" si="5"/>
        <v>0</v>
      </c>
      <c r="X22" s="51">
        <v>0.2</v>
      </c>
      <c r="Y22" s="51">
        <v>0.3</v>
      </c>
      <c r="Z22" s="51">
        <v>0.2</v>
      </c>
      <c r="AA22" s="51">
        <v>0.15</v>
      </c>
      <c r="AB22" s="51">
        <v>0.15</v>
      </c>
      <c r="AC22" s="51">
        <f t="shared" si="3"/>
        <v>1</v>
      </c>
    </row>
    <row r="23" spans="2:29">
      <c r="B23" s="61" t="s">
        <v>26</v>
      </c>
      <c r="C23" s="61" t="s">
        <v>20</v>
      </c>
      <c r="D23" s="65">
        <f>(SUMIFS(전력감시DATA!E:E,전력감시DATA!B:B,B:B,전력감시DATA!C:C,C:C)*1000)-(SUMIFS(전력감시DATA!K:K,전력감시DATA!B:B,B:B,전력감시DATA!C:C,C:C))+(X23*N23)+(V23*X23)</f>
        <v>0</v>
      </c>
      <c r="E23" s="63">
        <f>SUMIFS(전력감시DATA!K:K,전력감시DATA!B:B,B:B,전력감시DATA!C:C,C:C)</f>
        <v>0</v>
      </c>
      <c r="F23" s="63">
        <f>(SUMIFS(전력감시DATA!F:F,전력감시DATA!B:B,B:B,전력감시DATA!C:C,C:C)*1000)+(SUMIFS(전력감시DATA!G:G,전력감시DATA!B:B,B:B,전력감시DATA!C:C,C:C)*1000)+(Y23*N23)+(Y23*V23)</f>
        <v>0</v>
      </c>
      <c r="G23" s="65">
        <f>(SUMIFS(전력감시DATA!H:H,전력감시DATA!B:B,B:B,전력감시DATA!C:C,C:C)*1000)+(Z23*N23)+(Z23*V23)</f>
        <v>0</v>
      </c>
      <c r="H23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23*N23)+(AA23*V23)</f>
        <v>0</v>
      </c>
      <c r="I23" s="65">
        <f>SUMIFS(전력감시DATA!J:J,전력감시DATA!B:B,B:B,전력감시DATA!C:C,C:C)*1000-SUMIFS(전력감시DATA!L:L,전력감시DATA!B:B,B:B,전력감시DATA!C:C,C:C)-SUMIFS(전력감시DATA!M:M,전력감시DATA!B:B,B:B,전력감시DATA!C:C,C:C)+(AB23*N23)+(AB23*V23)</f>
        <v>0</v>
      </c>
      <c r="J23" s="63">
        <f>SUMIFS(전력감시DATA!L:L,전력감시DATA!B:B,B:B,전력감시DATA!C:C,C:C)</f>
        <v>0</v>
      </c>
      <c r="K23" s="62">
        <f t="shared" si="4"/>
        <v>0</v>
      </c>
      <c r="L23" s="83">
        <f>ROUND(SUMIFS(본전력량!G:G,본전력량!B:B,B:B,본전력량!C:C,C:C),0)</f>
        <v>0</v>
      </c>
      <c r="M23" s="64">
        <f t="shared" si="0"/>
        <v>0</v>
      </c>
      <c r="O23" s="64">
        <f t="shared" si="1"/>
        <v>0</v>
      </c>
      <c r="P23" s="64" t="str">
        <f t="shared" si="2"/>
        <v>일치</v>
      </c>
      <c r="R23" s="64">
        <f>SUMIFS(전력감시DATA!O:O,전력감시DATA!B:B,B:B,전력감시DATA!C:C,C:C)</f>
        <v>0</v>
      </c>
      <c r="S23" s="64">
        <f>SUMIFS(전력감시DATA!P:P,전력감시DATA!B:B,B:B,전력감시DATA!C:C,C:C)</f>
        <v>0</v>
      </c>
      <c r="T23" s="64">
        <f>SUMIFS(전력감시DATA!M:M,전력감시DATA!B:B,B:B,전력감시DATA!C:C,C:C)</f>
        <v>0</v>
      </c>
      <c r="U23" s="64">
        <f>SUMIFS(전력감시DATA!Q:Q,전력감시DATA!B:B,B:B,전력감시DATA!C:C,C:C)</f>
        <v>0</v>
      </c>
      <c r="V23" s="64">
        <f t="shared" si="5"/>
        <v>0</v>
      </c>
      <c r="X23" s="51">
        <v>0.2</v>
      </c>
      <c r="Y23" s="51">
        <v>0.3</v>
      </c>
      <c r="Z23" s="51">
        <v>0.2</v>
      </c>
      <c r="AA23" s="51">
        <v>0.15</v>
      </c>
      <c r="AB23" s="51">
        <v>0.15</v>
      </c>
      <c r="AC23" s="51">
        <f t="shared" si="3"/>
        <v>1</v>
      </c>
    </row>
    <row r="24" spans="2:29">
      <c r="B24" s="61" t="s">
        <v>26</v>
      </c>
      <c r="C24" s="61" t="s">
        <v>21</v>
      </c>
      <c r="D24" s="65">
        <f>(SUMIFS(전력감시DATA!E:E,전력감시DATA!B:B,B:B,전력감시DATA!C:C,C:C)*1000)-(SUMIFS(전력감시DATA!K:K,전력감시DATA!B:B,B:B,전력감시DATA!C:C,C:C))+(X24*N24)+(V24*X24)</f>
        <v>0</v>
      </c>
      <c r="E24" s="63">
        <f>SUMIFS(전력감시DATA!K:K,전력감시DATA!B:B,B:B,전력감시DATA!C:C,C:C)</f>
        <v>0</v>
      </c>
      <c r="F24" s="63">
        <f>(SUMIFS(전력감시DATA!F:F,전력감시DATA!B:B,B:B,전력감시DATA!C:C,C:C)*1000)+(SUMIFS(전력감시DATA!G:G,전력감시DATA!B:B,B:B,전력감시DATA!C:C,C:C)*1000)+(Y24*N24)+(Y24*V24)</f>
        <v>0</v>
      </c>
      <c r="G24" s="65">
        <f>(SUMIFS(전력감시DATA!H:H,전력감시DATA!B:B,B:B,전력감시DATA!C:C,C:C)*1000)+(Z24*N24)+(Z24*V24)</f>
        <v>0</v>
      </c>
      <c r="H24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24*N24)+(AA24*V24)</f>
        <v>0</v>
      </c>
      <c r="I24" s="65">
        <f>SUMIFS(전력감시DATA!J:J,전력감시DATA!B:B,B:B,전력감시DATA!C:C,C:C)*1000-SUMIFS(전력감시DATA!L:L,전력감시DATA!B:B,B:B,전력감시DATA!C:C,C:C)-SUMIFS(전력감시DATA!M:M,전력감시DATA!B:B,B:B,전력감시DATA!C:C,C:C)+(AB24*N24)+(AB24*V24)</f>
        <v>0</v>
      </c>
      <c r="J24" s="63">
        <f>SUMIFS(전력감시DATA!L:L,전력감시DATA!B:B,B:B,전력감시DATA!C:C,C:C)</f>
        <v>0</v>
      </c>
      <c r="K24" s="62">
        <f t="shared" si="4"/>
        <v>0</v>
      </c>
      <c r="L24" s="83">
        <f>ROUND(SUMIFS(본전력량!G:G,본전력량!B:B,B:B,본전력량!C:C,C:C),0)</f>
        <v>0</v>
      </c>
      <c r="M24" s="64">
        <f t="shared" si="0"/>
        <v>0</v>
      </c>
      <c r="O24" s="64">
        <f t="shared" si="1"/>
        <v>0</v>
      </c>
      <c r="P24" s="64" t="str">
        <f t="shared" si="2"/>
        <v>일치</v>
      </c>
      <c r="R24" s="64">
        <f>SUMIFS(전력감시DATA!O:O,전력감시DATA!B:B,B:B,전력감시DATA!C:C,C:C)</f>
        <v>0</v>
      </c>
      <c r="S24" s="64">
        <f>SUMIFS(전력감시DATA!P:P,전력감시DATA!B:B,B:B,전력감시DATA!C:C,C:C)</f>
        <v>0</v>
      </c>
      <c r="T24" s="64">
        <f>SUMIFS(전력감시DATA!M:M,전력감시DATA!B:B,B:B,전력감시DATA!C:C,C:C)</f>
        <v>0</v>
      </c>
      <c r="U24" s="64">
        <f>SUMIFS(전력감시DATA!Q:Q,전력감시DATA!B:B,B:B,전력감시DATA!C:C,C:C)</f>
        <v>0</v>
      </c>
      <c r="V24" s="64">
        <f t="shared" si="5"/>
        <v>0</v>
      </c>
      <c r="X24" s="51">
        <v>0.2</v>
      </c>
      <c r="Y24" s="51">
        <v>0.3</v>
      </c>
      <c r="Z24" s="51">
        <v>0.2</v>
      </c>
      <c r="AA24" s="51">
        <v>0.15</v>
      </c>
      <c r="AB24" s="51">
        <v>0.15</v>
      </c>
      <c r="AC24" s="51">
        <f t="shared" si="3"/>
        <v>1</v>
      </c>
    </row>
    <row r="25" spans="2:29">
      <c r="B25" s="61" t="s">
        <v>26</v>
      </c>
      <c r="C25" s="61" t="s">
        <v>22</v>
      </c>
      <c r="D25" s="65">
        <f>(SUMIFS(전력감시DATA!E:E,전력감시DATA!B:B,B:B,전력감시DATA!C:C,C:C)*1000)-(SUMIFS(전력감시DATA!K:K,전력감시DATA!B:B,B:B,전력감시DATA!C:C,C:C))+(X25*N25)+(V25*X25)</f>
        <v>0</v>
      </c>
      <c r="E25" s="63">
        <f>SUMIFS(전력감시DATA!K:K,전력감시DATA!B:B,B:B,전력감시DATA!C:C,C:C)</f>
        <v>0</v>
      </c>
      <c r="F25" s="63">
        <f>(SUMIFS(전력감시DATA!F:F,전력감시DATA!B:B,B:B,전력감시DATA!C:C,C:C)*1000)+(SUMIFS(전력감시DATA!G:G,전력감시DATA!B:B,B:B,전력감시DATA!C:C,C:C)*1000)+(Y25*N25)+(Y25*V25)</f>
        <v>0</v>
      </c>
      <c r="G25" s="65">
        <f>(SUMIFS(전력감시DATA!H:H,전력감시DATA!B:B,B:B,전력감시DATA!C:C,C:C)*1000)+(Z25*N25)+(Z25*V25)</f>
        <v>0</v>
      </c>
      <c r="H25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25*N25)+(AA25*V25)</f>
        <v>0</v>
      </c>
      <c r="I25" s="65">
        <f>SUMIFS(전력감시DATA!J:J,전력감시DATA!B:B,B:B,전력감시DATA!C:C,C:C)*1000-SUMIFS(전력감시DATA!L:L,전력감시DATA!B:B,B:B,전력감시DATA!C:C,C:C)-SUMIFS(전력감시DATA!M:M,전력감시DATA!B:B,B:B,전력감시DATA!C:C,C:C)+(AB25*N25)+(AB25*V25)</f>
        <v>0</v>
      </c>
      <c r="J25" s="63">
        <f>SUMIFS(전력감시DATA!L:L,전력감시DATA!B:B,B:B,전력감시DATA!C:C,C:C)</f>
        <v>0</v>
      </c>
      <c r="K25" s="62">
        <f t="shared" si="4"/>
        <v>0</v>
      </c>
      <c r="L25" s="83">
        <f>ROUND(SUMIFS(본전력량!G:G,본전력량!B:B,B:B,본전력량!C:C,C:C),0)</f>
        <v>0</v>
      </c>
      <c r="M25" s="64">
        <f t="shared" si="0"/>
        <v>0</v>
      </c>
      <c r="O25" s="64">
        <f t="shared" si="1"/>
        <v>0</v>
      </c>
      <c r="P25" s="64" t="str">
        <f t="shared" si="2"/>
        <v>일치</v>
      </c>
      <c r="R25" s="64">
        <f>SUMIFS(전력감시DATA!O:O,전력감시DATA!B:B,B:B,전력감시DATA!C:C,C:C)</f>
        <v>0</v>
      </c>
      <c r="S25" s="64">
        <f>SUMIFS(전력감시DATA!P:P,전력감시DATA!B:B,B:B,전력감시DATA!C:C,C:C)</f>
        <v>0</v>
      </c>
      <c r="T25" s="64">
        <f>SUMIFS(전력감시DATA!M:M,전력감시DATA!B:B,B:B,전력감시DATA!C:C,C:C)</f>
        <v>0</v>
      </c>
      <c r="U25" s="64">
        <f>SUMIFS(전력감시DATA!Q:Q,전력감시DATA!B:B,B:B,전력감시DATA!C:C,C:C)</f>
        <v>0</v>
      </c>
      <c r="V25" s="64">
        <f t="shared" si="5"/>
        <v>0</v>
      </c>
      <c r="X25" s="51">
        <v>0.2</v>
      </c>
      <c r="Y25" s="51">
        <v>0.3</v>
      </c>
      <c r="Z25" s="51">
        <v>0.2</v>
      </c>
      <c r="AA25" s="51">
        <v>0.15</v>
      </c>
      <c r="AB25" s="51">
        <v>0.15</v>
      </c>
      <c r="AC25" s="51">
        <f t="shared" si="3"/>
        <v>1</v>
      </c>
    </row>
    <row r="26" spans="2:29">
      <c r="B26" s="61" t="s">
        <v>26</v>
      </c>
      <c r="C26" s="61" t="s">
        <v>23</v>
      </c>
      <c r="D26" s="65">
        <f>(SUMIFS(전력감시DATA!E:E,전력감시DATA!B:B,B:B,전력감시DATA!C:C,C:C)*1000)-(SUMIFS(전력감시DATA!K:K,전력감시DATA!B:B,B:B,전력감시DATA!C:C,C:C))+(X26*N26)+(V26*X26)</f>
        <v>0</v>
      </c>
      <c r="E26" s="63">
        <f>SUMIFS(전력감시DATA!K:K,전력감시DATA!B:B,B:B,전력감시DATA!C:C,C:C)</f>
        <v>0</v>
      </c>
      <c r="F26" s="63">
        <f>(SUMIFS(전력감시DATA!F:F,전력감시DATA!B:B,B:B,전력감시DATA!C:C,C:C)*1000)+(SUMIFS(전력감시DATA!G:G,전력감시DATA!B:B,B:B,전력감시DATA!C:C,C:C)*1000)+(Y26*N26)+(Y26*V26)</f>
        <v>0</v>
      </c>
      <c r="G26" s="65">
        <f>(SUMIFS(전력감시DATA!H:H,전력감시DATA!B:B,B:B,전력감시DATA!C:C,C:C)*1000)+(Z26*N26)+(Z26*V26)</f>
        <v>0</v>
      </c>
      <c r="H26" s="65">
        <f>(SUMIFS(전력감시DATA!I:I,전력감시DATA!B:B,B:B,전력감시DATA!C:C,C:C)*1000)-SUMIFS(전력감시DATA!O:O,전력감시DATA!B:B,B:B,전력감시DATA!C:C,C:C)-SUMIFS(전력감시DATA!P:P,전력감시DATA!B:B,B:B,전력감시DATA!C:C,C:C)-SUMIFS(전력감시DATA!Q:Q,전력감시DATA!B:B,B:B,전력감시DATA!C:C,C:C)+(AA26*N26)+(AA26*V26)</f>
        <v>0</v>
      </c>
      <c r="I26" s="65">
        <f>SUMIFS(전력감시DATA!J:J,전력감시DATA!B:B,B:B,전력감시DATA!C:C,C:C)*1000-SUMIFS(전력감시DATA!L:L,전력감시DATA!B:B,B:B,전력감시DATA!C:C,C:C)-SUMIFS(전력감시DATA!M:M,전력감시DATA!B:B,B:B,전력감시DATA!C:C,C:C)+(AB26*N26)+(AB26*V26)</f>
        <v>0</v>
      </c>
      <c r="J26" s="63">
        <f>SUMIFS(전력감시DATA!L:L,전력감시DATA!B:B,B:B,전력감시DATA!C:C,C:C)</f>
        <v>0</v>
      </c>
      <c r="K26" s="62">
        <f t="shared" si="4"/>
        <v>0</v>
      </c>
      <c r="L26" s="83">
        <f>ROUND(SUMIFS(본전력량!G:G,본전력량!B:B,B:B,본전력량!C:C,C:C),0)</f>
        <v>0</v>
      </c>
      <c r="M26" s="64">
        <f t="shared" si="0"/>
        <v>0</v>
      </c>
      <c r="O26" s="64">
        <f t="shared" si="1"/>
        <v>0</v>
      </c>
      <c r="P26" s="64" t="str">
        <f t="shared" si="2"/>
        <v>일치</v>
      </c>
      <c r="R26" s="64">
        <f>SUMIFS(전력감시DATA!O:O,전력감시DATA!B:B,B:B,전력감시DATA!C:C,C:C)</f>
        <v>0</v>
      </c>
      <c r="S26" s="64">
        <f>SUMIFS(전력감시DATA!P:P,전력감시DATA!B:B,B:B,전력감시DATA!C:C,C:C)</f>
        <v>0</v>
      </c>
      <c r="T26" s="64">
        <f>SUMIFS(전력감시DATA!M:M,전력감시DATA!B:B,B:B,전력감시DATA!C:C,C:C)</f>
        <v>0</v>
      </c>
      <c r="U26" s="64">
        <f>SUMIFS(전력감시DATA!Q:Q,전력감시DATA!B:B,B:B,전력감시DATA!C:C,C:C)</f>
        <v>0</v>
      </c>
      <c r="V26" s="64">
        <f t="shared" si="5"/>
        <v>0</v>
      </c>
      <c r="X26" s="51">
        <v>0.2</v>
      </c>
      <c r="Y26" s="51">
        <v>0.3</v>
      </c>
      <c r="Z26" s="51">
        <v>0.2</v>
      </c>
      <c r="AA26" s="51">
        <v>0.15</v>
      </c>
      <c r="AB26" s="51">
        <v>0.15</v>
      </c>
      <c r="AC26" s="51">
        <f t="shared" si="3"/>
        <v>1</v>
      </c>
    </row>
    <row r="27" spans="2:29">
      <c r="D27" s="58"/>
      <c r="E27" s="55"/>
      <c r="F27" s="57"/>
      <c r="G27" s="58"/>
      <c r="H27" s="58"/>
      <c r="I27" s="58"/>
      <c r="J27" s="55"/>
      <c r="X27" s="51">
        <v>0.2</v>
      </c>
      <c r="Y27" s="51">
        <v>0.3</v>
      </c>
      <c r="Z27" s="51">
        <v>0.2</v>
      </c>
      <c r="AA27" s="51">
        <v>0.15</v>
      </c>
      <c r="AB27" s="51">
        <v>0.15</v>
      </c>
      <c r="AC27" s="51">
        <f t="shared" si="3"/>
        <v>1</v>
      </c>
    </row>
    <row r="28" spans="2:29">
      <c r="D28" s="58"/>
      <c r="E28" s="55"/>
      <c r="F28" s="57"/>
      <c r="G28" s="58"/>
      <c r="H28" s="58"/>
      <c r="I28" s="58"/>
      <c r="J28" s="55"/>
      <c r="X28" s="51">
        <v>0.2</v>
      </c>
      <c r="Y28" s="51">
        <v>0.3</v>
      </c>
      <c r="Z28" s="51">
        <v>0.2</v>
      </c>
      <c r="AA28" s="51">
        <v>0.15</v>
      </c>
      <c r="AB28" s="51">
        <v>0.15</v>
      </c>
      <c r="AC28" s="51">
        <f t="shared" si="3"/>
        <v>1</v>
      </c>
    </row>
    <row r="29" spans="2:29">
      <c r="D29" s="58"/>
      <c r="E29" s="55"/>
      <c r="F29" s="57"/>
      <c r="G29" s="58"/>
      <c r="H29" s="58"/>
      <c r="I29" s="58"/>
      <c r="J29" s="55"/>
      <c r="X29" s="51">
        <v>0.2</v>
      </c>
      <c r="Y29" s="51">
        <v>0.3</v>
      </c>
      <c r="Z29" s="51">
        <v>0.2</v>
      </c>
      <c r="AA29" s="51">
        <v>0.15</v>
      </c>
      <c r="AB29" s="51">
        <v>0.15</v>
      </c>
      <c r="AC29" s="51">
        <f t="shared" si="3"/>
        <v>1</v>
      </c>
    </row>
    <row r="30" spans="2:29">
      <c r="D30" s="58"/>
      <c r="E30" s="55"/>
      <c r="F30" s="57"/>
      <c r="G30" s="58"/>
      <c r="H30" s="58"/>
      <c r="I30" s="58"/>
      <c r="J30" s="55"/>
      <c r="X30" s="51">
        <v>0.2</v>
      </c>
      <c r="Y30" s="51">
        <v>0.3</v>
      </c>
      <c r="Z30" s="51">
        <v>0.2</v>
      </c>
      <c r="AA30" s="51">
        <v>0.15</v>
      </c>
      <c r="AB30" s="51">
        <v>0.15</v>
      </c>
      <c r="AC30" s="51">
        <f t="shared" si="3"/>
        <v>1</v>
      </c>
    </row>
    <row r="31" spans="2:29">
      <c r="X31" s="51">
        <v>0.2</v>
      </c>
      <c r="Y31" s="51">
        <v>0.3</v>
      </c>
      <c r="Z31" s="51">
        <v>0.2</v>
      </c>
      <c r="AA31" s="51">
        <v>0.15</v>
      </c>
      <c r="AB31" s="51">
        <v>0.15</v>
      </c>
      <c r="AC31" s="51">
        <f t="shared" si="3"/>
        <v>1</v>
      </c>
    </row>
    <row r="32" spans="2:29">
      <c r="X32" s="51">
        <v>0.2</v>
      </c>
      <c r="Y32" s="51">
        <v>0.3</v>
      </c>
      <c r="Z32" s="51">
        <v>0.2</v>
      </c>
      <c r="AA32" s="51">
        <v>0.15</v>
      </c>
      <c r="AB32" s="51">
        <v>0.15</v>
      </c>
      <c r="AC32" s="51">
        <f t="shared" si="3"/>
        <v>1</v>
      </c>
    </row>
    <row r="33" spans="24:29">
      <c r="X33" s="51">
        <v>0.2</v>
      </c>
      <c r="Y33" s="51">
        <v>0.3</v>
      </c>
      <c r="Z33" s="51">
        <v>0.2</v>
      </c>
      <c r="AA33" s="51">
        <v>0.15</v>
      </c>
      <c r="AB33" s="51">
        <v>0.15</v>
      </c>
      <c r="AC33" s="51">
        <f t="shared" si="3"/>
        <v>1</v>
      </c>
    </row>
    <row r="34" spans="24:29">
      <c r="X34" s="51">
        <v>0.2</v>
      </c>
      <c r="Y34" s="51">
        <v>0.3</v>
      </c>
      <c r="Z34" s="51">
        <v>0.2</v>
      </c>
      <c r="AA34" s="51">
        <v>0.15</v>
      </c>
      <c r="AB34" s="51">
        <v>0.15</v>
      </c>
      <c r="AC34" s="51">
        <f t="shared" si="3"/>
        <v>1</v>
      </c>
    </row>
    <row r="35" spans="24:29">
      <c r="X35" s="51">
        <v>0.2</v>
      </c>
      <c r="Y35" s="51">
        <v>0.3</v>
      </c>
      <c r="Z35" s="51">
        <v>0.2</v>
      </c>
      <c r="AA35" s="51">
        <v>0.15</v>
      </c>
      <c r="AB35" s="51">
        <v>0.15</v>
      </c>
      <c r="AC35" s="51">
        <f t="shared" si="3"/>
        <v>1</v>
      </c>
    </row>
    <row r="36" spans="24:29">
      <c r="X36" s="51">
        <v>0.2</v>
      </c>
      <c r="Y36" s="51">
        <v>0.3</v>
      </c>
      <c r="Z36" s="51">
        <v>0.2</v>
      </c>
      <c r="AA36" s="51">
        <v>0.15</v>
      </c>
      <c r="AB36" s="51">
        <v>0.15</v>
      </c>
      <c r="AC36" s="51">
        <f t="shared" si="3"/>
        <v>1</v>
      </c>
    </row>
    <row r="37" spans="24:29">
      <c r="X37" s="51">
        <v>0.2</v>
      </c>
      <c r="Y37" s="51">
        <v>0.3</v>
      </c>
      <c r="Z37" s="51">
        <v>0.2</v>
      </c>
      <c r="AA37" s="51">
        <v>0.15</v>
      </c>
      <c r="AB37" s="51">
        <v>0.15</v>
      </c>
      <c r="AC37" s="51">
        <f t="shared" si="3"/>
        <v>1</v>
      </c>
    </row>
    <row r="38" spans="24:29">
      <c r="X38" s="51">
        <v>0.2</v>
      </c>
      <c r="Y38" s="51">
        <v>0.3</v>
      </c>
      <c r="Z38" s="51">
        <v>0.2</v>
      </c>
      <c r="AA38" s="51">
        <v>0.15</v>
      </c>
      <c r="AB38" s="51">
        <v>0.15</v>
      </c>
      <c r="AC38" s="51">
        <f t="shared" si="3"/>
        <v>1</v>
      </c>
    </row>
    <row r="39" spans="24:29">
      <c r="X39" s="51">
        <v>0.2</v>
      </c>
      <c r="Y39" s="51">
        <v>0.3</v>
      </c>
      <c r="Z39" s="51">
        <v>0.2</v>
      </c>
      <c r="AA39" s="51">
        <v>0.15</v>
      </c>
      <c r="AB39" s="51">
        <v>0.15</v>
      </c>
      <c r="AC39" s="51">
        <f t="shared" si="3"/>
        <v>1</v>
      </c>
    </row>
    <row r="40" spans="24:29">
      <c r="X40" s="51">
        <v>0.2</v>
      </c>
      <c r="Y40" s="51">
        <v>0.3</v>
      </c>
      <c r="Z40" s="51">
        <v>0.2</v>
      </c>
      <c r="AA40" s="51">
        <v>0.15</v>
      </c>
      <c r="AB40" s="51">
        <v>0.15</v>
      </c>
      <c r="AC40" s="51">
        <f t="shared" si="3"/>
        <v>1</v>
      </c>
    </row>
    <row r="41" spans="24:29">
      <c r="X41" s="51">
        <v>0.2</v>
      </c>
      <c r="Y41" s="51">
        <v>0.3</v>
      </c>
      <c r="Z41" s="51">
        <v>0.2</v>
      </c>
      <c r="AA41" s="51">
        <v>0.15</v>
      </c>
      <c r="AB41" s="51">
        <v>0.15</v>
      </c>
      <c r="AC41" s="51">
        <f t="shared" si="3"/>
        <v>1</v>
      </c>
    </row>
    <row r="42" spans="24:29">
      <c r="X42" s="51">
        <v>0.2</v>
      </c>
      <c r="Y42" s="51">
        <v>0.3</v>
      </c>
      <c r="Z42" s="51">
        <v>0.2</v>
      </c>
      <c r="AA42" s="51">
        <v>0.15</v>
      </c>
      <c r="AB42" s="51">
        <v>0.15</v>
      </c>
      <c r="AC42" s="51">
        <f t="shared" si="3"/>
        <v>1</v>
      </c>
    </row>
    <row r="43" spans="24:29">
      <c r="X43" s="51">
        <v>0.2</v>
      </c>
      <c r="Y43" s="51">
        <v>0.3</v>
      </c>
      <c r="Z43" s="51">
        <v>0.2</v>
      </c>
      <c r="AA43" s="51">
        <v>0.15</v>
      </c>
      <c r="AB43" s="51">
        <v>0.15</v>
      </c>
      <c r="AC43" s="51">
        <f t="shared" si="3"/>
        <v>1</v>
      </c>
    </row>
    <row r="44" spans="24:29">
      <c r="X44" s="51">
        <v>0.2</v>
      </c>
      <c r="Y44" s="51">
        <v>0.3</v>
      </c>
      <c r="Z44" s="51">
        <v>0.2</v>
      </c>
      <c r="AA44" s="51">
        <v>0.15</v>
      </c>
      <c r="AB44" s="51">
        <v>0.15</v>
      </c>
      <c r="AC44" s="51">
        <f t="shared" si="3"/>
        <v>1</v>
      </c>
    </row>
    <row r="45" spans="24:29">
      <c r="X45" s="51">
        <v>0.2</v>
      </c>
      <c r="Y45" s="51">
        <v>0.3</v>
      </c>
      <c r="Z45" s="51">
        <v>0.2</v>
      </c>
      <c r="AA45" s="51">
        <v>0.15</v>
      </c>
      <c r="AB45" s="51">
        <v>0.15</v>
      </c>
      <c r="AC45" s="51">
        <f t="shared" si="3"/>
        <v>1</v>
      </c>
    </row>
    <row r="46" spans="24:29">
      <c r="X46" s="51">
        <v>0.2</v>
      </c>
      <c r="Y46" s="51">
        <v>0.3</v>
      </c>
      <c r="Z46" s="51">
        <v>0.2</v>
      </c>
      <c r="AA46" s="51">
        <v>0.15</v>
      </c>
      <c r="AB46" s="51">
        <v>0.15</v>
      </c>
      <c r="AC46" s="51">
        <f t="shared" si="3"/>
        <v>1</v>
      </c>
    </row>
    <row r="47" spans="24:29">
      <c r="X47" s="51">
        <v>0.2</v>
      </c>
      <c r="Y47" s="51">
        <v>0.3</v>
      </c>
      <c r="Z47" s="51">
        <v>0.2</v>
      </c>
      <c r="AA47" s="51">
        <v>0.15</v>
      </c>
      <c r="AB47" s="51">
        <v>0.15</v>
      </c>
      <c r="AC47" s="51">
        <f t="shared" si="3"/>
        <v>1</v>
      </c>
    </row>
    <row r="48" spans="24:29">
      <c r="X48" s="51">
        <v>0.2</v>
      </c>
      <c r="Y48" s="51">
        <v>0.3</v>
      </c>
      <c r="Z48" s="51">
        <v>0.2</v>
      </c>
      <c r="AA48" s="51">
        <v>0.15</v>
      </c>
      <c r="AB48" s="51">
        <v>0.15</v>
      </c>
      <c r="AC48" s="51">
        <f t="shared" si="3"/>
        <v>1</v>
      </c>
    </row>
    <row r="49" spans="24:29">
      <c r="X49" s="51">
        <v>0.2</v>
      </c>
      <c r="Y49" s="51">
        <v>0.3</v>
      </c>
      <c r="Z49" s="51">
        <v>0.2</v>
      </c>
      <c r="AA49" s="51">
        <v>0.15</v>
      </c>
      <c r="AB49" s="51">
        <v>0.15</v>
      </c>
      <c r="AC49" s="51">
        <f t="shared" si="3"/>
        <v>1</v>
      </c>
    </row>
    <row r="50" spans="24:29">
      <c r="X50" s="51">
        <v>0.2</v>
      </c>
      <c r="Y50" s="51">
        <v>0.3</v>
      </c>
      <c r="Z50" s="51">
        <v>0.2</v>
      </c>
      <c r="AA50" s="51">
        <v>0.15</v>
      </c>
      <c r="AB50" s="51">
        <v>0.15</v>
      </c>
      <c r="AC50" s="51">
        <f t="shared" si="3"/>
        <v>1</v>
      </c>
    </row>
    <row r="51" spans="24:29">
      <c r="X51" s="51">
        <v>0.2</v>
      </c>
      <c r="Y51" s="51">
        <v>0.3</v>
      </c>
      <c r="Z51" s="51">
        <v>0.2</v>
      </c>
      <c r="AA51" s="51">
        <v>0.15</v>
      </c>
      <c r="AB51" s="51">
        <v>0.15</v>
      </c>
      <c r="AC51" s="51">
        <f t="shared" si="3"/>
        <v>1</v>
      </c>
    </row>
    <row r="52" spans="24:29">
      <c r="X52" s="51">
        <v>0.2</v>
      </c>
      <c r="Y52" s="51">
        <v>0.3</v>
      </c>
      <c r="Z52" s="51">
        <v>0.2</v>
      </c>
      <c r="AA52" s="51">
        <v>0.15</v>
      </c>
      <c r="AB52" s="51">
        <v>0.15</v>
      </c>
      <c r="AC52" s="51">
        <f t="shared" si="3"/>
        <v>1</v>
      </c>
    </row>
    <row r="53" spans="24:29">
      <c r="X53" s="51">
        <v>0.2</v>
      </c>
      <c r="Y53" s="51">
        <v>0.3</v>
      </c>
      <c r="Z53" s="51">
        <v>0.2</v>
      </c>
      <c r="AA53" s="51">
        <v>0.15</v>
      </c>
      <c r="AB53" s="51">
        <v>0.15</v>
      </c>
      <c r="AC53" s="51">
        <f t="shared" si="3"/>
        <v>1</v>
      </c>
    </row>
    <row r="54" spans="24:29">
      <c r="X54" s="51">
        <v>0.2</v>
      </c>
      <c r="Y54" s="51">
        <v>0.3</v>
      </c>
      <c r="Z54" s="51">
        <v>0.2</v>
      </c>
      <c r="AA54" s="51">
        <v>0.15</v>
      </c>
      <c r="AB54" s="51">
        <v>0.15</v>
      </c>
      <c r="AC54" s="51">
        <f t="shared" si="3"/>
        <v>1</v>
      </c>
    </row>
    <row r="55" spans="24:29">
      <c r="X55" s="51">
        <v>0.2</v>
      </c>
      <c r="Y55" s="51">
        <v>0.3</v>
      </c>
      <c r="Z55" s="51">
        <v>0.2</v>
      </c>
      <c r="AA55" s="51">
        <v>0.15</v>
      </c>
      <c r="AB55" s="51">
        <v>0.15</v>
      </c>
      <c r="AC55" s="51">
        <f t="shared" si="3"/>
        <v>1</v>
      </c>
    </row>
    <row r="56" spans="24:29">
      <c r="X56" s="51">
        <v>0.2</v>
      </c>
      <c r="Y56" s="51">
        <v>0.3</v>
      </c>
      <c r="Z56" s="51">
        <v>0.2</v>
      </c>
      <c r="AA56" s="51">
        <v>0.15</v>
      </c>
      <c r="AB56" s="51">
        <v>0.15</v>
      </c>
      <c r="AC56" s="51">
        <f t="shared" si="3"/>
        <v>1</v>
      </c>
    </row>
    <row r="57" spans="24:29">
      <c r="X57" s="51">
        <v>0.2</v>
      </c>
      <c r="Y57" s="51">
        <v>0.3</v>
      </c>
      <c r="Z57" s="51">
        <v>0.2</v>
      </c>
      <c r="AA57" s="51">
        <v>0.15</v>
      </c>
      <c r="AB57" s="51">
        <v>0.15</v>
      </c>
      <c r="AC57" s="51">
        <f t="shared" si="3"/>
        <v>1</v>
      </c>
    </row>
    <row r="58" spans="24:29">
      <c r="X58" s="51">
        <v>0.2</v>
      </c>
      <c r="Y58" s="51">
        <v>0.3</v>
      </c>
      <c r="Z58" s="51">
        <v>0.2</v>
      </c>
      <c r="AA58" s="51">
        <v>0.15</v>
      </c>
      <c r="AB58" s="51">
        <v>0.15</v>
      </c>
      <c r="AC58" s="51">
        <f t="shared" si="3"/>
        <v>1</v>
      </c>
    </row>
    <row r="59" spans="24:29">
      <c r="X59" s="51">
        <v>0.2</v>
      </c>
      <c r="Y59" s="51">
        <v>0.3</v>
      </c>
      <c r="Z59" s="51">
        <v>0.2</v>
      </c>
      <c r="AA59" s="51">
        <v>0.15</v>
      </c>
      <c r="AB59" s="51">
        <v>0.15</v>
      </c>
      <c r="AC59" s="51">
        <f t="shared" si="3"/>
        <v>1</v>
      </c>
    </row>
    <row r="60" spans="24:29">
      <c r="X60" s="51">
        <v>0.2</v>
      </c>
      <c r="Y60" s="51">
        <v>0.3</v>
      </c>
      <c r="Z60" s="51">
        <v>0.2</v>
      </c>
      <c r="AA60" s="51">
        <v>0.15</v>
      </c>
      <c r="AB60" s="51">
        <v>0.15</v>
      </c>
      <c r="AC60" s="51">
        <f t="shared" si="3"/>
        <v>1</v>
      </c>
    </row>
    <row r="61" spans="24:29">
      <c r="X61" s="51">
        <v>0.2</v>
      </c>
      <c r="Y61" s="51">
        <v>0.3</v>
      </c>
      <c r="Z61" s="51">
        <v>0.2</v>
      </c>
      <c r="AA61" s="51">
        <v>0.15</v>
      </c>
      <c r="AB61" s="51">
        <v>0.15</v>
      </c>
      <c r="AC61" s="51">
        <f t="shared" si="3"/>
        <v>1</v>
      </c>
    </row>
    <row r="62" spans="24:29">
      <c r="X62" s="51">
        <v>0.2</v>
      </c>
      <c r="Y62" s="51">
        <v>0.3</v>
      </c>
      <c r="Z62" s="51">
        <v>0.2</v>
      </c>
      <c r="AA62" s="51">
        <v>0.15</v>
      </c>
      <c r="AB62" s="51">
        <v>0.15</v>
      </c>
      <c r="AC62" s="51">
        <f t="shared" si="3"/>
        <v>1</v>
      </c>
    </row>
    <row r="63" spans="24:29">
      <c r="X63" s="51">
        <v>0.2</v>
      </c>
      <c r="Y63" s="51">
        <v>0.3</v>
      </c>
      <c r="Z63" s="51">
        <v>0.2</v>
      </c>
      <c r="AA63" s="51">
        <v>0.15</v>
      </c>
      <c r="AB63" s="51">
        <v>0.15</v>
      </c>
      <c r="AC63" s="51">
        <f t="shared" si="3"/>
        <v>1</v>
      </c>
    </row>
    <row r="64" spans="24:29">
      <c r="X64" s="51">
        <v>0.2</v>
      </c>
      <c r="Y64" s="51">
        <v>0.3</v>
      </c>
      <c r="Z64" s="51">
        <v>0.2</v>
      </c>
      <c r="AA64" s="51">
        <v>0.15</v>
      </c>
      <c r="AB64" s="51">
        <v>0.15</v>
      </c>
      <c r="AC64" s="51">
        <f t="shared" si="3"/>
        <v>1</v>
      </c>
    </row>
    <row r="65" spans="24:29">
      <c r="X65" s="51">
        <v>0.2</v>
      </c>
      <c r="Y65" s="51">
        <v>0.3</v>
      </c>
      <c r="Z65" s="51">
        <v>0.2</v>
      </c>
      <c r="AA65" s="51">
        <v>0.15</v>
      </c>
      <c r="AB65" s="51">
        <v>0.15</v>
      </c>
      <c r="AC65" s="51">
        <f t="shared" si="3"/>
        <v>1</v>
      </c>
    </row>
    <row r="66" spans="24:29">
      <c r="X66" s="51">
        <v>0.2</v>
      </c>
      <c r="Y66" s="51">
        <v>0.3</v>
      </c>
      <c r="Z66" s="51">
        <v>0.2</v>
      </c>
      <c r="AA66" s="51">
        <v>0.15</v>
      </c>
      <c r="AB66" s="51">
        <v>0.15</v>
      </c>
      <c r="AC66" s="51">
        <f t="shared" si="3"/>
        <v>1</v>
      </c>
    </row>
    <row r="67" spans="24:29">
      <c r="X67" s="51">
        <v>0.2</v>
      </c>
      <c r="Y67" s="51">
        <v>0.3</v>
      </c>
      <c r="Z67" s="51">
        <v>0.2</v>
      </c>
      <c r="AA67" s="51">
        <v>0.15</v>
      </c>
      <c r="AB67" s="51">
        <v>0.15</v>
      </c>
      <c r="AC67" s="51">
        <f t="shared" si="3"/>
        <v>1</v>
      </c>
    </row>
    <row r="68" spans="24:29">
      <c r="X68" s="51">
        <v>0.2</v>
      </c>
      <c r="Y68" s="51">
        <v>0.3</v>
      </c>
      <c r="Z68" s="51">
        <v>0.2</v>
      </c>
      <c r="AA68" s="51">
        <v>0.15</v>
      </c>
      <c r="AB68" s="51">
        <v>0.15</v>
      </c>
      <c r="AC68" s="51">
        <f t="shared" ref="AC68:AC131" si="6">SUM(X68:AB68)</f>
        <v>1</v>
      </c>
    </row>
    <row r="69" spans="24:29">
      <c r="X69" s="51">
        <v>0.2</v>
      </c>
      <c r="Y69" s="51">
        <v>0.3</v>
      </c>
      <c r="Z69" s="51">
        <v>0.2</v>
      </c>
      <c r="AA69" s="51">
        <v>0.15</v>
      </c>
      <c r="AB69" s="51">
        <v>0.15</v>
      </c>
      <c r="AC69" s="51">
        <f t="shared" si="6"/>
        <v>1</v>
      </c>
    </row>
    <row r="70" spans="24:29">
      <c r="X70" s="51">
        <v>0.2</v>
      </c>
      <c r="Y70" s="51">
        <v>0.3</v>
      </c>
      <c r="Z70" s="51">
        <v>0.2</v>
      </c>
      <c r="AA70" s="51">
        <v>0.15</v>
      </c>
      <c r="AB70" s="51">
        <v>0.15</v>
      </c>
      <c r="AC70" s="51">
        <f t="shared" si="6"/>
        <v>1</v>
      </c>
    </row>
    <row r="71" spans="24:29">
      <c r="X71" s="51">
        <v>0.2</v>
      </c>
      <c r="Y71" s="51">
        <v>0.3</v>
      </c>
      <c r="Z71" s="51">
        <v>0.2</v>
      </c>
      <c r="AA71" s="51">
        <v>0.15</v>
      </c>
      <c r="AB71" s="51">
        <v>0.15</v>
      </c>
      <c r="AC71" s="51">
        <f t="shared" si="6"/>
        <v>1</v>
      </c>
    </row>
    <row r="72" spans="24:29">
      <c r="X72" s="51">
        <v>0.2</v>
      </c>
      <c r="Y72" s="51">
        <v>0.3</v>
      </c>
      <c r="Z72" s="51">
        <v>0.2</v>
      </c>
      <c r="AA72" s="51">
        <v>0.15</v>
      </c>
      <c r="AB72" s="51">
        <v>0.15</v>
      </c>
      <c r="AC72" s="51">
        <f t="shared" si="6"/>
        <v>1</v>
      </c>
    </row>
    <row r="73" spans="24:29">
      <c r="X73" s="51">
        <v>0.2</v>
      </c>
      <c r="Y73" s="51">
        <v>0.3</v>
      </c>
      <c r="Z73" s="51">
        <v>0.2</v>
      </c>
      <c r="AA73" s="51">
        <v>0.15</v>
      </c>
      <c r="AB73" s="51">
        <v>0.15</v>
      </c>
      <c r="AC73" s="51">
        <f t="shared" si="6"/>
        <v>1</v>
      </c>
    </row>
    <row r="74" spans="24:29">
      <c r="X74" s="51">
        <v>0.2</v>
      </c>
      <c r="Y74" s="51">
        <v>0.3</v>
      </c>
      <c r="Z74" s="51">
        <v>0.2</v>
      </c>
      <c r="AA74" s="51">
        <v>0.15</v>
      </c>
      <c r="AB74" s="51">
        <v>0.15</v>
      </c>
      <c r="AC74" s="51">
        <f t="shared" si="6"/>
        <v>1</v>
      </c>
    </row>
    <row r="75" spans="24:29">
      <c r="X75" s="51">
        <v>0.2</v>
      </c>
      <c r="Y75" s="51">
        <v>0.3</v>
      </c>
      <c r="Z75" s="51">
        <v>0.2</v>
      </c>
      <c r="AA75" s="51">
        <v>0.15</v>
      </c>
      <c r="AB75" s="51">
        <v>0.15</v>
      </c>
      <c r="AC75" s="51">
        <f t="shared" si="6"/>
        <v>1</v>
      </c>
    </row>
    <row r="76" spans="24:29">
      <c r="X76" s="51">
        <v>0.2</v>
      </c>
      <c r="Y76" s="51">
        <v>0.3</v>
      </c>
      <c r="Z76" s="51">
        <v>0.2</v>
      </c>
      <c r="AA76" s="51">
        <v>0.15</v>
      </c>
      <c r="AB76" s="51">
        <v>0.15</v>
      </c>
      <c r="AC76" s="51">
        <f t="shared" si="6"/>
        <v>1</v>
      </c>
    </row>
    <row r="77" spans="24:29">
      <c r="X77" s="51">
        <v>0.2</v>
      </c>
      <c r="Y77" s="51">
        <v>0.3</v>
      </c>
      <c r="Z77" s="51">
        <v>0.2</v>
      </c>
      <c r="AA77" s="51">
        <v>0.15</v>
      </c>
      <c r="AB77" s="51">
        <v>0.15</v>
      </c>
      <c r="AC77" s="51">
        <f t="shared" si="6"/>
        <v>1</v>
      </c>
    </row>
    <row r="78" spans="24:29">
      <c r="X78" s="51">
        <v>0.2</v>
      </c>
      <c r="Y78" s="51">
        <v>0.3</v>
      </c>
      <c r="Z78" s="51">
        <v>0.2</v>
      </c>
      <c r="AA78" s="51">
        <v>0.15</v>
      </c>
      <c r="AB78" s="51">
        <v>0.15</v>
      </c>
      <c r="AC78" s="51">
        <f t="shared" si="6"/>
        <v>1</v>
      </c>
    </row>
    <row r="79" spans="24:29">
      <c r="X79" s="51">
        <v>0.2</v>
      </c>
      <c r="Y79" s="51">
        <v>0.3</v>
      </c>
      <c r="Z79" s="51">
        <v>0.2</v>
      </c>
      <c r="AA79" s="51">
        <v>0.15</v>
      </c>
      <c r="AB79" s="51">
        <v>0.15</v>
      </c>
      <c r="AC79" s="51">
        <f t="shared" si="6"/>
        <v>1</v>
      </c>
    </row>
    <row r="80" spans="24:29">
      <c r="X80" s="51">
        <v>0.2</v>
      </c>
      <c r="Y80" s="51">
        <v>0.3</v>
      </c>
      <c r="Z80" s="51">
        <v>0.2</v>
      </c>
      <c r="AA80" s="51">
        <v>0.15</v>
      </c>
      <c r="AB80" s="51">
        <v>0.15</v>
      </c>
      <c r="AC80" s="51">
        <f t="shared" si="6"/>
        <v>1</v>
      </c>
    </row>
    <row r="81" spans="24:29">
      <c r="X81" s="51">
        <v>0.2</v>
      </c>
      <c r="Y81" s="51">
        <v>0.3</v>
      </c>
      <c r="Z81" s="51">
        <v>0.2</v>
      </c>
      <c r="AA81" s="51">
        <v>0.15</v>
      </c>
      <c r="AB81" s="51">
        <v>0.15</v>
      </c>
      <c r="AC81" s="51">
        <f t="shared" si="6"/>
        <v>1</v>
      </c>
    </row>
    <row r="82" spans="24:29">
      <c r="X82" s="51">
        <v>0.2</v>
      </c>
      <c r="Y82" s="51">
        <v>0.3</v>
      </c>
      <c r="Z82" s="51">
        <v>0.2</v>
      </c>
      <c r="AA82" s="51">
        <v>0.15</v>
      </c>
      <c r="AB82" s="51">
        <v>0.15</v>
      </c>
      <c r="AC82" s="51">
        <f t="shared" si="6"/>
        <v>1</v>
      </c>
    </row>
    <row r="83" spans="24:29">
      <c r="X83" s="51">
        <v>0.2</v>
      </c>
      <c r="Y83" s="51">
        <v>0.3</v>
      </c>
      <c r="Z83" s="51">
        <v>0.2</v>
      </c>
      <c r="AA83" s="51">
        <v>0.15</v>
      </c>
      <c r="AB83" s="51">
        <v>0.15</v>
      </c>
      <c r="AC83" s="51">
        <f t="shared" si="6"/>
        <v>1</v>
      </c>
    </row>
    <row r="84" spans="24:29">
      <c r="X84" s="51">
        <v>0.2</v>
      </c>
      <c r="Y84" s="51">
        <v>0.3</v>
      </c>
      <c r="Z84" s="51">
        <v>0.2</v>
      </c>
      <c r="AA84" s="51">
        <v>0.15</v>
      </c>
      <c r="AB84" s="51">
        <v>0.15</v>
      </c>
      <c r="AC84" s="51">
        <f t="shared" si="6"/>
        <v>1</v>
      </c>
    </row>
    <row r="85" spans="24:29">
      <c r="X85" s="51">
        <v>0.2</v>
      </c>
      <c r="Y85" s="51">
        <v>0.3</v>
      </c>
      <c r="Z85" s="51">
        <v>0.2</v>
      </c>
      <c r="AA85" s="51">
        <v>0.15</v>
      </c>
      <c r="AB85" s="51">
        <v>0.15</v>
      </c>
      <c r="AC85" s="51">
        <f t="shared" si="6"/>
        <v>1</v>
      </c>
    </row>
    <row r="86" spans="24:29">
      <c r="X86" s="51">
        <v>0.2</v>
      </c>
      <c r="Y86" s="51">
        <v>0.3</v>
      </c>
      <c r="Z86" s="51">
        <v>0.2</v>
      </c>
      <c r="AA86" s="51">
        <v>0.15</v>
      </c>
      <c r="AB86" s="51">
        <v>0.15</v>
      </c>
      <c r="AC86" s="51">
        <f t="shared" si="6"/>
        <v>1</v>
      </c>
    </row>
    <row r="87" spans="24:29">
      <c r="X87" s="51">
        <v>0.2</v>
      </c>
      <c r="Y87" s="51">
        <v>0.3</v>
      </c>
      <c r="Z87" s="51">
        <v>0.2</v>
      </c>
      <c r="AA87" s="51">
        <v>0.15</v>
      </c>
      <c r="AB87" s="51">
        <v>0.15</v>
      </c>
      <c r="AC87" s="51">
        <f t="shared" si="6"/>
        <v>1</v>
      </c>
    </row>
    <row r="88" spans="24:29">
      <c r="X88" s="51">
        <v>0.2</v>
      </c>
      <c r="Y88" s="51">
        <v>0.3</v>
      </c>
      <c r="Z88" s="51">
        <v>0.2</v>
      </c>
      <c r="AA88" s="51">
        <v>0.15</v>
      </c>
      <c r="AB88" s="51">
        <v>0.15</v>
      </c>
      <c r="AC88" s="51">
        <f t="shared" si="6"/>
        <v>1</v>
      </c>
    </row>
    <row r="89" spans="24:29">
      <c r="X89" s="51">
        <v>0.2</v>
      </c>
      <c r="Y89" s="51">
        <v>0.3</v>
      </c>
      <c r="Z89" s="51">
        <v>0.2</v>
      </c>
      <c r="AA89" s="51">
        <v>0.15</v>
      </c>
      <c r="AB89" s="51">
        <v>0.15</v>
      </c>
      <c r="AC89" s="51">
        <f t="shared" si="6"/>
        <v>1</v>
      </c>
    </row>
    <row r="90" spans="24:29">
      <c r="X90" s="51">
        <v>0.2</v>
      </c>
      <c r="Y90" s="51">
        <v>0.3</v>
      </c>
      <c r="Z90" s="51">
        <v>0.2</v>
      </c>
      <c r="AA90" s="51">
        <v>0.15</v>
      </c>
      <c r="AB90" s="51">
        <v>0.15</v>
      </c>
      <c r="AC90" s="51">
        <f t="shared" si="6"/>
        <v>1</v>
      </c>
    </row>
    <row r="91" spans="24:29">
      <c r="X91" s="51">
        <v>0.2</v>
      </c>
      <c r="Y91" s="51">
        <v>0.3</v>
      </c>
      <c r="Z91" s="51">
        <v>0.2</v>
      </c>
      <c r="AA91" s="51">
        <v>0.15</v>
      </c>
      <c r="AB91" s="51">
        <v>0.15</v>
      </c>
      <c r="AC91" s="51">
        <f t="shared" si="6"/>
        <v>1</v>
      </c>
    </row>
    <row r="92" spans="24:29">
      <c r="X92" s="51">
        <v>0.2</v>
      </c>
      <c r="Y92" s="51">
        <v>0.3</v>
      </c>
      <c r="Z92" s="51">
        <v>0.2</v>
      </c>
      <c r="AA92" s="51">
        <v>0.15</v>
      </c>
      <c r="AB92" s="51">
        <v>0.15</v>
      </c>
      <c r="AC92" s="51">
        <f t="shared" si="6"/>
        <v>1</v>
      </c>
    </row>
    <row r="93" spans="24:29">
      <c r="X93" s="51">
        <v>0.2</v>
      </c>
      <c r="Y93" s="51">
        <v>0.3</v>
      </c>
      <c r="Z93" s="51">
        <v>0.2</v>
      </c>
      <c r="AA93" s="51">
        <v>0.15</v>
      </c>
      <c r="AB93" s="51">
        <v>0.15</v>
      </c>
      <c r="AC93" s="51">
        <f t="shared" si="6"/>
        <v>1</v>
      </c>
    </row>
    <row r="94" spans="24:29">
      <c r="X94" s="51">
        <v>0.2</v>
      </c>
      <c r="Y94" s="51">
        <v>0.3</v>
      </c>
      <c r="Z94" s="51">
        <v>0.2</v>
      </c>
      <c r="AA94" s="51">
        <v>0.15</v>
      </c>
      <c r="AB94" s="51">
        <v>0.15</v>
      </c>
      <c r="AC94" s="51">
        <f t="shared" si="6"/>
        <v>1</v>
      </c>
    </row>
    <row r="95" spans="24:29">
      <c r="X95" s="51">
        <v>0.2</v>
      </c>
      <c r="Y95" s="51">
        <v>0.3</v>
      </c>
      <c r="Z95" s="51">
        <v>0.2</v>
      </c>
      <c r="AA95" s="51">
        <v>0.15</v>
      </c>
      <c r="AB95" s="51">
        <v>0.15</v>
      </c>
      <c r="AC95" s="51">
        <f t="shared" si="6"/>
        <v>1</v>
      </c>
    </row>
    <row r="96" spans="24:29">
      <c r="X96" s="51">
        <v>0.2</v>
      </c>
      <c r="Y96" s="51">
        <v>0.3</v>
      </c>
      <c r="Z96" s="51">
        <v>0.2</v>
      </c>
      <c r="AA96" s="51">
        <v>0.15</v>
      </c>
      <c r="AB96" s="51">
        <v>0.15</v>
      </c>
      <c r="AC96" s="51">
        <f t="shared" si="6"/>
        <v>1</v>
      </c>
    </row>
    <row r="97" spans="24:29">
      <c r="X97" s="51">
        <v>0.2</v>
      </c>
      <c r="Y97" s="51">
        <v>0.3</v>
      </c>
      <c r="Z97" s="51">
        <v>0.2</v>
      </c>
      <c r="AA97" s="51">
        <v>0.15</v>
      </c>
      <c r="AB97" s="51">
        <v>0.15</v>
      </c>
      <c r="AC97" s="51">
        <f t="shared" si="6"/>
        <v>1</v>
      </c>
    </row>
    <row r="98" spans="24:29">
      <c r="X98" s="51">
        <v>0.2</v>
      </c>
      <c r="Y98" s="51">
        <v>0.3</v>
      </c>
      <c r="Z98" s="51">
        <v>0.2</v>
      </c>
      <c r="AA98" s="51">
        <v>0.15</v>
      </c>
      <c r="AB98" s="51">
        <v>0.15</v>
      </c>
      <c r="AC98" s="51">
        <f t="shared" si="6"/>
        <v>1</v>
      </c>
    </row>
    <row r="99" spans="24:29">
      <c r="X99" s="51">
        <v>0.2</v>
      </c>
      <c r="Y99" s="51">
        <v>0.3</v>
      </c>
      <c r="Z99" s="51">
        <v>0.2</v>
      </c>
      <c r="AA99" s="51">
        <v>0.15</v>
      </c>
      <c r="AB99" s="51">
        <v>0.15</v>
      </c>
      <c r="AC99" s="51">
        <f t="shared" si="6"/>
        <v>1</v>
      </c>
    </row>
    <row r="100" spans="24:29">
      <c r="X100" s="51">
        <v>0.2</v>
      </c>
      <c r="Y100" s="51">
        <v>0.3</v>
      </c>
      <c r="Z100" s="51">
        <v>0.2</v>
      </c>
      <c r="AA100" s="51">
        <v>0.15</v>
      </c>
      <c r="AB100" s="51">
        <v>0.15</v>
      </c>
      <c r="AC100" s="51">
        <f t="shared" si="6"/>
        <v>1</v>
      </c>
    </row>
    <row r="101" spans="24:29">
      <c r="X101" s="51">
        <v>0.2</v>
      </c>
      <c r="Y101" s="51">
        <v>0.3</v>
      </c>
      <c r="Z101" s="51">
        <v>0.2</v>
      </c>
      <c r="AA101" s="51">
        <v>0.15</v>
      </c>
      <c r="AB101" s="51">
        <v>0.15</v>
      </c>
      <c r="AC101" s="51">
        <f t="shared" si="6"/>
        <v>1</v>
      </c>
    </row>
    <row r="102" spans="24:29">
      <c r="X102" s="51">
        <v>0.2</v>
      </c>
      <c r="Y102" s="51">
        <v>0.3</v>
      </c>
      <c r="Z102" s="51">
        <v>0.2</v>
      </c>
      <c r="AA102" s="51">
        <v>0.15</v>
      </c>
      <c r="AB102" s="51">
        <v>0.15</v>
      </c>
      <c r="AC102" s="51">
        <f t="shared" si="6"/>
        <v>1</v>
      </c>
    </row>
    <row r="103" spans="24:29">
      <c r="X103" s="51">
        <v>0.2</v>
      </c>
      <c r="Y103" s="51">
        <v>0.3</v>
      </c>
      <c r="Z103" s="51">
        <v>0.2</v>
      </c>
      <c r="AA103" s="51">
        <v>0.15</v>
      </c>
      <c r="AB103" s="51">
        <v>0.15</v>
      </c>
      <c r="AC103" s="51">
        <f t="shared" si="6"/>
        <v>1</v>
      </c>
    </row>
    <row r="104" spans="24:29">
      <c r="X104" s="51">
        <v>0.2</v>
      </c>
      <c r="Y104" s="51">
        <v>0.3</v>
      </c>
      <c r="Z104" s="51">
        <v>0.2</v>
      </c>
      <c r="AA104" s="51">
        <v>0.15</v>
      </c>
      <c r="AB104" s="51">
        <v>0.15</v>
      </c>
      <c r="AC104" s="51">
        <f t="shared" si="6"/>
        <v>1</v>
      </c>
    </row>
    <row r="105" spans="24:29">
      <c r="X105" s="51">
        <v>0.2</v>
      </c>
      <c r="Y105" s="51">
        <v>0.3</v>
      </c>
      <c r="Z105" s="51">
        <v>0.2</v>
      </c>
      <c r="AA105" s="51">
        <v>0.15</v>
      </c>
      <c r="AB105" s="51">
        <v>0.15</v>
      </c>
      <c r="AC105" s="51">
        <f t="shared" si="6"/>
        <v>1</v>
      </c>
    </row>
    <row r="106" spans="24:29">
      <c r="X106" s="51">
        <v>0.2</v>
      </c>
      <c r="Y106" s="51">
        <v>0.3</v>
      </c>
      <c r="Z106" s="51">
        <v>0.2</v>
      </c>
      <c r="AA106" s="51">
        <v>0.15</v>
      </c>
      <c r="AB106" s="51">
        <v>0.15</v>
      </c>
      <c r="AC106" s="51">
        <f t="shared" si="6"/>
        <v>1</v>
      </c>
    </row>
    <row r="107" spans="24:29">
      <c r="X107" s="51">
        <v>0.2</v>
      </c>
      <c r="Y107" s="51">
        <v>0.3</v>
      </c>
      <c r="Z107" s="51">
        <v>0.2</v>
      </c>
      <c r="AA107" s="51">
        <v>0.15</v>
      </c>
      <c r="AB107" s="51">
        <v>0.15</v>
      </c>
      <c r="AC107" s="51">
        <f t="shared" si="6"/>
        <v>1</v>
      </c>
    </row>
    <row r="108" spans="24:29">
      <c r="X108" s="51">
        <v>0.2</v>
      </c>
      <c r="Y108" s="51">
        <v>0.3</v>
      </c>
      <c r="Z108" s="51">
        <v>0.2</v>
      </c>
      <c r="AA108" s="51">
        <v>0.15</v>
      </c>
      <c r="AB108" s="51">
        <v>0.15</v>
      </c>
      <c r="AC108" s="51">
        <f t="shared" si="6"/>
        <v>1</v>
      </c>
    </row>
    <row r="109" spans="24:29">
      <c r="X109" s="51">
        <v>0.2</v>
      </c>
      <c r="Y109" s="51">
        <v>0.3</v>
      </c>
      <c r="Z109" s="51">
        <v>0.2</v>
      </c>
      <c r="AA109" s="51">
        <v>0.15</v>
      </c>
      <c r="AB109" s="51">
        <v>0.15</v>
      </c>
      <c r="AC109" s="51">
        <f t="shared" si="6"/>
        <v>1</v>
      </c>
    </row>
    <row r="110" spans="24:29">
      <c r="X110" s="51">
        <v>0.2</v>
      </c>
      <c r="Y110" s="51">
        <v>0.3</v>
      </c>
      <c r="Z110" s="51">
        <v>0.2</v>
      </c>
      <c r="AA110" s="51">
        <v>0.15</v>
      </c>
      <c r="AB110" s="51">
        <v>0.15</v>
      </c>
      <c r="AC110" s="51">
        <f t="shared" si="6"/>
        <v>1</v>
      </c>
    </row>
    <row r="111" spans="24:29">
      <c r="X111" s="51">
        <v>0.2</v>
      </c>
      <c r="Y111" s="51">
        <v>0.3</v>
      </c>
      <c r="Z111" s="51">
        <v>0.2</v>
      </c>
      <c r="AA111" s="51">
        <v>0.15</v>
      </c>
      <c r="AB111" s="51">
        <v>0.15</v>
      </c>
      <c r="AC111" s="51">
        <f t="shared" si="6"/>
        <v>1</v>
      </c>
    </row>
    <row r="112" spans="24:29">
      <c r="X112" s="51">
        <v>0.2</v>
      </c>
      <c r="Y112" s="51">
        <v>0.3</v>
      </c>
      <c r="Z112" s="51">
        <v>0.2</v>
      </c>
      <c r="AA112" s="51">
        <v>0.15</v>
      </c>
      <c r="AB112" s="51">
        <v>0.15</v>
      </c>
      <c r="AC112" s="51">
        <f t="shared" si="6"/>
        <v>1</v>
      </c>
    </row>
    <row r="113" spans="24:29">
      <c r="X113" s="51">
        <v>0.2</v>
      </c>
      <c r="Y113" s="51">
        <v>0.3</v>
      </c>
      <c r="Z113" s="51">
        <v>0.2</v>
      </c>
      <c r="AA113" s="51">
        <v>0.15</v>
      </c>
      <c r="AB113" s="51">
        <v>0.15</v>
      </c>
      <c r="AC113" s="51">
        <f t="shared" si="6"/>
        <v>1</v>
      </c>
    </row>
    <row r="114" spans="24:29">
      <c r="X114" s="51">
        <v>0.2</v>
      </c>
      <c r="Y114" s="51">
        <v>0.3</v>
      </c>
      <c r="Z114" s="51">
        <v>0.2</v>
      </c>
      <c r="AA114" s="51">
        <v>0.15</v>
      </c>
      <c r="AB114" s="51">
        <v>0.15</v>
      </c>
      <c r="AC114" s="51">
        <f t="shared" si="6"/>
        <v>1</v>
      </c>
    </row>
    <row r="115" spans="24:29">
      <c r="X115" s="51">
        <v>0.2</v>
      </c>
      <c r="Y115" s="51">
        <v>0.3</v>
      </c>
      <c r="Z115" s="51">
        <v>0.2</v>
      </c>
      <c r="AA115" s="51">
        <v>0.15</v>
      </c>
      <c r="AB115" s="51">
        <v>0.15</v>
      </c>
      <c r="AC115" s="51">
        <f t="shared" si="6"/>
        <v>1</v>
      </c>
    </row>
    <row r="116" spans="24:29">
      <c r="X116" s="51">
        <v>0.2</v>
      </c>
      <c r="Y116" s="51">
        <v>0.3</v>
      </c>
      <c r="Z116" s="51">
        <v>0.2</v>
      </c>
      <c r="AA116" s="51">
        <v>0.15</v>
      </c>
      <c r="AB116" s="51">
        <v>0.15</v>
      </c>
      <c r="AC116" s="51">
        <f t="shared" si="6"/>
        <v>1</v>
      </c>
    </row>
    <row r="117" spans="24:29">
      <c r="X117" s="51">
        <v>0.2</v>
      </c>
      <c r="Y117" s="51">
        <v>0.3</v>
      </c>
      <c r="Z117" s="51">
        <v>0.2</v>
      </c>
      <c r="AA117" s="51">
        <v>0.15</v>
      </c>
      <c r="AB117" s="51">
        <v>0.15</v>
      </c>
      <c r="AC117" s="51">
        <f t="shared" si="6"/>
        <v>1</v>
      </c>
    </row>
    <row r="118" spans="24:29">
      <c r="X118" s="51">
        <v>0.2</v>
      </c>
      <c r="Y118" s="51">
        <v>0.3</v>
      </c>
      <c r="Z118" s="51">
        <v>0.2</v>
      </c>
      <c r="AA118" s="51">
        <v>0.15</v>
      </c>
      <c r="AB118" s="51">
        <v>0.15</v>
      </c>
      <c r="AC118" s="51">
        <f t="shared" si="6"/>
        <v>1</v>
      </c>
    </row>
    <row r="119" spans="24:29">
      <c r="X119" s="51">
        <v>0.2</v>
      </c>
      <c r="Y119" s="51">
        <v>0.3</v>
      </c>
      <c r="Z119" s="51">
        <v>0.2</v>
      </c>
      <c r="AA119" s="51">
        <v>0.15</v>
      </c>
      <c r="AB119" s="51">
        <v>0.15</v>
      </c>
      <c r="AC119" s="51">
        <f t="shared" si="6"/>
        <v>1</v>
      </c>
    </row>
    <row r="120" spans="24:29">
      <c r="X120" s="51">
        <v>0.2</v>
      </c>
      <c r="Y120" s="51">
        <v>0.3</v>
      </c>
      <c r="Z120" s="51">
        <v>0.2</v>
      </c>
      <c r="AA120" s="51">
        <v>0.15</v>
      </c>
      <c r="AB120" s="51">
        <v>0.15</v>
      </c>
      <c r="AC120" s="51">
        <f t="shared" si="6"/>
        <v>1</v>
      </c>
    </row>
    <row r="121" spans="24:29">
      <c r="X121" s="51">
        <v>0.2</v>
      </c>
      <c r="Y121" s="51">
        <v>0.3</v>
      </c>
      <c r="Z121" s="51">
        <v>0.2</v>
      </c>
      <c r="AA121" s="51">
        <v>0.15</v>
      </c>
      <c r="AB121" s="51">
        <v>0.15</v>
      </c>
      <c r="AC121" s="51">
        <f t="shared" si="6"/>
        <v>1</v>
      </c>
    </row>
    <row r="122" spans="24:29">
      <c r="X122" s="51">
        <v>0.2</v>
      </c>
      <c r="Y122" s="51">
        <v>0.3</v>
      </c>
      <c r="Z122" s="51">
        <v>0.2</v>
      </c>
      <c r="AA122" s="51">
        <v>0.15</v>
      </c>
      <c r="AB122" s="51">
        <v>0.15</v>
      </c>
      <c r="AC122" s="51">
        <f t="shared" si="6"/>
        <v>1</v>
      </c>
    </row>
    <row r="123" spans="24:29">
      <c r="X123" s="51">
        <v>0.2</v>
      </c>
      <c r="Y123" s="51">
        <v>0.3</v>
      </c>
      <c r="Z123" s="51">
        <v>0.2</v>
      </c>
      <c r="AA123" s="51">
        <v>0.15</v>
      </c>
      <c r="AB123" s="51">
        <v>0.15</v>
      </c>
      <c r="AC123" s="51">
        <f t="shared" si="6"/>
        <v>1</v>
      </c>
    </row>
    <row r="124" spans="24:29">
      <c r="X124" s="51">
        <v>0.2</v>
      </c>
      <c r="Y124" s="51">
        <v>0.3</v>
      </c>
      <c r="Z124" s="51">
        <v>0.2</v>
      </c>
      <c r="AA124" s="51">
        <v>0.15</v>
      </c>
      <c r="AB124" s="51">
        <v>0.15</v>
      </c>
      <c r="AC124" s="51">
        <f t="shared" si="6"/>
        <v>1</v>
      </c>
    </row>
    <row r="125" spans="24:29">
      <c r="X125" s="51">
        <v>0.2</v>
      </c>
      <c r="Y125" s="51">
        <v>0.3</v>
      </c>
      <c r="Z125" s="51">
        <v>0.2</v>
      </c>
      <c r="AA125" s="51">
        <v>0.15</v>
      </c>
      <c r="AB125" s="51">
        <v>0.15</v>
      </c>
      <c r="AC125" s="51">
        <f t="shared" si="6"/>
        <v>1</v>
      </c>
    </row>
    <row r="126" spans="24:29">
      <c r="X126" s="51">
        <v>0.2</v>
      </c>
      <c r="Y126" s="51">
        <v>0.3</v>
      </c>
      <c r="Z126" s="51">
        <v>0.2</v>
      </c>
      <c r="AA126" s="51">
        <v>0.15</v>
      </c>
      <c r="AB126" s="51">
        <v>0.15</v>
      </c>
      <c r="AC126" s="51">
        <f t="shared" si="6"/>
        <v>1</v>
      </c>
    </row>
    <row r="127" spans="24:29">
      <c r="X127" s="51">
        <v>0.2</v>
      </c>
      <c r="Y127" s="51">
        <v>0.3</v>
      </c>
      <c r="Z127" s="51">
        <v>0.2</v>
      </c>
      <c r="AA127" s="51">
        <v>0.15</v>
      </c>
      <c r="AB127" s="51">
        <v>0.15</v>
      </c>
      <c r="AC127" s="51">
        <f t="shared" si="6"/>
        <v>1</v>
      </c>
    </row>
    <row r="128" spans="24:29">
      <c r="X128" s="51">
        <v>0.2</v>
      </c>
      <c r="Y128" s="51">
        <v>0.3</v>
      </c>
      <c r="Z128" s="51">
        <v>0.2</v>
      </c>
      <c r="AA128" s="51">
        <v>0.15</v>
      </c>
      <c r="AB128" s="51">
        <v>0.15</v>
      </c>
      <c r="AC128" s="51">
        <f t="shared" si="6"/>
        <v>1</v>
      </c>
    </row>
    <row r="129" spans="24:29">
      <c r="X129" s="51">
        <v>0.2</v>
      </c>
      <c r="Y129" s="51">
        <v>0.3</v>
      </c>
      <c r="Z129" s="51">
        <v>0.2</v>
      </c>
      <c r="AA129" s="51">
        <v>0.15</v>
      </c>
      <c r="AB129" s="51">
        <v>0.15</v>
      </c>
      <c r="AC129" s="51">
        <f t="shared" si="6"/>
        <v>1</v>
      </c>
    </row>
    <row r="130" spans="24:29">
      <c r="X130" s="51">
        <v>0.2</v>
      </c>
      <c r="Y130" s="51">
        <v>0.3</v>
      </c>
      <c r="Z130" s="51">
        <v>0.2</v>
      </c>
      <c r="AA130" s="51">
        <v>0.15</v>
      </c>
      <c r="AB130" s="51">
        <v>0.15</v>
      </c>
      <c r="AC130" s="51">
        <f t="shared" si="6"/>
        <v>1</v>
      </c>
    </row>
    <row r="131" spans="24:29">
      <c r="X131" s="51">
        <v>0.2</v>
      </c>
      <c r="Y131" s="51">
        <v>0.3</v>
      </c>
      <c r="Z131" s="51">
        <v>0.2</v>
      </c>
      <c r="AA131" s="51">
        <v>0.15</v>
      </c>
      <c r="AB131" s="51">
        <v>0.15</v>
      </c>
      <c r="AC131" s="51">
        <f t="shared" si="6"/>
        <v>1</v>
      </c>
    </row>
    <row r="132" spans="24:29">
      <c r="X132" s="51">
        <v>0.2</v>
      </c>
      <c r="Y132" s="51">
        <v>0.3</v>
      </c>
      <c r="Z132" s="51">
        <v>0.2</v>
      </c>
      <c r="AA132" s="51">
        <v>0.15</v>
      </c>
      <c r="AB132" s="51">
        <v>0.15</v>
      </c>
      <c r="AC132" s="51">
        <f t="shared" ref="AC132:AC185" si="7">SUM(X132:AB132)</f>
        <v>1</v>
      </c>
    </row>
    <row r="133" spans="24:29">
      <c r="X133" s="51">
        <v>0.2</v>
      </c>
      <c r="Y133" s="51">
        <v>0.3</v>
      </c>
      <c r="Z133" s="51">
        <v>0.2</v>
      </c>
      <c r="AA133" s="51">
        <v>0.15</v>
      </c>
      <c r="AB133" s="51">
        <v>0.15</v>
      </c>
      <c r="AC133" s="51">
        <f t="shared" si="7"/>
        <v>1</v>
      </c>
    </row>
    <row r="134" spans="24:29">
      <c r="X134" s="51">
        <v>0.2</v>
      </c>
      <c r="Y134" s="51">
        <v>0.3</v>
      </c>
      <c r="Z134" s="51">
        <v>0.2</v>
      </c>
      <c r="AA134" s="51">
        <v>0.15</v>
      </c>
      <c r="AB134" s="51">
        <v>0.15</v>
      </c>
      <c r="AC134" s="51">
        <f t="shared" si="7"/>
        <v>1</v>
      </c>
    </row>
    <row r="135" spans="24:29">
      <c r="X135" s="51">
        <v>0.2</v>
      </c>
      <c r="Y135" s="51">
        <v>0.3</v>
      </c>
      <c r="Z135" s="51">
        <v>0.2</v>
      </c>
      <c r="AA135" s="51">
        <v>0.15</v>
      </c>
      <c r="AB135" s="51">
        <v>0.15</v>
      </c>
      <c r="AC135" s="51">
        <f t="shared" si="7"/>
        <v>1</v>
      </c>
    </row>
    <row r="136" spans="24:29">
      <c r="X136" s="51">
        <v>0.2</v>
      </c>
      <c r="Y136" s="51">
        <v>0.3</v>
      </c>
      <c r="Z136" s="51">
        <v>0.2</v>
      </c>
      <c r="AA136" s="51">
        <v>0.15</v>
      </c>
      <c r="AB136" s="51">
        <v>0.15</v>
      </c>
      <c r="AC136" s="51">
        <f t="shared" si="7"/>
        <v>1</v>
      </c>
    </row>
    <row r="137" spans="24:29">
      <c r="X137" s="51">
        <v>0.2</v>
      </c>
      <c r="Y137" s="51">
        <v>0.3</v>
      </c>
      <c r="Z137" s="51">
        <v>0.2</v>
      </c>
      <c r="AA137" s="51">
        <v>0.15</v>
      </c>
      <c r="AB137" s="51">
        <v>0.15</v>
      </c>
      <c r="AC137" s="51">
        <f t="shared" si="7"/>
        <v>1</v>
      </c>
    </row>
    <row r="138" spans="24:29">
      <c r="X138" s="51">
        <v>0.2</v>
      </c>
      <c r="Y138" s="51">
        <v>0.3</v>
      </c>
      <c r="Z138" s="51">
        <v>0.2</v>
      </c>
      <c r="AA138" s="51">
        <v>0.15</v>
      </c>
      <c r="AB138" s="51">
        <v>0.15</v>
      </c>
      <c r="AC138" s="51">
        <f t="shared" si="7"/>
        <v>1</v>
      </c>
    </row>
    <row r="139" spans="24:29">
      <c r="X139" s="51">
        <v>0.2</v>
      </c>
      <c r="Y139" s="51">
        <v>0.3</v>
      </c>
      <c r="Z139" s="51">
        <v>0.2</v>
      </c>
      <c r="AA139" s="51">
        <v>0.15</v>
      </c>
      <c r="AB139" s="51">
        <v>0.15</v>
      </c>
      <c r="AC139" s="51">
        <f t="shared" si="7"/>
        <v>1</v>
      </c>
    </row>
    <row r="140" spans="24:29">
      <c r="X140" s="51">
        <v>0.2</v>
      </c>
      <c r="Y140" s="51">
        <v>0.3</v>
      </c>
      <c r="Z140" s="51">
        <v>0.2</v>
      </c>
      <c r="AA140" s="51">
        <v>0.15</v>
      </c>
      <c r="AB140" s="51">
        <v>0.15</v>
      </c>
      <c r="AC140" s="51">
        <f t="shared" si="7"/>
        <v>1</v>
      </c>
    </row>
    <row r="141" spans="24:29">
      <c r="X141" s="51">
        <v>0.2</v>
      </c>
      <c r="Y141" s="51">
        <v>0.3</v>
      </c>
      <c r="Z141" s="51">
        <v>0.2</v>
      </c>
      <c r="AA141" s="51">
        <v>0.15</v>
      </c>
      <c r="AB141" s="51">
        <v>0.15</v>
      </c>
      <c r="AC141" s="51">
        <f t="shared" si="7"/>
        <v>1</v>
      </c>
    </row>
    <row r="142" spans="24:29">
      <c r="X142" s="51">
        <v>0.2</v>
      </c>
      <c r="Y142" s="51">
        <v>0.3</v>
      </c>
      <c r="Z142" s="51">
        <v>0.2</v>
      </c>
      <c r="AA142" s="51">
        <v>0.15</v>
      </c>
      <c r="AB142" s="51">
        <v>0.15</v>
      </c>
      <c r="AC142" s="51">
        <f t="shared" si="7"/>
        <v>1</v>
      </c>
    </row>
    <row r="143" spans="24:29">
      <c r="X143" s="51">
        <v>0.2</v>
      </c>
      <c r="Y143" s="51">
        <v>0.3</v>
      </c>
      <c r="Z143" s="51">
        <v>0.2</v>
      </c>
      <c r="AA143" s="51">
        <v>0.15</v>
      </c>
      <c r="AB143" s="51">
        <v>0.15</v>
      </c>
      <c r="AC143" s="51">
        <f t="shared" si="7"/>
        <v>1</v>
      </c>
    </row>
    <row r="144" spans="24:29">
      <c r="X144" s="51">
        <v>0.2</v>
      </c>
      <c r="Y144" s="51">
        <v>0.3</v>
      </c>
      <c r="Z144" s="51">
        <v>0.2</v>
      </c>
      <c r="AA144" s="51">
        <v>0.15</v>
      </c>
      <c r="AB144" s="51">
        <v>0.15</v>
      </c>
      <c r="AC144" s="51">
        <f t="shared" si="7"/>
        <v>1</v>
      </c>
    </row>
    <row r="145" spans="24:29">
      <c r="X145" s="51">
        <v>0.2</v>
      </c>
      <c r="Y145" s="51">
        <v>0.3</v>
      </c>
      <c r="Z145" s="51">
        <v>0.2</v>
      </c>
      <c r="AA145" s="51">
        <v>0.15</v>
      </c>
      <c r="AB145" s="51">
        <v>0.15</v>
      </c>
      <c r="AC145" s="51">
        <f t="shared" si="7"/>
        <v>1</v>
      </c>
    </row>
    <row r="146" spans="24:29">
      <c r="X146" s="51">
        <v>0.2</v>
      </c>
      <c r="Y146" s="51">
        <v>0.3</v>
      </c>
      <c r="Z146" s="51">
        <v>0.2</v>
      </c>
      <c r="AA146" s="51">
        <v>0.15</v>
      </c>
      <c r="AB146" s="51">
        <v>0.15</v>
      </c>
      <c r="AC146" s="51">
        <f t="shared" si="7"/>
        <v>1</v>
      </c>
    </row>
    <row r="147" spans="24:29">
      <c r="X147" s="51">
        <v>0.2</v>
      </c>
      <c r="Y147" s="51">
        <v>0.3</v>
      </c>
      <c r="Z147" s="51">
        <v>0.2</v>
      </c>
      <c r="AA147" s="51">
        <v>0.15</v>
      </c>
      <c r="AB147" s="51">
        <v>0.15</v>
      </c>
      <c r="AC147" s="51">
        <f t="shared" si="7"/>
        <v>1</v>
      </c>
    </row>
    <row r="148" spans="24:29">
      <c r="X148" s="51">
        <v>0.2</v>
      </c>
      <c r="Y148" s="51">
        <v>0.3</v>
      </c>
      <c r="Z148" s="51">
        <v>0.2</v>
      </c>
      <c r="AA148" s="51">
        <v>0.15</v>
      </c>
      <c r="AB148" s="51">
        <v>0.15</v>
      </c>
      <c r="AC148" s="51">
        <f t="shared" si="7"/>
        <v>1</v>
      </c>
    </row>
    <row r="149" spans="24:29">
      <c r="X149" s="51">
        <v>0.2</v>
      </c>
      <c r="Y149" s="51">
        <v>0.3</v>
      </c>
      <c r="Z149" s="51">
        <v>0.2</v>
      </c>
      <c r="AA149" s="51">
        <v>0.15</v>
      </c>
      <c r="AB149" s="51">
        <v>0.15</v>
      </c>
      <c r="AC149" s="51">
        <f t="shared" si="7"/>
        <v>1</v>
      </c>
    </row>
    <row r="150" spans="24:29">
      <c r="X150" s="51">
        <v>0.2</v>
      </c>
      <c r="Y150" s="51">
        <v>0.3</v>
      </c>
      <c r="Z150" s="51">
        <v>0.2</v>
      </c>
      <c r="AA150" s="51">
        <v>0.15</v>
      </c>
      <c r="AB150" s="51">
        <v>0.15</v>
      </c>
      <c r="AC150" s="51">
        <f t="shared" si="7"/>
        <v>1</v>
      </c>
    </row>
    <row r="151" spans="24:29">
      <c r="X151" s="51">
        <v>0.2</v>
      </c>
      <c r="Y151" s="51">
        <v>0.3</v>
      </c>
      <c r="Z151" s="51">
        <v>0.2</v>
      </c>
      <c r="AA151" s="51">
        <v>0.15</v>
      </c>
      <c r="AB151" s="51">
        <v>0.15</v>
      </c>
      <c r="AC151" s="51">
        <f t="shared" si="7"/>
        <v>1</v>
      </c>
    </row>
    <row r="152" spans="24:29">
      <c r="X152" s="51">
        <v>0.2</v>
      </c>
      <c r="Y152" s="51">
        <v>0.3</v>
      </c>
      <c r="Z152" s="51">
        <v>0.2</v>
      </c>
      <c r="AA152" s="51">
        <v>0.15</v>
      </c>
      <c r="AB152" s="51">
        <v>0.15</v>
      </c>
      <c r="AC152" s="51">
        <f t="shared" si="7"/>
        <v>1</v>
      </c>
    </row>
    <row r="153" spans="24:29">
      <c r="X153" s="51">
        <v>0.2</v>
      </c>
      <c r="Y153" s="51">
        <v>0.3</v>
      </c>
      <c r="Z153" s="51">
        <v>0.2</v>
      </c>
      <c r="AA153" s="51">
        <v>0.15</v>
      </c>
      <c r="AB153" s="51">
        <v>0.15</v>
      </c>
      <c r="AC153" s="51">
        <f t="shared" si="7"/>
        <v>1</v>
      </c>
    </row>
    <row r="154" spans="24:29">
      <c r="X154" s="51">
        <v>0.2</v>
      </c>
      <c r="Y154" s="51">
        <v>0.3</v>
      </c>
      <c r="Z154" s="51">
        <v>0.2</v>
      </c>
      <c r="AA154" s="51">
        <v>0.15</v>
      </c>
      <c r="AB154" s="51">
        <v>0.15</v>
      </c>
      <c r="AC154" s="51">
        <f t="shared" si="7"/>
        <v>1</v>
      </c>
    </row>
    <row r="155" spans="24:29">
      <c r="X155" s="51">
        <v>0.2</v>
      </c>
      <c r="Y155" s="51">
        <v>0.3</v>
      </c>
      <c r="Z155" s="51">
        <v>0.2</v>
      </c>
      <c r="AA155" s="51">
        <v>0.15</v>
      </c>
      <c r="AB155" s="51">
        <v>0.15</v>
      </c>
      <c r="AC155" s="51">
        <f t="shared" si="7"/>
        <v>1</v>
      </c>
    </row>
    <row r="156" spans="24:29">
      <c r="X156" s="51">
        <v>0.2</v>
      </c>
      <c r="Y156" s="51">
        <v>0.3</v>
      </c>
      <c r="Z156" s="51">
        <v>0.2</v>
      </c>
      <c r="AA156" s="51">
        <v>0.15</v>
      </c>
      <c r="AB156" s="51">
        <v>0.15</v>
      </c>
      <c r="AC156" s="51">
        <f t="shared" si="7"/>
        <v>1</v>
      </c>
    </row>
    <row r="157" spans="24:29">
      <c r="X157" s="51">
        <v>0.2</v>
      </c>
      <c r="Y157" s="51">
        <v>0.3</v>
      </c>
      <c r="Z157" s="51">
        <v>0.2</v>
      </c>
      <c r="AA157" s="51">
        <v>0.15</v>
      </c>
      <c r="AB157" s="51">
        <v>0.15</v>
      </c>
      <c r="AC157" s="51">
        <f t="shared" si="7"/>
        <v>1</v>
      </c>
    </row>
    <row r="158" spans="24:29">
      <c r="X158" s="51">
        <v>0.2</v>
      </c>
      <c r="Y158" s="51">
        <v>0.3</v>
      </c>
      <c r="Z158" s="51">
        <v>0.2</v>
      </c>
      <c r="AA158" s="51">
        <v>0.15</v>
      </c>
      <c r="AB158" s="51">
        <v>0.15</v>
      </c>
      <c r="AC158" s="51">
        <f t="shared" si="7"/>
        <v>1</v>
      </c>
    </row>
    <row r="159" spans="24:29">
      <c r="X159" s="51">
        <v>0.2</v>
      </c>
      <c r="Y159" s="51">
        <v>0.3</v>
      </c>
      <c r="Z159" s="51">
        <v>0.2</v>
      </c>
      <c r="AA159" s="51">
        <v>0.15</v>
      </c>
      <c r="AB159" s="51">
        <v>0.15</v>
      </c>
      <c r="AC159" s="51">
        <f t="shared" si="7"/>
        <v>1</v>
      </c>
    </row>
    <row r="160" spans="24:29">
      <c r="X160" s="51">
        <v>0.2</v>
      </c>
      <c r="Y160" s="51">
        <v>0.3</v>
      </c>
      <c r="Z160" s="51">
        <v>0.2</v>
      </c>
      <c r="AA160" s="51">
        <v>0.15</v>
      </c>
      <c r="AB160" s="51">
        <v>0.15</v>
      </c>
      <c r="AC160" s="51">
        <f t="shared" si="7"/>
        <v>1</v>
      </c>
    </row>
    <row r="161" spans="24:29">
      <c r="X161" s="51">
        <v>0.2</v>
      </c>
      <c r="Y161" s="51">
        <v>0.3</v>
      </c>
      <c r="Z161" s="51">
        <v>0.2</v>
      </c>
      <c r="AA161" s="51">
        <v>0.15</v>
      </c>
      <c r="AB161" s="51">
        <v>0.15</v>
      </c>
      <c r="AC161" s="51">
        <f t="shared" si="7"/>
        <v>1</v>
      </c>
    </row>
    <row r="162" spans="24:29">
      <c r="X162" s="51">
        <v>0.2</v>
      </c>
      <c r="Y162" s="51">
        <v>0.3</v>
      </c>
      <c r="Z162" s="51">
        <v>0.2</v>
      </c>
      <c r="AA162" s="51">
        <v>0.15</v>
      </c>
      <c r="AB162" s="51">
        <v>0.15</v>
      </c>
      <c r="AC162" s="51">
        <f t="shared" si="7"/>
        <v>1</v>
      </c>
    </row>
    <row r="163" spans="24:29">
      <c r="X163" s="51">
        <v>0.2</v>
      </c>
      <c r="Y163" s="51">
        <v>0.3</v>
      </c>
      <c r="Z163" s="51">
        <v>0.2</v>
      </c>
      <c r="AA163" s="51">
        <v>0.15</v>
      </c>
      <c r="AB163" s="51">
        <v>0.15</v>
      </c>
      <c r="AC163" s="51">
        <f t="shared" si="7"/>
        <v>1</v>
      </c>
    </row>
    <row r="164" spans="24:29">
      <c r="X164" s="51">
        <v>0.2</v>
      </c>
      <c r="Y164" s="51">
        <v>0.3</v>
      </c>
      <c r="Z164" s="51">
        <v>0.2</v>
      </c>
      <c r="AA164" s="51">
        <v>0.15</v>
      </c>
      <c r="AB164" s="51">
        <v>0.15</v>
      </c>
      <c r="AC164" s="51">
        <f t="shared" si="7"/>
        <v>1</v>
      </c>
    </row>
    <row r="165" spans="24:29">
      <c r="X165" s="51">
        <v>0.2</v>
      </c>
      <c r="Y165" s="51">
        <v>0.3</v>
      </c>
      <c r="Z165" s="51">
        <v>0.2</v>
      </c>
      <c r="AA165" s="51">
        <v>0.15</v>
      </c>
      <c r="AB165" s="51">
        <v>0.15</v>
      </c>
      <c r="AC165" s="51">
        <f t="shared" si="7"/>
        <v>1</v>
      </c>
    </row>
    <row r="166" spans="24:29">
      <c r="X166" s="51">
        <v>0.2</v>
      </c>
      <c r="Y166" s="51">
        <v>0.3</v>
      </c>
      <c r="Z166" s="51">
        <v>0.2</v>
      </c>
      <c r="AA166" s="51">
        <v>0.15</v>
      </c>
      <c r="AB166" s="51">
        <v>0.15</v>
      </c>
      <c r="AC166" s="51">
        <f t="shared" si="7"/>
        <v>1</v>
      </c>
    </row>
    <row r="167" spans="24:29">
      <c r="X167" s="51">
        <v>0.2</v>
      </c>
      <c r="Y167" s="51">
        <v>0.3</v>
      </c>
      <c r="Z167" s="51">
        <v>0.2</v>
      </c>
      <c r="AA167" s="51">
        <v>0.15</v>
      </c>
      <c r="AB167" s="51">
        <v>0.15</v>
      </c>
      <c r="AC167" s="51">
        <f t="shared" si="7"/>
        <v>1</v>
      </c>
    </row>
    <row r="168" spans="24:29">
      <c r="X168" s="51">
        <v>0.2</v>
      </c>
      <c r="Y168" s="51">
        <v>0.3</v>
      </c>
      <c r="Z168" s="51">
        <v>0.2</v>
      </c>
      <c r="AA168" s="51">
        <v>0.15</v>
      </c>
      <c r="AB168" s="51">
        <v>0.15</v>
      </c>
      <c r="AC168" s="51">
        <f t="shared" si="7"/>
        <v>1</v>
      </c>
    </row>
    <row r="169" spans="24:29">
      <c r="X169" s="51">
        <v>0.2</v>
      </c>
      <c r="Y169" s="51">
        <v>0.3</v>
      </c>
      <c r="Z169" s="51">
        <v>0.2</v>
      </c>
      <c r="AA169" s="51">
        <v>0.15</v>
      </c>
      <c r="AB169" s="51">
        <v>0.15</v>
      </c>
      <c r="AC169" s="51">
        <f t="shared" si="7"/>
        <v>1</v>
      </c>
    </row>
    <row r="170" spans="24:29">
      <c r="X170" s="51">
        <v>0.2</v>
      </c>
      <c r="Y170" s="51">
        <v>0.3</v>
      </c>
      <c r="Z170" s="51">
        <v>0.2</v>
      </c>
      <c r="AA170" s="51">
        <v>0.15</v>
      </c>
      <c r="AB170" s="51">
        <v>0.15</v>
      </c>
      <c r="AC170" s="51">
        <f t="shared" si="7"/>
        <v>1</v>
      </c>
    </row>
    <row r="171" spans="24:29">
      <c r="X171" s="51">
        <v>0.2</v>
      </c>
      <c r="Y171" s="51">
        <v>0.3</v>
      </c>
      <c r="Z171" s="51">
        <v>0.2</v>
      </c>
      <c r="AA171" s="51">
        <v>0.15</v>
      </c>
      <c r="AB171" s="51">
        <v>0.15</v>
      </c>
      <c r="AC171" s="51">
        <f t="shared" si="7"/>
        <v>1</v>
      </c>
    </row>
    <row r="172" spans="24:29">
      <c r="X172" s="51">
        <v>0.2</v>
      </c>
      <c r="Y172" s="51">
        <v>0.3</v>
      </c>
      <c r="Z172" s="51">
        <v>0.2</v>
      </c>
      <c r="AA172" s="51">
        <v>0.15</v>
      </c>
      <c r="AB172" s="51">
        <v>0.15</v>
      </c>
      <c r="AC172" s="51">
        <f t="shared" si="7"/>
        <v>1</v>
      </c>
    </row>
    <row r="173" spans="24:29">
      <c r="X173" s="51">
        <v>0.2</v>
      </c>
      <c r="Y173" s="51">
        <v>0.3</v>
      </c>
      <c r="Z173" s="51">
        <v>0.2</v>
      </c>
      <c r="AA173" s="51">
        <v>0.15</v>
      </c>
      <c r="AB173" s="51">
        <v>0.15</v>
      </c>
      <c r="AC173" s="51">
        <f t="shared" si="7"/>
        <v>1</v>
      </c>
    </row>
    <row r="174" spans="24:29">
      <c r="X174" s="51">
        <v>0.2</v>
      </c>
      <c r="Y174" s="51">
        <v>0.3</v>
      </c>
      <c r="Z174" s="51">
        <v>0.2</v>
      </c>
      <c r="AA174" s="51">
        <v>0.15</v>
      </c>
      <c r="AB174" s="51">
        <v>0.15</v>
      </c>
      <c r="AC174" s="51">
        <f t="shared" si="7"/>
        <v>1</v>
      </c>
    </row>
    <row r="175" spans="24:29">
      <c r="X175" s="51">
        <v>0.2</v>
      </c>
      <c r="Y175" s="51">
        <v>0.3</v>
      </c>
      <c r="Z175" s="51">
        <v>0.2</v>
      </c>
      <c r="AA175" s="51">
        <v>0.15</v>
      </c>
      <c r="AB175" s="51">
        <v>0.15</v>
      </c>
      <c r="AC175" s="51">
        <f t="shared" si="7"/>
        <v>1</v>
      </c>
    </row>
    <row r="176" spans="24:29">
      <c r="X176" s="51">
        <v>0.2</v>
      </c>
      <c r="Y176" s="51">
        <v>0.3</v>
      </c>
      <c r="Z176" s="51">
        <v>0.2</v>
      </c>
      <c r="AA176" s="51">
        <v>0.15</v>
      </c>
      <c r="AB176" s="51">
        <v>0.15</v>
      </c>
      <c r="AC176" s="51">
        <f t="shared" si="7"/>
        <v>1</v>
      </c>
    </row>
    <row r="177" spans="24:29">
      <c r="X177" s="51">
        <v>0.2</v>
      </c>
      <c r="Y177" s="51">
        <v>0.3</v>
      </c>
      <c r="Z177" s="51">
        <v>0.2</v>
      </c>
      <c r="AA177" s="51">
        <v>0.15</v>
      </c>
      <c r="AB177" s="51">
        <v>0.15</v>
      </c>
      <c r="AC177" s="51">
        <f t="shared" si="7"/>
        <v>1</v>
      </c>
    </row>
    <row r="178" spans="24:29">
      <c r="X178" s="51">
        <v>0.2</v>
      </c>
      <c r="Y178" s="51">
        <v>0.3</v>
      </c>
      <c r="Z178" s="51">
        <v>0.2</v>
      </c>
      <c r="AA178" s="51">
        <v>0.15</v>
      </c>
      <c r="AB178" s="51">
        <v>0.15</v>
      </c>
      <c r="AC178" s="51">
        <f t="shared" si="7"/>
        <v>1</v>
      </c>
    </row>
    <row r="179" spans="24:29">
      <c r="X179" s="51">
        <v>0.2</v>
      </c>
      <c r="Y179" s="51">
        <v>0.3</v>
      </c>
      <c r="Z179" s="51">
        <v>0.2</v>
      </c>
      <c r="AA179" s="51">
        <v>0.15</v>
      </c>
      <c r="AB179" s="51">
        <v>0.15</v>
      </c>
      <c r="AC179" s="51">
        <f t="shared" si="7"/>
        <v>1</v>
      </c>
    </row>
    <row r="180" spans="24:29">
      <c r="X180" s="51">
        <v>0.2</v>
      </c>
      <c r="Y180" s="51">
        <v>0.3</v>
      </c>
      <c r="Z180" s="51">
        <v>0.2</v>
      </c>
      <c r="AA180" s="51">
        <v>0.15</v>
      </c>
      <c r="AB180" s="51">
        <v>0.15</v>
      </c>
      <c r="AC180" s="51">
        <f t="shared" si="7"/>
        <v>1</v>
      </c>
    </row>
    <row r="181" spans="24:29">
      <c r="X181" s="51">
        <v>0.2</v>
      </c>
      <c r="Y181" s="51">
        <v>0.3</v>
      </c>
      <c r="Z181" s="51">
        <v>0.2</v>
      </c>
      <c r="AA181" s="51">
        <v>0.15</v>
      </c>
      <c r="AB181" s="51">
        <v>0.15</v>
      </c>
      <c r="AC181" s="51">
        <f t="shared" si="7"/>
        <v>1</v>
      </c>
    </row>
    <row r="182" spans="24:29">
      <c r="X182" s="51">
        <v>0.2</v>
      </c>
      <c r="Y182" s="51">
        <v>0.3</v>
      </c>
      <c r="Z182" s="51">
        <v>0.2</v>
      </c>
      <c r="AA182" s="51">
        <v>0.15</v>
      </c>
      <c r="AB182" s="51">
        <v>0.15</v>
      </c>
      <c r="AC182" s="51">
        <f t="shared" si="7"/>
        <v>1</v>
      </c>
    </row>
    <row r="183" spans="24:29">
      <c r="X183" s="51">
        <v>0.2</v>
      </c>
      <c r="Y183" s="51">
        <v>0.3</v>
      </c>
      <c r="Z183" s="51">
        <v>0.2</v>
      </c>
      <c r="AA183" s="51">
        <v>0.15</v>
      </c>
      <c r="AB183" s="51">
        <v>0.15</v>
      </c>
      <c r="AC183" s="51">
        <f t="shared" si="7"/>
        <v>1</v>
      </c>
    </row>
    <row r="184" spans="24:29">
      <c r="X184" s="51">
        <v>0.2</v>
      </c>
      <c r="Y184" s="51">
        <v>0.3</v>
      </c>
      <c r="Z184" s="51">
        <v>0.2</v>
      </c>
      <c r="AA184" s="51">
        <v>0.15</v>
      </c>
      <c r="AB184" s="51">
        <v>0.15</v>
      </c>
      <c r="AC184" s="51">
        <f t="shared" si="7"/>
        <v>1</v>
      </c>
    </row>
    <row r="185" spans="24:29">
      <c r="X185" s="51">
        <v>0.2</v>
      </c>
      <c r="Y185" s="51">
        <v>0.3</v>
      </c>
      <c r="Z185" s="51">
        <v>0.2</v>
      </c>
      <c r="AA185" s="51">
        <v>0.15</v>
      </c>
      <c r="AB185" s="51">
        <v>0.15</v>
      </c>
      <c r="AC185" s="51">
        <f t="shared" si="7"/>
        <v>1</v>
      </c>
    </row>
  </sheetData>
  <mergeCells count="2">
    <mergeCell ref="R1:V1"/>
    <mergeCell ref="X1:AC1"/>
  </mergeCells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4"/>
  <sheetViews>
    <sheetView topLeftCell="A32" workbookViewId="0">
      <selection activeCell="K60" sqref="K60"/>
    </sheetView>
  </sheetViews>
  <sheetFormatPr defaultRowHeight="16.5"/>
  <cols>
    <col min="6" max="6" width="9.25" bestFit="1" customWidth="1"/>
    <col min="7" max="7" width="9" customWidth="1"/>
    <col min="8" max="8" width="9" style="70"/>
  </cols>
  <sheetData>
    <row r="1" spans="2:15" ht="33">
      <c r="B1" s="66" t="s">
        <v>1</v>
      </c>
      <c r="C1" s="66" t="s">
        <v>3</v>
      </c>
      <c r="D1" s="66" t="s">
        <v>155</v>
      </c>
      <c r="E1" s="66" t="s">
        <v>11</v>
      </c>
      <c r="F1" s="66" t="s">
        <v>12</v>
      </c>
      <c r="G1" s="66" t="s">
        <v>156</v>
      </c>
      <c r="H1" s="71" t="s">
        <v>92</v>
      </c>
      <c r="J1" s="76" t="s">
        <v>160</v>
      </c>
      <c r="K1" s="76" t="s">
        <v>161</v>
      </c>
      <c r="L1" s="82" t="s">
        <v>162</v>
      </c>
      <c r="N1" t="s">
        <v>469</v>
      </c>
      <c r="O1" t="s">
        <v>470</v>
      </c>
    </row>
    <row r="2" spans="2:15">
      <c r="B2" s="67" t="s">
        <v>8</v>
      </c>
      <c r="C2" s="67" t="s">
        <v>9</v>
      </c>
      <c r="D2">
        <f>(SUMIFS(메인전력량계!E:E,ESS전력량계!B:B,B:B,메인전력량계!C:C,C:C)-SUMIFS(메인전력량계!D:D,ESS전력량계!B:B,B:B,메인전력량계!C:C,C:C))*$H2</f>
        <v>3156048.0000000009</v>
      </c>
      <c r="E2">
        <f>(SUMIFS(메인전력량계!G:G,ESS전력량계!B:B,B:B,메인전력량계!C:C,C:C)-SUMIFS(메인전력량계!F:F,ESS전력량계!B:B,B:B,메인전력량계!C:C,C:C))*$H2</f>
        <v>1967183.9999999953</v>
      </c>
      <c r="F2">
        <f>(SUMIFS(메인전력량계!I:I,ESS전력량계!B:B,B:B,메인전력량계!C:C,C:C)-SUMIFS(메인전력량계!H:H,ESS전력량계!B:B,B:B,메인전력량계!C:C,C:C))*$H2</f>
        <v>1126080.0000000007</v>
      </c>
      <c r="G2">
        <f>SUM(D2:F2)</f>
        <v>6249311.9999999972</v>
      </c>
      <c r="H2" s="70">
        <v>14400</v>
      </c>
      <c r="J2" s="73">
        <v>11462</v>
      </c>
      <c r="K2">
        <v>97</v>
      </c>
      <c r="L2">
        <f>전력요금표!$B$2</f>
        <v>8320</v>
      </c>
    </row>
    <row r="3" spans="2:15">
      <c r="B3" s="67" t="s">
        <v>8</v>
      </c>
      <c r="C3" s="67" t="s">
        <v>13</v>
      </c>
      <c r="D3" s="106">
        <f>(SUMIFS(메인전력량계!E:E,ESS전력량계!B:B,B:B,메인전력량계!C:C,C:C)-SUMIFS(메인전력량계!D:D,ESS전력량계!B:B,B:B,메인전력량계!C:C,C:C))*$H3</f>
        <v>3269375.9999999995</v>
      </c>
      <c r="E3" s="106">
        <f>(SUMIFS(메인전력량계!G:G,ESS전력량계!B:B,B:B,메인전력량계!C:C,C:C)-SUMIFS(메인전력량계!F:F,ESS전력량계!B:B,B:B,메인전력량계!C:C,C:C))*$H3</f>
        <v>1639440.0000000051</v>
      </c>
      <c r="F3" s="106">
        <f>(SUMIFS(메인전력량계!I:I,ESS전력량계!B:B,B:B,메인전력량계!C:C,C:C)-SUMIFS(메인전력량계!H:H,ESS전력량계!B:B,B:B,메인전력량계!C:C,C:C))*$H3</f>
        <v>956592.00000000093</v>
      </c>
      <c r="G3" s="68">
        <f t="shared" ref="G3:G4" si="0">SUM(D3:F3)</f>
        <v>5865408.0000000056</v>
      </c>
      <c r="H3" s="70">
        <v>14400</v>
      </c>
      <c r="J3" s="73">
        <v>11462</v>
      </c>
      <c r="K3" s="75">
        <v>97</v>
      </c>
      <c r="L3" s="75">
        <f>전력요금표!$B$2</f>
        <v>8320</v>
      </c>
    </row>
    <row r="4" spans="2:15">
      <c r="B4" s="67" t="s">
        <v>8</v>
      </c>
      <c r="C4" s="67" t="s">
        <v>14</v>
      </c>
      <c r="D4" s="106">
        <f>(SUMIFS(메인전력량계!E:E,ESS전력량계!B:B,B:B,메인전력량계!C:C,C:C)-SUMIFS(메인전력량계!D:D,ESS전력량계!B:B,B:B,메인전력량계!C:C,C:C))*$H4</f>
        <v>3029327.9999999986</v>
      </c>
      <c r="E4" s="106">
        <f>(SUMIFS(메인전력량계!G:G,ESS전력량계!B:B,B:B,메인전력량계!C:C,C:C)-SUMIFS(메인전력량계!F:F,ESS전력량계!B:B,B:B,메인전력량계!C:C,C:C))*$H4</f>
        <v>1849824.0000000005</v>
      </c>
      <c r="F4" s="106">
        <f>(SUMIFS(메인전력량계!I:I,ESS전력량계!B:B,B:B,메인전력량계!C:C,C:C)-SUMIFS(메인전력량계!H:H,ESS전력량계!B:B,B:B,메인전력량계!C:C,C:C))*$H4</f>
        <v>998495.99999999884</v>
      </c>
      <c r="G4" s="68">
        <f t="shared" si="0"/>
        <v>5877647.9999999981</v>
      </c>
      <c r="H4" s="70">
        <v>14400</v>
      </c>
      <c r="J4" s="73">
        <v>11462</v>
      </c>
      <c r="K4" s="75">
        <v>97</v>
      </c>
      <c r="L4" s="75">
        <f>전력요금표!$B$2</f>
        <v>8320</v>
      </c>
    </row>
    <row r="5" spans="2:15">
      <c r="B5" s="67" t="s">
        <v>8</v>
      </c>
      <c r="C5" s="67" t="s">
        <v>15</v>
      </c>
      <c r="D5" s="106">
        <f>(SUMIFS(메인전력량계!E:E,ESS전력량계!B:B,B:B,메인전력량계!C:C,C:C)-SUMIFS(메인전력량계!D:D,ESS전력량계!B:B,B:B,메인전력량계!C:C,C:C))*$H5</f>
        <v>2803248.0000000009</v>
      </c>
      <c r="E5" s="106">
        <f>(SUMIFS(메인전력량계!G:G,ESS전력량계!B:B,B:B,메인전력량계!C:C,C:C)-SUMIFS(메인전력량계!F:F,ESS전력량계!B:B,B:B,메인전력량계!C:C,C:C))*$H5</f>
        <v>1765871.9999999951</v>
      </c>
      <c r="F5" s="106">
        <f>(SUMIFS(메인전력량계!I:I,ESS전력량계!B:B,B:B,메인전력량계!C:C,C:C)-SUMIFS(메인전력량계!H:H,ESS전력량계!B:B,B:B,메인전력량계!C:C,C:C))*$H5</f>
        <v>965375.99999999953</v>
      </c>
      <c r="G5" s="68">
        <f t="shared" ref="G5:G25" si="1">SUM(D5:F5)</f>
        <v>5534495.9999999963</v>
      </c>
      <c r="H5" s="70">
        <v>14400</v>
      </c>
      <c r="J5" s="73">
        <v>11578</v>
      </c>
      <c r="K5" s="75">
        <v>97</v>
      </c>
      <c r="L5" s="75">
        <f>전력요금표!$B$2</f>
        <v>8320</v>
      </c>
    </row>
    <row r="6" spans="2:15">
      <c r="B6" s="67" t="s">
        <v>8</v>
      </c>
      <c r="C6" s="67" t="s">
        <v>16</v>
      </c>
      <c r="D6" s="106">
        <f>(SUMIFS(메인전력량계!E:E,ESS전력량계!B:B,B:B,메인전력량계!C:C,C:C)-SUMIFS(메인전력량계!D:D,ESS전력량계!B:B,B:B,메인전력량계!C:C,C:C))*$H6</f>
        <v>3454416.0000000047</v>
      </c>
      <c r="E6" s="106">
        <f>(SUMIFS(메인전력량계!G:G,ESS전력량계!B:B,B:B,메인전력량계!C:C,C:C)-SUMIFS(메인전력량계!F:F,ESS전력량계!B:B,B:B,메인전력량계!C:C,C:C))*$H6</f>
        <v>1824192.0000000042</v>
      </c>
      <c r="F6" s="106">
        <f>(SUMIFS(메인전력량계!I:I,ESS전력량계!B:B,B:B,메인전력량계!C:C,C:C)-SUMIFS(메인전력량계!H:H,ESS전력량계!B:B,B:B,메인전력량계!C:C,C:C))*$H6</f>
        <v>1063872.0000000016</v>
      </c>
      <c r="G6" s="68">
        <f t="shared" si="1"/>
        <v>6342480.0000000112</v>
      </c>
      <c r="H6" s="70">
        <v>14400</v>
      </c>
      <c r="J6" s="73">
        <v>11462</v>
      </c>
      <c r="K6" s="75">
        <v>97</v>
      </c>
      <c r="L6" s="75">
        <f>전력요금표!$B$2</f>
        <v>8320</v>
      </c>
    </row>
    <row r="7" spans="2:15">
      <c r="B7" s="67" t="s">
        <v>8</v>
      </c>
      <c r="C7" s="67" t="s">
        <v>17</v>
      </c>
      <c r="D7" s="106">
        <f>(SUMIFS(메인전력량계!E:E,ESS전력량계!B:B,B:B,메인전력량계!C:C,C:C)-SUMIFS(메인전력량계!D:D,ESS전력량계!B:B,B:B,메인전력량계!C:C,C:C))*$H7</f>
        <v>3072383.9999999953</v>
      </c>
      <c r="E7" s="106">
        <f>(SUMIFS(메인전력량계!G:G,ESS전력량계!B:B,B:B,메인전력량계!C:C,C:C)-SUMIFS(메인전력량계!F:F,ESS전력량계!B:B,B:B,메인전력량계!C:C,C:C))*$H7</f>
        <v>1813679.9999999974</v>
      </c>
      <c r="F7" s="106">
        <f>(SUMIFS(메인전력량계!I:I,ESS전력량계!B:B,B:B,메인전력량계!C:C,C:C)-SUMIFS(메인전력량계!H:H,ESS전력량계!B:B,B:B,메인전력량계!C:C,C:C))*$H7</f>
        <v>980495.99999999884</v>
      </c>
      <c r="G7" s="68">
        <f t="shared" si="1"/>
        <v>5866559.9999999916</v>
      </c>
      <c r="H7" s="70">
        <v>14400</v>
      </c>
      <c r="J7" s="73">
        <v>11462</v>
      </c>
      <c r="K7" s="75">
        <v>97</v>
      </c>
      <c r="L7" s="75">
        <f>전력요금표!$B$2</f>
        <v>8320</v>
      </c>
    </row>
    <row r="8" spans="2:15">
      <c r="B8" s="67" t="s">
        <v>8</v>
      </c>
      <c r="C8" s="67" t="s">
        <v>18</v>
      </c>
      <c r="D8" s="106">
        <f>(SUMIFS(메인전력량계!E:E,ESS전력량계!B:B,B:B,메인전력량계!C:C,C:C)-SUMIFS(메인전력량계!D:D,ESS전력량계!B:B,B:B,메인전력량계!C:C,C:C))*$H8</f>
        <v>3458160.0000000079</v>
      </c>
      <c r="E8" s="106">
        <f>(SUMIFS(메인전력량계!G:G,ESS전력량계!B:B,B:B,메인전력량계!C:C,C:C)-SUMIFS(메인전력량계!F:F,ESS전력량계!B:B,B:B,메인전력량계!C:C,C:C))*$H8</f>
        <v>2037024.0000000005</v>
      </c>
      <c r="F8" s="106">
        <f>(SUMIFS(메인전력량계!I:I,ESS전력량계!B:B,B:B,메인전력량계!C:C,C:C)-SUMIFS(메인전력량계!H:H,ESS전력량계!B:B,B:B,메인전력량계!C:C,C:C))*$H8</f>
        <v>1010592.0000000009</v>
      </c>
      <c r="G8" s="68">
        <f t="shared" si="1"/>
        <v>6505776.0000000093</v>
      </c>
      <c r="H8" s="70">
        <v>14400</v>
      </c>
      <c r="J8" s="73">
        <v>11462</v>
      </c>
      <c r="K8" s="75">
        <v>97</v>
      </c>
      <c r="L8" s="75">
        <f>전력요금표!$B$2</f>
        <v>8320</v>
      </c>
    </row>
    <row r="9" spans="2:15">
      <c r="B9" s="67" t="s">
        <v>8</v>
      </c>
      <c r="C9" s="67" t="s">
        <v>19</v>
      </c>
      <c r="D9" s="106">
        <f>(SUMIFS(메인전력량계!E:E,ESS전력량계!B:B,B:B,메인전력량계!C:C,C:C)-SUMIFS(메인전력량계!D:D,ESS전력량계!B:B,B:B,메인전력량계!C:C,C:C))*$H9</f>
        <v>3018671.9999999884</v>
      </c>
      <c r="E9" s="106">
        <f>(SUMIFS(메인전력량계!G:G,ESS전력량계!B:B,B:B,메인전력량계!C:C,C:C)-SUMIFS(메인전력량계!F:F,ESS전력량계!B:B,B:B,메인전력량계!C:C,C:C))*$H9</f>
        <v>1699200</v>
      </c>
      <c r="F9" s="106">
        <f>(SUMIFS(메인전력량계!I:I,ESS전력량계!B:B,B:B,메인전력량계!C:C,C:C)-SUMIFS(메인전력량계!H:H,ESS전력량계!B:B,B:B,메인전력량계!C:C,C:C))*$H9</f>
        <v>814607.99999999907</v>
      </c>
      <c r="G9" s="68">
        <f t="shared" si="1"/>
        <v>5532479.9999999879</v>
      </c>
      <c r="H9" s="70">
        <v>14400</v>
      </c>
      <c r="J9" s="73">
        <v>11462</v>
      </c>
      <c r="K9" s="75">
        <v>97</v>
      </c>
      <c r="L9" s="75">
        <f>전력요금표!$B$2</f>
        <v>8320</v>
      </c>
    </row>
    <row r="10" spans="2:15">
      <c r="B10" s="67" t="s">
        <v>8</v>
      </c>
      <c r="C10" s="67" t="s">
        <v>20</v>
      </c>
      <c r="D10" s="106">
        <f>(SUMIFS(메인전력량계!E:E,ESS전력량계!B:B,B:B,메인전력량계!C:C,C:C)-SUMIFS(메인전력량계!D:D,ESS전력량계!B:B,B:B,메인전력량계!C:C,C:C))*$H10</f>
        <v>3439296.0000000019</v>
      </c>
      <c r="E10" s="106">
        <f>(SUMIFS(메인전력량계!G:G,ESS전력량계!B:B,B:B,메인전력량계!C:C,C:C)-SUMIFS(메인전력량계!F:F,ESS전력량계!B:B,B:B,메인전력량계!C:C,C:C))*$H10</f>
        <v>1714751.9999999991</v>
      </c>
      <c r="F10" s="106">
        <f>(SUMIFS(메인전력량계!I:I,ESS전력량계!B:B,B:B,메인전력량계!C:C,C:C)-SUMIFS(메인전력량계!H:H,ESS전력량계!B:B,B:B,메인전력량계!C:C,C:C))*$H10</f>
        <v>660527.99999999837</v>
      </c>
      <c r="G10" s="68">
        <f t="shared" si="1"/>
        <v>5814575.9999999991</v>
      </c>
      <c r="H10" s="70">
        <v>14400</v>
      </c>
      <c r="J10" s="73">
        <v>11462</v>
      </c>
      <c r="K10" s="75">
        <v>97</v>
      </c>
      <c r="L10" s="75">
        <f>전력요금표!$B$2</f>
        <v>8320</v>
      </c>
    </row>
    <row r="11" spans="2:15">
      <c r="B11" s="67" t="s">
        <v>8</v>
      </c>
      <c r="C11" s="67" t="s">
        <v>21</v>
      </c>
      <c r="D11" s="106">
        <f>(SUMIFS(메인전력량계!E:E,ESS전력량계!B:B,B:B,메인전력량계!C:C,C:C)-SUMIFS(메인전력량계!D:D,ESS전력량계!B:B,B:B,메인전력량계!C:C,C:C))*$H11</f>
        <v>3457008.0000000088</v>
      </c>
      <c r="E11" s="106">
        <f>(SUMIFS(메인전력량계!G:G,ESS전력량계!B:B,B:B,메인전력량계!C:C,C:C)-SUMIFS(메인전력량계!F:F,ESS전력량계!B:B,B:B,메인전력량계!C:C,C:C))*$H11</f>
        <v>1860336.0000000007</v>
      </c>
      <c r="F11" s="106">
        <f>(SUMIFS(메인전력량계!I:I,ESS전력량계!B:B,B:B,메인전력량계!C:C,C:C)-SUMIFS(메인전력량계!H:H,ESS전력량계!B:B,B:B,메인전력량계!C:C,C:C))*$H11</f>
        <v>820656.00000000012</v>
      </c>
      <c r="G11" s="68">
        <f t="shared" si="1"/>
        <v>6138000.0000000093</v>
      </c>
      <c r="H11" s="70">
        <v>14400</v>
      </c>
      <c r="J11" s="73">
        <v>11462</v>
      </c>
      <c r="K11" s="75">
        <v>97</v>
      </c>
      <c r="L11" s="75">
        <f>전력요금표!$B$2</f>
        <v>8320</v>
      </c>
    </row>
    <row r="12" spans="2:15">
      <c r="B12" s="67" t="s">
        <v>8</v>
      </c>
      <c r="C12" s="67" t="s">
        <v>22</v>
      </c>
      <c r="D12" s="106">
        <f>(SUMIFS(메인전력량계!E:E,ESS전력량계!B:B,B:B,메인전력량계!C:C,C:C)-SUMIFS(메인전력량계!D:D,ESS전력량계!B:B,B:B,메인전력량계!C:C,C:C))*$H12</f>
        <v>3126095.9999999888</v>
      </c>
      <c r="E12" s="106">
        <f>(SUMIFS(메인전력량계!G:G,ESS전력량계!B:B,B:B,메인전력량계!C:C,C:C)-SUMIFS(메인전력량계!F:F,ESS전력량계!B:B,B:B,메인전력량계!C:C,C:C))*$H12</f>
        <v>1876175.9999999995</v>
      </c>
      <c r="F12" s="106">
        <f>(SUMIFS(메인전력량계!I:I,ESS전력량계!B:B,B:B,메인전력량계!C:C,C:C)-SUMIFS(메인전력량계!H:H,ESS전력량계!B:B,B:B,메인전력량계!C:C,C:C))*$H12</f>
        <v>923904.00000000116</v>
      </c>
      <c r="G12" s="68">
        <f t="shared" si="1"/>
        <v>5926175.9999999898</v>
      </c>
      <c r="H12" s="70">
        <v>14400</v>
      </c>
      <c r="J12" s="73">
        <v>11462</v>
      </c>
      <c r="K12" s="75">
        <v>97</v>
      </c>
      <c r="L12" s="75">
        <f>전력요금표!$B$2</f>
        <v>8320</v>
      </c>
    </row>
    <row r="13" spans="2:15">
      <c r="B13" s="67" t="s">
        <v>8</v>
      </c>
      <c r="C13" s="67" t="s">
        <v>23</v>
      </c>
      <c r="D13" s="106">
        <f>(SUMIFS(메인전력량계!E:E,ESS전력량계!B:B,B:B,메인전력량계!C:C,C:C)-SUMIFS(메인전력량계!D:D,ESS전력량계!B:B,B:B,메인전력량계!C:C,C:C))*$H13</f>
        <v>3178656.0000000098</v>
      </c>
      <c r="E13" s="106">
        <f>(SUMIFS(메인전력량계!G:G,ESS전력량계!B:B,B:B,메인전력량계!C:C,C:C)-SUMIFS(메인전력량계!F:F,ESS전력량계!B:B,B:B,메인전력량계!C:C,C:C))*$H13</f>
        <v>1652256.0000000035</v>
      </c>
      <c r="F13" s="106">
        <f>(SUMIFS(메인전력량계!I:I,ESS전력량계!B:B,B:B,메인전력량계!C:C,C:C)-SUMIFS(메인전력량계!H:H,ESS전력량계!B:B,B:B,메인전력량계!C:C,C:C))*$H13</f>
        <v>752543.99999999988</v>
      </c>
      <c r="G13" s="68">
        <f t="shared" si="1"/>
        <v>5583456.000000013</v>
      </c>
      <c r="H13" s="70">
        <v>14400</v>
      </c>
      <c r="J13" s="73">
        <v>11434</v>
      </c>
      <c r="K13" s="75">
        <v>97</v>
      </c>
      <c r="L13" s="75">
        <f>전력요금표!$B$2</f>
        <v>8320</v>
      </c>
    </row>
    <row r="14" spans="2:15">
      <c r="B14" s="69" t="s">
        <v>24</v>
      </c>
      <c r="C14" s="69" t="s">
        <v>9</v>
      </c>
      <c r="D14" s="106">
        <f>(SUMIFS(메인전력량계!E:E,ESS전력량계!B:B,B:B,메인전력량계!C:C,C:C)-SUMIFS(메인전력량계!D:D,ESS전력량계!B:B,B:B,메인전력량계!C:C,C:C))*$H14</f>
        <v>3008303.9999999981</v>
      </c>
      <c r="E14" s="106">
        <f>(SUMIFS(메인전력량계!G:G,ESS전력량계!B:B,B:B,메인전력량계!C:C,C:C)-SUMIFS(메인전력량계!F:F,ESS전력량계!B:B,B:B,메인전력량계!C:C,C:C))*$H14</f>
        <v>1874159.9999999949</v>
      </c>
      <c r="F14" s="106">
        <f>(SUMIFS(메인전력량계!I:I,ESS전력량계!B:B,B:B,메인전력량계!C:C,C:C)-SUMIFS(메인전력량계!H:H,ESS전력량계!B:B,B:B,메인전력량계!C:C,C:C))*$H14</f>
        <v>901007.99999999907</v>
      </c>
      <c r="G14" s="68">
        <f t="shared" si="1"/>
        <v>5783471.9999999916</v>
      </c>
      <c r="H14" s="70">
        <v>14400</v>
      </c>
      <c r="J14" s="74">
        <v>11434</v>
      </c>
      <c r="K14" s="75">
        <v>97</v>
      </c>
      <c r="L14" s="75">
        <f>전력요금표!$B$2</f>
        <v>8320</v>
      </c>
    </row>
    <row r="15" spans="2:15">
      <c r="B15" s="69" t="s">
        <v>24</v>
      </c>
      <c r="C15" s="69" t="s">
        <v>13</v>
      </c>
      <c r="D15" s="106">
        <f>(SUMIFS(메인전력량계!E:E,ESS전력량계!B:B,B:B,메인전력량계!C:C,C:C)-SUMIFS(메인전력량계!D:D,ESS전력량계!B:B,B:B,메인전력량계!C:C,C:C))*$H15</f>
        <v>3082751.9999999991</v>
      </c>
      <c r="E15" s="106">
        <f>(SUMIFS(메인전력량계!G:G,ESS전력량계!B:B,B:B,메인전력량계!C:C,C:C)-SUMIFS(메인전력량계!F:F,ESS전력량계!B:B,B:B,메인전력량계!C:C,C:C))*$H15</f>
        <v>1523520.0000000026</v>
      </c>
      <c r="F15" s="106">
        <f>(SUMIFS(메인전력량계!I:I,ESS전력량계!B:B,B:B,메인전력량계!C:C,C:C)-SUMIFS(메인전력량계!H:H,ESS전력량계!B:B,B:B,메인전력량계!C:C,C:C))*$H15</f>
        <v>681839.99999999872</v>
      </c>
      <c r="G15" s="68">
        <f t="shared" si="1"/>
        <v>5288112.0000000009</v>
      </c>
      <c r="H15" s="70">
        <v>14400</v>
      </c>
      <c r="J15" s="74">
        <v>11362</v>
      </c>
      <c r="K15" s="75">
        <v>97</v>
      </c>
      <c r="L15" s="75">
        <f>전력요금표!$B$2</f>
        <v>8320</v>
      </c>
    </row>
    <row r="16" spans="2:15">
      <c r="B16" s="69" t="s">
        <v>24</v>
      </c>
      <c r="C16" s="69" t="s">
        <v>14</v>
      </c>
      <c r="D16" s="106">
        <f>(SUMIFS(메인전력량계!E:E,ESS전력량계!B:B,B:B,메인전력량계!C:C,C:C)-SUMIFS(메인전력량계!D:D,ESS전력량계!B:B,B:B,메인전력량계!C:C,C:C))*$H16</f>
        <v>3235824.0000000005</v>
      </c>
      <c r="E16" s="106">
        <f>(SUMIFS(메인전력량계!G:G,ESS전력량계!B:B,B:B,메인전력량계!C:C,C:C)-SUMIFS(메인전력량계!F:F,ESS전력량계!B:B,B:B,메인전력량계!C:C,C:C))*$H16</f>
        <v>1812096.0000000021</v>
      </c>
      <c r="F16" s="106">
        <f>(SUMIFS(메인전력량계!I:I,ESS전력량계!B:B,B:B,메인전력량계!C:C,C:C)-SUMIFS(메인전력량계!H:H,ESS전력량계!B:B,B:B,메인전력량계!C:C,C:C))*$H16</f>
        <v>754128.00000000501</v>
      </c>
      <c r="G16" s="68">
        <f t="shared" si="1"/>
        <v>5802048.0000000075</v>
      </c>
      <c r="H16" s="70">
        <v>14400</v>
      </c>
      <c r="J16" s="74">
        <v>11362</v>
      </c>
      <c r="K16" s="75">
        <v>97</v>
      </c>
      <c r="L16" s="75">
        <f>전력요금표!$B$2</f>
        <v>8320</v>
      </c>
    </row>
    <row r="17" spans="2:12">
      <c r="B17" s="69" t="s">
        <v>24</v>
      </c>
      <c r="C17" s="69" t="s">
        <v>15</v>
      </c>
      <c r="D17" s="106">
        <f>(SUMIFS(메인전력량계!E:E,ESS전력량계!B:B,B:B,메인전력량계!C:C,C:C)-SUMIFS(메인전력량계!D:D,ESS전력량계!B:B,B:B,메인전력량계!C:C,C:C))*$H17</f>
        <v>3012911.9999999935</v>
      </c>
      <c r="E17" s="106">
        <f>(SUMIFS(메인전력량계!G:G,ESS전력량계!B:B,B:B,메인전력량계!C:C,C:C)-SUMIFS(메인전력량계!F:F,ESS전력량계!B:B,B:B,메인전력량계!C:C,C:C))*$H17</f>
        <v>1972800</v>
      </c>
      <c r="F17" s="106">
        <f>(SUMIFS(메인전력량계!I:I,ESS전력량계!B:B,B:B,메인전력량계!C:C,C:C)-SUMIFS(메인전력량계!H:H,ESS전력량계!B:B,B:B,메인전력량계!C:C,C:C))*$H17</f>
        <v>946800</v>
      </c>
      <c r="G17" s="68">
        <f t="shared" si="1"/>
        <v>5932511.9999999935</v>
      </c>
      <c r="H17" s="70">
        <v>14400</v>
      </c>
      <c r="J17" s="74">
        <v>11362</v>
      </c>
      <c r="K17" s="75">
        <v>97</v>
      </c>
      <c r="L17" s="75">
        <f>전력요금표!$B$2</f>
        <v>8320</v>
      </c>
    </row>
    <row r="18" spans="2:12">
      <c r="B18" s="69" t="s">
        <v>24</v>
      </c>
      <c r="C18" s="69" t="s">
        <v>16</v>
      </c>
      <c r="D18" s="106">
        <f>(SUMIFS(메인전력량계!E:E,ESS전력량계!B:B,B:B,메인전력량계!C:C,C:C)-SUMIFS(메인전력량계!D:D,ESS전력량계!B:B,B:B,메인전력량계!C:C,C:C))*$H18</f>
        <v>2838527.9999999986</v>
      </c>
      <c r="E18" s="106">
        <f>(SUMIFS(메인전력량계!G:G,ESS전력량계!B:B,B:B,메인전력량계!C:C,C:C)-SUMIFS(메인전력량계!F:F,ESS전력량계!B:B,B:B,메인전력량계!C:C,C:C))*$H18</f>
        <v>1713887.9999999932</v>
      </c>
      <c r="F18" s="106">
        <f>(SUMIFS(메인전력량계!I:I,ESS전력량계!B:B,B:B,메인전력량계!C:C,C:C)-SUMIFS(메인전력량계!H:H,ESS전력량계!B:B,B:B,메인전력량계!C:C,C:C))*$H18</f>
        <v>818063.99999999919</v>
      </c>
      <c r="G18" s="68">
        <f t="shared" si="1"/>
        <v>5370479.9999999907</v>
      </c>
      <c r="H18" s="70">
        <v>14400</v>
      </c>
      <c r="J18" s="74">
        <v>11362</v>
      </c>
      <c r="K18" s="75">
        <v>97</v>
      </c>
      <c r="L18" s="75">
        <f>전력요금표!$B$2</f>
        <v>8320</v>
      </c>
    </row>
    <row r="19" spans="2:12">
      <c r="B19" s="69" t="s">
        <v>24</v>
      </c>
      <c r="C19" s="69" t="s">
        <v>17</v>
      </c>
      <c r="D19" s="106">
        <f>(SUMIFS(메인전력량계!E:E,ESS전력량계!B:B,B:B,메인전력량계!C:C,C:C)-SUMIFS(메인전력량계!D:D,ESS전력량계!B:B,B:B,메인전력량계!C:C,C:C))*$H19</f>
        <v>1811232.0000000093</v>
      </c>
      <c r="E19" s="106">
        <f>(SUMIFS(메인전력량계!G:G,ESS전력량계!B:B,B:B,메인전력량계!C:C,C:C)-SUMIFS(메인전력량계!F:F,ESS전력량계!B:B,B:B,메인전력량계!C:C,C:C))*$H19</f>
        <v>961488.00000000629</v>
      </c>
      <c r="F19" s="106">
        <f>(SUMIFS(메인전력량계!I:I,ESS전력량계!B:B,B:B,메인전력량계!C:C,C:C)-SUMIFS(메인전력량계!H:H,ESS전력량계!B:B,B:B,메인전력량계!C:C,C:C))*$H19</f>
        <v>333936.00000000081</v>
      </c>
      <c r="G19" s="68">
        <f t="shared" si="1"/>
        <v>3106656.0000000168</v>
      </c>
      <c r="H19" s="70">
        <v>14400</v>
      </c>
      <c r="J19" s="74">
        <v>11362</v>
      </c>
      <c r="K19" s="75">
        <v>97</v>
      </c>
      <c r="L19" s="75">
        <f>전력요금표!$B$2</f>
        <v>8320</v>
      </c>
    </row>
    <row r="20" spans="2:12">
      <c r="B20" s="69" t="s">
        <v>24</v>
      </c>
      <c r="C20" s="69" t="s">
        <v>18</v>
      </c>
      <c r="D20" s="106">
        <f>(SUMIFS(메인전력량계!E:E,ESS전력량계!B:B,B:B,메인전력량계!C:C,C:C)-SUMIFS(메인전력량계!D:D,ESS전력량계!B:B,B:B,메인전력량계!C:C,C:C))*$H20</f>
        <v>3379391.9999999912</v>
      </c>
      <c r="E20" s="106">
        <f>(SUMIFS(메인전력량계!G:G,ESS전력량계!B:B,B:B,메인전력량계!C:C,C:C)-SUMIFS(메인전력량계!F:F,ESS전력량계!B:B,B:B,메인전력량계!C:C,C:C))*$H20</f>
        <v>2069279.9999999974</v>
      </c>
      <c r="F20" s="106">
        <f>(SUMIFS(메인전력량계!I:I,ESS전력량계!B:B,B:B,메인전력량계!C:C,C:C)-SUMIFS(메인전력량계!H:H,ESS전력량계!B:B,B:B,메인전력량계!C:C,C:C))*$H20</f>
        <v>968687.99999999977</v>
      </c>
      <c r="G20" s="68">
        <f t="shared" si="1"/>
        <v>6417359.9999999888</v>
      </c>
      <c r="H20" s="70">
        <v>14400</v>
      </c>
      <c r="J20" s="74">
        <v>11419</v>
      </c>
      <c r="K20" s="75">
        <v>97</v>
      </c>
      <c r="L20" s="75">
        <f>전력요금표!$B$2</f>
        <v>8320</v>
      </c>
    </row>
    <row r="21" spans="2:12">
      <c r="B21" s="69" t="s">
        <v>24</v>
      </c>
      <c r="C21" s="69" t="s">
        <v>19</v>
      </c>
      <c r="D21" s="106">
        <f>(SUMIFS(메인전력량계!E:E,ESS전력량계!B:B,B:B,메인전력량계!C:C,C:C)-SUMIFS(메인전력량계!D:D,ESS전력량계!B:B,B:B,메인전력량계!C:C,C:C))*$H21</f>
        <v>3194064.0000000056</v>
      </c>
      <c r="E21" s="106">
        <f>(SUMIFS(메인전력량계!G:G,ESS전력량계!B:B,B:B,메인전력량계!C:C,C:C)-SUMIFS(메인전력량계!F:F,ESS전력량계!B:B,B:B,메인전력량계!C:C,C:C))*$H21</f>
        <v>1812816.0000000047</v>
      </c>
      <c r="F21" s="106">
        <f>(SUMIFS(메인전력량계!I:I,ESS전력량계!B:B,B:B,메인전력량계!C:C,C:C)-SUMIFS(메인전력량계!H:H,ESS전력량계!B:B,B:B,메인전력량계!C:C,C:C))*$H21</f>
        <v>809424.00000000047</v>
      </c>
      <c r="G21" s="68">
        <f t="shared" si="1"/>
        <v>5816304.0000000112</v>
      </c>
      <c r="H21" s="70">
        <v>14400</v>
      </c>
      <c r="J21" s="74">
        <v>11362</v>
      </c>
      <c r="K21" s="75">
        <v>97</v>
      </c>
      <c r="L21" s="75">
        <f>전력요금표!$B$2</f>
        <v>8320</v>
      </c>
    </row>
    <row r="22" spans="2:12">
      <c r="B22" s="69" t="s">
        <v>24</v>
      </c>
      <c r="C22" s="69" t="s">
        <v>20</v>
      </c>
      <c r="D22" s="106">
        <f>(SUMIFS(메인전력량계!E:E,ESS전력량계!B:B,B:B,메인전력량계!C:C,C:C)-SUMIFS(메인전력량계!D:D,ESS전력량계!B:B,B:B,메인전력량계!C:C,C:C))*$H22</f>
        <v>3492143.9999999902</v>
      </c>
      <c r="E22" s="106">
        <f>(SUMIFS(메인전력량계!G:G,ESS전력량계!B:B,B:B,메인전력량계!C:C,C:C)-SUMIFS(메인전력량계!F:F,ESS전력량계!B:B,B:B,메인전력량계!C:C,C:C))*$H22</f>
        <v>1659455.9999999967</v>
      </c>
      <c r="F22" s="106">
        <f>(SUMIFS(메인전력량계!I:I,ESS전력량계!B:B,B:B,메인전력량계!C:C,C:C)-SUMIFS(메인전력량계!H:H,ESS전력량계!B:B,B:B,메인전력량계!C:C,C:C))*$H22</f>
        <v>829583.99999999534</v>
      </c>
      <c r="G22" s="68">
        <f t="shared" si="1"/>
        <v>5981183.9999999823</v>
      </c>
      <c r="H22" s="70">
        <v>14400</v>
      </c>
      <c r="J22" s="74">
        <v>11362</v>
      </c>
      <c r="K22" s="75">
        <v>97</v>
      </c>
      <c r="L22" s="75">
        <f>전력요금표!$B$2</f>
        <v>8320</v>
      </c>
    </row>
    <row r="23" spans="2:12">
      <c r="B23" s="69" t="s">
        <v>24</v>
      </c>
      <c r="C23" s="69" t="s">
        <v>21</v>
      </c>
      <c r="D23" s="106">
        <f>(SUMIFS(메인전력량계!E:E,ESS전력량계!B:B,B:B,메인전력량계!C:C,C:C)-SUMIFS(메인전력량계!D:D,ESS전력량계!B:B,B:B,메인전력량계!C:C,C:C))*$H23</f>
        <v>3317328.0000000116</v>
      </c>
      <c r="E23" s="106">
        <f>(SUMIFS(메인전력량계!G:G,ESS전력량계!B:B,B:B,메인전력량계!C:C,C:C)-SUMIFS(메인전력량계!F:F,ESS전력량계!B:B,B:B,메인전력량계!C:C,C:C))*$H23</f>
        <v>1794672.0000000016</v>
      </c>
      <c r="F23" s="106">
        <f>(SUMIFS(메인전력량계!I:I,ESS전력량계!B:B,B:B,메인전력량계!C:C,C:C)-SUMIFS(메인전력량계!H:H,ESS전력량계!B:B,B:B,메인전력량계!C:C,C:C))*$H23</f>
        <v>892224.00000000047</v>
      </c>
      <c r="G23" s="68">
        <f t="shared" si="1"/>
        <v>6004224.000000013</v>
      </c>
      <c r="H23" s="70">
        <v>14400</v>
      </c>
      <c r="J23" s="74">
        <v>11362</v>
      </c>
      <c r="K23" s="75">
        <v>97</v>
      </c>
      <c r="L23" s="75">
        <f>전력요금표!$B$2</f>
        <v>8320</v>
      </c>
    </row>
    <row r="24" spans="2:12">
      <c r="B24" s="69" t="s">
        <v>24</v>
      </c>
      <c r="C24" s="69" t="s">
        <v>22</v>
      </c>
      <c r="D24" s="106">
        <f>(SUMIFS(메인전력량계!E:E,ESS전력량계!B:B,B:B,메인전력량계!C:C,C:C)-SUMIFS(메인전력량계!D:D,ESS전력량계!B:B,B:B,메인전력량계!C:C,C:C))*$H24</f>
        <v>3127967.9999999907</v>
      </c>
      <c r="E24" s="106">
        <f>(SUMIFS(메인전력량계!G:G,ESS전력량계!B:B,B:B,메인전력량계!C:C,C:C)-SUMIFS(메인전력량계!F:F,ESS전력량계!B:B,B:B,메인전력량계!C:C,C:C))*$H24</f>
        <v>2063663.9999999925</v>
      </c>
      <c r="F24" s="106">
        <f>(SUMIFS(메인전력량계!I:I,ESS전력량계!B:B,B:B,메인전력량계!C:C,C:C)-SUMIFS(메인전력량계!H:H,ESS전력량계!B:B,B:B,메인전력량계!C:C,C:C))*$H24</f>
        <v>965520.00000000256</v>
      </c>
      <c r="G24" s="68">
        <f t="shared" si="1"/>
        <v>6157151.999999986</v>
      </c>
      <c r="H24" s="70">
        <v>14400</v>
      </c>
      <c r="J24" s="74">
        <v>11362</v>
      </c>
      <c r="K24" s="75">
        <v>97</v>
      </c>
      <c r="L24" s="75">
        <f>전력요금표!$B$2</f>
        <v>8320</v>
      </c>
    </row>
    <row r="25" spans="2:12">
      <c r="B25" s="69" t="s">
        <v>24</v>
      </c>
      <c r="C25" s="69" t="s">
        <v>23</v>
      </c>
      <c r="D25" s="106">
        <f>(SUMIFS(메인전력량계!E:E,ESS전력량계!B:B,B:B,메인전력량계!C:C,C:C)-SUMIFS(메인전력량계!D:D,ESS전력량계!B:B,B:B,메인전력량계!C:C,C:C))*$H25</f>
        <v>3403440.0000000051</v>
      </c>
      <c r="E25" s="106">
        <f>(SUMIFS(메인전력량계!G:G,ESS전력량계!B:B,B:B,메인전력량계!C:C,C:C)-SUMIFS(메인전력량계!F:F,ESS전력량계!B:B,B:B,메인전력량계!C:C,C:C))*$H25</f>
        <v>1856016.0000000047</v>
      </c>
      <c r="F25" s="106">
        <f>(SUMIFS(메인전력량계!I:I,ESS전력량계!B:B,B:B,메인전력량계!C:C,C:C)-SUMIFS(메인전력량계!H:H,ESS전력량계!B:B,B:B,메인전력량계!C:C,C:C))*$H25</f>
        <v>913679.99999999744</v>
      </c>
      <c r="G25" s="68">
        <f t="shared" si="1"/>
        <v>6173136.0000000065</v>
      </c>
      <c r="H25" s="70">
        <v>14400</v>
      </c>
      <c r="J25" s="74">
        <v>11246</v>
      </c>
      <c r="K25" s="75">
        <v>97</v>
      </c>
      <c r="L25" s="75">
        <f>전력요금표!$B$2</f>
        <v>8320</v>
      </c>
    </row>
    <row r="26" spans="2:12">
      <c r="B26" s="69" t="s">
        <v>25</v>
      </c>
      <c r="C26" s="69" t="s">
        <v>9</v>
      </c>
      <c r="D26" s="106">
        <f>(SUMIFS(메인전력량계!E:E,ESS전력량계!B:B,B:B,메인전력량계!C:C,C:C)-SUMIFS(메인전력량계!D:D,ESS전력량계!B:B,B:B,메인전력량계!C:C,C:C))*$H26</f>
        <v>3188592.0000000042</v>
      </c>
      <c r="E26" s="106">
        <f>(SUMIFS(메인전력량계!G:G,ESS전력량계!B:B,B:B,메인전력량계!C:C,C:C)-SUMIFS(메인전력량계!F:F,ESS전력량계!B:B,B:B,메인전력량계!C:C,C:C))*$H26</f>
        <v>1609920.0000000026</v>
      </c>
      <c r="F26" s="106">
        <f>(SUMIFS(메인전력량계!I:I,ESS전력량계!B:B,B:B,메인전력량계!C:C,C:C)-SUMIFS(메인전력량계!H:H,ESS전력량계!B:B,B:B,메인전력량계!C:C,C:C))*$H26</f>
        <v>907775.99999999953</v>
      </c>
      <c r="G26" s="183">
        <f t="shared" ref="G26:G33" si="2">ROUND(SUM(D26:F26),0)</f>
        <v>5706288</v>
      </c>
      <c r="H26" s="70">
        <v>14400</v>
      </c>
      <c r="J26" s="75">
        <v>11419</v>
      </c>
      <c r="K26" s="75">
        <v>97</v>
      </c>
      <c r="L26" s="75">
        <f>전력요금표!$B$2</f>
        <v>8320</v>
      </c>
    </row>
    <row r="27" spans="2:12">
      <c r="B27" s="69" t="s">
        <v>25</v>
      </c>
      <c r="C27" s="69" t="s">
        <v>13</v>
      </c>
      <c r="D27" s="106">
        <f>(SUMIFS(메인전력량계!E:E,ESS전력량계!B:B,B:B,메인전력량계!C:C,C:C)-SUMIFS(메인전력량계!D:D,ESS전력량계!B:B,B:B,메인전력량계!C:C,C:C))*$H27</f>
        <v>3129840.0000000051</v>
      </c>
      <c r="E27" s="106">
        <f>(SUMIFS(메인전력량계!G:G,ESS전력량계!B:B,B:B,메인전력량계!C:C,C:C)-SUMIFS(메인전력량계!F:F,ESS전력량계!B:B,B:B,메인전력량계!C:C,C:C))*$H27</f>
        <v>1908144.0000000033</v>
      </c>
      <c r="F27" s="106">
        <f>(SUMIFS(메인전력량계!I:I,ESS전력량계!B:B,B:B,메인전력량계!C:C,C:C)-SUMIFS(메인전력량계!H:H,ESS전력량계!B:B,B:B,메인전력량계!C:C,C:C))*$H27</f>
        <v>856944.00000000314</v>
      </c>
      <c r="G27" s="183">
        <f t="shared" si="2"/>
        <v>5894928</v>
      </c>
      <c r="H27" s="70">
        <v>14400</v>
      </c>
      <c r="J27" s="75">
        <v>11419</v>
      </c>
      <c r="K27" s="75">
        <v>97</v>
      </c>
      <c r="L27" s="75">
        <f>전력요금표!$B$2</f>
        <v>8320</v>
      </c>
    </row>
    <row r="28" spans="2:12">
      <c r="B28" s="69" t="s">
        <v>25</v>
      </c>
      <c r="C28" s="69" t="s">
        <v>14</v>
      </c>
      <c r="D28" s="106">
        <f>(SUMIFS(메인전력량계!E:E,ESS전력량계!B:B,B:B,메인전력량계!C:C,C:C)-SUMIFS(메인전력량계!D:D,ESS전력량계!B:B,B:B,메인전력량계!C:C,C:C))*$H28</f>
        <v>3076271.9999999884</v>
      </c>
      <c r="E28" s="106">
        <f>(SUMIFS(메인전력량계!G:G,ESS전력량계!B:B,B:B,메인전력량계!C:C,C:C)-SUMIFS(메인전력량계!F:F,ESS전력량계!B:B,B:B,메인전력량계!C:C,C:C))*$H28</f>
        <v>1793663.9999999925</v>
      </c>
      <c r="F28" s="106">
        <f>(SUMIFS(메인전력량계!I:I,ESS전력량계!B:B,B:B,메인전력량계!C:C,C:C)-SUMIFS(메인전력량계!H:H,ESS전력량계!B:B,B:B,메인전력량계!C:C,C:C))*$H28</f>
        <v>846431.99999999627</v>
      </c>
      <c r="G28" s="183">
        <f t="shared" si="2"/>
        <v>5716368</v>
      </c>
      <c r="H28" s="70">
        <v>14400</v>
      </c>
      <c r="J28" s="75">
        <v>11419</v>
      </c>
      <c r="K28" s="75">
        <v>97</v>
      </c>
      <c r="L28" s="75">
        <f>전력요금표!$B$2</f>
        <v>8320</v>
      </c>
    </row>
    <row r="29" spans="2:12">
      <c r="B29" s="69" t="s">
        <v>25</v>
      </c>
      <c r="C29" s="69" t="s">
        <v>15</v>
      </c>
      <c r="D29" s="106">
        <f>(SUMIFS(메인전력량계!E:E,ESS전력량계!B:B,B:B,메인전력량계!C:C,C:C)-SUMIFS(메인전력량계!D:D,ESS전력량계!B:B,B:B,메인전력량계!C:C,C:C))*$H29</f>
        <v>3013055.9999999967</v>
      </c>
      <c r="E29" s="106">
        <f>(SUMIFS(메인전력량계!G:G,ESS전력량계!B:B,B:B,메인전력량계!C:C,C:C)-SUMIFS(메인전력량계!F:F,ESS전력량계!B:B,B:B,메인전력량계!C:C,C:C))*$H29</f>
        <v>1682927.9999999984</v>
      </c>
      <c r="F29" s="106">
        <f>(SUMIFS(메인전력량계!I:I,ESS전력량계!B:B,B:B,메인전력량계!C:C,C:C)-SUMIFS(메인전력량계!H:H,ESS전력량계!B:B,B:B,메인전력량계!C:C,C:C))*$H29</f>
        <v>840672.00000000163</v>
      </c>
      <c r="G29" s="183">
        <f t="shared" si="2"/>
        <v>5536656</v>
      </c>
      <c r="H29" s="70">
        <v>14400</v>
      </c>
      <c r="J29" s="75">
        <v>11419</v>
      </c>
      <c r="K29" s="75">
        <v>97</v>
      </c>
      <c r="L29" s="75">
        <f>전력요금표!$B$2</f>
        <v>8320</v>
      </c>
    </row>
    <row r="30" spans="2:12">
      <c r="B30" s="69" t="s">
        <v>25</v>
      </c>
      <c r="C30" s="69" t="s">
        <v>16</v>
      </c>
      <c r="D30" s="106">
        <f>(SUMIFS(메인전력량계!E:E,ESS전력량계!B:B,B:B,메인전력량계!C:C,C:C)-SUMIFS(메인전력량계!D:D,ESS전력량계!B:B,B:B,메인전력량계!C:C,C:C))*$H30</f>
        <v>3047040.0000000051</v>
      </c>
      <c r="E30" s="106">
        <f>(SUMIFS(메인전력량계!G:G,ESS전력량계!B:B,B:B,메인전력량계!C:C,C:C)-SUMIFS(메인전력량계!F:F,ESS전력량계!B:B,B:B,메인전력량계!C:C,C:C))*$H30</f>
        <v>1735632.0000000093</v>
      </c>
      <c r="F30" s="106">
        <f>(SUMIFS(메인전력량계!I:I,ESS전력량계!B:B,B:B,메인전력량계!C:C,C:C)-SUMIFS(메인전력량계!H:H,ESS전력량계!B:B,B:B,메인전력량계!C:C,C:C))*$H30</f>
        <v>784800</v>
      </c>
      <c r="G30" s="183">
        <f t="shared" si="2"/>
        <v>5567472</v>
      </c>
      <c r="H30" s="70">
        <v>14400</v>
      </c>
      <c r="J30" s="75">
        <v>11419</v>
      </c>
      <c r="K30" s="75">
        <v>97</v>
      </c>
      <c r="L30" s="75">
        <f>전력요금표!$B$2</f>
        <v>8320</v>
      </c>
    </row>
    <row r="31" spans="2:12">
      <c r="B31" s="69" t="s">
        <v>25</v>
      </c>
      <c r="C31" s="69" t="s">
        <v>17</v>
      </c>
      <c r="D31" s="106">
        <f>(SUMIFS(메인전력량계!E:E,ESS전력량계!B:B,B:B,메인전력량계!C:C,C:C)-SUMIFS(메인전력량계!D:D,ESS전력량계!B:B,B:B,메인전력량계!C:C,C:C))*$H31</f>
        <v>3096719.9999999898</v>
      </c>
      <c r="E31" s="106">
        <f>(SUMIFS(메인전력량계!G:G,ESS전력량계!B:B,B:B,메인전력량계!C:C,C:C)-SUMIFS(메인전력량계!F:F,ESS전력량계!B:B,B:B,메인전력량계!C:C,C:C))*$H31</f>
        <v>1723391.9999999912</v>
      </c>
      <c r="F31" s="106">
        <f>(SUMIFS(메인전력량계!I:I,ESS전력량계!B:B,B:B,메인전력량계!C:C,C:C)-SUMIFS(메인전력량계!H:H,ESS전력량계!B:B,B:B,메인전력량계!C:C,C:C))*$H31</f>
        <v>856512.00000000023</v>
      </c>
      <c r="G31" s="183">
        <f t="shared" si="2"/>
        <v>5676624</v>
      </c>
      <c r="H31" s="70">
        <v>14400</v>
      </c>
      <c r="J31" s="75">
        <v>11419</v>
      </c>
      <c r="K31" s="75">
        <v>97</v>
      </c>
      <c r="L31" s="75">
        <f>전력요금표!$B$2</f>
        <v>8320</v>
      </c>
    </row>
    <row r="32" spans="2:12">
      <c r="B32" s="69" t="s">
        <v>25</v>
      </c>
      <c r="C32" s="69" t="s">
        <v>18</v>
      </c>
      <c r="D32" s="106">
        <f>(SUMIFS(메인전력량계!E:E,ESS전력량계!B:B,B:B,메인전력량계!C:C,C:C)-SUMIFS(메인전력량계!D:D,ESS전력량계!B:B,B:B,메인전력량계!C:C,C:C))*$H32</f>
        <v>3169728.0000000116</v>
      </c>
      <c r="E32" s="106">
        <f>(SUMIFS(메인전력량계!G:G,ESS전력량계!B:B,B:B,메인전력량계!C:C,C:C)-SUMIFS(메인전력량계!F:F,ESS전력량계!B:B,B:B,메인전력량계!C:C,C:C))*$H32</f>
        <v>1990224.0000000005</v>
      </c>
      <c r="F32" s="106">
        <f>(SUMIFS(메인전력량계!I:I,ESS전력량계!B:B,B:B,메인전력량계!C:C,C:C)-SUMIFS(메인전력량계!H:H,ESS전력량계!B:B,B:B,메인전력량계!C:C,C:C))*$H32</f>
        <v>1028448.000000001</v>
      </c>
      <c r="G32" s="183">
        <f t="shared" si="2"/>
        <v>6188400</v>
      </c>
      <c r="H32" s="70">
        <v>14400</v>
      </c>
      <c r="J32" s="75">
        <v>11448</v>
      </c>
      <c r="K32" s="75">
        <v>97</v>
      </c>
      <c r="L32" s="75">
        <f>전력요금표!$B$2</f>
        <v>8320</v>
      </c>
    </row>
    <row r="33" spans="2:15">
      <c r="B33" s="69" t="s">
        <v>25</v>
      </c>
      <c r="C33" s="69" t="s">
        <v>19</v>
      </c>
      <c r="D33" s="106">
        <f>(SUMIFS(메인전력량계!E:E,ESS전력량계!B:B,B:B,메인전력량계!C:C,C:C)-SUMIFS(메인전력량계!D:D,ESS전력량계!B:B,B:B,메인전력량계!C:C,C:C))*$H33</f>
        <v>3105071.9999999884</v>
      </c>
      <c r="E33" s="106">
        <f>(SUMIFS(메인전력량계!G:G,ESS전력량계!B:B,B:B,메인전력량계!C:C,C:C)-SUMIFS(메인전력량계!F:F,ESS전력량계!B:B,B:B,메인전력량계!C:C,C:C))*$H33</f>
        <v>1844640.0000000051</v>
      </c>
      <c r="F33" s="106">
        <f>(SUMIFS(메인전력량계!I:I,ESS전력량계!B:B,B:B,메인전력량계!C:C,C:C)-SUMIFS(메인전력량계!H:H,ESS전력량계!B:B,B:B,메인전력량계!C:C,C:C))*$H33</f>
        <v>879696.0000000021</v>
      </c>
      <c r="G33" s="183">
        <f t="shared" si="2"/>
        <v>5829408</v>
      </c>
      <c r="H33" s="70">
        <v>14400</v>
      </c>
      <c r="J33" s="75">
        <v>11448</v>
      </c>
      <c r="K33" s="75">
        <v>97</v>
      </c>
      <c r="L33" s="75">
        <f>전력요금표!$B$2</f>
        <v>8320</v>
      </c>
    </row>
    <row r="34" spans="2:15">
      <c r="B34" s="69" t="s">
        <v>25</v>
      </c>
      <c r="C34" s="69" t="s">
        <v>20</v>
      </c>
      <c r="D34" s="106">
        <f>(SUMIFS(메인전력량계!E:E,ESS전력량계!B:B,B:B,메인전력량계!C:C,C:C)-SUMIFS(메인전력량계!D:D,ESS전력량계!B:B,B:B,메인전력량계!C:C,C:C))*$H34</f>
        <v>2973024.0000000135</v>
      </c>
      <c r="E34" s="106">
        <f>(SUMIFS(메인전력량계!G:G,ESS전력량계!B:B,B:B,메인전력량계!C:C,C:C)-SUMIFS(메인전력량계!F:F,ESS전력량계!B:B,B:B,메인전력량계!C:C,C:C))*$H34</f>
        <v>1729872.0000000016</v>
      </c>
      <c r="F34" s="106">
        <f>(SUMIFS(메인전력량계!I:I,ESS전력량계!B:B,B:B,메인전력량계!C:C,C:C)-SUMIFS(메인전력량계!H:H,ESS전력량계!B:B,B:B,메인전력량계!C:C,C:C))*$H34</f>
        <v>892224.00000000047</v>
      </c>
      <c r="G34" s="183">
        <f t="shared" ref="G34:G37" si="3">ROUND(SUM(D34:F34),0)</f>
        <v>5595120</v>
      </c>
      <c r="H34" s="70">
        <v>14400</v>
      </c>
      <c r="J34" s="75">
        <v>11448</v>
      </c>
      <c r="K34" s="75">
        <v>97</v>
      </c>
      <c r="L34" s="75">
        <f>전력요금표!$B$2</f>
        <v>8320</v>
      </c>
    </row>
    <row r="35" spans="2:15">
      <c r="B35" s="69" t="s">
        <v>25</v>
      </c>
      <c r="C35" s="69" t="s">
        <v>21</v>
      </c>
      <c r="D35" s="106">
        <f>(SUMIFS(메인전력량계!E:E,ESS전력량계!B:B,B:B,메인전력량계!C:C,C:C)-SUMIFS(메인전력량계!D:D,ESS전력량계!B:B,B:B,메인전력량계!C:C,C:C))*$H35</f>
        <v>3507263.9999999925</v>
      </c>
      <c r="E35" s="106">
        <f>(SUMIFS(메인전력량계!G:G,ESS전력량계!B:B,B:B,메인전력량계!C:C,C:C)-SUMIFS(메인전력량계!F:F,ESS전력량계!B:B,B:B,메인전력량계!C:C,C:C))*$H35</f>
        <v>1692719.9999999895</v>
      </c>
      <c r="F35" s="106">
        <f>(SUMIFS(메인전력량계!I:I,ESS전력량계!B:B,B:B,메인전력량계!C:C,C:C)-SUMIFS(메인전력량계!H:H,ESS전력량계!B:B,B:B,메인전력량계!C:C,C:C))*$H35</f>
        <v>804239.99999999872</v>
      </c>
      <c r="G35" s="183">
        <f t="shared" si="3"/>
        <v>6004224</v>
      </c>
      <c r="H35" s="70">
        <v>14400</v>
      </c>
      <c r="J35" s="75">
        <v>11448</v>
      </c>
      <c r="K35" s="75">
        <v>97</v>
      </c>
      <c r="L35" s="75">
        <f>전력요금표!$B$2</f>
        <v>8320</v>
      </c>
    </row>
    <row r="36" spans="2:15">
      <c r="B36" s="69" t="s">
        <v>25</v>
      </c>
      <c r="C36" s="69" t="s">
        <v>22</v>
      </c>
      <c r="D36" s="106">
        <f>(SUMIFS(메인전력량계!E:E,ESS전력량계!B:B,B:B,메인전력량계!C:C,C:C)-SUMIFS(메인전력량계!D:D,ESS전력량계!B:B,B:B,메인전력량계!C:C,C:C))*$H36</f>
        <v>1252944.0000000033</v>
      </c>
      <c r="E36" s="106">
        <f>(SUMIFS(메인전력량계!G:G,ESS전력량계!B:B,B:B,메인전력량계!C:C,C:C)-SUMIFS(메인전력량계!F:F,ESS전력량계!B:B,B:B,메인전력량계!C:C,C:C))*$H36</f>
        <v>601776.00000001257</v>
      </c>
      <c r="F36" s="106">
        <f>(SUMIFS(메인전력량계!I:I,ESS전력량계!B:B,B:B,메인전력량계!C:C,C:C)-SUMIFS(메인전력량계!H:H,ESS전력량계!B:B,B:B,메인전력량계!C:C,C:C))*$H36</f>
        <v>227807.99999999581</v>
      </c>
      <c r="G36" s="183">
        <f t="shared" si="3"/>
        <v>2082528</v>
      </c>
      <c r="H36" s="70">
        <v>14400</v>
      </c>
      <c r="J36" s="75">
        <v>11448</v>
      </c>
      <c r="K36" s="75">
        <v>97</v>
      </c>
      <c r="L36" s="75">
        <f>전력요금표!$B$2</f>
        <v>8320</v>
      </c>
    </row>
    <row r="37" spans="2:15">
      <c r="B37" s="69" t="s">
        <v>25</v>
      </c>
      <c r="C37" s="69" t="s">
        <v>23</v>
      </c>
      <c r="D37" s="106">
        <f>(SUMIFS(메인전력량계!E:E,ESS전력량계!B:B,B:B,메인전력량계!C:C,C:C)-SUMIFS(메인전력량계!D:D,ESS전력량계!B:B,B:B,메인전력량계!C:C,C:C))*$H37</f>
        <v>1165536.0000000075</v>
      </c>
      <c r="E37" s="106">
        <f>(SUMIFS(메인전력량계!G:G,ESS전력량계!B:B,B:B,메인전력량계!C:C,C:C)-SUMIFS(메인전력량계!F:F,ESS전력량계!B:B,B:B,메인전력량계!C:C,C:C))*$H37</f>
        <v>577007.99999999581</v>
      </c>
      <c r="F37" s="106">
        <f>(SUMIFS(메인전력량계!I:I,ESS전력량계!B:B,B:B,메인전력량계!C:C,C:C)-SUMIFS(메인전력량계!H:H,ESS전력량계!B:B,B:B,메인전력량계!C:C,C:C))*$H37</f>
        <v>207216.00000000471</v>
      </c>
      <c r="G37" s="183">
        <f t="shared" si="3"/>
        <v>1949760</v>
      </c>
      <c r="H37" s="70">
        <v>14400</v>
      </c>
      <c r="J37" s="75">
        <v>11448</v>
      </c>
      <c r="K37" s="75">
        <v>97</v>
      </c>
      <c r="L37" s="75">
        <f>전력요금표!$B$2</f>
        <v>8320</v>
      </c>
    </row>
    <row r="38" spans="2:15">
      <c r="B38" s="69" t="s">
        <v>26</v>
      </c>
      <c r="C38" s="69" t="s">
        <v>9</v>
      </c>
      <c r="D38" s="106">
        <f>(SUMIFS(메인전력량계!E:E,ESS전력량계!B:B,B:B,메인전력량계!C:C,C:C)-SUMIFS(메인전력량계!D:D,ESS전력량계!B:B,B:B,메인전력량계!C:C,C:C))*$H38</f>
        <v>1239263.9999999925</v>
      </c>
      <c r="E38" s="106">
        <f>(SUMIFS(메인전력량계!G:G,ESS전력량계!B:B,B:B,메인전력량계!C:C,C:C)-SUMIFS(메인전력량계!F:F,ESS전력량계!B:B,B:B,메인전력량계!C:C,C:C))*$H38</f>
        <v>709487.99999999325</v>
      </c>
      <c r="F38" s="106">
        <f>(SUMIFS(메인전력량계!I:I,ESS전력량계!B:B,B:B,메인전력량계!C:C,C:C)-SUMIFS(메인전력량계!H:H,ESS전력량계!B:B,B:B,메인전력량계!C:C,C:C))*$H38</f>
        <v>258479.99999999738</v>
      </c>
      <c r="G38" s="68">
        <f>SUM(D38:F38)</f>
        <v>2207231.9999999832</v>
      </c>
      <c r="H38" s="70">
        <v>14400</v>
      </c>
      <c r="J38">
        <f>ROUND(PEAK적용값!$J$3,0)</f>
        <v>11448</v>
      </c>
      <c r="K38" s="75">
        <v>97</v>
      </c>
      <c r="L38" s="75">
        <f>전력요금표!$B$2</f>
        <v>8320</v>
      </c>
      <c r="N38" s="257"/>
      <c r="O38" s="257"/>
    </row>
    <row r="39" spans="2:15">
      <c r="B39" s="69" t="s">
        <v>26</v>
      </c>
      <c r="C39" s="69" t="s">
        <v>13</v>
      </c>
      <c r="D39" s="106">
        <f>(SUMIFS(메인전력량계!E:E,ESS전력량계!B:B,B:B,메인전력량계!C:C,C:C)-SUMIFS(메인전력량계!D:D,ESS전력량계!B:B,B:B,메인전력량계!C:C,C:C))*$H39</f>
        <v>1513007.9999999958</v>
      </c>
      <c r="E39" s="106">
        <f>(SUMIFS(메인전력량계!G:G,ESS전력량계!B:B,B:B,메인전력량계!C:C,C:C)-SUMIFS(메인전력량계!F:F,ESS전력량계!B:B,B:B,메인전력량계!C:C,C:C))*$H39</f>
        <v>721584.00000000838</v>
      </c>
      <c r="F39" s="106">
        <f>(SUMIFS(메인전력량계!I:I,ESS전력량계!B:B,B:B,메인전력량계!C:C,C:C)-SUMIFS(메인전력량계!H:H,ESS전력량계!B:B,B:B,메인전력량계!C:C,C:C))*$H39</f>
        <v>294048.00000000105</v>
      </c>
      <c r="G39" s="183">
        <f t="shared" ref="G39:G49" si="4">SUM(D39:F39)</f>
        <v>2528640.0000000051</v>
      </c>
      <c r="H39" s="70">
        <v>14400</v>
      </c>
      <c r="J39" s="75">
        <f>ROUND(PEAK적용값!$J$3,0)</f>
        <v>11448</v>
      </c>
      <c r="K39" s="75">
        <v>97</v>
      </c>
      <c r="L39" s="75">
        <f>전력요금표!$B$2</f>
        <v>8320</v>
      </c>
    </row>
    <row r="40" spans="2:15">
      <c r="B40" s="69" t="s">
        <v>26</v>
      </c>
      <c r="C40" s="69" t="s">
        <v>14</v>
      </c>
      <c r="D40" s="106">
        <f>(SUMIFS(메인전력량계!E:E,ESS전력량계!B:B,B:B,메인전력량계!C:C,C:C)-SUMIFS(메인전력량계!D:D,ESS전력량계!B:B,B:B,메인전력량계!C:C,C:C))*$H40</f>
        <v>2826720.0000000158</v>
      </c>
      <c r="E40" s="106">
        <f>(SUMIFS(메인전력량계!G:G,ESS전력량계!B:B,B:B,메인전력량계!C:C,C:C)-SUMIFS(메인전력량계!F:F,ESS전력량계!B:B,B:B,메인전력량계!C:C,C:C))*$H40</f>
        <v>1808496.0000000021</v>
      </c>
      <c r="F40" s="106">
        <f>(SUMIFS(메인전력량계!I:I,ESS전력량계!B:B,B:B,메인전력량계!C:C,C:C)-SUMIFS(메인전력량계!H:H,ESS전력량계!B:B,B:B,메인전력량계!C:C,C:C))*$H40</f>
        <v>852767.99999999709</v>
      </c>
      <c r="G40" s="183">
        <f t="shared" si="4"/>
        <v>5487984.0000000149</v>
      </c>
      <c r="H40" s="70">
        <v>14400</v>
      </c>
      <c r="J40" s="75">
        <f>ROUND(PEAK적용값!$J$3,0)</f>
        <v>11448</v>
      </c>
      <c r="K40" s="75">
        <v>97</v>
      </c>
      <c r="L40" s="75">
        <f>전력요금표!$B$2</f>
        <v>8320</v>
      </c>
    </row>
    <row r="41" spans="2:15">
      <c r="B41" s="69" t="s">
        <v>26</v>
      </c>
      <c r="C41" s="69" t="s">
        <v>15</v>
      </c>
      <c r="D41" s="106">
        <f>(SUMIFS(메인전력량계!E:E,ESS전력량계!B:B,B:B,메인전력량계!C:C,C:C)-SUMIFS(메인전력량계!D:D,ESS전력량계!B:B,B:B,메인전력량계!C:C,C:C))*$H41</f>
        <v>2829311.9999999935</v>
      </c>
      <c r="E41" s="106">
        <f>(SUMIFS(메인전력량계!G:G,ESS전력량계!B:B,B:B,메인전력량계!C:C,C:C)-SUMIFS(메인전력량계!F:F,ESS전력량계!B:B,B:B,메인전력량계!C:C,C:C))*$H41</f>
        <v>1777103.9999999979</v>
      </c>
      <c r="F41" s="106">
        <f>(SUMIFS(메인전력량계!I:I,ESS전력량계!B:B,B:B,메인전력량계!C:C,C:C)-SUMIFS(메인전력량계!H:H,ESS전력량계!B:B,B:B,메인전력량계!C:C,C:C))*$H41</f>
        <v>858816.00000000466</v>
      </c>
      <c r="G41" s="183">
        <f t="shared" si="4"/>
        <v>5465231.9999999963</v>
      </c>
      <c r="H41" s="70">
        <v>14400</v>
      </c>
      <c r="J41" s="75">
        <f>ROUND(PEAK적용값!$J$3,0)</f>
        <v>11448</v>
      </c>
      <c r="K41" s="75">
        <v>97</v>
      </c>
      <c r="L41" s="75">
        <f>전력요금표!$B$2</f>
        <v>8320</v>
      </c>
    </row>
    <row r="42" spans="2:15">
      <c r="B42" s="69" t="s">
        <v>26</v>
      </c>
      <c r="C42" s="69" t="s">
        <v>16</v>
      </c>
      <c r="D42" s="106">
        <f>(SUMIFS(메인전력량계!E:E,ESS전력량계!B:B,B:B,메인전력량계!C:C,C:C)-SUMIFS(메인전력량계!D:D,ESS전력량계!B:B,B:B,메인전력량계!C:C,C:C))*$H42</f>
        <v>3183263.9999999925</v>
      </c>
      <c r="E42" s="106">
        <f>(SUMIFS(메인전력량계!G:G,ESS전력량계!B:B,B:B,메인전력량계!C:C,C:C)-SUMIFS(메인전력량계!F:F,ESS전력량계!B:B,B:B,메인전력량계!C:C,C:C))*$H42</f>
        <v>1654848.0000000009</v>
      </c>
      <c r="F42" s="106">
        <f>(SUMIFS(메인전력량계!I:I,ESS전력량계!B:B,B:B,메인전력량계!C:C,C:C)-SUMIFS(메인전력량계!H:H,ESS전력량계!B:B,B:B,메인전력량계!C:C,C:C))*$H42</f>
        <v>735839.99999999872</v>
      </c>
      <c r="G42" s="183">
        <f t="shared" si="4"/>
        <v>5573951.9999999925</v>
      </c>
      <c r="H42" s="70">
        <v>14400</v>
      </c>
      <c r="J42" s="75">
        <f>ROUND(PEAK적용값!$J$3,0)</f>
        <v>11448</v>
      </c>
      <c r="K42" s="75">
        <v>97</v>
      </c>
      <c r="L42" s="75">
        <f>전력요금표!$B$2</f>
        <v>8320</v>
      </c>
    </row>
    <row r="43" spans="2:15">
      <c r="B43" s="69" t="s">
        <v>26</v>
      </c>
      <c r="C43" s="69" t="s">
        <v>17</v>
      </c>
      <c r="D43" s="106">
        <f>(SUMIFS(메인전력량계!E:E,ESS전력량계!B:B,B:B,메인전력량계!C:C,C:C)-SUMIFS(메인전력량계!D:D,ESS전력량계!B:B,B:B,메인전력량계!C:C,C:C))*$H43</f>
        <v>2982528.0000000116</v>
      </c>
      <c r="E43" s="106">
        <f>(SUMIFS(메인전력량계!G:G,ESS전력량계!B:B,B:B,메인전력량계!C:C,C:C)-SUMIFS(메인전력량계!F:F,ESS전력량계!B:B,B:B,메인전력량계!C:C,C:C))*$H43</f>
        <v>1805183.9999999953</v>
      </c>
      <c r="F43" s="106">
        <f>(SUMIFS(메인전력량계!I:I,ESS전력량계!B:B,B:B,메인전력량계!C:C,C:C)-SUMIFS(메인전력량계!H:H,ESS전력량계!B:B,B:B,메인전력량계!C:C,C:C))*$H43</f>
        <v>842543.99999999662</v>
      </c>
      <c r="G43" s="183">
        <f t="shared" si="4"/>
        <v>5630256.0000000037</v>
      </c>
      <c r="H43" s="70">
        <v>14400</v>
      </c>
      <c r="J43" s="75">
        <v>11950</v>
      </c>
      <c r="K43" s="75">
        <v>97</v>
      </c>
      <c r="L43" s="75">
        <f>전력요금표!$B$2</f>
        <v>8320</v>
      </c>
    </row>
    <row r="44" spans="2:15">
      <c r="B44" s="69" t="s">
        <v>26</v>
      </c>
      <c r="C44" s="69" t="s">
        <v>18</v>
      </c>
      <c r="D44" s="106">
        <f>(SUMIFS(메인전력량계!E:E,ESS전력량계!B:B,B:B,메인전력량계!C:C,C:C)-SUMIFS(메인전력량계!D:D,ESS전력량계!B:B,B:B,메인전력량계!C:C,C:C))*$H44</f>
        <v>0</v>
      </c>
      <c r="E44" s="106">
        <f>(SUMIFS(메인전력량계!G:G,ESS전력량계!B:B,B:B,메인전력량계!C:C,C:C)-SUMIFS(메인전력량계!F:F,ESS전력량계!B:B,B:B,메인전력량계!C:C,C:C))*$H44</f>
        <v>0</v>
      </c>
      <c r="F44" s="106">
        <f>(SUMIFS(메인전력량계!I:I,ESS전력량계!B:B,B:B,메인전력량계!C:C,C:C)-SUMIFS(메인전력량계!H:H,ESS전력량계!B:B,B:B,메인전력량계!C:C,C:C))*$H44</f>
        <v>0</v>
      </c>
      <c r="G44" s="183">
        <f t="shared" si="4"/>
        <v>0</v>
      </c>
      <c r="H44" s="70">
        <v>14400</v>
      </c>
      <c r="J44" s="75">
        <f>ROUND(PEAK적용값!$J$3,0)</f>
        <v>11448</v>
      </c>
      <c r="K44" s="75">
        <v>97</v>
      </c>
      <c r="L44" s="75">
        <f>전력요금표!$B$2</f>
        <v>8320</v>
      </c>
    </row>
    <row r="45" spans="2:15">
      <c r="B45" s="69" t="s">
        <v>26</v>
      </c>
      <c r="C45" s="69" t="s">
        <v>19</v>
      </c>
      <c r="D45" s="106">
        <f>(SUMIFS(메인전력량계!E:E,ESS전력량계!B:B,B:B,메인전력량계!C:C,C:C)-SUMIFS(메인전력량계!D:D,ESS전력량계!B:B,B:B,메인전력량계!C:C,C:C))*$H45</f>
        <v>0</v>
      </c>
      <c r="E45" s="106">
        <f>(SUMIFS(메인전력량계!G:G,ESS전력량계!B:B,B:B,메인전력량계!C:C,C:C)-SUMIFS(메인전력량계!F:F,ESS전력량계!B:B,B:B,메인전력량계!C:C,C:C))*$H45</f>
        <v>0</v>
      </c>
      <c r="F45" s="106">
        <f>(SUMIFS(메인전력량계!I:I,ESS전력량계!B:B,B:B,메인전력량계!C:C,C:C)-SUMIFS(메인전력량계!H:H,ESS전력량계!B:B,B:B,메인전력량계!C:C,C:C))*$H45</f>
        <v>0</v>
      </c>
      <c r="G45" s="183">
        <f t="shared" si="4"/>
        <v>0</v>
      </c>
      <c r="H45" s="70">
        <v>14400</v>
      </c>
      <c r="J45" s="75">
        <f>ROUND(PEAK적용값!$J$3,0)</f>
        <v>11448</v>
      </c>
      <c r="K45" s="75">
        <v>97</v>
      </c>
      <c r="L45" s="75">
        <f>전력요금표!$B$2</f>
        <v>8320</v>
      </c>
    </row>
    <row r="46" spans="2:15">
      <c r="B46" s="69" t="s">
        <v>26</v>
      </c>
      <c r="C46" s="69" t="s">
        <v>20</v>
      </c>
      <c r="D46" s="106">
        <f>(SUMIFS(메인전력량계!E:E,ESS전력량계!B:B,B:B,메인전력량계!C:C,C:C)-SUMIFS(메인전력량계!D:D,ESS전력량계!B:B,B:B,메인전력량계!C:C,C:C))*$H46</f>
        <v>0</v>
      </c>
      <c r="E46" s="106">
        <f>(SUMIFS(메인전력량계!G:G,ESS전력량계!B:B,B:B,메인전력량계!C:C,C:C)-SUMIFS(메인전력량계!F:F,ESS전력량계!B:B,B:B,메인전력량계!C:C,C:C))*$H46</f>
        <v>0</v>
      </c>
      <c r="F46" s="106">
        <f>(SUMIFS(메인전력량계!I:I,ESS전력량계!B:B,B:B,메인전력량계!C:C,C:C)-SUMIFS(메인전력량계!H:H,ESS전력량계!B:B,B:B,메인전력량계!C:C,C:C))*$H46</f>
        <v>0</v>
      </c>
      <c r="G46" s="183">
        <f t="shared" si="4"/>
        <v>0</v>
      </c>
      <c r="H46" s="70">
        <v>14400</v>
      </c>
      <c r="J46" s="75">
        <f>ROUND(PEAK적용값!$J$3,0)</f>
        <v>11448</v>
      </c>
      <c r="K46" s="75">
        <v>97</v>
      </c>
      <c r="L46" s="75">
        <f>전력요금표!$B$2</f>
        <v>8320</v>
      </c>
    </row>
    <row r="47" spans="2:15">
      <c r="B47" s="69" t="s">
        <v>26</v>
      </c>
      <c r="C47" s="69" t="s">
        <v>21</v>
      </c>
      <c r="D47" s="106">
        <f>(SUMIFS(메인전력량계!E:E,ESS전력량계!B:B,B:B,메인전력량계!C:C,C:C)-SUMIFS(메인전력량계!D:D,ESS전력량계!B:B,B:B,메인전력량계!C:C,C:C))*$H47</f>
        <v>0</v>
      </c>
      <c r="E47" s="106">
        <f>(SUMIFS(메인전력량계!G:G,ESS전력량계!B:B,B:B,메인전력량계!C:C,C:C)-SUMIFS(메인전력량계!F:F,ESS전력량계!B:B,B:B,메인전력량계!C:C,C:C))*$H47</f>
        <v>0</v>
      </c>
      <c r="F47" s="106">
        <f>(SUMIFS(메인전력량계!I:I,ESS전력량계!B:B,B:B,메인전력량계!C:C,C:C)-SUMIFS(메인전력량계!H:H,ESS전력량계!B:B,B:B,메인전력량계!C:C,C:C))*$H47</f>
        <v>0</v>
      </c>
      <c r="G47" s="183">
        <f t="shared" si="4"/>
        <v>0</v>
      </c>
      <c r="H47" s="70">
        <v>14400</v>
      </c>
      <c r="J47" s="75">
        <f>ROUND(PEAK적용값!$J$3,0)</f>
        <v>11448</v>
      </c>
      <c r="K47" s="75">
        <v>97</v>
      </c>
      <c r="L47" s="75">
        <f>전력요금표!$B$2</f>
        <v>8320</v>
      </c>
    </row>
    <row r="48" spans="2:15">
      <c r="B48" s="69" t="s">
        <v>26</v>
      </c>
      <c r="C48" s="69" t="s">
        <v>22</v>
      </c>
      <c r="D48" s="106">
        <f>(SUMIFS(메인전력량계!E:E,ESS전력량계!B:B,B:B,메인전력량계!C:C,C:C)-SUMIFS(메인전력량계!D:D,ESS전력량계!B:B,B:B,메인전력량계!C:C,C:C))*$H48</f>
        <v>0</v>
      </c>
      <c r="E48" s="106">
        <f>(SUMIFS(메인전력량계!G:G,ESS전력량계!B:B,B:B,메인전력량계!C:C,C:C)-SUMIFS(메인전력량계!F:F,ESS전력량계!B:B,B:B,메인전력량계!C:C,C:C))*$H48</f>
        <v>0</v>
      </c>
      <c r="F48" s="106">
        <f>(SUMIFS(메인전력량계!I:I,ESS전력량계!B:B,B:B,메인전력량계!C:C,C:C)-SUMIFS(메인전력량계!H:H,ESS전력량계!B:B,B:B,메인전력량계!C:C,C:C))*$H48</f>
        <v>0</v>
      </c>
      <c r="G48" s="183">
        <f t="shared" si="4"/>
        <v>0</v>
      </c>
      <c r="H48" s="70">
        <v>14400</v>
      </c>
      <c r="J48" s="75">
        <f>ROUND(PEAK적용값!$J$3,0)</f>
        <v>11448</v>
      </c>
      <c r="K48" s="75">
        <v>97</v>
      </c>
      <c r="L48" s="75">
        <f>전력요금표!$B$2</f>
        <v>8320</v>
      </c>
    </row>
    <row r="49" spans="2:12">
      <c r="B49" s="69" t="s">
        <v>26</v>
      </c>
      <c r="C49" s="69" t="s">
        <v>23</v>
      </c>
      <c r="D49" s="106">
        <f>(SUMIFS(메인전력량계!E:E,ESS전력량계!B:B,B:B,메인전력량계!C:C,C:C)-SUMIFS(메인전력량계!D:D,ESS전력량계!B:B,B:B,메인전력량계!C:C,C:C))*$H49</f>
        <v>0</v>
      </c>
      <c r="E49" s="106">
        <f>(SUMIFS(메인전력량계!G:G,ESS전력량계!B:B,B:B,메인전력량계!C:C,C:C)-SUMIFS(메인전력량계!F:F,ESS전력량계!B:B,B:B,메인전력량계!C:C,C:C))*$H49</f>
        <v>0</v>
      </c>
      <c r="F49" s="106">
        <f>(SUMIFS(메인전력량계!I:I,ESS전력량계!B:B,B:B,메인전력량계!C:C,C:C)-SUMIFS(메인전력량계!H:H,ESS전력량계!B:B,B:B,메인전력량계!C:C,C:C))*$H49</f>
        <v>0</v>
      </c>
      <c r="G49" s="183">
        <f t="shared" si="4"/>
        <v>0</v>
      </c>
      <c r="H49" s="70">
        <v>14400</v>
      </c>
      <c r="J49" s="75">
        <f>ROUND(PEAK적용값!$J$3,0)</f>
        <v>11448</v>
      </c>
      <c r="K49" s="75">
        <v>97</v>
      </c>
      <c r="L49" s="75">
        <f>전력요금표!$B$2</f>
        <v>8320</v>
      </c>
    </row>
    <row r="51" spans="2:12">
      <c r="D51" s="171"/>
    </row>
    <row r="52" spans="2:12">
      <c r="D52" s="215"/>
      <c r="E52" s="215"/>
      <c r="F52" s="215"/>
    </row>
    <row r="54" spans="2:12">
      <c r="D54" s="171"/>
      <c r="E54" s="171"/>
      <c r="F54" s="171"/>
      <c r="G54" s="17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37</vt:i4>
      </vt:variant>
      <vt:variant>
        <vt:lpstr>이름이 지정된 범위</vt:lpstr>
      </vt:variant>
      <vt:variant>
        <vt:i4>9</vt:i4>
      </vt:variant>
    </vt:vector>
  </HeadingPairs>
  <TitlesOfParts>
    <vt:vector size="46" baseType="lpstr">
      <vt:lpstr>전력요금표</vt:lpstr>
      <vt:lpstr>LNG요금표</vt:lpstr>
      <vt:lpstr>메인전력량계</vt:lpstr>
      <vt:lpstr>신설전력량계</vt:lpstr>
      <vt:lpstr>ESS전력량계</vt:lpstr>
      <vt:lpstr>PEAK적용값</vt:lpstr>
      <vt:lpstr>전력감시DATA</vt:lpstr>
      <vt:lpstr>전력분배</vt:lpstr>
      <vt:lpstr>본전력량</vt:lpstr>
      <vt:lpstr>신설본전력량</vt:lpstr>
      <vt:lpstr>ESS전력량</vt:lpstr>
      <vt:lpstr>전력변동요금</vt:lpstr>
      <vt:lpstr>라인별전력적용비율</vt:lpstr>
      <vt:lpstr>신설전력사용량비율</vt:lpstr>
      <vt:lpstr>ESS기본할인</vt:lpstr>
      <vt:lpstr>생산량</vt:lpstr>
      <vt:lpstr>라인분배전력량</vt:lpstr>
      <vt:lpstr>라인분배전력금액</vt:lpstr>
      <vt:lpstr>총전력량</vt:lpstr>
      <vt:lpstr>리스추정치</vt:lpstr>
      <vt:lpstr>LNG사용량</vt:lpstr>
      <vt:lpstr>LNG금액</vt:lpstr>
      <vt:lpstr>21.1분기</vt:lpstr>
      <vt:lpstr>용수사용량</vt:lpstr>
      <vt:lpstr>용수금액</vt:lpstr>
      <vt:lpstr>용수계산식</vt:lpstr>
      <vt:lpstr>용수분배비율</vt:lpstr>
      <vt:lpstr>20.12월</vt:lpstr>
      <vt:lpstr>20년누적</vt:lpstr>
      <vt:lpstr>21.1월</vt:lpstr>
      <vt:lpstr>21.2월</vt:lpstr>
      <vt:lpstr>21.3월</vt:lpstr>
      <vt:lpstr>21.4월</vt:lpstr>
      <vt:lpstr>21.5월</vt:lpstr>
      <vt:lpstr>21.6월</vt:lpstr>
      <vt:lpstr>Sheet3</vt:lpstr>
      <vt:lpstr>Sheet2</vt:lpstr>
      <vt:lpstr>'20.12월'!Print_Area</vt:lpstr>
      <vt:lpstr>'20년누적'!Print_Area</vt:lpstr>
      <vt:lpstr>'21.1분기'!Print_Area</vt:lpstr>
      <vt:lpstr>'21.1월'!Print_Area</vt:lpstr>
      <vt:lpstr>'21.2월'!Print_Area</vt:lpstr>
      <vt:lpstr>'21.3월'!Print_Area</vt:lpstr>
      <vt:lpstr>'21.4월'!Print_Area</vt:lpstr>
      <vt:lpstr>'21.5월'!Print_Area</vt:lpstr>
      <vt:lpstr>'21.6월'!Print_Area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2021-07-02T04:01:39Z</cp:lastPrinted>
  <dcterms:created xsi:type="dcterms:W3CDTF">2021-02-02T02:02:25Z</dcterms:created>
  <dcterms:modified xsi:type="dcterms:W3CDTF">2021-07-07T02:55:53Z</dcterms:modified>
</cp:coreProperties>
</file>