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474" documentId="11_7F4755BF84DCCE43E268565A8931F45BFA75341E" xr6:coauthVersionLast="47" xr6:coauthVersionMax="47" xr10:uidLastSave="{C0044743-9058-4B43-A887-A76B0F50DF9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D16" i="1" a="1"/>
  <c r="D16" i="1"/>
  <c r="C19" i="1"/>
  <c r="C18" i="1"/>
  <c r="C17" i="1"/>
  <c r="D17" i="1" a="1"/>
  <c r="D17" i="1"/>
  <c r="I16" i="1"/>
  <c r="B18" i="1"/>
  <c r="M28" i="1"/>
  <c r="B27" i="1"/>
  <c r="B26" i="1"/>
  <c r="B25" i="1"/>
  <c r="B24" i="1"/>
  <c r="B23" i="1"/>
  <c r="B22" i="1"/>
  <c r="B21" i="1"/>
  <c r="B20" i="1"/>
  <c r="AD19" i="1"/>
  <c r="B19" i="1"/>
  <c r="AD18" i="1"/>
  <c r="AD17" i="1"/>
  <c r="B17" i="1"/>
  <c r="AD16" i="1"/>
  <c r="C16" i="1"/>
  <c r="AD15" i="1"/>
  <c r="C28" i="1" l="1"/>
  <c r="E16" i="1"/>
  <c r="E27" i="1" l="1"/>
  <c r="H16" i="1" l="1"/>
  <c r="J16" i="1" s="1"/>
  <c r="B16" i="1"/>
  <c r="I17" i="1" s="1"/>
  <c r="B28" i="1"/>
  <c r="F28" i="1"/>
  <c r="E17" i="1" l="1"/>
  <c r="I18" i="1"/>
  <c r="H17" i="1"/>
  <c r="L14" i="1"/>
  <c r="D18" i="1" l="1" a="1"/>
  <c r="D18" i="1" s="1"/>
  <c r="E18" i="1"/>
  <c r="I19" i="1"/>
  <c r="H18" i="1"/>
  <c r="J17" i="1"/>
  <c r="D19" i="1" l="1" a="1"/>
  <c r="D19" i="1" s="1"/>
  <c r="J18" i="1"/>
  <c r="I20" i="1"/>
  <c r="E19" i="1"/>
  <c r="H19" i="1"/>
  <c r="D20" i="1" l="1" a="1"/>
  <c r="D20" i="1" s="1"/>
  <c r="J19" i="1"/>
  <c r="I21" i="1"/>
  <c r="E20" i="1"/>
  <c r="H20" i="1"/>
  <c r="D21" i="1" l="1" a="1"/>
  <c r="D21" i="1" s="1"/>
  <c r="J20" i="1"/>
  <c r="I22" i="1"/>
  <c r="E21" i="1"/>
  <c r="H21" i="1"/>
  <c r="D22" i="1" l="1" a="1"/>
  <c r="D22" i="1" s="1"/>
  <c r="J21" i="1"/>
  <c r="I23" i="1"/>
  <c r="E22" i="1"/>
  <c r="H22" i="1"/>
  <c r="D23" i="1" l="1" a="1"/>
  <c r="D23" i="1" s="1"/>
  <c r="J22" i="1"/>
  <c r="I24" i="1"/>
  <c r="E23" i="1"/>
  <c r="H23" i="1"/>
  <c r="D24" i="1" l="1" a="1"/>
  <c r="D24" i="1" s="1"/>
  <c r="J23" i="1"/>
  <c r="I25" i="1"/>
  <c r="E24" i="1"/>
  <c r="H24" i="1"/>
  <c r="D25" i="1" l="1" a="1"/>
  <c r="D25" i="1" s="1"/>
  <c r="J24" i="1"/>
  <c r="I26" i="1"/>
  <c r="E25" i="1"/>
  <c r="H25" i="1"/>
  <c r="D26" i="1" l="1" a="1"/>
  <c r="D26" i="1" s="1"/>
  <c r="J25" i="1"/>
  <c r="I27" i="1"/>
  <c r="E26" i="1"/>
  <c r="H26" i="1"/>
  <c r="H27" i="1" l="1"/>
  <c r="J26" i="1"/>
  <c r="E28" i="1"/>
  <c r="J27" i="1" l="1"/>
  <c r="J28" i="1" s="1"/>
  <c r="H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<sst xmlns="http://schemas.openxmlformats.org/spreadsheetml/2006/main" count="85" uniqueCount="71">
  <si>
    <t xml:space="preserve">STANDART - CONSULTORIA EMPRESARIAL E CONTABILIDADE LTDA </t>
  </si>
  <si>
    <t>EMPRESA: D</t>
  </si>
  <si>
    <t xml:space="preserve">CNPJ:                   CPF :                   Código: </t>
  </si>
  <si>
    <t>Demonstrativo Apuração Imposto &gt; SIMPLES &lt; Ano-Base: 2025</t>
  </si>
  <si>
    <t>ANEXO I - Comércio </t>
  </si>
  <si>
    <t>Faixas</t>
  </si>
  <si>
    <t>Percentual de Repartição dos Tributos</t>
  </si>
  <si>
    <t>MÊS</t>
  </si>
  <si>
    <t xml:space="preserve">RECEITA </t>
  </si>
  <si>
    <t>REVENDA SEM SUBST.</t>
  </si>
  <si>
    <t>ALÍQ.</t>
  </si>
  <si>
    <t>IMPOSTO</t>
  </si>
  <si>
    <t>REVENDA COM SUBST.</t>
  </si>
  <si>
    <t>RECEITA</t>
  </si>
  <si>
    <t>Aliquota Geral</t>
  </si>
  <si>
    <t>Receita Bruta em 12 Meses (em R$)</t>
  </si>
  <si>
    <t>Alíquota</t>
  </si>
  <si>
    <t>Valor a Deduzir (em R$)</t>
  </si>
  <si>
    <t>IRPJ</t>
  </si>
  <si>
    <t>CSLL</t>
  </si>
  <si>
    <t>Cofins</t>
  </si>
  <si>
    <t>PIS/Pasep</t>
  </si>
  <si>
    <t>CPP</t>
  </si>
  <si>
    <t>ICMS</t>
  </si>
  <si>
    <t>ST ICMS</t>
  </si>
  <si>
    <t>TOTAL</t>
  </si>
  <si>
    <t>ACUMULADA</t>
  </si>
  <si>
    <t>DEVIDO</t>
  </si>
  <si>
    <t>RECEITA ULTIMO 12 MESES</t>
  </si>
  <si>
    <r>
      <t>1</t>
    </r>
    <r>
      <rPr>
        <u/>
        <vertAlign val="superscript"/>
        <sz val="11"/>
        <color theme="1"/>
        <rFont val="Calibri"/>
        <family val="2"/>
        <scheme val="minor"/>
      </rPr>
      <t>a</t>
    </r>
    <r>
      <rPr>
        <sz val="10"/>
        <rFont val="Arial"/>
        <family val="2"/>
      </rPr>
      <t> Faixa</t>
    </r>
  </si>
  <si>
    <t>De</t>
  </si>
  <si>
    <t>a</t>
  </si>
  <si>
    <r>
      <t>1</t>
    </r>
    <r>
      <rPr>
        <u/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Faixa</t>
    </r>
  </si>
  <si>
    <t>JAN</t>
  </si>
  <si>
    <t>jan</t>
  </si>
  <si>
    <r>
      <t>2</t>
    </r>
    <r>
      <rPr>
        <u/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 Faixa</t>
    </r>
  </si>
  <si>
    <r>
      <t>2</t>
    </r>
    <r>
      <rPr>
        <u/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Faixa</t>
    </r>
  </si>
  <si>
    <t>FEV</t>
  </si>
  <si>
    <t>fev</t>
  </si>
  <si>
    <r>
      <t>3</t>
    </r>
    <r>
      <rPr>
        <u/>
        <vertAlign val="superscript"/>
        <sz val="11"/>
        <color theme="1"/>
        <rFont val="Calibri"/>
        <family val="2"/>
        <scheme val="minor"/>
      </rPr>
      <t>a</t>
    </r>
    <r>
      <rPr>
        <sz val="10"/>
        <rFont val="Arial"/>
        <family val="2"/>
      </rPr>
      <t> Faixa</t>
    </r>
  </si>
  <si>
    <r>
      <t>3</t>
    </r>
    <r>
      <rPr>
        <u/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Faixa</t>
    </r>
  </si>
  <si>
    <t>MAR</t>
  </si>
  <si>
    <t>mar</t>
  </si>
  <si>
    <r>
      <t>4</t>
    </r>
    <r>
      <rPr>
        <u/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 Faixa</t>
    </r>
  </si>
  <si>
    <r>
      <t>4</t>
    </r>
    <r>
      <rPr>
        <u/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Faixa</t>
    </r>
  </si>
  <si>
    <t>ABR</t>
  </si>
  <si>
    <t>abr</t>
  </si>
  <si>
    <r>
      <t>5</t>
    </r>
    <r>
      <rPr>
        <u/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 Faixa</t>
    </r>
  </si>
  <si>
    <r>
      <t>5</t>
    </r>
    <r>
      <rPr>
        <u/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Faixa</t>
    </r>
  </si>
  <si>
    <t>MAI</t>
  </si>
  <si>
    <t>mai</t>
  </si>
  <si>
    <r>
      <t>6</t>
    </r>
    <r>
      <rPr>
        <u/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 Faixa</t>
    </r>
  </si>
  <si>
    <r>
      <t>6</t>
    </r>
    <r>
      <rPr>
        <u/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Faixa</t>
    </r>
  </si>
  <si>
    <t>-</t>
  </si>
  <si>
    <t>JUN</t>
  </si>
  <si>
    <t>jun</t>
  </si>
  <si>
    <t>JUL</t>
  </si>
  <si>
    <t xml:space="preserve"> </t>
  </si>
  <si>
    <t>jul</t>
  </si>
  <si>
    <t>AGO</t>
  </si>
  <si>
    <t>ago</t>
  </si>
  <si>
    <t>SET</t>
  </si>
  <si>
    <t>set</t>
  </si>
  <si>
    <t>OUT</t>
  </si>
  <si>
    <t>out</t>
  </si>
  <si>
    <t>nov</t>
  </si>
  <si>
    <t>dez</t>
  </si>
  <si>
    <t>OBS.:</t>
  </si>
  <si>
    <t>Revenda de mercadorias, exceto para o exterior - Sem substituição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</si>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</sst>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_(* #,##0.00_);_(* \(#,##0.00\);_(* &quot;-&quot;??_);_(@_)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4"/>
      <name val="Arial"/>
      <family val="2"/>
    </font>
    <font>
      <u/>
      <sz val="12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u/>
      <vertAlign val="superscript"/>
      <sz val="10"/>
      <color rgb="FF000000"/>
      <name val="Arial"/>
      <family val="2"/>
    </font>
    <font>
      <u/>
      <vertAlign val="superscript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67">
    <xf numFmtId="0" fontId="0" fillId="0" borderId="0" xfId="0"/>
    <xf numFmtId="0" fontId="4" fillId="0" borderId="0" xfId="2" applyFont="1"/>
    <xf numFmtId="0" fontId="2" fillId="0" borderId="0" xfId="2"/>
    <xf numFmtId="0" fontId="2" fillId="0" borderId="0" xfId="2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6" fillId="0" borderId="0" xfId="2" applyFont="1"/>
    <xf numFmtId="0" fontId="7" fillId="0" borderId="0" xfId="2" applyFont="1"/>
    <xf numFmtId="0" fontId="7" fillId="0" borderId="0" xfId="2" applyFont="1" applyAlignment="1">
      <alignment horizontal="center"/>
    </xf>
    <xf numFmtId="0" fontId="8" fillId="0" borderId="2" xfId="4" applyFont="1" applyBorder="1"/>
    <xf numFmtId="0" fontId="8" fillId="0" borderId="0" xfId="4" applyFont="1"/>
    <xf numFmtId="0" fontId="9" fillId="0" borderId="3" xfId="4" applyFont="1" applyBorder="1" applyAlignment="1">
      <alignment horizontal="center" vertical="top" wrapText="1"/>
    </xf>
    <xf numFmtId="0" fontId="2" fillId="0" borderId="0" xfId="3"/>
    <xf numFmtId="0" fontId="10" fillId="0" borderId="7" xfId="2" applyFont="1" applyBorder="1" applyAlignment="1">
      <alignment horizontal="center"/>
    </xf>
    <xf numFmtId="164" fontId="2" fillId="0" borderId="0" xfId="1" applyNumberFormat="1" applyFont="1"/>
    <xf numFmtId="0" fontId="11" fillId="0" borderId="0" xfId="4" applyFont="1" applyAlignment="1">
      <alignment horizontal="center" vertical="top" wrapText="1"/>
    </xf>
    <xf numFmtId="0" fontId="9" fillId="0" borderId="8" xfId="4" applyFont="1" applyBorder="1" applyAlignment="1">
      <alignment vertical="top" wrapText="1"/>
    </xf>
    <xf numFmtId="0" fontId="9" fillId="0" borderId="9" xfId="4" applyFont="1" applyBorder="1" applyAlignment="1">
      <alignment horizontal="center" vertical="top" wrapText="1"/>
    </xf>
    <xf numFmtId="0" fontId="2" fillId="0" borderId="0" xfId="3" applyAlignment="1">
      <alignment horizontal="center"/>
    </xf>
    <xf numFmtId="0" fontId="10" fillId="0" borderId="10" xfId="2" applyFont="1" applyBorder="1" applyAlignment="1">
      <alignment horizontal="center"/>
    </xf>
    <xf numFmtId="0" fontId="11" fillId="0" borderId="8" xfId="4" applyFont="1" applyBorder="1" applyAlignment="1">
      <alignment vertical="top" wrapText="1"/>
    </xf>
    <xf numFmtId="0" fontId="11" fillId="0" borderId="9" xfId="4" applyFont="1" applyBorder="1" applyAlignment="1">
      <alignment vertical="top" wrapText="1"/>
    </xf>
    <xf numFmtId="4" fontId="11" fillId="0" borderId="9" xfId="4" applyNumberFormat="1" applyFont="1" applyBorder="1" applyAlignment="1">
      <alignment vertical="top" wrapText="1"/>
    </xf>
    <xf numFmtId="10" fontId="11" fillId="0" borderId="9" xfId="4" applyNumberFormat="1" applyFont="1" applyBorder="1" applyAlignment="1">
      <alignment horizontal="center" vertical="top" wrapText="1"/>
    </xf>
    <xf numFmtId="0" fontId="11" fillId="0" borderId="9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10" fontId="9" fillId="0" borderId="9" xfId="4" applyNumberFormat="1" applyFont="1" applyBorder="1" applyAlignment="1">
      <alignment horizontal="center" vertical="top" wrapText="1"/>
    </xf>
    <xf numFmtId="10" fontId="2" fillId="0" borderId="0" xfId="3" applyNumberFormat="1"/>
    <xf numFmtId="165" fontId="5" fillId="0" borderId="10" xfId="2" applyNumberFormat="1" applyFont="1" applyBorder="1"/>
    <xf numFmtId="165" fontId="5" fillId="2" borderId="10" xfId="2" applyNumberFormat="1" applyFont="1" applyFill="1" applyBorder="1"/>
    <xf numFmtId="2" fontId="5" fillId="0" borderId="10" xfId="3" applyNumberFormat="1" applyFont="1" applyBorder="1" applyAlignment="1">
      <alignment horizontal="center"/>
    </xf>
    <xf numFmtId="17" fontId="2" fillId="0" borderId="0" xfId="3" applyNumberFormat="1" applyAlignment="1">
      <alignment horizontal="center"/>
    </xf>
    <xf numFmtId="165" fontId="2" fillId="3" borderId="0" xfId="2" applyNumberFormat="1" applyFill="1"/>
    <xf numFmtId="4" fontId="11" fillId="0" borderId="9" xfId="4" applyNumberFormat="1" applyFont="1" applyBorder="1" applyAlignment="1">
      <alignment horizontal="center" vertical="top" wrapText="1"/>
    </xf>
    <xf numFmtId="4" fontId="11" fillId="0" borderId="0" xfId="4" applyNumberFormat="1" applyFont="1" applyAlignment="1">
      <alignment horizontal="center" vertical="top" wrapText="1"/>
    </xf>
    <xf numFmtId="0" fontId="10" fillId="0" borderId="11" xfId="2" applyFont="1" applyBorder="1" applyAlignment="1">
      <alignment horizontal="center"/>
    </xf>
    <xf numFmtId="165" fontId="5" fillId="2" borderId="11" xfId="2" applyNumberFormat="1" applyFont="1" applyFill="1" applyBorder="1"/>
    <xf numFmtId="165" fontId="5" fillId="0" borderId="11" xfId="2" applyNumberFormat="1" applyFont="1" applyBorder="1"/>
    <xf numFmtId="0" fontId="8" fillId="0" borderId="0" xfId="4" applyFont="1" applyAlignment="1">
      <alignment horizontal="left"/>
    </xf>
    <xf numFmtId="0" fontId="11" fillId="0" borderId="0" xfId="4" applyFont="1" applyAlignment="1">
      <alignment vertical="top" wrapText="1"/>
    </xf>
    <xf numFmtId="0" fontId="2" fillId="0" borderId="0" xfId="4"/>
    <xf numFmtId="4" fontId="11" fillId="0" borderId="0" xfId="4" applyNumberFormat="1" applyFont="1" applyAlignment="1">
      <alignment vertical="top" wrapText="1"/>
    </xf>
    <xf numFmtId="10" fontId="11" fillId="0" borderId="0" xfId="4" applyNumberFormat="1" applyFont="1" applyAlignment="1">
      <alignment horizontal="center" wrapText="1"/>
    </xf>
    <xf numFmtId="0" fontId="11" fillId="0" borderId="0" xfId="4" applyFont="1" applyAlignment="1">
      <alignment horizontal="center" wrapText="1"/>
    </xf>
    <xf numFmtId="4" fontId="11" fillId="0" borderId="0" xfId="4" applyNumberFormat="1" applyFont="1" applyAlignment="1">
      <alignment horizontal="center" wrapText="1"/>
    </xf>
    <xf numFmtId="17" fontId="2" fillId="0" borderId="0" xfId="2" applyNumberFormat="1"/>
    <xf numFmtId="165" fontId="2" fillId="0" borderId="0" xfId="2" applyNumberFormat="1"/>
    <xf numFmtId="0" fontId="9" fillId="0" borderId="6" xfId="4" applyFont="1" applyBorder="1" applyAlignment="1">
      <alignment horizontal="center" vertical="top" wrapText="1"/>
    </xf>
    <xf numFmtId="0" fontId="10" fillId="0" borderId="7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1" fillId="0" borderId="6" xfId="4" applyFont="1" applyBorder="1" applyAlignment="1">
      <alignment horizontal="center" vertical="top" wrapText="1"/>
    </xf>
    <xf numFmtId="10" fontId="5" fillId="0" borderId="10" xfId="3" applyNumberFormat="1" applyFont="1" applyBorder="1" applyAlignment="1">
      <alignment horizontal="center"/>
    </xf>
    <xf numFmtId="0" fontId="9" fillId="0" borderId="4" xfId="4" applyFont="1" applyBorder="1" applyAlignment="1">
      <alignment horizontal="center" vertical="top" wrapText="1"/>
    </xf>
    <xf numFmtId="0" fontId="9" fillId="0" borderId="5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10" fillId="0" borderId="7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1" fillId="0" borderId="4" xfId="4" applyFont="1" applyBorder="1" applyAlignment="1">
      <alignment horizontal="center" vertical="top" wrapText="1"/>
    </xf>
    <xf numFmtId="0" fontId="11" fillId="0" borderId="5" xfId="4" applyFont="1" applyBorder="1" applyAlignment="1">
      <alignment horizontal="center" vertical="top" wrapText="1"/>
    </xf>
    <xf numFmtId="0" fontId="11" fillId="0" borderId="6" xfId="4" applyFont="1" applyBorder="1" applyAlignment="1">
      <alignment horizontal="center" vertical="top" wrapText="1"/>
    </xf>
    <xf numFmtId="0" fontId="0" fillId="0" borderId="12" xfId="0" applyBorder="1" applyAlignment="1">
      <alignment horizontal="left" vertical="top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6" fillId="0" borderId="0" xfId="3" applyFont="1" applyAlignment="1">
      <alignment horizontal="center"/>
    </xf>
  </cellXfs>
  <cellStyles count="5">
    <cellStyle name="Normal" xfId="0" builtinId="0"/>
    <cellStyle name="Normal 2" xfId="3" xr:uid="{9F57BDED-DCEF-470A-85C5-CA0FBDE866C7}"/>
    <cellStyle name="Normal 3" xfId="2" xr:uid="{CC8444CF-2792-47D2-BA84-DF1B3B77B9A6}"/>
    <cellStyle name="Normal 5" xfId="4" xr:uid="{1BCDA29B-2072-43B0-B8CB-FDDE7EDFAFEB}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C13" workbookViewId="0">
      <selection activeCell="G16" sqref="G16"/>
    </sheetView>
  </sheetViews>
  <sheetFormatPr defaultRowHeight="15"/>
  <cols>
    <col min="2" max="3" width="17" bestFit="1" customWidth="1"/>
    <col min="4" max="4" width="14.7109375" customWidth="1"/>
    <col min="5" max="5" width="15.7109375" bestFit="1" customWidth="1"/>
    <col min="6" max="6" width="11.28515625" bestFit="1" customWidth="1"/>
    <col min="7" max="7" width="10.7109375" bestFit="1" customWidth="1"/>
    <col min="8" max="8" width="12" bestFit="1" customWidth="1"/>
    <col min="9" max="9" width="17" bestFit="1" customWidth="1"/>
    <col min="10" max="10" width="15.7109375" bestFit="1" customWidth="1"/>
    <col min="13" max="13" width="12.5703125" bestFit="1" customWidth="1"/>
    <col min="17" max="17" width="14" customWidth="1"/>
    <col min="19" max="19" width="15" customWidth="1"/>
    <col min="21" max="21" width="10.85546875" customWidth="1"/>
  </cols>
  <sheetData>
    <row r="1" spans="1:30" ht="2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8">
      <c r="A4" s="64" t="s">
        <v>1</v>
      </c>
      <c r="B4" s="64"/>
      <c r="C4" s="64"/>
      <c r="D4" s="64"/>
      <c r="E4" s="64"/>
      <c r="F4" s="64"/>
      <c r="G4" s="64"/>
      <c r="H4" s="64"/>
      <c r="I4" s="64"/>
      <c r="J4" s="6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8">
      <c r="A7" s="65" t="s">
        <v>2</v>
      </c>
      <c r="B7" s="65"/>
      <c r="C7" s="65"/>
      <c r="D7" s="65"/>
      <c r="E7" s="65"/>
      <c r="F7" s="65"/>
      <c r="G7" s="65"/>
      <c r="H7" s="65"/>
      <c r="I7" s="65"/>
      <c r="J7" s="65"/>
      <c r="K7" s="4"/>
      <c r="L7" s="4"/>
      <c r="M7" s="4"/>
      <c r="N7" s="4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8">
      <c r="A11" s="66" t="s">
        <v>3</v>
      </c>
      <c r="B11" s="66"/>
      <c r="C11" s="66"/>
      <c r="D11" s="66"/>
      <c r="E11" s="66"/>
      <c r="F11" s="66"/>
      <c r="G11" s="66"/>
      <c r="H11" s="66"/>
      <c r="I11" s="66"/>
      <c r="J11" s="66"/>
      <c r="K11" s="6"/>
      <c r="L11" s="7"/>
      <c r="M11" s="7"/>
      <c r="N11" s="7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  <c r="N12" s="7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 t="s">
        <v>4</v>
      </c>
      <c r="P13" s="9"/>
      <c r="Q13" s="9"/>
      <c r="R13" s="9"/>
      <c r="S13" s="9"/>
      <c r="T13" s="9"/>
      <c r="U13" s="9"/>
      <c r="V13" s="10"/>
      <c r="W13" s="11" t="s">
        <v>5</v>
      </c>
      <c r="X13" s="52" t="s">
        <v>6</v>
      </c>
      <c r="Y13" s="53"/>
      <c r="Z13" s="53"/>
      <c r="AA13" s="53"/>
      <c r="AB13" s="53"/>
      <c r="AC13" s="54"/>
      <c r="AD13" s="12"/>
    </row>
    <row r="14" spans="1:30" ht="45.75">
      <c r="A14" s="55" t="s">
        <v>7</v>
      </c>
      <c r="B14" s="48" t="s">
        <v>8</v>
      </c>
      <c r="C14" s="57" t="s">
        <v>9</v>
      </c>
      <c r="D14" s="55" t="s">
        <v>10</v>
      </c>
      <c r="E14" s="55" t="s">
        <v>11</v>
      </c>
      <c r="F14" s="57" t="s">
        <v>12</v>
      </c>
      <c r="G14" s="55" t="s">
        <v>10</v>
      </c>
      <c r="H14" s="55" t="s">
        <v>11</v>
      </c>
      <c r="I14" s="13" t="s">
        <v>13</v>
      </c>
      <c r="J14" s="13" t="s">
        <v>11</v>
      </c>
      <c r="K14" s="3"/>
      <c r="L14" s="14">
        <f>J16*100%/B16</f>
        <v>8.1238873786762589E-2</v>
      </c>
      <c r="M14" s="12" t="s">
        <v>14</v>
      </c>
      <c r="N14" s="2"/>
      <c r="O14" s="59" t="s">
        <v>15</v>
      </c>
      <c r="P14" s="60"/>
      <c r="Q14" s="61"/>
      <c r="R14" s="50"/>
      <c r="S14" s="50"/>
      <c r="T14" s="50" t="s">
        <v>16</v>
      </c>
      <c r="U14" s="50" t="s">
        <v>17</v>
      </c>
      <c r="V14" s="15"/>
      <c r="W14" s="16"/>
      <c r="X14" s="17" t="s">
        <v>18</v>
      </c>
      <c r="Y14" s="47" t="s">
        <v>19</v>
      </c>
      <c r="Z14" s="47" t="s">
        <v>20</v>
      </c>
      <c r="AA14" s="47" t="s">
        <v>21</v>
      </c>
      <c r="AB14" s="47" t="s">
        <v>22</v>
      </c>
      <c r="AC14" s="47" t="s">
        <v>23</v>
      </c>
      <c r="AD14" s="18" t="s">
        <v>24</v>
      </c>
    </row>
    <row r="15" spans="1:30" ht="15.75">
      <c r="A15" s="56"/>
      <c r="B15" s="49" t="s">
        <v>25</v>
      </c>
      <c r="C15" s="58"/>
      <c r="D15" s="56"/>
      <c r="E15" s="56"/>
      <c r="F15" s="58"/>
      <c r="G15" s="56"/>
      <c r="H15" s="56"/>
      <c r="I15" s="19" t="s">
        <v>26</v>
      </c>
      <c r="J15" s="19" t="s">
        <v>27</v>
      </c>
      <c r="K15" s="2"/>
      <c r="L15" s="2" t="s">
        <v>28</v>
      </c>
      <c r="M15" s="2"/>
      <c r="N15" s="2"/>
      <c r="O15" s="20" t="s">
        <v>29</v>
      </c>
      <c r="P15" s="21" t="s">
        <v>30</v>
      </c>
      <c r="Q15" s="22">
        <v>0</v>
      </c>
      <c r="R15" s="22" t="s">
        <v>31</v>
      </c>
      <c r="S15" s="22">
        <v>180000</v>
      </c>
      <c r="T15" s="23">
        <v>0.04</v>
      </c>
      <c r="U15" s="24">
        <v>0</v>
      </c>
      <c r="V15" s="15"/>
      <c r="W15" s="25" t="s">
        <v>32</v>
      </c>
      <c r="X15" s="26">
        <v>5.5E-2</v>
      </c>
      <c r="Y15" s="26">
        <v>3.5000000000000003E-2</v>
      </c>
      <c r="Z15" s="26">
        <v>0.12740000000000001</v>
      </c>
      <c r="AA15" s="26">
        <v>2.76E-2</v>
      </c>
      <c r="AB15" s="26">
        <v>0.41499999999999998</v>
      </c>
      <c r="AC15" s="26">
        <v>0.34</v>
      </c>
      <c r="AD15" s="27">
        <f>SUM(X15:AB15)</f>
        <v>0.65999999999999992</v>
      </c>
    </row>
    <row r="16" spans="1:30" ht="15.75">
      <c r="A16" s="19" t="s">
        <v>33</v>
      </c>
      <c r="B16" s="28">
        <f>C16+F16</f>
        <v>72538.569999999992</v>
      </c>
      <c r="C16" s="29">
        <f>74942.89-2404.32</f>
        <v>72538.569999999992</v>
      </c>
      <c r="D16" s="30" cm="1">
        <f t="array" ref="D16">IFERROR((I16*INDEX($T$15:$T$20,MATCH(1,(I16&gt;=$Q$15:$Q$20)*(I16&lt;=$S$15:$S$20),0))-INDEX($U$15:$U$20,MATCH(1,(I16&gt;=$Q$15:$Q$20)*(I16&lt;=$S$15:$S$20),0)))/I16*100,0)</f>
        <v>8.1238873786762582</v>
      </c>
      <c r="E16" s="28">
        <f>C16*D16%</f>
        <v>5892.9517329022428</v>
      </c>
      <c r="F16" s="29"/>
      <c r="G16" s="51" cm="1">
        <f t="array" ref="G16">IFERROR(INDEX($AD$15:$AD$20,MATCH(1,(I16&gt;=$Q$15:$Q$20)*(I16&lt;=$S$15:$S$20), 0))*(((I16*INDEX($T$15:$T$20, MATCH(1, (I16&gt;=$Q$15:$Q$20)*(I16&lt;=$S$15:$S$20),0)))-INDEX($U$15:$U$20, MATCH(1, (I16&gt;=$Q$15:$Q$20)*(I16&lt;=$S$15:$S$20), 0))) / I16),0)</f>
        <v>5.4023851068197126E-2</v>
      </c>
      <c r="H16" s="28">
        <f t="shared" ref="H16:H27" si="0">F16*G16%</f>
        <v>0</v>
      </c>
      <c r="I16" s="28">
        <f>M28</f>
        <v>873409.02</v>
      </c>
      <c r="J16" s="28">
        <f>E16+H16</f>
        <v>5892.9517329022428</v>
      </c>
      <c r="K16" s="2"/>
      <c r="L16" s="31" t="s">
        <v>34</v>
      </c>
      <c r="M16" s="32">
        <v>60286.57</v>
      </c>
      <c r="N16" s="2"/>
      <c r="O16" s="20" t="s">
        <v>35</v>
      </c>
      <c r="P16" s="21" t="s">
        <v>30</v>
      </c>
      <c r="Q16" s="22">
        <v>180000.01</v>
      </c>
      <c r="R16" s="21" t="s">
        <v>31</v>
      </c>
      <c r="S16" s="22">
        <v>360000</v>
      </c>
      <c r="T16" s="23">
        <v>7.2999999999999995E-2</v>
      </c>
      <c r="U16" s="33">
        <v>5940</v>
      </c>
      <c r="V16" s="34"/>
      <c r="W16" s="25" t="s">
        <v>36</v>
      </c>
      <c r="X16" s="26">
        <v>5.5E-2</v>
      </c>
      <c r="Y16" s="26">
        <v>3.5000000000000003E-2</v>
      </c>
      <c r="Z16" s="26">
        <v>0.12740000000000001</v>
      </c>
      <c r="AA16" s="26">
        <v>2.76E-2</v>
      </c>
      <c r="AB16" s="26">
        <v>0.41499999999999998</v>
      </c>
      <c r="AC16" s="26">
        <v>0.34</v>
      </c>
      <c r="AD16" s="27">
        <f t="shared" ref="AD16:AD19" si="1">SUM(X16:AB16)</f>
        <v>0.65999999999999992</v>
      </c>
    </row>
    <row r="17" spans="1:30" ht="15.75">
      <c r="A17" s="35" t="s">
        <v>37</v>
      </c>
      <c r="B17" s="28">
        <f t="shared" ref="B17:B27" si="2">C17+F17</f>
        <v>73034.02</v>
      </c>
      <c r="C17" s="36">
        <f>76334.16-3300.14</f>
        <v>73034.02</v>
      </c>
      <c r="D17" s="30" cm="1">
        <f t="array" ref="D17">IFERROR((I17*INDEX($T$15:$T$20,MATCH(1,(I17&gt;=$Q$15:$Q$20)*(I17&lt;=$S$15:$S$20),0))-INDEX($U$15:$U$20,MATCH(1,(I17&gt;=$Q$15:$Q$20)*(I17&lt;=$S$15:$S$20),0)))/I17*100,0)</f>
        <v>8.1595246384446263</v>
      </c>
      <c r="E17" s="28">
        <f t="shared" ref="E17:E27" si="3">C17*D17%</f>
        <v>5959.2288563465763</v>
      </c>
      <c r="F17" s="36"/>
      <c r="G17" s="51" cm="1">
        <f t="array" ref="G17">IFERROR(INDEX($AD$15:$AD$20,MATCH(1,(I17&gt;=$Q$15:$Q$20)*(I17&lt;=$S$15:$S$20), 0))*(((I17*INDEX($T$15:$T$20, MATCH(1, (I17&gt;=$Q$15:$Q$20)*(I17&lt;=$S$15:$S$20),0)))-INDEX($U$15:$U$20, MATCH(1, (I17&gt;=$Q$15:$Q$20)*(I17&lt;=$S$15:$S$20), 0))) / I17),0)</f>
        <v>5.4260838845656766E-2</v>
      </c>
      <c r="H17" s="28">
        <f t="shared" si="0"/>
        <v>0</v>
      </c>
      <c r="I17" s="37">
        <f>I16-M16+B16</f>
        <v>885661.02</v>
      </c>
      <c r="J17" s="28">
        <f t="shared" ref="J17:J27" si="4">E17+H17</f>
        <v>5959.2288563465763</v>
      </c>
      <c r="K17" s="2"/>
      <c r="L17" s="31" t="s">
        <v>38</v>
      </c>
      <c r="M17" s="32">
        <v>32516.080000000002</v>
      </c>
      <c r="N17" s="2"/>
      <c r="O17" s="20" t="s">
        <v>39</v>
      </c>
      <c r="P17" s="21" t="s">
        <v>30</v>
      </c>
      <c r="Q17" s="22">
        <v>360000.01</v>
      </c>
      <c r="R17" s="21" t="s">
        <v>31</v>
      </c>
      <c r="S17" s="22">
        <v>720000</v>
      </c>
      <c r="T17" s="23">
        <v>9.5000000000000001E-2</v>
      </c>
      <c r="U17" s="33">
        <v>13860</v>
      </c>
      <c r="V17" s="34"/>
      <c r="W17" s="25" t="s">
        <v>40</v>
      </c>
      <c r="X17" s="26">
        <v>5.5E-2</v>
      </c>
      <c r="Y17" s="26">
        <v>3.5000000000000003E-2</v>
      </c>
      <c r="Z17" s="26">
        <v>0.12740000000000001</v>
      </c>
      <c r="AA17" s="26">
        <v>2.76E-2</v>
      </c>
      <c r="AB17" s="26">
        <v>0.42</v>
      </c>
      <c r="AC17" s="26">
        <v>0.33500000000000002</v>
      </c>
      <c r="AD17" s="27">
        <f t="shared" si="1"/>
        <v>0.66500000000000004</v>
      </c>
    </row>
    <row r="18" spans="1:30" ht="15.75">
      <c r="A18" s="35" t="s">
        <v>41</v>
      </c>
      <c r="B18" s="28">
        <f t="shared" si="2"/>
        <v>57521.93</v>
      </c>
      <c r="C18" s="36">
        <f>60035.39-2513.46</f>
        <v>57521.93</v>
      </c>
      <c r="D18" s="30" cm="1">
        <f t="array" ref="D18">IFERROR((I18*INDEX($T$15:$T$20,MATCH(1,(I18&gt;=$Q$15:$Q$20)*(I18&lt;=$S$15:$S$20),0))-INDEX($U$15:$U$20,MATCH(1,(I18&gt;=$Q$15:$Q$20)*(I18&lt;=$S$15:$S$20),0)))/I18*100,0)</f>
        <v>8.2706638812006705</v>
      </c>
      <c r="E18" s="28">
        <f t="shared" si="3"/>
        <v>4757.4454882795335</v>
      </c>
      <c r="F18" s="36"/>
      <c r="G18" s="51" cm="1">
        <f t="array" ref="G18">IFERROR(INDEX($AD$15:$AD$20,MATCH(1,(I18&gt;=$Q$15:$Q$20)*(I18&lt;=$S$15:$S$20), 0))*(((I18*INDEX($T$15:$T$20, MATCH(1, (I18&gt;=$Q$15:$Q$20)*(I18&lt;=$S$15:$S$20),0)))-INDEX($U$15:$U$20, MATCH(1, (I18&gt;=$Q$15:$Q$20)*(I18&lt;=$S$15:$S$20), 0))) / I18),0)</f>
        <v>5.4999914809984465E-2</v>
      </c>
      <c r="H18" s="28">
        <f t="shared" si="0"/>
        <v>0</v>
      </c>
      <c r="I18" s="37">
        <f t="shared" ref="I17:I27" si="5">I17-M17+B17</f>
        <v>926178.96000000008</v>
      </c>
      <c r="J18" s="28">
        <f>E18+H18</f>
        <v>4757.4454882795335</v>
      </c>
      <c r="K18" s="2"/>
      <c r="L18" s="31" t="s">
        <v>42</v>
      </c>
      <c r="M18" s="32">
        <v>52486.18</v>
      </c>
      <c r="N18" s="2"/>
      <c r="O18" s="20" t="s">
        <v>43</v>
      </c>
      <c r="P18" s="21" t="s">
        <v>30</v>
      </c>
      <c r="Q18" s="22">
        <v>720000.01</v>
      </c>
      <c r="R18" s="21" t="s">
        <v>31</v>
      </c>
      <c r="S18" s="22">
        <v>1800000</v>
      </c>
      <c r="T18" s="23">
        <v>0.107</v>
      </c>
      <c r="U18" s="33">
        <v>22500</v>
      </c>
      <c r="V18" s="34"/>
      <c r="W18" s="25" t="s">
        <v>44</v>
      </c>
      <c r="X18" s="26">
        <v>5.5E-2</v>
      </c>
      <c r="Y18" s="26">
        <v>3.5000000000000003E-2</v>
      </c>
      <c r="Z18" s="26">
        <v>0.12740000000000001</v>
      </c>
      <c r="AA18" s="26">
        <v>2.76E-2</v>
      </c>
      <c r="AB18" s="26">
        <v>0.42</v>
      </c>
      <c r="AC18" s="26">
        <v>0.33500000000000002</v>
      </c>
      <c r="AD18" s="27">
        <f t="shared" si="1"/>
        <v>0.66500000000000004</v>
      </c>
    </row>
    <row r="19" spans="1:30" ht="15.75">
      <c r="A19" s="35" t="s">
        <v>45</v>
      </c>
      <c r="B19" s="28">
        <f t="shared" si="2"/>
        <v>53637.4</v>
      </c>
      <c r="C19" s="36">
        <f>55508.04-1870.64</f>
        <v>53637.4</v>
      </c>
      <c r="D19" s="30" cm="1">
        <f t="array" ref="D19">IFERROR((I19*INDEX($T$15:$T$20,MATCH(1,(I19&gt;=$Q$15:$Q$20)*(I19&lt;=$S$15:$S$20),0))-INDEX($U$15:$U$20,MATCH(1,(I19&gt;=$Q$15:$Q$20)*(I19&lt;=$S$15:$S$20),0)))/I19*100,0)</f>
        <v>8.2838010548609127</v>
      </c>
      <c r="E19" s="28">
        <f t="shared" si="3"/>
        <v>4443.2155069999671</v>
      </c>
      <c r="F19" s="36"/>
      <c r="G19" s="51" cm="1">
        <f t="array" ref="G19">IFERROR(INDEX($AD$15:$AD$20,MATCH(1,(I19&gt;=$Q$15:$Q$20)*(I19&lt;=$S$15:$S$20), 0))*(((I19*INDEX($T$15:$T$20, MATCH(1, (I19&gt;=$Q$15:$Q$20)*(I19&lt;=$S$15:$S$20),0)))-INDEX($U$15:$U$20, MATCH(1, (I19&gt;=$Q$15:$Q$20)*(I19&lt;=$S$15:$S$20), 0))) / I19),0)</f>
        <v>5.5087277014825076E-2</v>
      </c>
      <c r="H19" s="28">
        <f t="shared" si="0"/>
        <v>0</v>
      </c>
      <c r="I19" s="37">
        <f>I18-M18+B18</f>
        <v>931214.71000000008</v>
      </c>
      <c r="J19" s="28">
        <f>E19+H19</f>
        <v>4443.2155069999671</v>
      </c>
      <c r="K19" s="2"/>
      <c r="L19" s="31" t="s">
        <v>46</v>
      </c>
      <c r="M19" s="32">
        <v>43295.3</v>
      </c>
      <c r="N19" s="2"/>
      <c r="O19" s="20" t="s">
        <v>47</v>
      </c>
      <c r="P19" s="21" t="s">
        <v>30</v>
      </c>
      <c r="Q19" s="22">
        <v>1800000.01</v>
      </c>
      <c r="R19" s="21" t="s">
        <v>31</v>
      </c>
      <c r="S19" s="22">
        <v>3600000</v>
      </c>
      <c r="T19" s="23">
        <v>0.14299999999999999</v>
      </c>
      <c r="U19" s="33">
        <v>87300</v>
      </c>
      <c r="V19" s="34"/>
      <c r="W19" s="25" t="s">
        <v>48</v>
      </c>
      <c r="X19" s="26">
        <v>5.5E-2</v>
      </c>
      <c r="Y19" s="26">
        <v>3.5000000000000003E-2</v>
      </c>
      <c r="Z19" s="26">
        <v>0.12740000000000001</v>
      </c>
      <c r="AA19" s="26">
        <v>2.76E-2</v>
      </c>
      <c r="AB19" s="26">
        <v>0.42</v>
      </c>
      <c r="AC19" s="26">
        <v>0.33500000000000002</v>
      </c>
      <c r="AD19" s="27">
        <f t="shared" si="1"/>
        <v>0.66500000000000004</v>
      </c>
    </row>
    <row r="20" spans="1:30" ht="15.75">
      <c r="A20" s="35" t="s">
        <v>49</v>
      </c>
      <c r="B20" s="28">
        <f t="shared" si="2"/>
        <v>50000</v>
      </c>
      <c r="C20" s="36">
        <v>50000</v>
      </c>
      <c r="D20" s="30" cm="1">
        <f t="array" ref="D20">IFERROR((I20*INDEX($T$15:$T$20,MATCH(1,(I20&gt;=$Q$15:$Q$20)*(I20&lt;=$S$15:$S$20),0))-INDEX($U$15:$U$20,MATCH(1,(I20&gt;=$Q$15:$Q$20)*(I20&lt;=$S$15:$S$20),0)))/I20*100,0)</f>
        <v>8.3103406867186269</v>
      </c>
      <c r="E20" s="28">
        <f t="shared" si="3"/>
        <v>4155.1703433593138</v>
      </c>
      <c r="F20" s="36"/>
      <c r="G20" s="51" cm="1">
        <f t="array" ref="G20">IFERROR(INDEX($AD$15:$AD$20,MATCH(1,(I20&gt;=$Q$15:$Q$20)*(I20&lt;=$S$15:$S$20), 0))*(((I20*INDEX($T$15:$T$20, MATCH(1, (I20&gt;=$Q$15:$Q$20)*(I20&lt;=$S$15:$S$20),0)))-INDEX($U$15:$U$20, MATCH(1, (I20&gt;=$Q$15:$Q$20)*(I20&lt;=$S$15:$S$20), 0))) / I20),0)</f>
        <v>5.5263765566678877E-2</v>
      </c>
      <c r="H20" s="28">
        <f t="shared" si="0"/>
        <v>0</v>
      </c>
      <c r="I20" s="37">
        <f t="shared" si="5"/>
        <v>941556.81</v>
      </c>
      <c r="J20" s="28">
        <f>E20+H20</f>
        <v>4155.1703433593138</v>
      </c>
      <c r="K20" s="2"/>
      <c r="L20" s="31" t="s">
        <v>50</v>
      </c>
      <c r="M20" s="32">
        <v>60512.42</v>
      </c>
      <c r="N20" s="2"/>
      <c r="O20" s="20" t="s">
        <v>51</v>
      </c>
      <c r="P20" s="21" t="s">
        <v>30</v>
      </c>
      <c r="Q20" s="22">
        <v>3600000.01</v>
      </c>
      <c r="R20" s="21" t="s">
        <v>31</v>
      </c>
      <c r="S20" s="22">
        <v>4800000</v>
      </c>
      <c r="T20" s="23">
        <v>0.19</v>
      </c>
      <c r="U20" s="33">
        <v>378000</v>
      </c>
      <c r="V20" s="34"/>
      <c r="W20" s="25" t="s">
        <v>52</v>
      </c>
      <c r="X20" s="26">
        <v>0.13500000000000001</v>
      </c>
      <c r="Y20" s="26">
        <v>0.1</v>
      </c>
      <c r="Z20" s="26">
        <v>0.28270000000000001</v>
      </c>
      <c r="AA20" s="26">
        <v>6.13E-2</v>
      </c>
      <c r="AB20" s="26">
        <v>0.42099999999999999</v>
      </c>
      <c r="AC20" s="17" t="s">
        <v>53</v>
      </c>
      <c r="AD20" s="27"/>
    </row>
    <row r="21" spans="1:30" ht="15.75">
      <c r="A21" s="35" t="s">
        <v>54</v>
      </c>
      <c r="B21" s="28">
        <f t="shared" si="2"/>
        <v>0</v>
      </c>
      <c r="C21" s="36">
        <v>0</v>
      </c>
      <c r="D21" s="30" cm="1">
        <f t="array" ref="D21">IFERROR((I21*INDEX($T$15:$T$20,MATCH(1,(I21&gt;=$Q$15:$Q$20)*(I21&lt;=$S$15:$S$20),0))-INDEX($U$15:$U$20,MATCH(1,(I21&gt;=$Q$15:$Q$20)*(I21&lt;=$S$15:$S$20),0)))/I21*100,0)</f>
        <v>8.2833590490782072</v>
      </c>
      <c r="E21" s="28">
        <f t="shared" si="3"/>
        <v>0</v>
      </c>
      <c r="F21" s="36"/>
      <c r="G21" s="51" cm="1">
        <f t="array" ref="G21">IFERROR(INDEX($AD$15:$AD$20,MATCH(1,(I21&gt;=$Q$15:$Q$20)*(I21&lt;=$S$15:$S$20), 0))*(((I21*INDEX($T$15:$T$20, MATCH(1, (I21&gt;=$Q$15:$Q$20)*(I21&lt;=$S$15:$S$20),0)))-INDEX($U$15:$U$20, MATCH(1, (I21&gt;=$Q$15:$Q$20)*(I21&lt;=$S$15:$S$20), 0))) / I21),0)</f>
        <v>5.5084337676370075E-2</v>
      </c>
      <c r="H21" s="28">
        <f t="shared" si="0"/>
        <v>0</v>
      </c>
      <c r="I21" s="37">
        <f t="shared" si="5"/>
        <v>931044.39</v>
      </c>
      <c r="J21" s="28">
        <f>E21+H21</f>
        <v>0</v>
      </c>
      <c r="K21" s="2"/>
      <c r="L21" s="31" t="s">
        <v>55</v>
      </c>
      <c r="M21" s="32">
        <v>66250.290000000008</v>
      </c>
      <c r="N21" s="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ht="15.75">
      <c r="A22" s="35" t="s">
        <v>56</v>
      </c>
      <c r="B22" s="28">
        <f t="shared" si="2"/>
        <v>0</v>
      </c>
      <c r="C22" s="36"/>
      <c r="D22" s="30" cm="1">
        <f t="array" ref="D22">IFERROR((I22*INDEX($T$15:$T$20,MATCH(1,(I22&gt;=$Q$15:$Q$20)*(I22&lt;=$S$15:$S$20),0))-INDEX($U$15:$U$20,MATCH(1,(I22&gt;=$Q$15:$Q$20)*(I22&lt;=$S$15:$S$20),0)))/I22*100,0)</f>
        <v>8.0982246178599038</v>
      </c>
      <c r="E22" s="28">
        <f t="shared" si="3"/>
        <v>0</v>
      </c>
      <c r="F22" s="36"/>
      <c r="G22" s="51" cm="1">
        <f t="array" ref="G22">IFERROR(INDEX($AD$15:$AD$20,MATCH(1,(I22&gt;=$Q$15:$Q$20)*(I22&lt;=$S$15:$S$20), 0))*(((I22*INDEX($T$15:$T$20, MATCH(1, (I22&gt;=$Q$15:$Q$20)*(I22&lt;=$S$15:$S$20),0)))-INDEX($U$15:$U$20, MATCH(1, (I22&gt;=$Q$15:$Q$20)*(I22&lt;=$S$15:$S$20), 0))) / I22),0)</f>
        <v>5.3853193708768371E-2</v>
      </c>
      <c r="H22" s="28">
        <f t="shared" si="0"/>
        <v>0</v>
      </c>
      <c r="I22" s="37">
        <f t="shared" si="5"/>
        <v>864794.1</v>
      </c>
      <c r="J22" s="28">
        <f t="shared" si="4"/>
        <v>0</v>
      </c>
      <c r="K22" s="2" t="s">
        <v>57</v>
      </c>
      <c r="L22" s="31" t="s">
        <v>58</v>
      </c>
      <c r="M22" s="32">
        <v>68149.849999999991</v>
      </c>
      <c r="N22" s="2"/>
      <c r="O22" s="38"/>
      <c r="P22" s="38"/>
      <c r="Q22" s="39"/>
      <c r="R22" s="39"/>
      <c r="S22" s="39"/>
      <c r="T22" s="40"/>
      <c r="U22" s="40"/>
      <c r="V22" s="40"/>
      <c r="W22" s="12"/>
      <c r="X22" s="12"/>
      <c r="Y22" s="12"/>
      <c r="Z22" s="12"/>
      <c r="AA22" s="12"/>
      <c r="AB22" s="12"/>
      <c r="AC22" s="12"/>
      <c r="AD22" s="12"/>
    </row>
    <row r="23" spans="1:30" ht="15.75">
      <c r="A23" s="35" t="s">
        <v>59</v>
      </c>
      <c r="B23" s="28">
        <f t="shared" si="2"/>
        <v>0</v>
      </c>
      <c r="C23" s="36"/>
      <c r="D23" s="30" cm="1">
        <f t="array" ref="D23">IFERROR((I23*INDEX($T$15:$T$20,MATCH(1,(I23&gt;=$Q$15:$Q$20)*(I23&lt;=$S$15:$S$20),0))-INDEX($U$15:$U$20,MATCH(1,(I23&gt;=$Q$15:$Q$20)*(I23&lt;=$S$15:$S$20),0)))/I23*100,0)</f>
        <v>7.8756527458774732</v>
      </c>
      <c r="E23" s="28">
        <f t="shared" si="3"/>
        <v>0</v>
      </c>
      <c r="F23" s="36"/>
      <c r="G23" s="51" cm="1">
        <f t="array" ref="G23">IFERROR(INDEX($AD$15:$AD$20,MATCH(1,(I23&gt;=$Q$15:$Q$20)*(I23&lt;=$S$15:$S$20), 0))*(((I23*INDEX($T$15:$T$20, MATCH(1, (I23&gt;=$Q$15:$Q$20)*(I23&lt;=$S$15:$S$20),0)))-INDEX($U$15:$U$20, MATCH(1, (I23&gt;=$Q$15:$Q$20)*(I23&lt;=$S$15:$S$20), 0))) / I23),0)</f>
        <v>5.23730907600852E-2</v>
      </c>
      <c r="H23" s="28">
        <f t="shared" si="0"/>
        <v>0</v>
      </c>
      <c r="I23" s="37">
        <f t="shared" si="5"/>
        <v>796644.25</v>
      </c>
      <c r="J23" s="28">
        <f t="shared" si="4"/>
        <v>0</v>
      </c>
      <c r="K23" s="2"/>
      <c r="L23" s="31" t="s">
        <v>60</v>
      </c>
      <c r="M23" s="32">
        <v>63943.94</v>
      </c>
      <c r="N23" s="2"/>
      <c r="O23" s="39"/>
      <c r="P23" s="39"/>
      <c r="Q23" s="39"/>
      <c r="R23" s="15"/>
      <c r="S23" s="15"/>
      <c r="T23" s="15"/>
      <c r="U23" s="15"/>
      <c r="V23" s="15"/>
      <c r="W23" s="12"/>
      <c r="X23" s="12"/>
      <c r="Y23" s="12"/>
      <c r="Z23" s="12"/>
      <c r="AA23" s="12"/>
      <c r="AB23" s="12"/>
      <c r="AC23" s="12"/>
      <c r="AD23" s="12"/>
    </row>
    <row r="24" spans="1:30" ht="15.75">
      <c r="A24" s="35" t="s">
        <v>61</v>
      </c>
      <c r="B24" s="28">
        <f t="shared" si="2"/>
        <v>0</v>
      </c>
      <c r="C24" s="36"/>
      <c r="D24" s="30" cm="1">
        <f t="array" ref="D24">IFERROR((I24*INDEX($T$15:$T$20,MATCH(1,(I24&gt;=$Q$15:$Q$20)*(I24&lt;=$S$15:$S$20),0))-INDEX($U$15:$U$20,MATCH(1,(I24&gt;=$Q$15:$Q$20)*(I24&lt;=$S$15:$S$20),0)))/I24*100,0)</f>
        <v>7.6291673972404901</v>
      </c>
      <c r="E24" s="28">
        <f t="shared" si="3"/>
        <v>0</v>
      </c>
      <c r="F24" s="36"/>
      <c r="G24" s="51" cm="1">
        <f t="array" ref="G24">IFERROR(INDEX($AD$15:$AD$20,MATCH(1,(I24&gt;=$Q$15:$Q$20)*(I24&lt;=$S$15:$S$20), 0))*(((I24*INDEX($T$15:$T$20, MATCH(1, (I24&gt;=$Q$15:$Q$20)*(I24&lt;=$S$15:$S$20),0)))-INDEX($U$15:$U$20, MATCH(1, (I24&gt;=$Q$15:$Q$20)*(I24&lt;=$S$15:$S$20), 0))) / I24),0)</f>
        <v>5.0733963191649259E-2</v>
      </c>
      <c r="H24" s="28">
        <f t="shared" si="0"/>
        <v>0</v>
      </c>
      <c r="I24" s="37">
        <f t="shared" si="5"/>
        <v>732700.31</v>
      </c>
      <c r="J24" s="28">
        <f t="shared" si="4"/>
        <v>0</v>
      </c>
      <c r="K24" s="2"/>
      <c r="L24" s="31" t="s">
        <v>62</v>
      </c>
      <c r="M24" s="32">
        <v>90880.86</v>
      </c>
      <c r="N24" s="2"/>
      <c r="O24" s="39"/>
      <c r="P24" s="39"/>
      <c r="Q24" s="41"/>
      <c r="R24" s="41"/>
      <c r="S24" s="41"/>
      <c r="T24" s="42"/>
      <c r="U24" s="43"/>
      <c r="V24" s="43"/>
      <c r="W24" s="12"/>
      <c r="X24" s="12"/>
      <c r="Y24" s="12"/>
      <c r="Z24" s="12"/>
      <c r="AA24" s="12"/>
      <c r="AB24" s="12"/>
      <c r="AC24" s="12"/>
      <c r="AD24" s="12"/>
    </row>
    <row r="25" spans="1:30" ht="15.75">
      <c r="A25" s="35" t="s">
        <v>63</v>
      </c>
      <c r="B25" s="28">
        <f t="shared" si="2"/>
        <v>0</v>
      </c>
      <c r="C25" s="36"/>
      <c r="D25" s="30" cm="1">
        <f t="array" ref="D25">IFERROR((I25*INDEX($T$15:$T$20,MATCH(1,(I25&gt;=$Q$15:$Q$20)*(I25&lt;=$S$15:$S$20),0))-INDEX($U$15:$U$20,MATCH(1,(I25&gt;=$Q$15:$Q$20)*(I25&lt;=$S$15:$S$20),0)))/I25*100,0)</f>
        <v>7.3405141819868502</v>
      </c>
      <c r="E25" s="28">
        <f t="shared" si="3"/>
        <v>0</v>
      </c>
      <c r="F25" s="36"/>
      <c r="G25" s="51" cm="1">
        <f t="array" ref="G25">IFERROR(INDEX($AD$15:$AD$20,MATCH(1,(I25&gt;=$Q$15:$Q$20)*(I25&lt;=$S$15:$S$20), 0))*(((I25*INDEX($T$15:$T$20, MATCH(1, (I25&gt;=$Q$15:$Q$20)*(I25&lt;=$S$15:$S$20),0)))-INDEX($U$15:$U$20, MATCH(1, (I25&gt;=$Q$15:$Q$20)*(I25&lt;=$S$15:$S$20), 0))) / I25),0)</f>
        <v>4.8814419310212555E-2</v>
      </c>
      <c r="H25" s="28">
        <f t="shared" si="0"/>
        <v>0</v>
      </c>
      <c r="I25" s="37">
        <f t="shared" si="5"/>
        <v>641819.45000000007</v>
      </c>
      <c r="J25" s="28">
        <f t="shared" si="4"/>
        <v>0</v>
      </c>
      <c r="K25" s="2"/>
      <c r="L25" s="31" t="s">
        <v>64</v>
      </c>
      <c r="M25" s="32">
        <v>89548.46</v>
      </c>
      <c r="N25" s="2"/>
      <c r="O25" s="39"/>
      <c r="P25" s="39"/>
      <c r="Q25" s="41"/>
      <c r="R25" s="39"/>
      <c r="S25" s="41"/>
      <c r="T25" s="42"/>
      <c r="U25" s="44"/>
      <c r="V25" s="44"/>
      <c r="W25" s="12"/>
      <c r="X25" s="12"/>
      <c r="Y25" s="12"/>
      <c r="Z25" s="12"/>
      <c r="AA25" s="12"/>
      <c r="AB25" s="12"/>
      <c r="AC25" s="12"/>
      <c r="AD25" s="12"/>
    </row>
    <row r="26" spans="1:30" ht="15.75">
      <c r="B26" s="28">
        <f t="shared" si="2"/>
        <v>0</v>
      </c>
      <c r="C26" s="36"/>
      <c r="D26" s="30" cm="1">
        <f t="array" ref="D26">IFERROR((I26*INDEX($T$15:$T$20,MATCH(1,(I26&gt;=$Q$15:$Q$20)*(I26&lt;=$S$15:$S$20),0))-INDEX($U$15:$U$20,MATCH(1,(I26&gt;=$Q$15:$Q$20)*(I26&lt;=$S$15:$S$20),0)))/I26*100,0)</f>
        <v>6.9903624758562817</v>
      </c>
      <c r="E26" s="28">
        <f t="shared" si="3"/>
        <v>0</v>
      </c>
      <c r="F26" s="36"/>
      <c r="G26" s="51" cm="1">
        <f t="array" ref="G26">IFERROR(INDEX($AD$15:$AD$20,MATCH(1,(I26&gt;=$Q$15:$Q$20)*(I26&lt;=$S$15:$S$20), 0))*(((I26*INDEX($T$15:$T$20, MATCH(1, (I26&gt;=$Q$15:$Q$20)*(I26&lt;=$S$15:$S$20),0)))-INDEX($U$15:$U$20, MATCH(1, (I26&gt;=$Q$15:$Q$20)*(I26&lt;=$S$15:$S$20), 0))) / I26),0)</f>
        <v>4.648591046444428E-2</v>
      </c>
      <c r="H26" s="28">
        <f t="shared" si="0"/>
        <v>0</v>
      </c>
      <c r="I26" s="37">
        <f t="shared" si="5"/>
        <v>552270.99000000011</v>
      </c>
      <c r="J26" s="28">
        <f t="shared" si="4"/>
        <v>0</v>
      </c>
      <c r="K26" s="2"/>
      <c r="L26" s="31" t="s">
        <v>65</v>
      </c>
      <c r="M26" s="32">
        <v>134497.66</v>
      </c>
      <c r="N26" s="2"/>
      <c r="O26" s="39"/>
      <c r="P26" s="39"/>
      <c r="Q26" s="41"/>
      <c r="R26" s="39"/>
      <c r="S26" s="41"/>
      <c r="T26" s="42"/>
      <c r="U26" s="44"/>
      <c r="V26" s="44"/>
      <c r="W26" s="12"/>
      <c r="X26" s="12"/>
      <c r="Y26" s="12"/>
      <c r="Z26" s="12"/>
      <c r="AA26" s="12"/>
      <c r="AB26" s="12"/>
      <c r="AC26" s="12"/>
      <c r="AD26" s="12"/>
    </row>
    <row r="27" spans="1:30" ht="15.75">
      <c r="B27" s="28">
        <f t="shared" si="2"/>
        <v>0</v>
      </c>
      <c r="C27" s="36"/>
      <c r="D27" s="30"/>
      <c r="E27" s="28">
        <f t="shared" si="3"/>
        <v>0</v>
      </c>
      <c r="F27" s="36"/>
      <c r="G27" s="51" cm="1">
        <f t="array" ref="G27">IFERROR(INDEX($AD$15:$AD$20,MATCH(1,(I27&gt;=$Q$15:$Q$20)*(I27&lt;=$S$15:$S$20), 0))*(((I27*INDEX($T$15:$T$20, MATCH(1, (I27&gt;=$Q$15:$Q$20)*(I27&lt;=$S$15:$S$20),0)))-INDEX($U$15:$U$20, MATCH(1, (I27&gt;=$Q$15:$Q$20)*(I27&lt;=$S$15:$S$20), 0))) / I27),0)</f>
        <v>4.111303639882901E-2</v>
      </c>
      <c r="H27" s="28">
        <f t="shared" si="0"/>
        <v>0</v>
      </c>
      <c r="I27" s="37">
        <f t="shared" si="5"/>
        <v>417773.33000000007</v>
      </c>
      <c r="J27" s="28">
        <f t="shared" si="4"/>
        <v>0</v>
      </c>
      <c r="K27" s="2"/>
      <c r="L27" s="31" t="s">
        <v>66</v>
      </c>
      <c r="M27" s="32">
        <v>111041.41</v>
      </c>
      <c r="N27" s="2"/>
      <c r="O27" s="39"/>
      <c r="P27" s="39"/>
      <c r="Q27" s="41"/>
      <c r="R27" s="39"/>
      <c r="S27" s="41"/>
      <c r="T27" s="42"/>
      <c r="U27" s="44"/>
      <c r="V27" s="44"/>
      <c r="W27" s="12"/>
      <c r="X27" s="12"/>
      <c r="Y27" s="12"/>
      <c r="Z27" s="12"/>
      <c r="AA27" s="12"/>
      <c r="AB27" s="12"/>
      <c r="AC27" s="12"/>
      <c r="AD27" s="12"/>
    </row>
    <row r="28" spans="1:30" ht="15.75">
      <c r="A28" s="35" t="s">
        <v>25</v>
      </c>
      <c r="B28" s="37">
        <f>SUM(B16:B27)</f>
        <v>306731.92</v>
      </c>
      <c r="C28" s="37">
        <f t="shared" ref="C28:E28" si="6">SUM(C16:C27)</f>
        <v>306731.92</v>
      </c>
      <c r="D28" s="37"/>
      <c r="E28" s="37">
        <f t="shared" si="6"/>
        <v>25208.011927887634</v>
      </c>
      <c r="F28" s="37">
        <f>SUM(F16:F27)</f>
        <v>0</v>
      </c>
      <c r="G28" s="37"/>
      <c r="H28" s="37">
        <f t="shared" ref="H28" si="7">SUM(H16:H27)</f>
        <v>0</v>
      </c>
      <c r="I28" s="37"/>
      <c r="J28" s="37">
        <f>SUM(J16:J27)</f>
        <v>25208.011927887634</v>
      </c>
      <c r="K28" s="2"/>
      <c r="L28" s="45"/>
      <c r="M28" s="46">
        <f>SUM(M16:M27)</f>
        <v>873409.02</v>
      </c>
      <c r="N28" s="2"/>
      <c r="O28" s="39"/>
      <c r="P28" s="39"/>
      <c r="Q28" s="41"/>
      <c r="R28" s="39"/>
      <c r="S28" s="41"/>
      <c r="T28" s="42"/>
      <c r="U28" s="44"/>
      <c r="V28" s="44"/>
      <c r="W28" s="12"/>
      <c r="X28" s="12"/>
      <c r="Y28" s="12"/>
      <c r="Z28" s="12"/>
      <c r="AA28" s="12"/>
      <c r="AB28" s="12"/>
      <c r="AC28" s="12"/>
      <c r="AD28" s="12"/>
    </row>
    <row r="29" spans="1:30">
      <c r="A29" s="2" t="s">
        <v>67</v>
      </c>
      <c r="B29" s="62" t="s">
        <v>68</v>
      </c>
      <c r="C29" s="62"/>
      <c r="D29" s="62"/>
      <c r="E29" s="62"/>
      <c r="F29" s="62"/>
      <c r="G29" s="62"/>
      <c r="H29" s="62"/>
      <c r="I29" s="62"/>
      <c r="J29" s="62"/>
      <c r="K29" s="2"/>
      <c r="L29" s="2"/>
      <c r="M29" s="2"/>
      <c r="N29" s="2"/>
      <c r="O29" s="39"/>
      <c r="P29" s="39"/>
      <c r="Q29" s="41"/>
      <c r="R29" s="39"/>
      <c r="S29" s="41"/>
      <c r="T29" s="42"/>
      <c r="U29" s="44"/>
      <c r="V29" s="44"/>
      <c r="W29" s="12"/>
      <c r="X29" s="12"/>
      <c r="Y29" s="12"/>
      <c r="Z29" s="12"/>
      <c r="AA29" s="12"/>
      <c r="AB29" s="12"/>
      <c r="AC29" s="12"/>
      <c r="AD29" s="1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3" spans="1:1" ht="15.75">
      <c r="A33" s="35" t="s">
        <v>69</v>
      </c>
    </row>
    <row r="34" spans="1:1" ht="15.75">
      <c r="A34" s="35" t="s">
        <v>70</v>
      </c>
    </row>
  </sheetData>
  <mergeCells count="14">
    <mergeCell ref="B29:J29"/>
    <mergeCell ref="A1:J1"/>
    <mergeCell ref="A4:J4"/>
    <mergeCell ref="A7:J7"/>
    <mergeCell ref="A11:J11"/>
    <mergeCell ref="X13:AC13"/>
    <mergeCell ref="A14:A15"/>
    <mergeCell ref="C14:C15"/>
    <mergeCell ref="D14:D15"/>
    <mergeCell ref="E14:E15"/>
    <mergeCell ref="F14:F15"/>
    <mergeCell ref="G14:G15"/>
    <mergeCell ref="H14:H15"/>
    <mergeCell ref="O14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Standart Contabilidade</cp:lastModifiedBy>
  <cp:revision/>
  <dcterms:created xsi:type="dcterms:W3CDTF">2025-05-27T20:19:50Z</dcterms:created>
  <dcterms:modified xsi:type="dcterms:W3CDTF">2025-05-30T20:26:47Z</dcterms:modified>
  <cp:category/>
  <cp:contentStatus/>
</cp:coreProperties>
</file>