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a\Desktop\"/>
    </mc:Choice>
  </mc:AlternateContent>
  <xr:revisionPtr revIDLastSave="0" documentId="13_ncr:1_{071923B0-D6B2-43A2-BAA7-4CDA500385E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&amp;L 6 Years" sheetId="3" r:id="rId1"/>
    <sheet name="Income statement" sheetId="5" r:id="rId2"/>
    <sheet name="Break Even Point " sheetId="7" r:id="rId3"/>
    <sheet name="تكلفة الأجور " sheetId="8" r:id="rId4"/>
    <sheet name="R&amp;D" sheetId="10" r:id="rId5"/>
    <sheet name="Cost Structure " sheetId="9" r:id="rId6"/>
  </sheets>
  <definedNames>
    <definedName name="_xlnm.Print_Area" localSheetId="2">'Break Even Point '!$B$1:$J$33</definedName>
    <definedName name="_xlnm.Print_Area" localSheetId="1">'Income statement'!$B$1:$K$26</definedName>
    <definedName name="_xlnm.Print_Area" localSheetId="0">'P&amp;L 6 Years'!$B$1:$J$21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3" l="1"/>
  <c r="H12" i="3" s="1"/>
  <c r="F12" i="3"/>
  <c r="G14" i="5"/>
  <c r="I17" i="7"/>
  <c r="G10" i="7"/>
  <c r="I10" i="7" s="1"/>
  <c r="F10" i="7"/>
  <c r="G7" i="5"/>
  <c r="G6" i="5"/>
  <c r="G8" i="5" s="1"/>
  <c r="I23" i="7"/>
  <c r="H23" i="7"/>
  <c r="H32" i="7" s="1"/>
  <c r="G23" i="7"/>
  <c r="G32" i="7" s="1"/>
  <c r="F23" i="7"/>
  <c r="E23" i="7"/>
  <c r="E32" i="7" s="1"/>
  <c r="D23" i="7"/>
  <c r="E17" i="7"/>
  <c r="I32" i="7"/>
  <c r="D32" i="7"/>
  <c r="E18" i="7"/>
  <c r="F18" i="7" s="1"/>
  <c r="G18" i="7" s="1"/>
  <c r="H18" i="7" s="1"/>
  <c r="I18" i="7" s="1"/>
  <c r="H17" i="7"/>
  <c r="G17" i="7"/>
  <c r="F17" i="7"/>
  <c r="D17" i="7"/>
  <c r="E11" i="7"/>
  <c r="F11" i="7" s="1"/>
  <c r="G6" i="3"/>
  <c r="H6" i="3"/>
  <c r="I6" i="3"/>
  <c r="I7" i="3"/>
  <c r="H7" i="3"/>
  <c r="G7" i="3"/>
  <c r="F7" i="3"/>
  <c r="E7" i="3"/>
  <c r="F6" i="3"/>
  <c r="F16" i="3"/>
  <c r="G16" i="3" s="1"/>
  <c r="H16" i="3" s="1"/>
  <c r="I16" i="3" s="1"/>
  <c r="E16" i="3"/>
  <c r="E6" i="3"/>
  <c r="C8" i="10"/>
  <c r="C4" i="10"/>
  <c r="C21" i="8"/>
  <c r="E26" i="8"/>
  <c r="D7" i="3"/>
  <c r="D8" i="3"/>
  <c r="D15" i="3" s="1"/>
  <c r="D20" i="9"/>
  <c r="E11" i="3"/>
  <c r="F11" i="3" s="1"/>
  <c r="G11" i="3" s="1"/>
  <c r="H11" i="3" s="1"/>
  <c r="I11" i="3" s="1"/>
  <c r="C23" i="8"/>
  <c r="C22" i="8"/>
  <c r="E11" i="8"/>
  <c r="E12" i="8"/>
  <c r="E13" i="8"/>
  <c r="E14" i="8"/>
  <c r="E15" i="8"/>
  <c r="E16" i="8"/>
  <c r="E17" i="8"/>
  <c r="E18" i="8"/>
  <c r="E19" i="8"/>
  <c r="E10" i="8"/>
  <c r="E9" i="8"/>
  <c r="E8" i="8"/>
  <c r="E7" i="8"/>
  <c r="D6" i="3"/>
  <c r="D13" i="7"/>
  <c r="F32" i="7"/>
  <c r="I12" i="3" l="1"/>
  <c r="H10" i="7"/>
  <c r="H16" i="7"/>
  <c r="H20" i="7" s="1"/>
  <c r="E16" i="7"/>
  <c r="E20" i="7" s="1"/>
  <c r="D16" i="7"/>
  <c r="D20" i="7" s="1"/>
  <c r="D22" i="7" s="1"/>
  <c r="G11" i="7"/>
  <c r="H11" i="7" s="1"/>
  <c r="I11" i="7" s="1"/>
  <c r="F13" i="7"/>
  <c r="E13" i="7"/>
  <c r="H8" i="3"/>
  <c r="H15" i="3" s="1"/>
  <c r="I8" i="3"/>
  <c r="I15" i="3" s="1"/>
  <c r="E8" i="3"/>
  <c r="E15" i="3" s="1"/>
  <c r="F16" i="7"/>
  <c r="F20" i="7" s="1"/>
  <c r="F8" i="3"/>
  <c r="F15" i="3" s="1"/>
  <c r="G8" i="3"/>
  <c r="G15" i="3" s="1"/>
  <c r="I16" i="7"/>
  <c r="I20" i="7" s="1"/>
  <c r="G16" i="7"/>
  <c r="G20" i="7" s="1"/>
  <c r="F26" i="7" l="1"/>
  <c r="F28" i="7" s="1"/>
  <c r="E22" i="7"/>
  <c r="G13" i="7"/>
  <c r="G22" i="7" s="1"/>
  <c r="H13" i="7"/>
  <c r="I13" i="7"/>
  <c r="D26" i="7"/>
  <c r="D28" i="7" s="1"/>
  <c r="F22" i="7"/>
  <c r="E26" i="7"/>
  <c r="E28" i="7" s="1"/>
  <c r="G18" i="5"/>
  <c r="G20" i="5" s="1"/>
  <c r="E18" i="3"/>
  <c r="D18" i="3"/>
  <c r="F18" i="3"/>
  <c r="F20" i="3" s="1"/>
  <c r="G18" i="3"/>
  <c r="H18" i="3"/>
  <c r="H20" i="3" s="1"/>
  <c r="I18" i="3"/>
  <c r="I20" i="3" s="1"/>
  <c r="G26" i="7" l="1"/>
  <c r="G28" i="7" s="1"/>
  <c r="I26" i="7"/>
  <c r="I28" i="7" s="1"/>
  <c r="I22" i="7"/>
  <c r="H26" i="7"/>
  <c r="H28" i="7" s="1"/>
  <c r="H22" i="7"/>
  <c r="E20" i="3"/>
  <c r="D20" i="3"/>
  <c r="G20" i="3"/>
</calcChain>
</file>

<file path=xl/sharedStrings.xml><?xml version="1.0" encoding="utf-8"?>
<sst xmlns="http://schemas.openxmlformats.org/spreadsheetml/2006/main" count="87" uniqueCount="74">
  <si>
    <t>Gross Profit</t>
  </si>
  <si>
    <t>Expenses</t>
  </si>
  <si>
    <t xml:space="preserve">Transportation </t>
  </si>
  <si>
    <t>Total Expenses</t>
  </si>
  <si>
    <t>Net Profit/Operating Income</t>
  </si>
  <si>
    <t>Sales</t>
  </si>
  <si>
    <t>COGS</t>
  </si>
  <si>
    <t>Operating Expenses</t>
  </si>
  <si>
    <t>Salary (Office &amp; Overhead)</t>
  </si>
  <si>
    <t>Advertising</t>
  </si>
  <si>
    <t>Transportation</t>
  </si>
  <si>
    <t xml:space="preserve">Income Statement </t>
  </si>
  <si>
    <t xml:space="preserve">Revenue (Sales) </t>
  </si>
  <si>
    <r>
      <t xml:space="preserve">COGS </t>
    </r>
    <r>
      <rPr>
        <b/>
        <sz val="11"/>
        <color theme="1"/>
        <rFont val="Calibri"/>
        <family val="2"/>
      </rPr>
      <t>↓</t>
    </r>
  </si>
  <si>
    <t>Salary</t>
  </si>
  <si>
    <t>Net Income</t>
  </si>
  <si>
    <t>APRIL 1, 2025</t>
  </si>
  <si>
    <t>tax</t>
  </si>
  <si>
    <t>R&amp;D</t>
  </si>
  <si>
    <t>Outside Services+Supplies (Office &amp; Operations</t>
  </si>
  <si>
    <t>Outside Services+supplies</t>
  </si>
  <si>
    <t xml:space="preserve">Ameen Parking Robot </t>
  </si>
  <si>
    <t>Profit and Loss Projection 6 Years</t>
  </si>
  <si>
    <t xml:space="preserve">Break-Even Point </t>
  </si>
  <si>
    <t xml:space="preserve">Break Even Revenue </t>
  </si>
  <si>
    <t>Beark-Even point over 6 Years</t>
  </si>
  <si>
    <t xml:space="preserve">Acual Cost </t>
  </si>
  <si>
    <t xml:space="preserve"> Ameen Parking Robot</t>
  </si>
  <si>
    <t xml:space="preserve">Ameen Parking Robot  </t>
  </si>
  <si>
    <t xml:space="preserve">Number of Sold Products </t>
  </si>
  <si>
    <t xml:space="preserve">Price of One Robot </t>
  </si>
  <si>
    <t xml:space="preserve">Price </t>
  </si>
  <si>
    <t xml:space="preserve">Variable cost </t>
  </si>
  <si>
    <t xml:space="preserve">Fixed cost </t>
  </si>
  <si>
    <t xml:space="preserve">مديرعام </t>
  </si>
  <si>
    <t xml:space="preserve">مدير موارد بشرية </t>
  </si>
  <si>
    <t xml:space="preserve">مدير مالى </t>
  </si>
  <si>
    <t>مدير انتاج وجودة</t>
  </si>
  <si>
    <t>مدير امن صناعى وسلامة</t>
  </si>
  <si>
    <t>محاسبين</t>
  </si>
  <si>
    <t xml:space="preserve">موظفين امن </t>
  </si>
  <si>
    <t>امين مخزن</t>
  </si>
  <si>
    <t>عمال نضافة</t>
  </si>
  <si>
    <t xml:space="preserve">عمال انتاج </t>
  </si>
  <si>
    <t>مهندسين جودة</t>
  </si>
  <si>
    <t xml:space="preserve">مهندسين امن صناعى </t>
  </si>
  <si>
    <t xml:space="preserve">عدد الموظفين </t>
  </si>
  <si>
    <t xml:space="preserve">اجمالى الرواتب فى الشهر </t>
  </si>
  <si>
    <t xml:space="preserve">اجمالى الرواتب فى السنة </t>
  </si>
  <si>
    <t>المسمى الوظيفى</t>
  </si>
  <si>
    <t>عددالعاملين</t>
  </si>
  <si>
    <t xml:space="preserve">الراتب الشهرى </t>
  </si>
  <si>
    <t xml:space="preserve">اجمالى الراتب للوظيفة </t>
  </si>
  <si>
    <t xml:space="preserve">مهندسين روبوتات </t>
  </si>
  <si>
    <t>تكلفة الأجور</t>
  </si>
  <si>
    <t xml:space="preserve">Perception Sensors </t>
  </si>
  <si>
    <t xml:space="preserve">Localisation </t>
  </si>
  <si>
    <t xml:space="preserve">Control System </t>
  </si>
  <si>
    <t>Battery</t>
  </si>
  <si>
    <t>Battery Charger</t>
  </si>
  <si>
    <t xml:space="preserve">Wireless Interface </t>
  </si>
  <si>
    <t xml:space="preserve">Safety Systems </t>
  </si>
  <si>
    <t xml:space="preserve">Mechanical Compmnents </t>
  </si>
  <si>
    <t xml:space="preserve">High -Torque Motors </t>
  </si>
  <si>
    <t>Car Lifter Mechanism</t>
  </si>
  <si>
    <t>Miscellaneose</t>
  </si>
  <si>
    <t xml:space="preserve">Total Cost per Unit </t>
  </si>
  <si>
    <t>Estimated Cost Structure per Unit</t>
  </si>
  <si>
    <t>R&amp;D Engineers</t>
  </si>
  <si>
    <t>Equipment and Testing</t>
  </si>
  <si>
    <t xml:space="preserve">Simulation Cost </t>
  </si>
  <si>
    <t xml:space="preserve">Total </t>
  </si>
  <si>
    <t>R&amp;D Cost</t>
  </si>
  <si>
    <t>R&amp;D Engineers' Salareis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</si>
</sst>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GP]\ #,##0.00"/>
    <numFmt numFmtId="165" formatCode="#,##0.00\ [$EGP]"/>
    <numFmt numFmtId="166" formatCode="_([$EGP]\ * #,##0.00_);_([$EGP]\ * \(#,##0.00\);_([$EGP]\ 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charset val="178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u/>
      <sz val="14"/>
      <color rgb="FF0061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1" fillId="3" borderId="15" applyNumberFormat="0" applyAlignment="0" applyProtection="0"/>
  </cellStyleXfs>
  <cellXfs count="6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6" fillId="0" borderId="12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" xfId="0" applyFont="1" applyBorder="1"/>
    <xf numFmtId="0" fontId="7" fillId="0" borderId="12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12" xfId="0" applyFont="1" applyBorder="1" applyAlignment="1">
      <alignment horizontal="center"/>
    </xf>
    <xf numFmtId="0" fontId="6" fillId="0" borderId="0" xfId="0" applyFont="1"/>
    <xf numFmtId="0" fontId="8" fillId="2" borderId="1" xfId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3" xfId="0" applyFont="1" applyBorder="1"/>
    <xf numFmtId="0" fontId="7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0" xfId="0" applyBorder="1"/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2" borderId="1" xfId="1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/>
    </xf>
    <xf numFmtId="164" fontId="11" fillId="3" borderId="15" xfId="2" applyNumberFormat="1" applyAlignment="1">
      <alignment horizontal="center" vertical="center"/>
    </xf>
    <xf numFmtId="0" fontId="0" fillId="0" borderId="1" xfId="0" applyBorder="1"/>
    <xf numFmtId="164" fontId="1" fillId="4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/>
    </xf>
    <xf numFmtId="0" fontId="1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0"/>
  <sheetViews>
    <sheetView view="pageBreakPreview" topLeftCell="B1" zoomScale="90" zoomScaleNormal="70" zoomScaleSheetLayoutView="90" workbookViewId="0">
      <selection activeCell="C9" sqref="C9:F9"/>
    </sheetView>
  </sheetViews>
  <sheetFormatPr defaultRowHeight="14.4" x14ac:dyDescent="0.3"/>
  <cols>
    <col min="1" max="1" width="8.88671875" customWidth="1"/>
    <col min="2" max="2" width="14.33203125" customWidth="1"/>
    <col min="3" max="3" width="43.33203125" customWidth="1"/>
    <col min="4" max="4" width="21.33203125" customWidth="1"/>
    <col min="5" max="5" width="32.77734375" customWidth="1"/>
    <col min="6" max="6" width="28.88671875" customWidth="1"/>
    <col min="7" max="7" width="27.44140625" customWidth="1"/>
    <col min="8" max="8" width="27" customWidth="1"/>
    <col min="9" max="9" width="26.33203125" customWidth="1"/>
  </cols>
  <sheetData>
    <row r="2" spans="2:16" ht="28.8" x14ac:dyDescent="0.55000000000000004">
      <c r="C2" s="41" t="s">
        <v>22</v>
      </c>
      <c r="D2" s="42"/>
      <c r="E2" s="42"/>
      <c r="F2" s="42"/>
      <c r="G2" s="42"/>
      <c r="H2" s="42"/>
      <c r="I2" s="43"/>
      <c r="J2" s="8"/>
      <c r="K2" s="8"/>
      <c r="L2" s="8"/>
      <c r="M2" s="8"/>
      <c r="N2" s="8"/>
      <c r="O2" s="8"/>
      <c r="P2" s="8"/>
    </row>
    <row r="3" spans="2:16" ht="28.8" x14ac:dyDescent="0.55000000000000004">
      <c r="C3" s="44" t="s">
        <v>27</v>
      </c>
      <c r="D3" s="45"/>
      <c r="E3" s="45"/>
      <c r="F3" s="45"/>
      <c r="G3" s="45"/>
      <c r="H3" s="45"/>
      <c r="I3" s="46"/>
      <c r="J3" s="8"/>
      <c r="K3" s="8"/>
      <c r="L3" s="8"/>
      <c r="M3" s="8"/>
      <c r="N3" s="8"/>
      <c r="O3" s="8"/>
      <c r="P3" s="8"/>
    </row>
    <row r="5" spans="2:16" x14ac:dyDescent="0.3">
      <c r="B5" s="2"/>
      <c r="C5" s="2"/>
      <c r="D5" s="3">
        <v>2025</v>
      </c>
      <c r="E5" s="3">
        <v>2026</v>
      </c>
      <c r="F5" s="3">
        <v>2027</v>
      </c>
      <c r="G5" s="3">
        <v>2028</v>
      </c>
      <c r="H5" s="3">
        <v>2029</v>
      </c>
      <c r="I5" s="3">
        <v>2030</v>
      </c>
    </row>
    <row r="6" spans="2:16" ht="12.75" customHeight="1" x14ac:dyDescent="0.3">
      <c r="B6" s="2"/>
      <c r="C6" s="3" t="s">
        <v>5</v>
      </c>
      <c r="D6" s="10">
        <f>2750000*20</f>
        <v>55000000</v>
      </c>
      <c r="E6" s="10">
        <f>(2750000+(2750000*0.2))*40</f>
        <v>132000000</v>
      </c>
      <c r="F6" s="10">
        <f>(2750000+(2750000*0.25))*60</f>
        <v>206250000</v>
      </c>
      <c r="G6" s="10">
        <f>(2750000+(2750000*0.35))*100</f>
        <v>371250000</v>
      </c>
      <c r="H6" s="10">
        <f>(2750000+(2750000*0.4))*150</f>
        <v>577500000</v>
      </c>
      <c r="I6" s="10">
        <f>(2750000+(2750000*0.5))*200</f>
        <v>825000000</v>
      </c>
    </row>
    <row r="7" spans="2:16" ht="15.6" x14ac:dyDescent="0.3">
      <c r="B7" s="2"/>
      <c r="C7" s="3" t="s">
        <v>6</v>
      </c>
      <c r="D7" s="10">
        <f>(2505000)*20</f>
        <v>50100000</v>
      </c>
      <c r="E7" s="10">
        <f>(2505000)*0.2*40</f>
        <v>20040000</v>
      </c>
      <c r="F7" s="10">
        <f>(2505000)*0.25*60</f>
        <v>37575000</v>
      </c>
      <c r="G7" s="10">
        <f>(2505000)*0.25*100</f>
        <v>62625000</v>
      </c>
      <c r="H7" s="10">
        <f>(2505000)*0.27*150</f>
        <v>101452500</v>
      </c>
      <c r="I7" s="10">
        <f>(2505000)*0.28*200</f>
        <v>140280000.00000003</v>
      </c>
    </row>
    <row r="8" spans="2:16" x14ac:dyDescent="0.3">
      <c r="B8" s="2"/>
      <c r="C8" s="3" t="s">
        <v>0</v>
      </c>
      <c r="D8" s="21">
        <f>D6-D7</f>
        <v>4900000</v>
      </c>
      <c r="E8" s="21">
        <f t="shared" ref="E8:I8" si="0">E6-E7</f>
        <v>111960000</v>
      </c>
      <c r="F8" s="21">
        <f t="shared" si="0"/>
        <v>168675000</v>
      </c>
      <c r="G8" s="21">
        <f t="shared" si="0"/>
        <v>308625000</v>
      </c>
      <c r="H8" s="21">
        <f t="shared" si="0"/>
        <v>476047500</v>
      </c>
      <c r="I8" s="21">
        <f t="shared" si="0"/>
        <v>684720000</v>
      </c>
    </row>
    <row r="9" spans="2:16" x14ac:dyDescent="0.3">
      <c r="B9" s="2"/>
      <c r="C9" s="39"/>
      <c r="D9" s="40"/>
      <c r="E9" s="40"/>
      <c r="F9" s="40"/>
    </row>
    <row r="10" spans="2:16" x14ac:dyDescent="0.3">
      <c r="B10" s="2"/>
      <c r="C10" s="3" t="s">
        <v>7</v>
      </c>
      <c r="D10" s="4"/>
      <c r="E10" s="4"/>
      <c r="F10" s="4"/>
      <c r="G10" s="4"/>
      <c r="H10" s="4"/>
      <c r="I10" s="4"/>
    </row>
    <row r="11" spans="2:16" ht="15.6" x14ac:dyDescent="0.3">
      <c r="B11" s="2"/>
      <c r="C11" s="4" t="s">
        <v>8</v>
      </c>
      <c r="D11" s="5">
        <v>6888000</v>
      </c>
      <c r="E11" s="10">
        <f>D11+(D11*0.1)</f>
        <v>7576800</v>
      </c>
      <c r="F11" s="10">
        <f t="shared" ref="F11:I12" si="1">E11+(E11*0.1)</f>
        <v>8334480</v>
      </c>
      <c r="G11" s="10">
        <f t="shared" si="1"/>
        <v>9167928</v>
      </c>
      <c r="H11" s="10">
        <f t="shared" si="1"/>
        <v>10084720.800000001</v>
      </c>
      <c r="I11" s="10">
        <f t="shared" si="1"/>
        <v>11093192.880000001</v>
      </c>
    </row>
    <row r="12" spans="2:16" ht="15.6" x14ac:dyDescent="0.3">
      <c r="B12" s="2"/>
      <c r="C12" s="4" t="s">
        <v>19</v>
      </c>
      <c r="D12" s="10">
        <v>1440000</v>
      </c>
      <c r="E12" s="10">
        <v>1440000</v>
      </c>
      <c r="F12" s="10">
        <f>E12+(E12*0.1)</f>
        <v>1584000</v>
      </c>
      <c r="G12" s="10">
        <f>E12+(E12*0.1)</f>
        <v>1584000</v>
      </c>
      <c r="H12" s="10">
        <f t="shared" si="1"/>
        <v>1742400</v>
      </c>
      <c r="I12" s="10">
        <f>G12+(G12*0.1)</f>
        <v>1742400</v>
      </c>
    </row>
    <row r="13" spans="2:16" ht="15.6" x14ac:dyDescent="0.3">
      <c r="B13" s="2"/>
      <c r="C13" s="4" t="s">
        <v>9</v>
      </c>
      <c r="D13" s="10">
        <v>1000000</v>
      </c>
      <c r="E13" s="10">
        <v>1000000</v>
      </c>
      <c r="F13" s="10">
        <v>1000000</v>
      </c>
      <c r="G13" s="10">
        <v>1500000</v>
      </c>
      <c r="H13" s="10">
        <v>1500000</v>
      </c>
      <c r="I13" s="10">
        <v>1500000</v>
      </c>
    </row>
    <row r="14" spans="2:16" ht="15.6" x14ac:dyDescent="0.3">
      <c r="B14" s="2"/>
      <c r="C14" s="4" t="s">
        <v>10</v>
      </c>
      <c r="D14" s="10">
        <v>600000</v>
      </c>
      <c r="E14" s="10">
        <v>600000</v>
      </c>
      <c r="F14" s="10">
        <v>800000</v>
      </c>
      <c r="G14" s="10">
        <v>800000</v>
      </c>
      <c r="H14" s="10">
        <v>800000</v>
      </c>
      <c r="I14" s="10">
        <v>1000000</v>
      </c>
    </row>
    <row r="15" spans="2:16" x14ac:dyDescent="0.3">
      <c r="B15" s="2"/>
      <c r="C15" s="4" t="s">
        <v>17</v>
      </c>
      <c r="D15" s="5">
        <f>D8*0.1</f>
        <v>490000</v>
      </c>
      <c r="E15" s="5">
        <f t="shared" ref="E15:I15" si="2">E8*0.1</f>
        <v>11196000</v>
      </c>
      <c r="F15" s="5">
        <f t="shared" si="2"/>
        <v>16867500</v>
      </c>
      <c r="G15" s="5">
        <f t="shared" si="2"/>
        <v>30862500</v>
      </c>
      <c r="H15" s="5">
        <f t="shared" si="2"/>
        <v>47604750</v>
      </c>
      <c r="I15" s="5">
        <f t="shared" si="2"/>
        <v>68472000</v>
      </c>
    </row>
    <row r="16" spans="2:16" ht="15.6" x14ac:dyDescent="0.3">
      <c r="B16" s="2"/>
      <c r="C16" s="4" t="s">
        <v>18</v>
      </c>
      <c r="D16" s="10">
        <v>4500000</v>
      </c>
      <c r="E16" s="10">
        <f>D16+(D16*0.2)</f>
        <v>5400000</v>
      </c>
      <c r="F16" s="10">
        <f t="shared" ref="F16:I16" si="3">E16+(E16*0.2)</f>
        <v>6480000</v>
      </c>
      <c r="G16" s="10">
        <f t="shared" si="3"/>
        <v>7776000</v>
      </c>
      <c r="H16" s="10">
        <f t="shared" si="3"/>
        <v>9331200</v>
      </c>
      <c r="I16" s="10">
        <f t="shared" si="3"/>
        <v>11197440</v>
      </c>
    </row>
    <row r="17" spans="2:9" x14ac:dyDescent="0.3">
      <c r="B17" s="2"/>
      <c r="C17" s="4"/>
      <c r="D17" s="5"/>
      <c r="E17" s="5"/>
      <c r="F17" s="5"/>
      <c r="G17" s="5"/>
      <c r="H17" s="5"/>
      <c r="I17" s="5"/>
    </row>
    <row r="18" spans="2:9" x14ac:dyDescent="0.3">
      <c r="B18" s="2"/>
      <c r="C18" s="3" t="s">
        <v>3</v>
      </c>
      <c r="D18" s="6">
        <f t="shared" ref="D18:I18" si="4">SUM(D11:D17)</f>
        <v>14918000</v>
      </c>
      <c r="E18" s="6">
        <f t="shared" si="4"/>
        <v>27212800</v>
      </c>
      <c r="F18" s="6">
        <f t="shared" si="4"/>
        <v>35065980</v>
      </c>
      <c r="G18" s="6">
        <f t="shared" si="4"/>
        <v>51690428</v>
      </c>
      <c r="H18" s="6">
        <f t="shared" si="4"/>
        <v>71063070.799999997</v>
      </c>
      <c r="I18" s="6">
        <f t="shared" si="4"/>
        <v>95005032.879999995</v>
      </c>
    </row>
    <row r="19" spans="2:9" x14ac:dyDescent="0.3">
      <c r="B19" s="2"/>
      <c r="C19" s="2"/>
      <c r="D19" s="2"/>
      <c r="E19" s="2"/>
      <c r="F19" s="2"/>
      <c r="G19" s="2"/>
      <c r="H19" s="2"/>
      <c r="I19" s="2"/>
    </row>
    <row r="20" spans="2:9" x14ac:dyDescent="0.3">
      <c r="B20" s="2"/>
      <c r="C20" s="3" t="s">
        <v>4</v>
      </c>
      <c r="D20" s="6">
        <f t="shared" ref="D20:I20" si="5">D6-D18</f>
        <v>40082000</v>
      </c>
      <c r="E20" s="6">
        <f t="shared" si="5"/>
        <v>104787200</v>
      </c>
      <c r="F20" s="6">
        <f t="shared" si="5"/>
        <v>171184020</v>
      </c>
      <c r="G20" s="6">
        <f t="shared" si="5"/>
        <v>319559572</v>
      </c>
      <c r="H20" s="6">
        <f t="shared" si="5"/>
        <v>506436929.19999999</v>
      </c>
      <c r="I20" s="6">
        <f t="shared" si="5"/>
        <v>729994967.12</v>
      </c>
    </row>
  </sheetData>
  <mergeCells count="3">
    <mergeCell ref="C9:F9"/>
    <mergeCell ref="C2:I2"/>
    <mergeCell ref="C3:I3"/>
  </mergeCells>
  <pageMargins left="0.7" right="0.7" top="0.75" bottom="0.75" header="0.3" footer="0.3"/>
  <pageSetup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F112"/>
  <sheetViews>
    <sheetView view="pageBreakPreview" zoomScale="85" zoomScaleNormal="85" zoomScaleSheetLayoutView="85" workbookViewId="0">
      <selection activeCell="C29" sqref="C29"/>
    </sheetView>
  </sheetViews>
  <sheetFormatPr defaultRowHeight="14.4" x14ac:dyDescent="0.3"/>
  <cols>
    <col min="5" max="5" width="6.77734375" customWidth="1"/>
    <col min="6" max="6" width="25.109375" customWidth="1"/>
    <col min="7" max="7" width="25.44140625" customWidth="1"/>
  </cols>
  <sheetData>
    <row r="2" spans="2:32" ht="28.8" x14ac:dyDescent="0.55000000000000004">
      <c r="C2" s="51" t="s">
        <v>11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2:32" ht="28.8" x14ac:dyDescent="0.3">
      <c r="C3" s="52" t="s">
        <v>28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2:32" ht="28.8" x14ac:dyDescent="0.55000000000000004">
      <c r="C4" s="53" t="s">
        <v>16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2:32" x14ac:dyDescent="0.3">
      <c r="C5" s="2"/>
      <c r="D5" s="2"/>
      <c r="E5" s="2"/>
      <c r="F5" s="2"/>
      <c r="G5" s="2"/>
    </row>
    <row r="6" spans="2:32" ht="15.6" x14ac:dyDescent="0.3">
      <c r="C6" s="48" t="s">
        <v>12</v>
      </c>
      <c r="D6" s="48"/>
      <c r="E6" s="48"/>
      <c r="F6" s="3" t="s">
        <v>5</v>
      </c>
      <c r="G6" s="10">
        <f>2750000*20</f>
        <v>55000000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15.6" x14ac:dyDescent="0.3">
      <c r="C7" s="48"/>
      <c r="D7" s="48"/>
      <c r="E7" s="48"/>
      <c r="F7" s="3" t="s">
        <v>13</v>
      </c>
      <c r="G7" s="10">
        <f>(2505000)*20</f>
        <v>50100000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15.6" x14ac:dyDescent="0.3">
      <c r="C8" s="54"/>
      <c r="D8" s="54"/>
      <c r="E8" s="54"/>
      <c r="F8" s="3" t="s">
        <v>0</v>
      </c>
      <c r="G8" s="25">
        <f>G6-G7</f>
        <v>4900000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x14ac:dyDescent="0.3">
      <c r="B9" s="27"/>
      <c r="C9" s="26"/>
      <c r="D9" s="26"/>
      <c r="E9" s="26"/>
      <c r="F9" s="4"/>
      <c r="G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x14ac:dyDescent="0.3">
      <c r="C10" s="47" t="s">
        <v>1</v>
      </c>
      <c r="D10" s="47"/>
      <c r="E10" s="47"/>
      <c r="F10" s="3" t="s">
        <v>14</v>
      </c>
      <c r="G10" s="5">
        <v>6888000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15.6" x14ac:dyDescent="0.3">
      <c r="C11" s="48"/>
      <c r="D11" s="48"/>
      <c r="E11" s="48"/>
      <c r="F11" s="3" t="s">
        <v>20</v>
      </c>
      <c r="G11" s="10">
        <v>1440000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15.6" x14ac:dyDescent="0.3">
      <c r="C12" s="48"/>
      <c r="D12" s="48"/>
      <c r="E12" s="48"/>
      <c r="F12" s="3" t="s">
        <v>9</v>
      </c>
      <c r="G12" s="10">
        <v>1000000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15.6" x14ac:dyDescent="0.3">
      <c r="C13" s="48"/>
      <c r="D13" s="48"/>
      <c r="E13" s="48"/>
      <c r="F13" s="3" t="s">
        <v>2</v>
      </c>
      <c r="G13" s="10">
        <v>120000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x14ac:dyDescent="0.3">
      <c r="C14" s="48"/>
      <c r="D14" s="48"/>
      <c r="E14" s="48"/>
      <c r="F14" s="3" t="s">
        <v>17</v>
      </c>
      <c r="G14" s="5">
        <f>G8*0.1</f>
        <v>490000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6" x14ac:dyDescent="0.3">
      <c r="C15" s="48"/>
      <c r="D15" s="48"/>
      <c r="E15" s="48"/>
      <c r="F15" s="3" t="s">
        <v>18</v>
      </c>
      <c r="G15" s="10">
        <v>4500000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x14ac:dyDescent="0.3">
      <c r="C16" s="48"/>
      <c r="D16" s="48"/>
      <c r="E16" s="49"/>
      <c r="F16" s="28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3:32" x14ac:dyDescent="0.3">
      <c r="C17" s="48"/>
      <c r="D17" s="48"/>
      <c r="E17" s="49"/>
      <c r="F17" s="28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3:32" ht="15.6" x14ac:dyDescent="0.3">
      <c r="C18" s="48" t="s">
        <v>3</v>
      </c>
      <c r="D18" s="48"/>
      <c r="E18" s="48"/>
      <c r="F18" s="2"/>
      <c r="G18" s="10">
        <f>SUM(G10:G17)</f>
        <v>14438000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3:32" ht="15.6" x14ac:dyDescent="0.3">
      <c r="C19" s="50"/>
      <c r="D19" s="50"/>
      <c r="E19" s="50"/>
      <c r="F19" s="2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3:32" ht="15.6" x14ac:dyDescent="0.3">
      <c r="C20" s="48" t="s">
        <v>15</v>
      </c>
      <c r="D20" s="48"/>
      <c r="E20" s="48"/>
      <c r="F20" s="2"/>
      <c r="G20" s="10">
        <f>G8-G18</f>
        <v>-9538000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3:32" x14ac:dyDescent="0.3">
      <c r="C21" s="2"/>
      <c r="D21" s="2"/>
      <c r="E21" s="2"/>
      <c r="F21" s="2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3:32" x14ac:dyDescent="0.3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3:32" x14ac:dyDescent="0.3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3:32" x14ac:dyDescent="0.3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3:32" x14ac:dyDescent="0.3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3:32" x14ac:dyDescent="0.3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3:32" x14ac:dyDescent="0.3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3:32" x14ac:dyDescent="0.3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3:32" x14ac:dyDescent="0.3"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3:32" x14ac:dyDescent="0.3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3:32" x14ac:dyDescent="0.3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3:32" x14ac:dyDescent="0.3"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7:32" x14ac:dyDescent="0.3"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7:32" x14ac:dyDescent="0.3"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7:32" x14ac:dyDescent="0.3"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7:32" x14ac:dyDescent="0.3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7:32" x14ac:dyDescent="0.3"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7:32" x14ac:dyDescent="0.3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7:32" x14ac:dyDescent="0.3"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7:32" x14ac:dyDescent="0.3"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7:32" x14ac:dyDescent="0.3"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7:32" x14ac:dyDescent="0.3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7:32" x14ac:dyDescent="0.3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7:32" x14ac:dyDescent="0.3"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7:32" x14ac:dyDescent="0.3"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7:32" x14ac:dyDescent="0.3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7:32" x14ac:dyDescent="0.3"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7:32" x14ac:dyDescent="0.3"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7:32" x14ac:dyDescent="0.3"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7:32" x14ac:dyDescent="0.3"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7:32" x14ac:dyDescent="0.3"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7:32" x14ac:dyDescent="0.3"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7:32" x14ac:dyDescent="0.3"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7:32" x14ac:dyDescent="0.3"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7:32" x14ac:dyDescent="0.3"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7:32" x14ac:dyDescent="0.3"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7:32" x14ac:dyDescent="0.3"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7:32" x14ac:dyDescent="0.3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7:32" x14ac:dyDescent="0.3"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7:32" x14ac:dyDescent="0.3"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7:32" x14ac:dyDescent="0.3"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7:32" x14ac:dyDescent="0.3"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7:32" x14ac:dyDescent="0.3"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7:32" x14ac:dyDescent="0.3"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7:32" x14ac:dyDescent="0.3"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7:32" x14ac:dyDescent="0.3"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7:32" x14ac:dyDescent="0.3"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7:32" x14ac:dyDescent="0.3"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7:32" x14ac:dyDescent="0.3"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7:32" x14ac:dyDescent="0.3"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7:32" x14ac:dyDescent="0.3"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7:32" x14ac:dyDescent="0.3"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7:32" x14ac:dyDescent="0.3"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7:32" x14ac:dyDescent="0.3"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7:32" x14ac:dyDescent="0.3"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7:32" x14ac:dyDescent="0.3"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7:32" x14ac:dyDescent="0.3"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7:32" x14ac:dyDescent="0.3"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7:32" x14ac:dyDescent="0.3"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7:32" x14ac:dyDescent="0.3"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7:32" x14ac:dyDescent="0.3"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7:32" x14ac:dyDescent="0.3"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7:32" x14ac:dyDescent="0.3"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7:32" x14ac:dyDescent="0.3"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7:32" x14ac:dyDescent="0.3"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7:32" x14ac:dyDescent="0.3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7:32" x14ac:dyDescent="0.3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7:32" x14ac:dyDescent="0.3"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7:32" x14ac:dyDescent="0.3"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7:32" x14ac:dyDescent="0.3"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7:32" x14ac:dyDescent="0.3"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7:32" x14ac:dyDescent="0.3"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7:32" x14ac:dyDescent="0.3"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7:32" x14ac:dyDescent="0.3"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7:32" x14ac:dyDescent="0.3"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7:32" x14ac:dyDescent="0.3"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7:32" x14ac:dyDescent="0.3"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7:32" x14ac:dyDescent="0.3"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7:32" x14ac:dyDescent="0.3"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7:32" x14ac:dyDescent="0.3"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7:32" x14ac:dyDescent="0.3"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7:32" x14ac:dyDescent="0.3"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7:32" x14ac:dyDescent="0.3"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7:32" x14ac:dyDescent="0.3"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7:32" x14ac:dyDescent="0.3"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7:32" x14ac:dyDescent="0.3"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7:32" x14ac:dyDescent="0.3"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7:32" x14ac:dyDescent="0.3"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7:32" x14ac:dyDescent="0.3"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7:32" x14ac:dyDescent="0.3"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7:32" x14ac:dyDescent="0.3"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7:32" x14ac:dyDescent="0.3"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</sheetData>
  <mergeCells count="8">
    <mergeCell ref="C10:E17"/>
    <mergeCell ref="C19:E19"/>
    <mergeCell ref="C18:E18"/>
    <mergeCell ref="C20:E20"/>
    <mergeCell ref="C2:P2"/>
    <mergeCell ref="C3:P3"/>
    <mergeCell ref="C4:P4"/>
    <mergeCell ref="C6:E8"/>
  </mergeCells>
  <pageMargins left="0.7" right="0.7" top="0.75" bottom="0.75" header="0.3" footer="0.3"/>
  <pageSetup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EEEE-6AB6-4A6E-B599-A77053BD2C04}">
  <dimension ref="C2:P32"/>
  <sheetViews>
    <sheetView tabSelected="1" view="pageBreakPreview" zoomScale="73" zoomScaleNormal="52" zoomScaleSheetLayoutView="85" workbookViewId="0">
      <selection activeCell="C14" sqref="C14"/>
    </sheetView>
  </sheetViews>
  <sheetFormatPr defaultRowHeight="14.4" x14ac:dyDescent="0.3"/>
  <cols>
    <col min="2" max="2" width="5.6640625" customWidth="1"/>
    <col min="3" max="3" width="52.44140625" customWidth="1"/>
    <col min="4" max="4" width="25.109375" customWidth="1"/>
    <col min="5" max="5" width="26.6640625" customWidth="1"/>
    <col min="6" max="6" width="29.77734375" customWidth="1"/>
    <col min="7" max="7" width="33.88671875" customWidth="1"/>
    <col min="8" max="8" width="26.21875" customWidth="1"/>
    <col min="9" max="9" width="24.44140625" customWidth="1"/>
  </cols>
  <sheetData>
    <row r="2" spans="3:16" ht="28.8" x14ac:dyDescent="0.55000000000000004">
      <c r="C2" s="41" t="s">
        <v>25</v>
      </c>
      <c r="D2" s="42"/>
      <c r="E2" s="42"/>
      <c r="F2" s="42"/>
      <c r="G2" s="42"/>
      <c r="H2" s="42"/>
      <c r="I2" s="43"/>
      <c r="J2" s="8"/>
      <c r="K2" s="8"/>
      <c r="L2" s="8"/>
      <c r="M2" s="8"/>
      <c r="N2" s="8"/>
      <c r="O2" s="8"/>
      <c r="P2" s="8"/>
    </row>
    <row r="3" spans="3:16" ht="28.8" x14ac:dyDescent="0.55000000000000004">
      <c r="C3" s="44" t="s">
        <v>21</v>
      </c>
      <c r="D3" s="45"/>
      <c r="E3" s="45"/>
      <c r="F3" s="45"/>
      <c r="G3" s="45"/>
      <c r="H3" s="45"/>
      <c r="I3" s="46"/>
      <c r="J3" s="8"/>
      <c r="K3" s="8"/>
      <c r="L3" s="8"/>
      <c r="M3" s="8"/>
      <c r="N3" s="8"/>
      <c r="O3" s="8"/>
      <c r="P3" s="8"/>
    </row>
    <row r="6" spans="3:16" x14ac:dyDescent="0.3">
      <c r="D6" s="3">
        <v>2025</v>
      </c>
      <c r="E6" s="3">
        <v>2026</v>
      </c>
      <c r="F6" s="3">
        <v>2027</v>
      </c>
      <c r="G6" s="3">
        <v>2028</v>
      </c>
      <c r="H6" s="3">
        <v>2029</v>
      </c>
      <c r="I6" s="3">
        <v>2030</v>
      </c>
    </row>
    <row r="7" spans="3:16" x14ac:dyDescent="0.3">
      <c r="C7" s="3" t="s">
        <v>29</v>
      </c>
      <c r="D7" s="3">
        <v>20</v>
      </c>
      <c r="E7" s="3">
        <v>40</v>
      </c>
      <c r="F7" s="3">
        <v>60</v>
      </c>
      <c r="G7" s="3">
        <v>100</v>
      </c>
      <c r="H7" s="3">
        <v>150</v>
      </c>
      <c r="I7" s="3">
        <v>200</v>
      </c>
    </row>
    <row r="8" spans="3:16" x14ac:dyDescent="0.3">
      <c r="D8" s="3"/>
      <c r="E8" s="3"/>
      <c r="F8" s="3"/>
      <c r="G8" s="3"/>
      <c r="H8" s="3"/>
      <c r="I8" s="3"/>
    </row>
    <row r="9" spans="3:16" ht="15.6" x14ac:dyDescent="0.3">
      <c r="C9" s="9" t="s">
        <v>10</v>
      </c>
      <c r="D9" s="10">
        <v>120000</v>
      </c>
      <c r="E9" s="10">
        <v>240000</v>
      </c>
      <c r="F9" s="10">
        <v>300000</v>
      </c>
      <c r="G9" s="10">
        <v>350000</v>
      </c>
      <c r="H9" s="10">
        <v>350000</v>
      </c>
      <c r="I9" s="10">
        <v>1000000</v>
      </c>
    </row>
    <row r="10" spans="3:16" ht="15.6" x14ac:dyDescent="0.3">
      <c r="C10" s="9" t="s">
        <v>19</v>
      </c>
      <c r="D10" s="10">
        <v>1440000</v>
      </c>
      <c r="E10" s="10">
        <v>1440000</v>
      </c>
      <c r="F10" s="10">
        <f>E10+(E10*0.1)</f>
        <v>1584000</v>
      </c>
      <c r="G10" s="10">
        <f>E10+(E10*0.1)</f>
        <v>1584000</v>
      </c>
      <c r="H10" s="10">
        <f t="shared" ref="H10" si="0">G10+(G10*0.1)</f>
        <v>1742400</v>
      </c>
      <c r="I10" s="10">
        <f>G10+(G10*0.1)</f>
        <v>1742400</v>
      </c>
    </row>
    <row r="11" spans="3:16" ht="15.6" x14ac:dyDescent="0.3">
      <c r="C11" s="9" t="s">
        <v>18</v>
      </c>
      <c r="D11" s="10">
        <v>4500000</v>
      </c>
      <c r="E11" s="10">
        <f>D11+(D11*0.2)</f>
        <v>5400000</v>
      </c>
      <c r="F11" s="10">
        <f t="shared" ref="F11:I11" si="1">E11+(E11*0.2)</f>
        <v>6480000</v>
      </c>
      <c r="G11" s="10">
        <f t="shared" si="1"/>
        <v>7776000</v>
      </c>
      <c r="H11" s="10">
        <f t="shared" si="1"/>
        <v>9331200</v>
      </c>
      <c r="I11" s="10">
        <f t="shared" si="1"/>
        <v>11197440</v>
      </c>
    </row>
    <row r="12" spans="3:16" ht="15.6" x14ac:dyDescent="0.3">
      <c r="C12" s="11"/>
      <c r="D12" s="12"/>
      <c r="E12" s="12"/>
      <c r="F12" s="12"/>
      <c r="G12" s="12"/>
      <c r="H12" s="12"/>
      <c r="I12" s="12"/>
    </row>
    <row r="13" spans="3:16" ht="15.6" x14ac:dyDescent="0.3">
      <c r="C13" s="13" t="s">
        <v>33</v>
      </c>
      <c r="D13" s="14">
        <f>SUM(D9:D11)</f>
        <v>6060000</v>
      </c>
      <c r="E13" s="14">
        <f t="shared" ref="E13:I13" si="2">SUM(E9:E11)</f>
        <v>7080000</v>
      </c>
      <c r="F13" s="14">
        <f t="shared" si="2"/>
        <v>8364000</v>
      </c>
      <c r="G13" s="14">
        <f t="shared" si="2"/>
        <v>9710000</v>
      </c>
      <c r="H13" s="14">
        <f t="shared" si="2"/>
        <v>11423600</v>
      </c>
      <c r="I13" s="14">
        <f t="shared" si="2"/>
        <v>13939840</v>
      </c>
    </row>
    <row r="14" spans="3:16" ht="15.6" x14ac:dyDescent="0.3">
      <c r="C14" s="15"/>
      <c r="D14" s="12"/>
      <c r="E14" s="12"/>
      <c r="F14" s="12"/>
      <c r="G14" s="12"/>
      <c r="H14" s="12"/>
      <c r="I14" s="12"/>
    </row>
    <row r="15" spans="3:16" ht="15.6" x14ac:dyDescent="0.3">
      <c r="C15" s="9" t="s">
        <v>9</v>
      </c>
      <c r="D15" s="10">
        <v>1000000</v>
      </c>
      <c r="E15" s="10">
        <v>1200000</v>
      </c>
      <c r="F15" s="10">
        <v>1400000</v>
      </c>
      <c r="G15" s="10">
        <v>1500000</v>
      </c>
      <c r="H15" s="10">
        <v>1500000</v>
      </c>
      <c r="I15" s="10">
        <v>1500000</v>
      </c>
    </row>
    <row r="16" spans="3:16" ht="15.6" x14ac:dyDescent="0.3">
      <c r="C16" s="9" t="s">
        <v>17</v>
      </c>
      <c r="D16" s="10">
        <f>(D23-D17)*0.1</f>
        <v>490000</v>
      </c>
      <c r="E16" s="10">
        <f t="shared" ref="E16:I16" si="3">(E23-E17)*0.1</f>
        <v>12198000</v>
      </c>
      <c r="F16" s="10">
        <f t="shared" si="3"/>
        <v>16867500</v>
      </c>
      <c r="G16" s="10">
        <f t="shared" si="3"/>
        <v>30862500</v>
      </c>
      <c r="H16" s="10">
        <f t="shared" si="3"/>
        <v>47604750</v>
      </c>
      <c r="I16" s="10">
        <f t="shared" si="3"/>
        <v>68472000</v>
      </c>
    </row>
    <row r="17" spans="3:9" ht="15.6" x14ac:dyDescent="0.3">
      <c r="C17" s="9" t="s">
        <v>6</v>
      </c>
      <c r="D17" s="10">
        <f>(2505000)*20</f>
        <v>50100000</v>
      </c>
      <c r="E17" s="10">
        <f>(2505000)*40*0.1</f>
        <v>10020000</v>
      </c>
      <c r="F17" s="10">
        <f>(2505000)*0.25*60</f>
        <v>37575000</v>
      </c>
      <c r="G17" s="10">
        <f>(2505000)*0.25*100</f>
        <v>62625000</v>
      </c>
      <c r="H17" s="10">
        <f>(2505000)*0.27*150</f>
        <v>101452500</v>
      </c>
      <c r="I17" s="10">
        <f>(2505000)*0.28*200</f>
        <v>140280000.00000003</v>
      </c>
    </row>
    <row r="18" spans="3:9" ht="15.6" x14ac:dyDescent="0.3">
      <c r="C18" s="9" t="s">
        <v>8</v>
      </c>
      <c r="D18" s="5">
        <v>6888000</v>
      </c>
      <c r="E18" s="10">
        <f>D18+(D18*0.1)</f>
        <v>7576800</v>
      </c>
      <c r="F18" s="10">
        <f t="shared" ref="F18:I18" si="4">E18+(E18*0.1)</f>
        <v>8334480</v>
      </c>
      <c r="G18" s="10">
        <f t="shared" si="4"/>
        <v>9167928</v>
      </c>
      <c r="H18" s="10">
        <f t="shared" si="4"/>
        <v>10084720.800000001</v>
      </c>
      <c r="I18" s="10">
        <f t="shared" si="4"/>
        <v>11093192.880000001</v>
      </c>
    </row>
    <row r="19" spans="3:9" ht="15.6" x14ac:dyDescent="0.3">
      <c r="C19" s="9"/>
      <c r="D19" s="10"/>
      <c r="E19" s="10"/>
      <c r="F19" s="10"/>
      <c r="G19" s="10"/>
      <c r="H19" s="10"/>
      <c r="I19" s="10"/>
    </row>
    <row r="20" spans="3:9" ht="15.6" x14ac:dyDescent="0.3">
      <c r="C20" s="13" t="s">
        <v>32</v>
      </c>
      <c r="D20" s="14">
        <f>SUM(D15:D18)</f>
        <v>58478000</v>
      </c>
      <c r="E20" s="14">
        <f t="shared" ref="E20:I20" si="5">SUM(E15:E18)</f>
        <v>30994800</v>
      </c>
      <c r="F20" s="14">
        <f t="shared" si="5"/>
        <v>64176980</v>
      </c>
      <c r="G20" s="14">
        <f t="shared" si="5"/>
        <v>104155428</v>
      </c>
      <c r="H20" s="14">
        <f t="shared" si="5"/>
        <v>160641970.80000001</v>
      </c>
      <c r="I20" s="14">
        <f t="shared" si="5"/>
        <v>221345192.88000003</v>
      </c>
    </row>
    <row r="21" spans="3:9" ht="15.6" x14ac:dyDescent="0.3">
      <c r="C21" s="15"/>
      <c r="D21" s="22"/>
      <c r="E21" s="22"/>
      <c r="F21" s="22"/>
      <c r="G21" s="22"/>
      <c r="H21" s="22"/>
      <c r="I21" s="22"/>
    </row>
    <row r="22" spans="3:9" ht="15.6" x14ac:dyDescent="0.3">
      <c r="C22" s="23" t="s">
        <v>26</v>
      </c>
      <c r="D22" s="20">
        <f>D13+D20</f>
        <v>64538000</v>
      </c>
      <c r="E22" s="20">
        <f t="shared" ref="E22:I22" si="6">E13+E20</f>
        <v>38074800</v>
      </c>
      <c r="F22" s="20">
        <f t="shared" si="6"/>
        <v>72540980</v>
      </c>
      <c r="G22" s="20">
        <f t="shared" si="6"/>
        <v>113865428</v>
      </c>
      <c r="H22" s="20">
        <f t="shared" si="6"/>
        <v>172065570.80000001</v>
      </c>
      <c r="I22" s="20">
        <f t="shared" si="6"/>
        <v>235285032.88000003</v>
      </c>
    </row>
    <row r="23" spans="3:9" ht="15.6" x14ac:dyDescent="0.3">
      <c r="C23" s="16" t="s">
        <v>31</v>
      </c>
      <c r="D23" s="14">
        <f>2750000*20</f>
        <v>55000000</v>
      </c>
      <c r="E23" s="14">
        <f>(2750000+(2750000*0.2))*40</f>
        <v>132000000</v>
      </c>
      <c r="F23" s="14">
        <f>(2750000+(2750000*0.25))*60</f>
        <v>206250000</v>
      </c>
      <c r="G23" s="14">
        <f>(2750000+(2750000*0.35))*100</f>
        <v>371250000</v>
      </c>
      <c r="H23" s="14">
        <f>(2750000+(2750000*0.4))*150</f>
        <v>577500000</v>
      </c>
      <c r="I23" s="14">
        <f>(2750000+(2750000*0.5))*200</f>
        <v>825000000</v>
      </c>
    </row>
    <row r="24" spans="3:9" ht="15.6" x14ac:dyDescent="0.3">
      <c r="C24" s="17"/>
      <c r="D24" s="12"/>
      <c r="E24" s="12"/>
      <c r="F24" s="12"/>
      <c r="G24" s="12"/>
      <c r="H24" s="12"/>
      <c r="I24" s="12"/>
    </row>
    <row r="25" spans="3:9" ht="15.6" x14ac:dyDescent="0.3">
      <c r="C25" s="17"/>
      <c r="D25" s="12"/>
      <c r="E25" s="12"/>
      <c r="F25" s="12"/>
      <c r="G25" s="12"/>
      <c r="H25" s="12"/>
      <c r="I25" s="12"/>
    </row>
    <row r="26" spans="3:9" ht="18" x14ac:dyDescent="0.3">
      <c r="C26" s="13" t="s">
        <v>23</v>
      </c>
      <c r="D26" s="31">
        <f t="shared" ref="D26:I26" si="7">D13/(D23-D20)</f>
        <v>-1.7423806785508913</v>
      </c>
      <c r="E26" s="31">
        <f t="shared" si="7"/>
        <v>7.0095401028857918E-2</v>
      </c>
      <c r="F26" s="32">
        <f t="shared" si="7"/>
        <v>5.8871135420363416E-2</v>
      </c>
      <c r="G26" s="18">
        <f t="shared" si="7"/>
        <v>3.635416447175123E-2</v>
      </c>
      <c r="H26" s="18">
        <f t="shared" si="7"/>
        <v>2.740405413786378E-2</v>
      </c>
      <c r="I26" s="18">
        <f t="shared" si="7"/>
        <v>2.3092402869292337E-2</v>
      </c>
    </row>
    <row r="27" spans="3:9" ht="18" hidden="1" x14ac:dyDescent="0.3">
      <c r="C27" s="13"/>
      <c r="D27" s="19"/>
      <c r="E27" s="19"/>
      <c r="F27" s="33"/>
      <c r="G27" s="19"/>
      <c r="H27" s="19"/>
      <c r="I27" s="19"/>
    </row>
    <row r="28" spans="3:9" ht="15.6" x14ac:dyDescent="0.3">
      <c r="C28" s="13" t="s">
        <v>24</v>
      </c>
      <c r="D28" s="20">
        <f t="shared" ref="D28:E28" si="8">D26*D23</f>
        <v>-95830937.320299014</v>
      </c>
      <c r="E28" s="20">
        <f t="shared" si="8"/>
        <v>9252592.9358092453</v>
      </c>
      <c r="F28" s="20">
        <f>F26*F23</f>
        <v>12142171.680449955</v>
      </c>
      <c r="G28" s="20">
        <f t="shared" ref="G28:I28" si="9">G26*G23</f>
        <v>13496483.560137644</v>
      </c>
      <c r="H28" s="20">
        <f t="shared" si="9"/>
        <v>15825841.264616333</v>
      </c>
      <c r="I28" s="20">
        <f t="shared" si="9"/>
        <v>19051232.36716618</v>
      </c>
    </row>
    <row r="29" spans="3:9" ht="15.6" x14ac:dyDescent="0.3">
      <c r="C29" s="17"/>
      <c r="D29" s="12"/>
      <c r="E29" s="12"/>
      <c r="F29" s="12"/>
      <c r="G29" s="12"/>
      <c r="H29" s="12"/>
      <c r="I29" s="12"/>
    </row>
    <row r="32" spans="3:9" ht="18" x14ac:dyDescent="0.3">
      <c r="C32" s="29" t="s">
        <v>30</v>
      </c>
      <c r="D32" s="30">
        <f>D23/D7</f>
        <v>2750000</v>
      </c>
      <c r="E32" s="30">
        <f t="shared" ref="E32:I32" si="10">E23/E7</f>
        <v>3300000</v>
      </c>
      <c r="F32" s="30">
        <f t="shared" si="10"/>
        <v>3437500</v>
      </c>
      <c r="G32" s="30">
        <f t="shared" si="10"/>
        <v>3712500</v>
      </c>
      <c r="H32" s="30">
        <f t="shared" si="10"/>
        <v>3850000</v>
      </c>
      <c r="I32" s="30">
        <f t="shared" si="10"/>
        <v>4125000</v>
      </c>
    </row>
  </sheetData>
  <mergeCells count="2">
    <mergeCell ref="C2:I2"/>
    <mergeCell ref="C3:I3"/>
  </mergeCells>
  <pageMargins left="0.7" right="0.7" top="0.75" bottom="0.75" header="0.3" footer="0.3"/>
  <pageSetup paperSize="9" scale="33" orientation="portrait" r:id="rId1"/>
  <colBreaks count="1" manualBreakCount="1">
    <brk id="10" max="3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448-4CD5-42F6-865D-F8DB370BDDD8}">
  <dimension ref="B2:E26"/>
  <sheetViews>
    <sheetView topLeftCell="A2" workbookViewId="0">
      <selection activeCell="D24" sqref="D24"/>
    </sheetView>
  </sheetViews>
  <sheetFormatPr defaultRowHeight="14.4" x14ac:dyDescent="0.3"/>
  <cols>
    <col min="2" max="2" width="22.21875" customWidth="1"/>
    <col min="3" max="3" width="27.33203125" customWidth="1"/>
    <col min="4" max="4" width="24" customWidth="1"/>
    <col min="5" max="5" width="22" customWidth="1"/>
    <col min="7" max="7" width="14.44140625" customWidth="1"/>
  </cols>
  <sheetData>
    <row r="2" spans="2:5" ht="14.4" customHeight="1" x14ac:dyDescent="0.3">
      <c r="B2" s="55" t="s">
        <v>54</v>
      </c>
      <c r="C2" s="55"/>
      <c r="D2" s="55"/>
      <c r="E2" s="55"/>
    </row>
    <row r="3" spans="2:5" x14ac:dyDescent="0.3">
      <c r="B3" s="55"/>
      <c r="C3" s="55"/>
      <c r="D3" s="55"/>
      <c r="E3" s="55"/>
    </row>
    <row r="6" spans="2:5" x14ac:dyDescent="0.3">
      <c r="B6" s="35" t="s">
        <v>49</v>
      </c>
      <c r="C6" s="4" t="s">
        <v>50</v>
      </c>
      <c r="D6" s="4" t="s">
        <v>51</v>
      </c>
      <c r="E6" s="4" t="s">
        <v>52</v>
      </c>
    </row>
    <row r="7" spans="2:5" x14ac:dyDescent="0.3">
      <c r="B7" s="4" t="s">
        <v>34</v>
      </c>
      <c r="C7" s="4">
        <v>1</v>
      </c>
      <c r="D7" s="5">
        <v>40000</v>
      </c>
      <c r="E7" s="5">
        <f>C7*D7</f>
        <v>40000</v>
      </c>
    </row>
    <row r="8" spans="2:5" x14ac:dyDescent="0.3">
      <c r="B8" s="4" t="s">
        <v>37</v>
      </c>
      <c r="C8" s="4">
        <v>1</v>
      </c>
      <c r="D8" s="5">
        <v>30000</v>
      </c>
      <c r="E8" s="5">
        <f>C8*D8</f>
        <v>30000</v>
      </c>
    </row>
    <row r="9" spans="2:5" x14ac:dyDescent="0.3">
      <c r="B9" s="4" t="s">
        <v>35</v>
      </c>
      <c r="C9" s="4">
        <v>1</v>
      </c>
      <c r="D9" s="5">
        <v>20000</v>
      </c>
      <c r="E9" s="5">
        <f>C9*D9</f>
        <v>20000</v>
      </c>
    </row>
    <row r="10" spans="2:5" x14ac:dyDescent="0.3">
      <c r="B10" s="4" t="s">
        <v>36</v>
      </c>
      <c r="C10" s="4">
        <v>1</v>
      </c>
      <c r="D10" s="5">
        <v>20000</v>
      </c>
      <c r="E10" s="5">
        <f>C10*D10</f>
        <v>20000</v>
      </c>
    </row>
    <row r="11" spans="2:5" x14ac:dyDescent="0.3">
      <c r="B11" s="4" t="s">
        <v>38</v>
      </c>
      <c r="C11" s="4">
        <v>1</v>
      </c>
      <c r="D11" s="5">
        <v>25000</v>
      </c>
      <c r="E11" s="5">
        <f t="shared" ref="E11:E19" si="0">C11*D11</f>
        <v>25000</v>
      </c>
    </row>
    <row r="12" spans="2:5" x14ac:dyDescent="0.3">
      <c r="B12" s="4" t="s">
        <v>39</v>
      </c>
      <c r="C12" s="4">
        <v>2</v>
      </c>
      <c r="D12" s="5">
        <v>10000</v>
      </c>
      <c r="E12" s="5">
        <f t="shared" si="0"/>
        <v>20000</v>
      </c>
    </row>
    <row r="13" spans="2:5" x14ac:dyDescent="0.3">
      <c r="B13" s="4" t="s">
        <v>40</v>
      </c>
      <c r="C13" s="4">
        <v>4</v>
      </c>
      <c r="D13" s="5">
        <v>7000</v>
      </c>
      <c r="E13" s="5">
        <f t="shared" si="0"/>
        <v>28000</v>
      </c>
    </row>
    <row r="14" spans="2:5" x14ac:dyDescent="0.3">
      <c r="B14" s="4" t="s">
        <v>41</v>
      </c>
      <c r="C14" s="4">
        <v>3</v>
      </c>
      <c r="D14" s="5">
        <v>7000</v>
      </c>
      <c r="E14" s="5">
        <f t="shared" si="0"/>
        <v>21000</v>
      </c>
    </row>
    <row r="15" spans="2:5" x14ac:dyDescent="0.3">
      <c r="B15" s="4" t="s">
        <v>42</v>
      </c>
      <c r="C15" s="4">
        <v>4</v>
      </c>
      <c r="D15" s="5">
        <v>5000</v>
      </c>
      <c r="E15" s="5">
        <f t="shared" si="0"/>
        <v>20000</v>
      </c>
    </row>
    <row r="16" spans="2:5" x14ac:dyDescent="0.3">
      <c r="B16" s="4" t="s">
        <v>43</v>
      </c>
      <c r="C16" s="4">
        <v>10</v>
      </c>
      <c r="D16" s="5">
        <v>6000</v>
      </c>
      <c r="E16" s="5">
        <f t="shared" si="0"/>
        <v>60000</v>
      </c>
    </row>
    <row r="17" spans="2:5" x14ac:dyDescent="0.3">
      <c r="B17" s="4" t="s">
        <v>44</v>
      </c>
      <c r="C17" s="4">
        <v>3</v>
      </c>
      <c r="D17" s="5">
        <v>15000</v>
      </c>
      <c r="E17" s="5">
        <f t="shared" si="0"/>
        <v>45000</v>
      </c>
    </row>
    <row r="18" spans="2:5" x14ac:dyDescent="0.3">
      <c r="B18" s="4" t="s">
        <v>45</v>
      </c>
      <c r="C18" s="4">
        <v>3</v>
      </c>
      <c r="D18" s="5">
        <v>15000</v>
      </c>
      <c r="E18" s="5">
        <f t="shared" si="0"/>
        <v>45000</v>
      </c>
    </row>
    <row r="19" spans="2:5" x14ac:dyDescent="0.3">
      <c r="B19" s="4" t="s">
        <v>53</v>
      </c>
      <c r="C19" s="4">
        <v>10</v>
      </c>
      <c r="D19" s="5">
        <v>20000</v>
      </c>
      <c r="E19" s="5">
        <f t="shared" si="0"/>
        <v>200000</v>
      </c>
    </row>
    <row r="20" spans="2:5" x14ac:dyDescent="0.3">
      <c r="E20" s="34"/>
    </row>
    <row r="21" spans="2:5" x14ac:dyDescent="0.3">
      <c r="B21" s="4" t="s">
        <v>46</v>
      </c>
      <c r="C21" s="4">
        <f>SUM(C7:C19,C26)</f>
        <v>54</v>
      </c>
    </row>
    <row r="22" spans="2:5" x14ac:dyDescent="0.3">
      <c r="B22" s="4" t="s">
        <v>47</v>
      </c>
      <c r="C22" s="38">
        <f>SUM(E7:E19)</f>
        <v>574000</v>
      </c>
    </row>
    <row r="23" spans="2:5" x14ac:dyDescent="0.3">
      <c r="B23" s="4" t="s">
        <v>48</v>
      </c>
      <c r="C23" s="38">
        <f>C22*12</f>
        <v>6888000</v>
      </c>
    </row>
    <row r="26" spans="2:5" x14ac:dyDescent="0.3">
      <c r="B26" s="4" t="s">
        <v>68</v>
      </c>
      <c r="C26" s="4">
        <v>10</v>
      </c>
      <c r="D26" s="5">
        <v>50000</v>
      </c>
      <c r="E26" s="5">
        <f>C26*D26</f>
        <v>500000</v>
      </c>
    </row>
  </sheetData>
  <mergeCells count="1">
    <mergeCell ref="B2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153B-4D7B-4643-9762-5B34629CB4B8}">
  <dimension ref="B1:E8"/>
  <sheetViews>
    <sheetView workbookViewId="0">
      <selection activeCell="B11" sqref="B11"/>
    </sheetView>
  </sheetViews>
  <sheetFormatPr defaultRowHeight="14.4" x14ac:dyDescent="0.3"/>
  <cols>
    <col min="2" max="2" width="21.77734375" customWidth="1"/>
    <col min="3" max="3" width="16.5546875" customWidth="1"/>
    <col min="4" max="4" width="19.33203125" customWidth="1"/>
    <col min="5" max="5" width="16.77734375" customWidth="1"/>
  </cols>
  <sheetData>
    <row r="1" spans="2:5" x14ac:dyDescent="0.3">
      <c r="B1" s="48" t="s">
        <v>72</v>
      </c>
      <c r="C1" s="62"/>
      <c r="D1" s="62"/>
    </row>
    <row r="2" spans="2:5" x14ac:dyDescent="0.3">
      <c r="B2" s="62"/>
      <c r="C2" s="62"/>
      <c r="D2" s="62"/>
    </row>
    <row r="4" spans="2:5" x14ac:dyDescent="0.3">
      <c r="B4" s="4" t="s">
        <v>73</v>
      </c>
      <c r="C4" s="57">
        <f>500000</f>
        <v>500000</v>
      </c>
      <c r="D4" s="58"/>
      <c r="E4" s="59"/>
    </row>
    <row r="5" spans="2:5" x14ac:dyDescent="0.3">
      <c r="B5" s="37" t="s">
        <v>69</v>
      </c>
      <c r="C5" s="56">
        <v>1750000</v>
      </c>
      <c r="D5" s="56"/>
      <c r="E5" s="56"/>
    </row>
    <row r="6" spans="2:5" x14ac:dyDescent="0.3">
      <c r="B6" s="37" t="s">
        <v>70</v>
      </c>
      <c r="C6" s="56">
        <v>2250000</v>
      </c>
      <c r="D6" s="56"/>
      <c r="E6" s="56"/>
    </row>
    <row r="8" spans="2:5" x14ac:dyDescent="0.3">
      <c r="B8" s="37" t="s">
        <v>71</v>
      </c>
      <c r="C8" s="60">
        <f>SUM(C4:E6)</f>
        <v>4500000</v>
      </c>
      <c r="D8" s="61"/>
      <c r="E8" s="61"/>
    </row>
  </sheetData>
  <mergeCells count="5">
    <mergeCell ref="C5:E5"/>
    <mergeCell ref="C6:E6"/>
    <mergeCell ref="C4:E4"/>
    <mergeCell ref="C8:E8"/>
    <mergeCell ref="B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0C34-C59B-40C2-ABD1-2B055D66E0DB}">
  <dimension ref="C5:E21"/>
  <sheetViews>
    <sheetView workbookViewId="0">
      <selection activeCell="F27" sqref="F27"/>
    </sheetView>
  </sheetViews>
  <sheetFormatPr defaultRowHeight="14.4" x14ac:dyDescent="0.3"/>
  <cols>
    <col min="3" max="3" width="23.5546875" customWidth="1"/>
    <col min="4" max="4" width="18.6640625" customWidth="1"/>
  </cols>
  <sheetData>
    <row r="5" spans="3:5" ht="14.4" customHeight="1" x14ac:dyDescent="0.3">
      <c r="C5" s="63" t="s">
        <v>67</v>
      </c>
      <c r="D5" s="63"/>
      <c r="E5" s="63"/>
    </row>
    <row r="6" spans="3:5" ht="14.4" customHeight="1" x14ac:dyDescent="0.3">
      <c r="C6" s="63"/>
      <c r="D6" s="63"/>
      <c r="E6" s="63"/>
    </row>
    <row r="8" spans="3:5" x14ac:dyDescent="0.3">
      <c r="C8" s="4" t="s">
        <v>55</v>
      </c>
      <c r="D8" s="5">
        <v>200000</v>
      </c>
    </row>
    <row r="9" spans="3:5" x14ac:dyDescent="0.3">
      <c r="C9" s="4" t="s">
        <v>56</v>
      </c>
      <c r="D9" s="5">
        <v>100000</v>
      </c>
    </row>
    <row r="10" spans="3:5" x14ac:dyDescent="0.3">
      <c r="C10" s="4" t="s">
        <v>57</v>
      </c>
      <c r="D10" s="5">
        <v>100000</v>
      </c>
    </row>
    <row r="11" spans="3:5" x14ac:dyDescent="0.3">
      <c r="C11" s="4" t="s">
        <v>58</v>
      </c>
      <c r="D11" s="5">
        <v>400000</v>
      </c>
    </row>
    <row r="12" spans="3:5" x14ac:dyDescent="0.3">
      <c r="C12" s="4" t="s">
        <v>59</v>
      </c>
      <c r="D12" s="5">
        <v>30000</v>
      </c>
    </row>
    <row r="13" spans="3:5" x14ac:dyDescent="0.3">
      <c r="C13" s="4" t="s">
        <v>60</v>
      </c>
      <c r="D13" s="5">
        <v>25000</v>
      </c>
    </row>
    <row r="14" spans="3:5" x14ac:dyDescent="0.3">
      <c r="C14" s="4" t="s">
        <v>61</v>
      </c>
      <c r="D14" s="5">
        <v>50000</v>
      </c>
    </row>
    <row r="15" spans="3:5" x14ac:dyDescent="0.3">
      <c r="C15" s="4" t="s">
        <v>62</v>
      </c>
      <c r="D15" s="5">
        <v>500000</v>
      </c>
    </row>
    <row r="16" spans="3:5" x14ac:dyDescent="0.3">
      <c r="C16" s="4" t="s">
        <v>63</v>
      </c>
      <c r="D16" s="5">
        <v>700000</v>
      </c>
    </row>
    <row r="17" spans="3:4" x14ac:dyDescent="0.3">
      <c r="C17" s="4" t="s">
        <v>64</v>
      </c>
      <c r="D17" s="5">
        <v>350000</v>
      </c>
    </row>
    <row r="18" spans="3:4" x14ac:dyDescent="0.3">
      <c r="C18" s="4" t="s">
        <v>65</v>
      </c>
      <c r="D18" s="5">
        <v>50000</v>
      </c>
    </row>
    <row r="19" spans="3:4" ht="15" thickBot="1" x14ac:dyDescent="0.35">
      <c r="C19" s="2"/>
      <c r="D19" s="7"/>
    </row>
    <row r="20" spans="3:4" ht="15.6" thickTop="1" thickBot="1" x14ac:dyDescent="0.35">
      <c r="C20" s="3" t="s">
        <v>66</v>
      </c>
      <c r="D20" s="36">
        <f>SUM(D8:D18)</f>
        <v>2505000</v>
      </c>
    </row>
    <row r="21" spans="3:4" ht="15" thickTop="1" x14ac:dyDescent="0.3"/>
  </sheetData>
  <mergeCells count="1">
    <mergeCell ref="C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P&amp;L 6 Years</vt:lpstr>
      <vt:lpstr>Income statement</vt:lpstr>
      <vt:lpstr>Break Even Point </vt:lpstr>
      <vt:lpstr>تكلفة الأجور </vt:lpstr>
      <vt:lpstr>R&amp;D</vt:lpstr>
      <vt:lpstr>Cost Structure </vt:lpstr>
      <vt:lpstr>'Break Even Point '!Print_Area</vt:lpstr>
      <vt:lpstr>'Income statement'!Print_Area</vt:lpstr>
      <vt:lpstr>'P&amp;L 6 Years'!Print_Area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Omar Abbas</cp:lastModifiedBy>
  <cp:lastPrinted>2024-08-11T16:01:37Z</cp:lastPrinted>
  <dcterms:created xsi:type="dcterms:W3CDTF">2022-03-25T14:21:15Z</dcterms:created>
  <dcterms:modified xsi:type="dcterms:W3CDTF">2024-08-14T08:44:54Z</dcterms:modified>
</cp:coreProperties>
</file>