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ForRocket\"/>
    </mc:Choice>
  </mc:AlternateContent>
  <bookViews>
    <workbookView xWindow="0" yWindow="0" windowWidth="11520" windowHeight="8295" activeTab="1"/>
  </bookViews>
  <sheets>
    <sheet name="programsheet" sheetId="4" r:id="rId1"/>
    <sheet name="諸元" sheetId="1" r:id="rId2"/>
    <sheet name="射場環境データ" sheetId="3" r:id="rId3"/>
    <sheet name="空力設計(設計)" sheetId="16" r:id="rId4"/>
    <sheet name="重心測定" sheetId="7" r:id="rId5"/>
  </sheets>
  <calcPr calcId="152511"/>
</workbook>
</file>

<file path=xl/calcChain.xml><?xml version="1.0" encoding="utf-8"?>
<calcChain xmlns="http://schemas.openxmlformats.org/spreadsheetml/2006/main">
  <c r="AR37" i="16" l="1"/>
  <c r="AQ37" i="16"/>
  <c r="AR20" i="16"/>
  <c r="AQ20" i="16"/>
  <c r="AR18" i="16"/>
  <c r="AR19" i="16" s="1"/>
  <c r="AQ18" i="16"/>
  <c r="AQ19" i="16" s="1"/>
  <c r="AR16" i="16"/>
  <c r="AQ16" i="16"/>
  <c r="AQ17" i="16" s="1"/>
  <c r="AR17" i="16" l="1"/>
  <c r="A42" i="4" l="1"/>
  <c r="B42" i="4"/>
  <c r="A43" i="4"/>
  <c r="B43" i="4"/>
  <c r="A6" i="4"/>
  <c r="B6" i="4"/>
  <c r="A7" i="4"/>
  <c r="B7" i="4"/>
  <c r="A8" i="4"/>
  <c r="B8" i="4"/>
  <c r="A9" i="4"/>
  <c r="B9" i="4"/>
  <c r="A10" i="4"/>
  <c r="B10" i="4"/>
  <c r="A11" i="4"/>
  <c r="B11" i="4"/>
  <c r="A12" i="4"/>
  <c r="B12" i="4"/>
  <c r="A13" i="4"/>
  <c r="B13" i="4"/>
  <c r="A14" i="4"/>
  <c r="B14" i="4"/>
  <c r="A15" i="4"/>
  <c r="B15" i="4"/>
  <c r="A16" i="4"/>
  <c r="B16" i="4"/>
  <c r="A17" i="4"/>
  <c r="B17" i="4"/>
  <c r="A18" i="4"/>
  <c r="B18" i="4"/>
  <c r="A19" i="4"/>
  <c r="B19" i="4"/>
  <c r="A20" i="4"/>
  <c r="B20" i="4"/>
  <c r="A21" i="4"/>
  <c r="B21" i="4"/>
  <c r="A22" i="4"/>
  <c r="B22" i="4"/>
  <c r="A23" i="4"/>
  <c r="B23" i="4"/>
  <c r="A24" i="4"/>
  <c r="B24" i="4"/>
  <c r="A25" i="4"/>
  <c r="B25" i="4"/>
  <c r="A26" i="4"/>
  <c r="B26" i="4"/>
  <c r="A27" i="4"/>
  <c r="B27" i="4"/>
  <c r="A28" i="4"/>
  <c r="B28" i="4"/>
  <c r="A29" i="4"/>
  <c r="B29" i="4"/>
  <c r="A30" i="4"/>
  <c r="B30" i="4"/>
  <c r="A31" i="4"/>
  <c r="B31" i="4"/>
  <c r="A32" i="4"/>
  <c r="B32" i="4"/>
  <c r="A33" i="4"/>
  <c r="B33" i="4"/>
  <c r="A34" i="4"/>
  <c r="B34" i="4"/>
  <c r="A35" i="4"/>
  <c r="B35" i="4"/>
  <c r="A36" i="4"/>
  <c r="B36" i="4"/>
  <c r="A37" i="4"/>
  <c r="B37" i="4"/>
  <c r="A38" i="4"/>
  <c r="B38" i="4"/>
  <c r="A39" i="4"/>
  <c r="B39" i="4"/>
  <c r="A40" i="4"/>
  <c r="B40" i="4"/>
  <c r="A41" i="4"/>
  <c r="B41" i="4"/>
  <c r="M18" i="1" l="1"/>
  <c r="Y33" i="16" l="1"/>
  <c r="Y44" i="16" s="1"/>
  <c r="N18" i="16"/>
  <c r="D55" i="16"/>
  <c r="D56" i="16" s="1"/>
  <c r="N14" i="16" l="1"/>
  <c r="N16" i="16" s="1"/>
  <c r="S4" i="16"/>
  <c r="S3" i="16"/>
  <c r="AO24" i="16" s="1"/>
  <c r="AO25" i="16" s="1"/>
  <c r="D7" i="16"/>
  <c r="I5" i="16"/>
  <c r="D13" i="16"/>
  <c r="I3" i="16"/>
  <c r="AN15" i="16" l="1"/>
  <c r="AN8" i="16"/>
  <c r="AN9" i="16" s="1"/>
  <c r="AN16" i="16"/>
  <c r="D61" i="16"/>
  <c r="N17" i="16"/>
  <c r="N20" i="16" s="1"/>
  <c r="Y34" i="16" s="1"/>
  <c r="N6" i="16"/>
  <c r="S7" i="16"/>
  <c r="S8" i="16" s="1"/>
  <c r="I4" i="16"/>
  <c r="S5" i="16"/>
  <c r="S9" i="16" s="1"/>
  <c r="I6" i="16"/>
  <c r="D9" i="16"/>
  <c r="D10" i="16" s="1"/>
  <c r="D14" i="16" s="1"/>
  <c r="AO31" i="16" l="1"/>
  <c r="AO40" i="16" s="1"/>
  <c r="AO15" i="16"/>
  <c r="AR26" i="16"/>
  <c r="AQ26" i="16"/>
  <c r="AO8" i="16"/>
  <c r="AO9" i="16" s="1"/>
  <c r="Y6" i="16"/>
  <c r="AR29" i="16"/>
  <c r="AO35" i="16"/>
  <c r="AO44" i="16" s="1"/>
  <c r="AO36" i="16"/>
  <c r="AO45" i="16" s="1"/>
  <c r="AO32" i="16"/>
  <c r="AO41" i="16" s="1"/>
  <c r="AO34" i="16"/>
  <c r="AO43" i="16" s="1"/>
  <c r="AO33" i="16"/>
  <c r="AO42" i="16" s="1"/>
  <c r="AN31" i="16"/>
  <c r="AN40" i="16" s="1"/>
  <c r="AN33" i="16"/>
  <c r="AN42" i="16" s="1"/>
  <c r="AN36" i="16"/>
  <c r="AN45" i="16" s="1"/>
  <c r="AN32" i="16"/>
  <c r="AN41" i="16" s="1"/>
  <c r="AN35" i="16"/>
  <c r="AN44" i="16" s="1"/>
  <c r="AN34" i="16"/>
  <c r="AN43" i="16" s="1"/>
  <c r="AN23" i="16"/>
  <c r="AN17" i="16"/>
  <c r="AN19" i="16"/>
  <c r="AN18" i="16"/>
  <c r="S16" i="16"/>
  <c r="N21" i="16"/>
  <c r="S12" i="16" s="1"/>
  <c r="S13" i="16"/>
  <c r="AR36" i="16" l="1"/>
  <c r="AR41" i="16" s="1"/>
  <c r="AR27" i="16"/>
  <c r="AR39" i="16"/>
  <c r="AR30" i="16"/>
  <c r="AR33" i="16"/>
  <c r="AQ27" i="16"/>
  <c r="AQ39" i="16"/>
  <c r="AQ36" i="16"/>
  <c r="AQ41" i="16" s="1"/>
  <c r="AN27" i="16"/>
  <c r="AN24" i="16"/>
  <c r="AN25" i="16" s="1"/>
  <c r="AN26" i="16"/>
  <c r="AO16" i="16"/>
  <c r="AO19" i="16"/>
  <c r="Y43" i="16"/>
  <c r="Y38" i="16"/>
  <c r="Y35" i="16" s="1"/>
  <c r="S14" i="16"/>
  <c r="Y9" i="16" s="1"/>
  <c r="AQ28" i="16" l="1"/>
  <c r="AQ35" i="16"/>
  <c r="AR32" i="16"/>
  <c r="AR42" i="16" s="1"/>
  <c r="AR31" i="16"/>
  <c r="AR40" i="16"/>
  <c r="AO17" i="16"/>
  <c r="AO18" i="16" s="1"/>
  <c r="AO23" i="16"/>
  <c r="AR28" i="16"/>
  <c r="AR34" i="16" s="1"/>
  <c r="AR35" i="16"/>
  <c r="S19" i="16"/>
  <c r="AQ11" i="16" s="1"/>
  <c r="Y13" i="16"/>
  <c r="Y39" i="16"/>
  <c r="Y36" i="16"/>
  <c r="Y37" i="16" s="1"/>
  <c r="Y40" i="16"/>
  <c r="Y42" i="16" s="1"/>
  <c r="S15" i="16"/>
  <c r="AO27" i="16" l="1"/>
  <c r="AO26" i="16"/>
  <c r="AQ29" i="16"/>
  <c r="AQ34" i="16"/>
  <c r="Y5" i="16"/>
  <c r="AQ30" i="16" l="1"/>
  <c r="AQ33" i="16"/>
  <c r="AQ40" i="16" l="1"/>
  <c r="AQ32" i="16"/>
  <c r="AQ42" i="16" s="1"/>
  <c r="A2" i="4"/>
  <c r="B2" i="4"/>
  <c r="A3" i="4"/>
  <c r="B3" i="4"/>
  <c r="A4" i="4"/>
  <c r="B4" i="4"/>
  <c r="A5" i="4"/>
  <c r="B5" i="4"/>
  <c r="M19" i="1" l="1"/>
  <c r="M20" i="1" l="1"/>
  <c r="M54" i="1" l="1"/>
  <c r="M53" i="1"/>
  <c r="M10" i="1" l="1"/>
  <c r="M9" i="1"/>
  <c r="M8" i="1"/>
  <c r="M7" i="1" l="1"/>
  <c r="C25" i="7" l="1"/>
  <c r="C30" i="7" s="1"/>
  <c r="F25" i="7"/>
  <c r="F30" i="7" s="1"/>
  <c r="F26" i="7"/>
  <c r="C26" i="7"/>
  <c r="M14" i="1" l="1"/>
  <c r="I8" i="16" s="1"/>
  <c r="M16" i="1"/>
  <c r="I10" i="16" s="1"/>
  <c r="M15" i="1"/>
  <c r="I9" i="16" s="1"/>
  <c r="M4" i="1"/>
  <c r="Y27" i="16" l="1"/>
  <c r="Y28" i="16" s="1"/>
  <c r="Y26" i="16"/>
  <c r="Y29" i="16"/>
  <c r="AQ7" i="16"/>
  <c r="Y23" i="16"/>
  <c r="Y21" i="16"/>
  <c r="Y22" i="16" s="1"/>
  <c r="S21" i="16"/>
  <c r="Y20" i="16"/>
  <c r="Y16" i="16"/>
  <c r="Y17" i="16"/>
  <c r="F27" i="7"/>
  <c r="F29" i="7" s="1"/>
  <c r="C27" i="7"/>
  <c r="C29" i="7" s="1"/>
  <c r="D20" i="7"/>
  <c r="G14" i="7"/>
  <c r="J14" i="7" s="1"/>
  <c r="F14" i="7"/>
  <c r="H14" i="7" s="1"/>
  <c r="K14" i="7" s="1"/>
  <c r="G13" i="7"/>
  <c r="J13" i="7" s="1"/>
  <c r="F13" i="7"/>
  <c r="H13" i="7" s="1"/>
  <c r="K13" i="7" s="1"/>
  <c r="G12" i="7"/>
  <c r="J12" i="7" s="1"/>
  <c r="F12" i="7"/>
  <c r="G11" i="7"/>
  <c r="J11" i="7" s="1"/>
  <c r="F11" i="7"/>
  <c r="H11" i="7" s="1"/>
  <c r="K11" i="7" s="1"/>
  <c r="G10" i="7"/>
  <c r="J10" i="7" s="1"/>
  <c r="F10" i="7"/>
  <c r="H10" i="7" s="1"/>
  <c r="Y7" i="16" l="1"/>
  <c r="H12" i="7"/>
  <c r="K12" i="7" s="1"/>
  <c r="K10" i="7"/>
  <c r="C18" i="7"/>
  <c r="C17" i="7"/>
  <c r="D17" i="7" l="1"/>
  <c r="C19" i="7"/>
  <c r="D18" i="7"/>
  <c r="C22" i="7"/>
  <c r="C32" i="7" l="1"/>
  <c r="C33" i="7" s="1"/>
  <c r="F32" i="7" l="1"/>
  <c r="F33" i="7" s="1"/>
  <c r="D35" i="7" l="1"/>
  <c r="B1" i="4" l="1"/>
  <c r="A1" i="4" l="1"/>
  <c r="D47" i="16" l="1"/>
  <c r="D68" i="16"/>
  <c r="D69" i="16" s="1"/>
  <c r="D70" i="16" s="1"/>
  <c r="D57" i="16"/>
  <c r="D64" i="16" s="1"/>
  <c r="D65" i="16" s="1"/>
  <c r="D66" i="16" l="1"/>
  <c r="D58" i="16"/>
  <c r="D67" i="16" s="1"/>
  <c r="D71" i="16" s="1"/>
  <c r="D73" i="16" s="1"/>
  <c r="D72" i="16" l="1"/>
  <c r="D74" i="16" s="1"/>
  <c r="D45" i="16" s="1"/>
</calcChain>
</file>

<file path=xl/sharedStrings.xml><?xml version="1.0" encoding="utf-8"?>
<sst xmlns="http://schemas.openxmlformats.org/spreadsheetml/2006/main" count="636" uniqueCount="509">
  <si>
    <t>機体依存パラメータ</t>
    <rPh sb="0" eb="2">
      <t>キタイ</t>
    </rPh>
    <rPh sb="2" eb="4">
      <t>イゾン</t>
    </rPh>
    <phoneticPr fontId="2"/>
  </si>
  <si>
    <t>記号</t>
    <rPh sb="0" eb="2">
      <t>キゴウ</t>
    </rPh>
    <phoneticPr fontId="2"/>
  </si>
  <si>
    <t>名称</t>
    <rPh sb="0" eb="2">
      <t>メイショウ</t>
    </rPh>
    <phoneticPr fontId="2"/>
  </si>
  <si>
    <t>単位</t>
    <rPh sb="0" eb="2">
      <t>タンイ</t>
    </rPh>
    <phoneticPr fontId="2"/>
  </si>
  <si>
    <r>
      <t>kg･m</t>
    </r>
    <r>
      <rPr>
        <vertAlign val="superscript"/>
        <sz val="8"/>
        <rFont val="ＭＳ Ｐゴシック"/>
        <family val="3"/>
        <charset val="128"/>
      </rPr>
      <t>2</t>
    </r>
  </si>
  <si>
    <t>全長</t>
    <rPh sb="0" eb="2">
      <t>ゼンチョウ</t>
    </rPh>
    <phoneticPr fontId="2"/>
  </si>
  <si>
    <t>m</t>
  </si>
  <si>
    <t>燃料重心位置</t>
    <rPh sb="0" eb="2">
      <t>ネンリョウ</t>
    </rPh>
    <rPh sb="2" eb="4">
      <t>ジュウシン</t>
    </rPh>
    <rPh sb="4" eb="6">
      <t>イチ</t>
    </rPh>
    <phoneticPr fontId="2"/>
  </si>
  <si>
    <t>機体重心位置</t>
    <rPh sb="0" eb="2">
      <t>キタイ</t>
    </rPh>
    <rPh sb="2" eb="4">
      <t>ジュウシン</t>
    </rPh>
    <rPh sb="4" eb="6">
      <t>イチ</t>
    </rPh>
    <phoneticPr fontId="2"/>
  </si>
  <si>
    <r>
      <t>l</t>
    </r>
    <r>
      <rPr>
        <i/>
        <vertAlign val="subscript"/>
        <sz val="10"/>
        <rFont val="Times New Roman"/>
        <family val="1"/>
      </rPr>
      <t>CP</t>
    </r>
  </si>
  <si>
    <t>圧力中心</t>
    <rPh sb="0" eb="1">
      <t>アツ</t>
    </rPh>
    <rPh sb="1" eb="2">
      <t>リキ</t>
    </rPh>
    <rPh sb="2" eb="4">
      <t>チュウシン</t>
    </rPh>
    <phoneticPr fontId="2"/>
  </si>
  <si>
    <t>kg</t>
  </si>
  <si>
    <r>
      <t>m</t>
    </r>
    <r>
      <rPr>
        <i/>
        <vertAlign val="subscript"/>
        <sz val="10"/>
        <rFont val="Times New Roman"/>
        <family val="1"/>
      </rPr>
      <t>S</t>
    </r>
  </si>
  <si>
    <t>減衰モーメント係数</t>
    <rPh sb="0" eb="2">
      <t>ゲンスイ</t>
    </rPh>
    <rPh sb="7" eb="9">
      <t>ケイスウ</t>
    </rPh>
    <phoneticPr fontId="2"/>
  </si>
  <si>
    <t>-</t>
  </si>
  <si>
    <r>
      <t>C</t>
    </r>
    <r>
      <rPr>
        <i/>
        <vertAlign val="subscript"/>
        <sz val="10"/>
        <rFont val="Times New Roman"/>
        <family val="1"/>
      </rPr>
      <t>D</t>
    </r>
  </si>
  <si>
    <t>抗力係数</t>
    <rPh sb="0" eb="2">
      <t>コウリョク</t>
    </rPh>
    <rPh sb="2" eb="4">
      <t>ケイスウ</t>
    </rPh>
    <phoneticPr fontId="2"/>
  </si>
  <si>
    <r>
      <t>C</t>
    </r>
    <r>
      <rPr>
        <i/>
        <vertAlign val="subscript"/>
        <sz val="10"/>
        <rFont val="Times New Roman"/>
        <family val="1"/>
      </rPr>
      <t>Nα</t>
    </r>
  </si>
  <si>
    <t>法線力係数</t>
    <rPh sb="0" eb="1">
      <t>ホウ</t>
    </rPh>
    <rPh sb="1" eb="2">
      <t>セン</t>
    </rPh>
    <rPh sb="2" eb="3">
      <t>リョク</t>
    </rPh>
    <rPh sb="3" eb="5">
      <t>ケイスウ</t>
    </rPh>
    <phoneticPr fontId="2"/>
  </si>
  <si>
    <t>角度</t>
    <rPh sb="0" eb="2">
      <t>カクド</t>
    </rPh>
    <phoneticPr fontId="2"/>
  </si>
  <si>
    <t>ランチコンディション</t>
  </si>
  <si>
    <t>P</t>
  </si>
  <si>
    <t>大気圧</t>
    <rPh sb="0" eb="3">
      <t>タイキアツ</t>
    </rPh>
    <phoneticPr fontId="2"/>
  </si>
  <si>
    <t xml:space="preserve">kPa </t>
  </si>
  <si>
    <t>T</t>
  </si>
  <si>
    <t>気温</t>
    <rPh sb="0" eb="2">
      <t>キオン</t>
    </rPh>
    <phoneticPr fontId="2"/>
  </si>
  <si>
    <t>℃</t>
  </si>
  <si>
    <t>ρ</t>
  </si>
  <si>
    <t>大気密度</t>
    <rPh sb="0" eb="2">
      <t>タイキ</t>
    </rPh>
    <rPh sb="2" eb="4">
      <t>ミツド</t>
    </rPh>
    <phoneticPr fontId="2"/>
  </si>
  <si>
    <r>
      <t>kg/m</t>
    </r>
    <r>
      <rPr>
        <vertAlign val="superscript"/>
        <sz val="8"/>
        <rFont val="ＭＳ Ｐゴシック"/>
        <family val="3"/>
        <charset val="128"/>
      </rPr>
      <t>3</t>
    </r>
  </si>
  <si>
    <t>g</t>
  </si>
  <si>
    <t>重力加速度</t>
    <rPh sb="0" eb="2">
      <t>ジュウリョク</t>
    </rPh>
    <rPh sb="2" eb="5">
      <t>カソクド</t>
    </rPh>
    <phoneticPr fontId="2"/>
  </si>
  <si>
    <r>
      <t>m/s</t>
    </r>
    <r>
      <rPr>
        <vertAlign val="superscript"/>
        <sz val="8"/>
        <rFont val="ＭＳ Ｐゴシック"/>
        <family val="3"/>
        <charset val="128"/>
      </rPr>
      <t>2</t>
    </r>
  </si>
  <si>
    <t>deg</t>
  </si>
  <si>
    <r>
      <t>Ｗ</t>
    </r>
    <r>
      <rPr>
        <i/>
        <vertAlign val="subscript"/>
        <sz val="10"/>
        <rFont val="ＭＳ Ｐ明朝"/>
        <family val="1"/>
        <charset val="128"/>
      </rPr>
      <t>ｈ</t>
    </r>
  </si>
  <si>
    <t>高度分布係数</t>
    <rPh sb="0" eb="2">
      <t>コウド</t>
    </rPh>
    <rPh sb="2" eb="4">
      <t>ブンプ</t>
    </rPh>
    <rPh sb="4" eb="6">
      <t>ケイスウ</t>
    </rPh>
    <phoneticPr fontId="2"/>
  </si>
  <si>
    <r>
      <t>T</t>
    </r>
    <r>
      <rPr>
        <i/>
        <vertAlign val="subscript"/>
        <sz val="10"/>
        <rFont val="Times New Roman"/>
        <family val="1"/>
      </rPr>
      <t>sepa</t>
    </r>
  </si>
  <si>
    <t>1段目分離信号</t>
    <rPh sb="1" eb="3">
      <t>ダンメ</t>
    </rPh>
    <rPh sb="3" eb="5">
      <t>ブンリ</t>
    </rPh>
    <rPh sb="5" eb="7">
      <t>シンゴウ</t>
    </rPh>
    <phoneticPr fontId="2"/>
  </si>
  <si>
    <t>sec</t>
  </si>
  <si>
    <t>hsepa2</t>
  </si>
  <si>
    <t>2段目分離信号</t>
    <rPh sb="1" eb="3">
      <t>ダンメ</t>
    </rPh>
    <rPh sb="3" eb="5">
      <t>ブンリ</t>
    </rPh>
    <rPh sb="5" eb="7">
      <t>シンゴウ</t>
    </rPh>
    <phoneticPr fontId="2"/>
  </si>
  <si>
    <r>
      <t>θ</t>
    </r>
    <r>
      <rPr>
        <i/>
        <vertAlign val="subscript"/>
        <sz val="10"/>
        <rFont val="Times New Roman"/>
        <family val="1"/>
      </rPr>
      <t>0</t>
    </r>
  </si>
  <si>
    <t>打上角</t>
    <rPh sb="0" eb="2">
      <t>ウチアゲ</t>
    </rPh>
    <rPh sb="2" eb="3">
      <t>カク</t>
    </rPh>
    <phoneticPr fontId="2"/>
  </si>
  <si>
    <t>ψ</t>
  </si>
  <si>
    <r>
      <t>l</t>
    </r>
    <r>
      <rPr>
        <i/>
        <vertAlign val="subscript"/>
        <sz val="10"/>
        <rFont val="Times New Roman"/>
        <family val="1"/>
      </rPr>
      <t>L</t>
    </r>
  </si>
  <si>
    <t>ランチャ長</t>
    <rPh sb="4" eb="5">
      <t>ナガ</t>
    </rPh>
    <phoneticPr fontId="2"/>
  </si>
  <si>
    <t>慣性モーメントRoll</t>
    <rPh sb="0" eb="2">
      <t>カンセイ</t>
    </rPh>
    <phoneticPr fontId="2"/>
  </si>
  <si>
    <t>酸化剤重心位置</t>
    <rPh sb="0" eb="3">
      <t>サンカザイ</t>
    </rPh>
    <rPh sb="3" eb="5">
      <t>ジュウシン</t>
    </rPh>
    <rPh sb="5" eb="7">
      <t>イチ</t>
    </rPh>
    <phoneticPr fontId="2"/>
  </si>
  <si>
    <r>
      <t>m</t>
    </r>
    <r>
      <rPr>
        <i/>
        <sz val="8"/>
        <rFont val="Times New Roman"/>
        <family val="1"/>
      </rPr>
      <t>ox</t>
    </r>
    <phoneticPr fontId="13"/>
  </si>
  <si>
    <t>m</t>
    <phoneticPr fontId="13"/>
  </si>
  <si>
    <r>
      <t>m</t>
    </r>
    <r>
      <rPr>
        <i/>
        <sz val="8"/>
        <rFont val="Times New Roman"/>
        <family val="1"/>
      </rPr>
      <t>fuel</t>
    </r>
    <phoneticPr fontId="13"/>
  </si>
  <si>
    <t>酸化剤質量</t>
    <rPh sb="0" eb="3">
      <t>サンカザイ</t>
    </rPh>
    <rPh sb="3" eb="5">
      <t>シツリョウ</t>
    </rPh>
    <phoneticPr fontId="2"/>
  </si>
  <si>
    <t>酸化剤質量流量</t>
    <rPh sb="0" eb="3">
      <t>サンカザイ</t>
    </rPh>
    <rPh sb="3" eb="5">
      <t>シツリョウ</t>
    </rPh>
    <rPh sb="5" eb="7">
      <t>リュウリョウ</t>
    </rPh>
    <phoneticPr fontId="2"/>
  </si>
  <si>
    <t>燃料質量流量</t>
    <rPh sb="0" eb="2">
      <t>ネンリョウ</t>
    </rPh>
    <rPh sb="2" eb="4">
      <t>シツリョウ</t>
    </rPh>
    <phoneticPr fontId="2"/>
  </si>
  <si>
    <t>kg/s</t>
    <phoneticPr fontId="13"/>
  </si>
  <si>
    <t>deg</t>
    <phoneticPr fontId="13"/>
  </si>
  <si>
    <t>-</t>
    <phoneticPr fontId="13"/>
  </si>
  <si>
    <t>変数</t>
    <rPh sb="0" eb="2">
      <t>ヘンスウ</t>
    </rPh>
    <phoneticPr fontId="13"/>
  </si>
  <si>
    <r>
      <t>l</t>
    </r>
    <r>
      <rPr>
        <i/>
        <vertAlign val="subscript"/>
        <sz val="10"/>
        <rFont val="Times New Roman"/>
        <family val="1"/>
      </rPr>
      <t>CGf</t>
    </r>
    <phoneticPr fontId="13"/>
  </si>
  <si>
    <r>
      <t>l</t>
    </r>
    <r>
      <rPr>
        <i/>
        <vertAlign val="subscript"/>
        <sz val="10"/>
        <rFont val="Times New Roman"/>
        <family val="1"/>
      </rPr>
      <t>CGox</t>
    </r>
    <phoneticPr fontId="13"/>
  </si>
  <si>
    <t>定義</t>
    <rPh sb="0" eb="2">
      <t>テイギ</t>
    </rPh>
    <phoneticPr fontId="13"/>
  </si>
  <si>
    <t>推進剤を除いた機体質量時のノーズコーン先端から機体重心位置までの長さ</t>
    <rPh sb="11" eb="12">
      <t>ジ</t>
    </rPh>
    <rPh sb="19" eb="21">
      <t>センタン</t>
    </rPh>
    <rPh sb="23" eb="25">
      <t>キタイ</t>
    </rPh>
    <rPh sb="25" eb="29">
      <t>ジュウシンイチ</t>
    </rPh>
    <rPh sb="32" eb="33">
      <t>ナガ</t>
    </rPh>
    <phoneticPr fontId="13"/>
  </si>
  <si>
    <t>慣性モーメントPitch・Yaw</t>
    <rPh sb="0" eb="2">
      <t>カンセイ</t>
    </rPh>
    <phoneticPr fontId="2"/>
  </si>
  <si>
    <t>機体直径</t>
    <rPh sb="0" eb="4">
      <t>キタイチョッケイ</t>
    </rPh>
    <phoneticPr fontId="2"/>
  </si>
  <si>
    <r>
      <t>C</t>
    </r>
    <r>
      <rPr>
        <i/>
        <vertAlign val="subscript"/>
        <sz val="10"/>
        <rFont val="Times New Roman"/>
        <family val="1"/>
      </rPr>
      <t>lp</t>
    </r>
    <phoneticPr fontId="13"/>
  </si>
  <si>
    <r>
      <t>C</t>
    </r>
    <r>
      <rPr>
        <i/>
        <vertAlign val="subscript"/>
        <sz val="10"/>
        <rFont val="Times New Roman"/>
        <family val="1"/>
      </rPr>
      <t>mq</t>
    </r>
    <phoneticPr fontId="13"/>
  </si>
  <si>
    <t>数値入力担当</t>
    <rPh sb="0" eb="2">
      <t>スウチ</t>
    </rPh>
    <rPh sb="2" eb="4">
      <t>ニュリョク</t>
    </rPh>
    <rPh sb="4" eb="6">
      <t>タントウ</t>
    </rPh>
    <phoneticPr fontId="13"/>
  </si>
  <si>
    <t>機体設計担当</t>
    <rPh sb="0" eb="2">
      <t>キタイ</t>
    </rPh>
    <rPh sb="2" eb="4">
      <t>セッケイ</t>
    </rPh>
    <rPh sb="4" eb="6">
      <t>タントウ</t>
    </rPh>
    <phoneticPr fontId="13"/>
  </si>
  <si>
    <t>空力設計担当</t>
    <rPh sb="0" eb="4">
      <t>クウリキセッケイ</t>
    </rPh>
    <rPh sb="4" eb="6">
      <t>タントウ</t>
    </rPh>
    <phoneticPr fontId="13"/>
  </si>
  <si>
    <t>シミュレーション担当</t>
    <rPh sb="8" eb="10">
      <t>タントウ</t>
    </rPh>
    <phoneticPr fontId="13"/>
  </si>
  <si>
    <t>ピッチ・ヨー減衰モーメント係数（空力設計から求めた数値）＜0</t>
    <rPh sb="6" eb="8">
      <t>ゲンスイ</t>
    </rPh>
    <rPh sb="13" eb="15">
      <t>ケイスウ</t>
    </rPh>
    <rPh sb="25" eb="27">
      <t>スウチ</t>
    </rPh>
    <phoneticPr fontId="13"/>
  </si>
  <si>
    <t>ロール減衰モーメント係数（空力設計から求めた数値）＜0</t>
    <rPh sb="3" eb="5">
      <t>ゲンスイ</t>
    </rPh>
    <rPh sb="10" eb="12">
      <t>ケイスウ</t>
    </rPh>
    <rPh sb="22" eb="24">
      <t>スウチ</t>
    </rPh>
    <phoneticPr fontId="13"/>
  </si>
  <si>
    <t>ノーズコーン先端から圧力中心位置までの長さ（空力設計から求めた数値）</t>
    <rPh sb="10" eb="16">
      <t>アツリョクチュウシンイチ</t>
    </rPh>
    <rPh sb="19" eb="20">
      <t>ナガ</t>
    </rPh>
    <rPh sb="31" eb="33">
      <t>スウチ</t>
    </rPh>
    <phoneticPr fontId="13"/>
  </si>
  <si>
    <t>抗力係数（空力設計，風洞試験から求めた数値）</t>
    <rPh sb="0" eb="2">
      <t>コウリョク</t>
    </rPh>
    <rPh sb="2" eb="4">
      <t>ケイスウ</t>
    </rPh>
    <rPh sb="10" eb="12">
      <t>フウドウ</t>
    </rPh>
    <rPh sb="12" eb="14">
      <t>シケン</t>
    </rPh>
    <rPh sb="16" eb="17">
      <t>モト</t>
    </rPh>
    <rPh sb="19" eb="21">
      <t>スウチ</t>
    </rPh>
    <phoneticPr fontId="13"/>
  </si>
  <si>
    <t>法線力係数（空力設計から求めた数値）</t>
    <rPh sb="0" eb="2">
      <t>ホウセン</t>
    </rPh>
    <rPh sb="2" eb="3">
      <t>リョク</t>
    </rPh>
    <rPh sb="3" eb="5">
      <t>ケイスウ</t>
    </rPh>
    <rPh sb="12" eb="13">
      <t>モト</t>
    </rPh>
    <rPh sb="15" eb="17">
      <t>スウチ</t>
    </rPh>
    <phoneticPr fontId="13"/>
  </si>
  <si>
    <t>スピン制御（空力設計，風洞試験から求めた数値）</t>
    <rPh sb="3" eb="5">
      <t>セイギョ</t>
    </rPh>
    <rPh sb="11" eb="13">
      <t>フウドウ</t>
    </rPh>
    <rPh sb="13" eb="15">
      <t>シケン</t>
    </rPh>
    <rPh sb="17" eb="18">
      <t>モト</t>
    </rPh>
    <rPh sb="20" eb="22">
      <t>スウチ</t>
    </rPh>
    <phoneticPr fontId="13"/>
  </si>
  <si>
    <t>液化状態のN2O酸化剤質量</t>
    <rPh sb="0" eb="2">
      <t>エキカ</t>
    </rPh>
    <rPh sb="2" eb="4">
      <t>ジョウタイ</t>
    </rPh>
    <rPh sb="8" eb="13">
      <t>サンカザイシツリョウ</t>
    </rPh>
    <phoneticPr fontId="13"/>
  </si>
  <si>
    <t>N2O酸化剤平均質量流量（実験から求めた数値）</t>
    <rPh sb="3" eb="6">
      <t>サンカザイ</t>
    </rPh>
    <rPh sb="6" eb="8">
      <t>ヘイキン</t>
    </rPh>
    <rPh sb="8" eb="10">
      <t>シツリョウ</t>
    </rPh>
    <rPh sb="10" eb="12">
      <t>リュウリョウ</t>
    </rPh>
    <rPh sb="13" eb="15">
      <t>ジッケン</t>
    </rPh>
    <rPh sb="17" eb="18">
      <t>モト</t>
    </rPh>
    <rPh sb="20" eb="22">
      <t>スウチ</t>
    </rPh>
    <phoneticPr fontId="13"/>
  </si>
  <si>
    <t>ノズルカバ後端からのN2O酸化剤質量重心位置までの長さ</t>
    <rPh sb="5" eb="7">
      <t>コウタン</t>
    </rPh>
    <rPh sb="13" eb="16">
      <t>サンカザイ</t>
    </rPh>
    <rPh sb="16" eb="18">
      <t>シツリョウ</t>
    </rPh>
    <rPh sb="18" eb="22">
      <t>ジュウシンイチ</t>
    </rPh>
    <rPh sb="25" eb="26">
      <t>ナガ</t>
    </rPh>
    <phoneticPr fontId="13"/>
  </si>
  <si>
    <t>ノズルカバ後端からの燃料重心位置までの長さ</t>
    <rPh sb="5" eb="7">
      <t>コウタン</t>
    </rPh>
    <rPh sb="10" eb="12">
      <t>ネンリョウ</t>
    </rPh>
    <rPh sb="12" eb="16">
      <t>ジュウシンイチ</t>
    </rPh>
    <rPh sb="19" eb="20">
      <t>ナガ</t>
    </rPh>
    <phoneticPr fontId="13"/>
  </si>
  <si>
    <t>地上大気圧（基本１atm）</t>
    <rPh sb="0" eb="2">
      <t>チジョウ</t>
    </rPh>
    <rPh sb="2" eb="5">
      <t>タイキアツ</t>
    </rPh>
    <rPh sb="6" eb="8">
      <t>キホン</t>
    </rPh>
    <phoneticPr fontId="13"/>
  </si>
  <si>
    <t>ρ=P/RT  P:大気圧，R:気体定数，T:気温（K)</t>
    <rPh sb="10" eb="13">
      <t>タイキアツ</t>
    </rPh>
    <rPh sb="16" eb="20">
      <t>キタイジョウスウ</t>
    </rPh>
    <rPh sb="23" eb="25">
      <t>キオン</t>
    </rPh>
    <phoneticPr fontId="13"/>
  </si>
  <si>
    <t>能代浅内射場：4～4.5～5，能代海打ち射場：6.0，大樹町陸打ち：7.4</t>
    <rPh sb="0" eb="2">
      <t>ノシロ</t>
    </rPh>
    <rPh sb="2" eb="4">
      <t>アサナイ</t>
    </rPh>
    <rPh sb="4" eb="6">
      <t>シャジョウ</t>
    </rPh>
    <rPh sb="15" eb="17">
      <t>ノシロ</t>
    </rPh>
    <rPh sb="17" eb="19">
      <t>ウミウ</t>
    </rPh>
    <rPh sb="20" eb="22">
      <t>シャジョウ</t>
    </rPh>
    <rPh sb="27" eb="30">
      <t>タイキチョウ</t>
    </rPh>
    <rPh sb="30" eb="32">
      <t>リクウ</t>
    </rPh>
    <phoneticPr fontId="13"/>
  </si>
  <si>
    <t>打上角</t>
    <rPh sb="0" eb="2">
      <t>ウチアゲ</t>
    </rPh>
    <rPh sb="2" eb="3">
      <t>カク</t>
    </rPh>
    <phoneticPr fontId="13"/>
  </si>
  <si>
    <r>
      <t>I</t>
    </r>
    <r>
      <rPr>
        <i/>
        <vertAlign val="subscript"/>
        <sz val="10"/>
        <rFont val="Times New Roman"/>
        <family val="1"/>
      </rPr>
      <t>pitch</t>
    </r>
    <phoneticPr fontId="13"/>
  </si>
  <si>
    <r>
      <t>I</t>
    </r>
    <r>
      <rPr>
        <i/>
        <vertAlign val="subscript"/>
        <sz val="10"/>
        <rFont val="Times New Roman"/>
        <family val="1"/>
      </rPr>
      <t>roll</t>
    </r>
    <phoneticPr fontId="13"/>
  </si>
  <si>
    <t>地上気温（5m)</t>
    <rPh sb="0" eb="2">
      <t>チジョウ</t>
    </rPh>
    <rPh sb="2" eb="4">
      <t>キオン</t>
    </rPh>
    <phoneticPr fontId="13"/>
  </si>
  <si>
    <t>備考</t>
    <rPh sb="0" eb="2">
      <t>ビコウ</t>
    </rPh>
    <phoneticPr fontId="13"/>
  </si>
  <si>
    <t>担当者名</t>
    <rPh sb="0" eb="3">
      <t>タントウシャ</t>
    </rPh>
    <rPh sb="3" eb="4">
      <t>メイ</t>
    </rPh>
    <phoneticPr fontId="13"/>
  </si>
  <si>
    <t>燃料平均質量流量（実験から求めた数値）</t>
    <rPh sb="0" eb="2">
      <t>ネンリョウ</t>
    </rPh>
    <rPh sb="2" eb="4">
      <t>ヘイキン</t>
    </rPh>
    <rPh sb="4" eb="6">
      <t>シツリョウ</t>
    </rPh>
    <rPh sb="6" eb="8">
      <t>リュウリョウ</t>
    </rPh>
    <rPh sb="9" eb="11">
      <t>ジッケン</t>
    </rPh>
    <rPh sb="13" eb="14">
      <t>モト</t>
    </rPh>
    <rPh sb="16" eb="18">
      <t>スウチ</t>
    </rPh>
    <phoneticPr fontId="13"/>
  </si>
  <si>
    <t>p</t>
    <phoneticPr fontId="13"/>
  </si>
  <si>
    <t>イベント名：例えばインテグとか，DR0とか書きたいこと</t>
    <rPh sb="4" eb="5">
      <t>メイ</t>
    </rPh>
    <rPh sb="6" eb="7">
      <t>タト</t>
    </rPh>
    <rPh sb="21" eb="22">
      <t>カ</t>
    </rPh>
    <phoneticPr fontId="13"/>
  </si>
  <si>
    <t>設計値か実測値か</t>
    <rPh sb="0" eb="2">
      <t>セッケイ</t>
    </rPh>
    <rPh sb="2" eb="3">
      <t>チ</t>
    </rPh>
    <rPh sb="4" eb="7">
      <t>ジッソクチ</t>
    </rPh>
    <phoneticPr fontId="13"/>
  </si>
  <si>
    <t>地上重力加速度，場所・高度によって変える（別途シート"環境データ集参照")</t>
    <rPh sb="0" eb="2">
      <t>チジョウ</t>
    </rPh>
    <rPh sb="2" eb="7">
      <t>ジュウリョクカソクド</t>
    </rPh>
    <rPh sb="8" eb="10">
      <t>バショ</t>
    </rPh>
    <rPh sb="11" eb="13">
      <t>コウド</t>
    </rPh>
    <rPh sb="17" eb="18">
      <t>カ</t>
    </rPh>
    <rPh sb="21" eb="23">
      <t>ベット</t>
    </rPh>
    <rPh sb="27" eb="29">
      <t>カンキョウ</t>
    </rPh>
    <rPh sb="32" eb="33">
      <t>シュウ</t>
    </rPh>
    <rPh sb="33" eb="35">
      <t>サンショウ</t>
    </rPh>
    <phoneticPr fontId="13"/>
  </si>
  <si>
    <t>重力加速度</t>
    <rPh sb="0" eb="2">
      <t>ジュウリョク</t>
    </rPh>
    <rPh sb="2" eb="5">
      <t>カソクド</t>
    </rPh>
    <phoneticPr fontId="13"/>
  </si>
  <si>
    <t>能代陸打ち射場</t>
    <rPh sb="0" eb="4">
      <t>ノシロリクウ</t>
    </rPh>
    <rPh sb="5" eb="7">
      <t>シャジョウ</t>
    </rPh>
    <phoneticPr fontId="13"/>
  </si>
  <si>
    <t>緯度</t>
    <rPh sb="0" eb="2">
      <t>イド</t>
    </rPh>
    <phoneticPr fontId="13"/>
  </si>
  <si>
    <t>経度</t>
    <rPh sb="0" eb="2">
      <t>ケイド</t>
    </rPh>
    <phoneticPr fontId="13"/>
  </si>
  <si>
    <t>m/s^2</t>
    <phoneticPr fontId="13"/>
  </si>
  <si>
    <t>能代海打ち射場</t>
    <rPh sb="0" eb="2">
      <t>ノシロ</t>
    </rPh>
    <rPh sb="2" eb="3">
      <t>カイ</t>
    </rPh>
    <rPh sb="3" eb="4">
      <t>ウ</t>
    </rPh>
    <rPh sb="5" eb="7">
      <t>シャジョウ</t>
    </rPh>
    <phoneticPr fontId="13"/>
  </si>
  <si>
    <t>大樹町陸打ち射場</t>
    <rPh sb="0" eb="3">
      <t>タイキチョウ</t>
    </rPh>
    <rPh sb="3" eb="4">
      <t>リク</t>
    </rPh>
    <rPh sb="4" eb="5">
      <t>ウ</t>
    </rPh>
    <rPh sb="6" eb="8">
      <t>シャジョウ</t>
    </rPh>
    <phoneticPr fontId="13"/>
  </si>
  <si>
    <t>40゜14′34″.8</t>
  </si>
  <si>
    <t>140゜00′38″.3</t>
  </si>
  <si>
    <t>40゜08′23″.7</t>
  </si>
  <si>
    <t>139゜59′08″.9</t>
  </si>
  <si>
    <t>42゜30′51″.5</t>
  </si>
  <si>
    <t>143゜25′23″.000</t>
  </si>
  <si>
    <t>標高[m]</t>
    <rPh sb="0" eb="2">
      <t>ヒョウコウ</t>
    </rPh>
    <phoneticPr fontId="13"/>
  </si>
  <si>
    <t>地磁気2010.0年より</t>
    <rPh sb="0" eb="3">
      <t>チジキ</t>
    </rPh>
    <rPh sb="9" eb="10">
      <t>ネン</t>
    </rPh>
    <phoneticPr fontId="13"/>
  </si>
  <si>
    <t>大樹町陸打ち射場</t>
    <rPh sb="0" eb="3">
      <t>タイキチョウ</t>
    </rPh>
    <rPh sb="3" eb="5">
      <t>リクウ</t>
    </rPh>
    <rPh sb="6" eb="8">
      <t>シャジョウ</t>
    </rPh>
    <phoneticPr fontId="13"/>
  </si>
  <si>
    <t>緯　度</t>
  </si>
  <si>
    <t>42°30′51″</t>
  </si>
  <si>
    <t>経　度</t>
  </si>
  <si>
    <t>143°26′23″</t>
  </si>
  <si>
    <t>[計算結果]</t>
  </si>
  <si>
    <t>偏　角</t>
  </si>
  <si>
    <t>8 ° 34 ′(西偏)</t>
  </si>
  <si>
    <t>伏　角</t>
  </si>
  <si>
    <t>56 ° 32 ′</t>
  </si>
  <si>
    <t>全 磁 力</t>
  </si>
  <si>
    <t>49088 nT</t>
  </si>
  <si>
    <t>水平分力</t>
  </si>
  <si>
    <t>27074 nT</t>
  </si>
  <si>
    <t>鉛直分力</t>
  </si>
  <si>
    <t>40948 nT</t>
  </si>
  <si>
    <t>能代陸打ち射場</t>
    <rPh sb="0" eb="2">
      <t>ノシロ</t>
    </rPh>
    <rPh sb="2" eb="4">
      <t>リクウ</t>
    </rPh>
    <rPh sb="5" eb="7">
      <t>シャジョウ</t>
    </rPh>
    <phoneticPr fontId="13"/>
  </si>
  <si>
    <t>40°8′24″</t>
  </si>
  <si>
    <t>139°59′9″</t>
  </si>
  <si>
    <t>8 ° 40 ′(西偏)</t>
  </si>
  <si>
    <t>54 ° 41 ′</t>
  </si>
  <si>
    <t>48860 nT</t>
  </si>
  <si>
    <t>28247 nT</t>
  </si>
  <si>
    <t>39867 nT</t>
  </si>
  <si>
    <t>40°14′35″</t>
  </si>
  <si>
    <t>140°0′38″</t>
  </si>
  <si>
    <t>8 ° 39 ′(西偏)</t>
  </si>
  <si>
    <t>54 ° 49 ′</t>
  </si>
  <si>
    <t>48811 nT</t>
  </si>
  <si>
    <t>28125 nT</t>
  </si>
  <si>
    <t>39893 nT</t>
  </si>
  <si>
    <t>すべて国土地理院から2013年10月26日に取得し，更新したデータです．</t>
    <rPh sb="3" eb="8">
      <t>コクドチリイン</t>
    </rPh>
    <rPh sb="22" eb="24">
      <t>シュトク</t>
    </rPh>
    <rPh sb="26" eb="28">
      <t>コウシン</t>
    </rPh>
    <phoneticPr fontId="13"/>
  </si>
  <si>
    <r>
      <t>l</t>
    </r>
    <r>
      <rPr>
        <i/>
        <vertAlign val="subscript"/>
        <sz val="10"/>
        <rFont val="Times New Roman"/>
        <family val="1"/>
      </rPr>
      <t>tank</t>
    </r>
    <phoneticPr fontId="13"/>
  </si>
  <si>
    <t>タンク長さ</t>
    <rPh sb="3" eb="4">
      <t>ナガ</t>
    </rPh>
    <phoneticPr fontId="2"/>
  </si>
  <si>
    <t>m</t>
    <phoneticPr fontId="13"/>
  </si>
  <si>
    <t>全燃料質量</t>
    <rPh sb="0" eb="1">
      <t>ゼン</t>
    </rPh>
    <rPh sb="1" eb="3">
      <t>ネンリョウ</t>
    </rPh>
    <rPh sb="3" eb="5">
      <t>シツリョウ</t>
    </rPh>
    <phoneticPr fontId="2"/>
  </si>
  <si>
    <t>燃焼前燃料質量</t>
    <rPh sb="0" eb="2">
      <t>ネンショウ</t>
    </rPh>
    <rPh sb="2" eb="3">
      <t>マエ</t>
    </rPh>
    <rPh sb="3" eb="5">
      <t>ネンリョウ</t>
    </rPh>
    <rPh sb="5" eb="7">
      <t>シツリョウ</t>
    </rPh>
    <phoneticPr fontId="13"/>
  </si>
  <si>
    <t>燃焼後燃料質量</t>
    <rPh sb="0" eb="3">
      <t>ネンショウゴ</t>
    </rPh>
    <rPh sb="3" eb="5">
      <t>ネンリョウ</t>
    </rPh>
    <rPh sb="5" eb="7">
      <t>シツリョウ</t>
    </rPh>
    <phoneticPr fontId="13"/>
  </si>
  <si>
    <t>kg</t>
    <phoneticPr fontId="13"/>
  </si>
  <si>
    <r>
      <t>m</t>
    </r>
    <r>
      <rPr>
        <i/>
        <sz val="8"/>
        <rFont val="Times New Roman"/>
        <family val="1"/>
      </rPr>
      <t>fuel,b</t>
    </r>
    <phoneticPr fontId="13"/>
  </si>
  <si>
    <r>
      <t>m</t>
    </r>
    <r>
      <rPr>
        <i/>
        <sz val="8"/>
        <rFont val="Times New Roman"/>
        <family val="1"/>
      </rPr>
      <t>fuel,a</t>
    </r>
    <phoneticPr fontId="13"/>
  </si>
  <si>
    <t>機体空虚質量</t>
    <rPh sb="0" eb="2">
      <t>キタイ</t>
    </rPh>
    <rPh sb="2" eb="4">
      <t>クウキョ</t>
    </rPh>
    <rPh sb="4" eb="6">
      <t>シツリョウ</t>
    </rPh>
    <phoneticPr fontId="2"/>
  </si>
  <si>
    <t>機体最外径</t>
    <rPh sb="0" eb="2">
      <t>キタイ</t>
    </rPh>
    <rPh sb="2" eb="5">
      <t>サイガイケイ</t>
    </rPh>
    <phoneticPr fontId="13"/>
  </si>
  <si>
    <t>ノーズ長さ</t>
    <rPh sb="3" eb="4">
      <t>ナガ</t>
    </rPh>
    <phoneticPr fontId="13"/>
  </si>
  <si>
    <t>mm^2</t>
    <phoneticPr fontId="13"/>
  </si>
  <si>
    <t>mm</t>
    <phoneticPr fontId="13"/>
  </si>
  <si>
    <t>ノーズからフィン付け根先端</t>
    <rPh sb="8" eb="9">
      <t>ツ</t>
    </rPh>
    <rPh sb="10" eb="11">
      <t>ネ</t>
    </rPh>
    <rPh sb="11" eb="13">
      <t>センタン</t>
    </rPh>
    <phoneticPr fontId="13"/>
  </si>
  <si>
    <t>ノーズ表面積</t>
    <rPh sb="3" eb="6">
      <t>ヒョウメンセキ</t>
    </rPh>
    <phoneticPr fontId="13"/>
  </si>
  <si>
    <t>mm</t>
    <phoneticPr fontId="13"/>
  </si>
  <si>
    <t>ノーズコーンのテーパ部(平坦部以外)の長さ</t>
    <rPh sb="10" eb="11">
      <t>ブ</t>
    </rPh>
    <rPh sb="12" eb="14">
      <t>ヘイタン</t>
    </rPh>
    <rPh sb="14" eb="15">
      <t>ブ</t>
    </rPh>
    <rPh sb="15" eb="17">
      <t>イガイ</t>
    </rPh>
    <rPh sb="19" eb="20">
      <t>ナガ</t>
    </rPh>
    <phoneticPr fontId="13"/>
  </si>
  <si>
    <t>上記の濡面積</t>
    <rPh sb="0" eb="2">
      <t>ジョウキ</t>
    </rPh>
    <rPh sb="3" eb="6">
      <t>ヌレメンセキ</t>
    </rPh>
    <phoneticPr fontId="13"/>
  </si>
  <si>
    <t>ノーズ先端からフィン付け根先端の長さ</t>
    <rPh sb="3" eb="5">
      <t>センタン</t>
    </rPh>
    <rPh sb="10" eb="11">
      <t>ツ</t>
    </rPh>
    <rPh sb="12" eb="13">
      <t>ネ</t>
    </rPh>
    <rPh sb="13" eb="15">
      <t>センタン</t>
    </rPh>
    <rPh sb="16" eb="17">
      <t>ナガ</t>
    </rPh>
    <phoneticPr fontId="13"/>
  </si>
  <si>
    <t>モータ担当</t>
    <rPh sb="3" eb="5">
      <t>タントウ</t>
    </rPh>
    <phoneticPr fontId="13"/>
  </si>
  <si>
    <t>ボートテイル直径</t>
    <rPh sb="6" eb="8">
      <t>チョッケイ</t>
    </rPh>
    <phoneticPr fontId="13"/>
  </si>
  <si>
    <t>ボートテイル長さ</t>
    <rPh sb="6" eb="7">
      <t>ナガ</t>
    </rPh>
    <phoneticPr fontId="13"/>
  </si>
  <si>
    <t>mm</t>
    <phoneticPr fontId="13"/>
  </si>
  <si>
    <t>ボートテイル直径下限</t>
    <rPh sb="6" eb="8">
      <t>チョッケイ</t>
    </rPh>
    <rPh sb="8" eb="10">
      <t>カゲン</t>
    </rPh>
    <phoneticPr fontId="13"/>
  </si>
  <si>
    <t>ボートテイル長さ上限</t>
    <rPh sb="6" eb="7">
      <t>ナガ</t>
    </rPh>
    <rPh sb="8" eb="10">
      <t>ジョウゲン</t>
    </rPh>
    <phoneticPr fontId="13"/>
  </si>
  <si>
    <t>燃焼時間</t>
    <rPh sb="0" eb="2">
      <t>ネンショウ</t>
    </rPh>
    <rPh sb="2" eb="4">
      <t>ジカン</t>
    </rPh>
    <phoneticPr fontId="13"/>
  </si>
  <si>
    <t>tb</t>
    <phoneticPr fontId="13"/>
  </si>
  <si>
    <t>sec</t>
    <phoneticPr fontId="13"/>
  </si>
  <si>
    <t>燃焼時間</t>
    <rPh sb="0" eb="4">
      <t>ネンショウジカン</t>
    </rPh>
    <phoneticPr fontId="13"/>
  </si>
  <si>
    <t>Ln</t>
    <phoneticPr fontId="13"/>
  </si>
  <si>
    <t>SAn</t>
    <phoneticPr fontId="13"/>
  </si>
  <si>
    <t>Ln,f</t>
    <phoneticPr fontId="13"/>
  </si>
  <si>
    <t>dbt</t>
    <phoneticPr fontId="13"/>
  </si>
  <si>
    <t>Lbt</t>
    <phoneticPr fontId="13"/>
  </si>
  <si>
    <t>リカバリ担当</t>
    <rPh sb="4" eb="6">
      <t>タントウ</t>
    </rPh>
    <phoneticPr fontId="13"/>
  </si>
  <si>
    <t>空力設計＆抗力係数見積もり用</t>
    <rPh sb="0" eb="4">
      <t>クウリキセッケイ</t>
    </rPh>
    <rPh sb="5" eb="7">
      <t>コウリョク</t>
    </rPh>
    <rPh sb="7" eb="9">
      <t>ケイスウ</t>
    </rPh>
    <rPh sb="9" eb="11">
      <t>ミツ</t>
    </rPh>
    <rPh sb="13" eb="14">
      <t>ヨウ</t>
    </rPh>
    <phoneticPr fontId="13"/>
  </si>
  <si>
    <t>1段目抗力特性</t>
    <rPh sb="1" eb="2">
      <t>ダン</t>
    </rPh>
    <rPh sb="2" eb="3">
      <t>メ</t>
    </rPh>
    <rPh sb="3" eb="5">
      <t>コウリョク</t>
    </rPh>
    <rPh sb="5" eb="7">
      <t>トクセイ</t>
    </rPh>
    <phoneticPr fontId="2"/>
  </si>
  <si>
    <t>2段目抗力特性</t>
    <rPh sb="1" eb="3">
      <t>ダンメ</t>
    </rPh>
    <rPh sb="3" eb="5">
      <t>コウリョク</t>
    </rPh>
    <rPh sb="5" eb="7">
      <t>トクセイ</t>
    </rPh>
    <phoneticPr fontId="2"/>
  </si>
  <si>
    <r>
      <t>C</t>
    </r>
    <r>
      <rPr>
        <i/>
        <vertAlign val="subscript"/>
        <sz val="10"/>
        <rFont val="Times New Roman"/>
        <family val="1"/>
      </rPr>
      <t>D</t>
    </r>
    <r>
      <rPr>
        <i/>
        <sz val="10"/>
        <rFont val="Times New Roman"/>
        <family val="1"/>
      </rPr>
      <t>S</t>
    </r>
    <r>
      <rPr>
        <i/>
        <vertAlign val="subscript"/>
        <sz val="10"/>
        <rFont val="Times New Roman"/>
        <family val="1"/>
      </rPr>
      <t>1</t>
    </r>
    <phoneticPr fontId="13"/>
  </si>
  <si>
    <r>
      <t>C</t>
    </r>
    <r>
      <rPr>
        <i/>
        <vertAlign val="subscript"/>
        <sz val="10"/>
        <rFont val="Times New Roman"/>
        <family val="1"/>
      </rPr>
      <t>D</t>
    </r>
    <r>
      <rPr>
        <i/>
        <sz val="10"/>
        <rFont val="Times New Roman"/>
        <family val="1"/>
      </rPr>
      <t>S</t>
    </r>
    <r>
      <rPr>
        <i/>
        <vertAlign val="subscript"/>
        <sz val="10"/>
        <rFont val="Times New Roman"/>
        <family val="1"/>
      </rPr>
      <t>2</t>
    </r>
    <phoneticPr fontId="13"/>
  </si>
  <si>
    <r>
      <t>m</t>
    </r>
    <r>
      <rPr>
        <vertAlign val="superscript"/>
        <sz val="8"/>
        <rFont val="ＭＳ Ｐゴシック"/>
        <family val="3"/>
        <charset val="128"/>
      </rPr>
      <t>2</t>
    </r>
    <phoneticPr fontId="13"/>
  </si>
  <si>
    <t>2段目分離高度（1段の場合は0と書かないと指定で2段目分離）</t>
    <rPh sb="1" eb="3">
      <t>ダンメ</t>
    </rPh>
    <rPh sb="3" eb="5">
      <t>ブンリ</t>
    </rPh>
    <rPh sb="5" eb="7">
      <t>コウド</t>
    </rPh>
    <rPh sb="9" eb="10">
      <t>ダン</t>
    </rPh>
    <rPh sb="11" eb="13">
      <t>バアイ</t>
    </rPh>
    <rPh sb="16" eb="17">
      <t>カ</t>
    </rPh>
    <rPh sb="21" eb="23">
      <t>シテイ</t>
    </rPh>
    <rPh sb="25" eb="26">
      <t>ダン</t>
    </rPh>
    <rPh sb="26" eb="27">
      <t>メ</t>
    </rPh>
    <rPh sb="27" eb="29">
      <t>ブンリ</t>
    </rPh>
    <phoneticPr fontId="13"/>
  </si>
  <si>
    <t>打ち上げ方位（磁東から反時計回り）</t>
    <rPh sb="0" eb="1">
      <t>ウ</t>
    </rPh>
    <rPh sb="2" eb="3">
      <t>ア</t>
    </rPh>
    <rPh sb="4" eb="6">
      <t>ホウイ</t>
    </rPh>
    <rPh sb="7" eb="8">
      <t>ジ</t>
    </rPh>
    <rPh sb="8" eb="9">
      <t>ヒガシ</t>
    </rPh>
    <rPh sb="11" eb="12">
      <t>ハン</t>
    </rPh>
    <rPh sb="12" eb="15">
      <t>トケイマワ</t>
    </rPh>
    <phoneticPr fontId="13"/>
  </si>
  <si>
    <t>Isp</t>
    <phoneticPr fontId="13"/>
  </si>
  <si>
    <t>比推力</t>
    <rPh sb="0" eb="3">
      <t>ヒスイリョク</t>
    </rPh>
    <phoneticPr fontId="2"/>
  </si>
  <si>
    <t>s</t>
    <phoneticPr fontId="13"/>
  </si>
  <si>
    <t>比推力</t>
    <rPh sb="0" eb="3">
      <t>ヒスイリョク</t>
    </rPh>
    <phoneticPr fontId="13"/>
  </si>
  <si>
    <t>全力積</t>
    <rPh sb="0" eb="3">
      <t>ゼンリキセキ</t>
    </rPh>
    <phoneticPr fontId="13"/>
  </si>
  <si>
    <t>N・s</t>
    <phoneticPr fontId="13"/>
  </si>
  <si>
    <t>トータルインパルス</t>
    <phoneticPr fontId="13"/>
  </si>
  <si>
    <t>It</t>
    <phoneticPr fontId="13"/>
  </si>
  <si>
    <r>
      <t>H</t>
    </r>
    <r>
      <rPr>
        <i/>
        <vertAlign val="subscript"/>
        <sz val="10"/>
        <rFont val="Times New Roman"/>
        <family val="1"/>
      </rPr>
      <t>w</t>
    </r>
    <phoneticPr fontId="13"/>
  </si>
  <si>
    <t>風速測定点</t>
    <rPh sb="0" eb="2">
      <t>フウソク</t>
    </rPh>
    <rPh sb="2" eb="4">
      <t>ソクテイ</t>
    </rPh>
    <rPh sb="4" eb="5">
      <t>テン</t>
    </rPh>
    <phoneticPr fontId="13"/>
  </si>
  <si>
    <t>m</t>
    <phoneticPr fontId="13"/>
  </si>
  <si>
    <t>推進剤を除いた機体質量（推進剤＝燃料＋酸化剤）(モータ自体は入れてね)</t>
    <rPh sb="0" eb="3">
      <t>スイシンザイ</t>
    </rPh>
    <rPh sb="4" eb="5">
      <t>ノゾ</t>
    </rPh>
    <rPh sb="7" eb="9">
      <t>キタイ</t>
    </rPh>
    <rPh sb="9" eb="11">
      <t>シツリョウ</t>
    </rPh>
    <rPh sb="12" eb="15">
      <t>スイシンザイ</t>
    </rPh>
    <rPh sb="16" eb="18">
      <t>ネンリョウ</t>
    </rPh>
    <rPh sb="19" eb="22">
      <t>サンカザイ</t>
    </rPh>
    <rPh sb="27" eb="29">
      <t>ジタイ</t>
    </rPh>
    <rPh sb="30" eb="31">
      <t>イ</t>
    </rPh>
    <phoneticPr fontId="13"/>
  </si>
  <si>
    <t>タンク長さ(N2O充填長さ)(外形でいいよ)</t>
    <rPh sb="3" eb="4">
      <t>ナガ</t>
    </rPh>
    <rPh sb="9" eb="11">
      <t>ジュウテン</t>
    </rPh>
    <rPh sb="11" eb="12">
      <t>ナガ</t>
    </rPh>
    <rPh sb="15" eb="17">
      <t>ガイケイ</t>
    </rPh>
    <phoneticPr fontId="13"/>
  </si>
  <si>
    <t>設計値(乾燥)</t>
    <rPh sb="0" eb="3">
      <t>セッケイチ</t>
    </rPh>
    <rPh sb="4" eb="6">
      <t>カンソウ</t>
    </rPh>
    <phoneticPr fontId="13"/>
  </si>
  <si>
    <t>重量</t>
    <rPh sb="0" eb="2">
      <t>ジュウリョウ</t>
    </rPh>
    <phoneticPr fontId="13"/>
  </si>
  <si>
    <t>kg</t>
    <phoneticPr fontId="13"/>
  </si>
  <si>
    <t>mm</t>
    <phoneticPr fontId="13"/>
  </si>
  <si>
    <t>全長</t>
    <rPh sb="0" eb="2">
      <t>ゼンチョウ</t>
    </rPh>
    <phoneticPr fontId="13"/>
  </si>
  <si>
    <t>mm</t>
    <phoneticPr fontId="13"/>
  </si>
  <si>
    <t>秤1[m1,l1]</t>
    <rPh sb="0" eb="1">
      <t>ハカリ</t>
    </rPh>
    <phoneticPr fontId="13"/>
  </si>
  <si>
    <t>秤2[m2,l2]</t>
    <rPh sb="0" eb="1">
      <t>ハカリ</t>
    </rPh>
    <phoneticPr fontId="13"/>
  </si>
  <si>
    <t>[l2]</t>
    <phoneticPr fontId="13"/>
  </si>
  <si>
    <t>乾燥重量[M]</t>
    <rPh sb="0" eb="2">
      <t>カンソウ</t>
    </rPh>
    <rPh sb="2" eb="4">
      <t>ジュウリョウ</t>
    </rPh>
    <phoneticPr fontId="13"/>
  </si>
  <si>
    <t>乾燥重心位置[LG]</t>
    <rPh sb="0" eb="2">
      <t>カンソウ</t>
    </rPh>
    <rPh sb="2" eb="4">
      <t>ジュウシン</t>
    </rPh>
    <rPh sb="4" eb="6">
      <t>イチ</t>
    </rPh>
    <phoneticPr fontId="13"/>
  </si>
  <si>
    <t>重量誤差</t>
    <rPh sb="0" eb="2">
      <t>ジュウリョウ</t>
    </rPh>
    <rPh sb="2" eb="4">
      <t>ゴサ</t>
    </rPh>
    <phoneticPr fontId="13"/>
  </si>
  <si>
    <t>重心誤差</t>
    <rPh sb="0" eb="2">
      <t>ジュウシン</t>
    </rPh>
    <rPh sb="2" eb="4">
      <t>ゴサ</t>
    </rPh>
    <phoneticPr fontId="13"/>
  </si>
  <si>
    <t>回数</t>
    <rPh sb="0" eb="2">
      <t>カイスウ</t>
    </rPh>
    <phoneticPr fontId="13"/>
  </si>
  <si>
    <t>kg</t>
    <phoneticPr fontId="13"/>
  </si>
  <si>
    <t>mm</t>
    <phoneticPr fontId="13"/>
  </si>
  <si>
    <t>%</t>
    <phoneticPr fontId="13"/>
  </si>
  <si>
    <t>平均値</t>
    <rPh sb="0" eb="3">
      <t>ヘイキンチ</t>
    </rPh>
    <phoneticPr fontId="13"/>
  </si>
  <si>
    <t>測定値</t>
    <rPh sb="0" eb="3">
      <t>ソクテイチ</t>
    </rPh>
    <phoneticPr fontId="13"/>
  </si>
  <si>
    <t>誤差[%]</t>
    <rPh sb="0" eb="2">
      <t>ゴサ</t>
    </rPh>
    <phoneticPr fontId="13"/>
  </si>
  <si>
    <t>乾燥重量[kg]</t>
    <rPh sb="0" eb="2">
      <t>カンソウ</t>
    </rPh>
    <rPh sb="2" eb="4">
      <t>ジュウリョウ</t>
    </rPh>
    <phoneticPr fontId="13"/>
  </si>
  <si>
    <t>乾燥重心位置[mm]</t>
    <rPh sb="0" eb="2">
      <t>カンソウ</t>
    </rPh>
    <rPh sb="2" eb="4">
      <t>ジュウシン</t>
    </rPh>
    <rPh sb="4" eb="6">
      <t>イチ</t>
    </rPh>
    <phoneticPr fontId="13"/>
  </si>
  <si>
    <t>ノーズコーンから</t>
    <phoneticPr fontId="13"/>
  </si>
  <si>
    <t>全長[mm]</t>
    <rPh sb="0" eb="2">
      <t>ゼンチョウ</t>
    </rPh>
    <phoneticPr fontId="13"/>
  </si>
  <si>
    <t>kg</t>
    <phoneticPr fontId="13"/>
  </si>
  <si>
    <t>酸化剤質量</t>
    <rPh sb="0" eb="3">
      <t>サンカザイ</t>
    </rPh>
    <rPh sb="3" eb="5">
      <t>シツリョウ</t>
    </rPh>
    <phoneticPr fontId="13"/>
  </si>
  <si>
    <t>燃料重心位置</t>
    <rPh sb="0" eb="2">
      <t>ネンリョウ</t>
    </rPh>
    <rPh sb="2" eb="6">
      <t>ジュウシンイチ</t>
    </rPh>
    <phoneticPr fontId="13"/>
  </si>
  <si>
    <t>mm</t>
    <phoneticPr fontId="13"/>
  </si>
  <si>
    <t>酸化剤重心位置</t>
    <rPh sb="0" eb="3">
      <t>サンカザイ</t>
    </rPh>
    <rPh sb="3" eb="7">
      <t>ジュウシンイチ</t>
    </rPh>
    <phoneticPr fontId="13"/>
  </si>
  <si>
    <t>燃料モーメント</t>
    <rPh sb="0" eb="2">
      <t>ネンリョウ</t>
    </rPh>
    <phoneticPr fontId="13"/>
  </si>
  <si>
    <t>N・m</t>
    <phoneticPr fontId="13"/>
  </si>
  <si>
    <t>酸化剤モーメント</t>
    <rPh sb="0" eb="3">
      <t>サンカザイ</t>
    </rPh>
    <phoneticPr fontId="13"/>
  </si>
  <si>
    <t>N・m</t>
    <phoneticPr fontId="13"/>
  </si>
  <si>
    <t>燃料抜モーメント</t>
    <rPh sb="0" eb="2">
      <t>ネンリョウ</t>
    </rPh>
    <rPh sb="2" eb="3">
      <t>ヌ</t>
    </rPh>
    <phoneticPr fontId="13"/>
  </si>
  <si>
    <t>酸化剤入モーメント</t>
    <rPh sb="0" eb="3">
      <t>サンカザイ</t>
    </rPh>
    <rPh sb="3" eb="4">
      <t>イ</t>
    </rPh>
    <phoneticPr fontId="13"/>
  </si>
  <si>
    <t>燃料抜き重量</t>
    <rPh sb="0" eb="2">
      <t>ネンリョウ</t>
    </rPh>
    <rPh sb="2" eb="3">
      <t>ヌ</t>
    </rPh>
    <rPh sb="4" eb="6">
      <t>ジュウリョウ</t>
    </rPh>
    <phoneticPr fontId="13"/>
  </si>
  <si>
    <t>kg</t>
    <phoneticPr fontId="13"/>
  </si>
  <si>
    <t>酸化剤入り重量</t>
    <rPh sb="0" eb="3">
      <t>サンカザイ</t>
    </rPh>
    <rPh sb="3" eb="4">
      <t>イ</t>
    </rPh>
    <rPh sb="5" eb="7">
      <t>ジュウリョウ</t>
    </rPh>
    <phoneticPr fontId="13"/>
  </si>
  <si>
    <t>乾燥重心</t>
    <rPh sb="0" eb="2">
      <t>カンソウ</t>
    </rPh>
    <rPh sb="2" eb="4">
      <t>ジュウシン</t>
    </rPh>
    <phoneticPr fontId="13"/>
  </si>
  <si>
    <t>mm</t>
    <phoneticPr fontId="13"/>
  </si>
  <si>
    <t>全備重心</t>
    <rPh sb="0" eb="2">
      <t>ゼンビ</t>
    </rPh>
    <rPh sb="2" eb="4">
      <t>ジュウシン</t>
    </rPh>
    <phoneticPr fontId="13"/>
  </si>
  <si>
    <t>ノーズコーンから</t>
    <phoneticPr fontId="13"/>
  </si>
  <si>
    <t>燃焼前後の重心位置のずれ</t>
    <rPh sb="0" eb="2">
      <t>ネンショウ</t>
    </rPh>
    <rPh sb="2" eb="4">
      <t>ゼンゴ</t>
    </rPh>
    <rPh sb="5" eb="9">
      <t>ジュウシンイチ</t>
    </rPh>
    <phoneticPr fontId="13"/>
  </si>
  <si>
    <t>%</t>
    <phoneticPr fontId="13"/>
  </si>
  <si>
    <t>Output</t>
    <phoneticPr fontId="13"/>
  </si>
  <si>
    <t>Item</t>
    <phoneticPr fontId="13"/>
  </si>
  <si>
    <t>Value</t>
    <phoneticPr fontId="13"/>
  </si>
  <si>
    <t>Unit</t>
    <phoneticPr fontId="13"/>
  </si>
  <si>
    <t>機体直径</t>
    <rPh sb="0" eb="2">
      <t>キタイ</t>
    </rPh>
    <rPh sb="2" eb="4">
      <t>チョッケイ</t>
    </rPh>
    <phoneticPr fontId="13"/>
  </si>
  <si>
    <t>d</t>
    <phoneticPr fontId="13"/>
  </si>
  <si>
    <t>ノーズコーン法線力係数</t>
    <phoneticPr fontId="13"/>
  </si>
  <si>
    <t>乾燥</t>
    <rPh sb="0" eb="2">
      <t>カンソウ</t>
    </rPh>
    <phoneticPr fontId="13"/>
  </si>
  <si>
    <t>機体半径</t>
    <rPh sb="0" eb="2">
      <t>キタイ</t>
    </rPh>
    <rPh sb="2" eb="4">
      <t>ハンケイ</t>
    </rPh>
    <phoneticPr fontId="13"/>
  </si>
  <si>
    <t>R</t>
    <phoneticPr fontId="13"/>
  </si>
  <si>
    <t>ノーズコーン圧力中心</t>
    <rPh sb="6" eb="10">
      <t>アツリョクチュウシン</t>
    </rPh>
    <phoneticPr fontId="13"/>
  </si>
  <si>
    <r>
      <t>X</t>
    </r>
    <r>
      <rPr>
        <vertAlign val="subscript"/>
        <sz val="12"/>
        <color theme="1"/>
        <rFont val="ＭＳ Ｐゴシック"/>
        <family val="3"/>
        <charset val="128"/>
        <scheme val="minor"/>
      </rPr>
      <t>n</t>
    </r>
    <phoneticPr fontId="13"/>
  </si>
  <si>
    <t>乾燥直径比</t>
    <rPh sb="0" eb="2">
      <t>カンソウ</t>
    </rPh>
    <rPh sb="2" eb="4">
      <t>チョッケイ</t>
    </rPh>
    <rPh sb="4" eb="5">
      <t>ヒ</t>
    </rPh>
    <phoneticPr fontId="13"/>
  </si>
  <si>
    <t>全長(ノーズ to エンカバ)</t>
    <rPh sb="0" eb="2">
      <t>ゼンチョウ</t>
    </rPh>
    <phoneticPr fontId="13"/>
  </si>
  <si>
    <r>
      <t>L</t>
    </r>
    <r>
      <rPr>
        <vertAlign val="subscript"/>
        <sz val="12"/>
        <color theme="1"/>
        <rFont val="ＭＳ Ｐゴシック"/>
        <family val="3"/>
        <charset val="128"/>
        <scheme val="minor"/>
      </rPr>
      <t>all</t>
    </r>
    <phoneticPr fontId="13"/>
  </si>
  <si>
    <t>乾燥全長比</t>
    <rPh sb="0" eb="2">
      <t>カンソウ</t>
    </rPh>
    <rPh sb="2" eb="4">
      <t>ゼンチョウ</t>
    </rPh>
    <rPh sb="4" eb="5">
      <t>ヒ</t>
    </rPh>
    <phoneticPr fontId="13"/>
  </si>
  <si>
    <t>機体細長比</t>
    <rPh sb="0" eb="2">
      <t>キタイ</t>
    </rPh>
    <rPh sb="2" eb="5">
      <t>ホソナガヒ</t>
    </rPh>
    <phoneticPr fontId="13"/>
  </si>
  <si>
    <t>L/D</t>
    <phoneticPr fontId="13"/>
  </si>
  <si>
    <t>ボートテイル法線力係数</t>
    <phoneticPr fontId="13"/>
  </si>
  <si>
    <t>ボートテイル圧力中心</t>
    <rPh sb="6" eb="10">
      <t>アツリョクチュウシン</t>
    </rPh>
    <phoneticPr fontId="13"/>
  </si>
  <si>
    <t>機体乾燥重心(ノーズから)</t>
    <rPh sb="0" eb="2">
      <t>キタイ</t>
    </rPh>
    <rPh sb="2" eb="6">
      <t>カンソウジュウシン</t>
    </rPh>
    <phoneticPr fontId="13"/>
  </si>
  <si>
    <t>lcgs</t>
    <phoneticPr fontId="13"/>
  </si>
  <si>
    <t>機体全備重心(ノーズから)</t>
    <rPh sb="0" eb="2">
      <t>キタイ</t>
    </rPh>
    <rPh sb="2" eb="4">
      <t>ゼンビ</t>
    </rPh>
    <rPh sb="4" eb="6">
      <t>ジュウシン</t>
    </rPh>
    <phoneticPr fontId="13"/>
  </si>
  <si>
    <t>lcg</t>
    <phoneticPr fontId="13"/>
  </si>
  <si>
    <t>フィン法線力係数(Single)</t>
    <phoneticPr fontId="13"/>
  </si>
  <si>
    <t>機体燃焼終了重心(ノーズから)</t>
    <rPh sb="0" eb="2">
      <t>キタイ</t>
    </rPh>
    <rPh sb="2" eb="4">
      <t>ネンショウ</t>
    </rPh>
    <rPh sb="4" eb="6">
      <t>シュウリョウ</t>
    </rPh>
    <rPh sb="6" eb="8">
      <t>ジュウシン</t>
    </rPh>
    <phoneticPr fontId="13"/>
  </si>
  <si>
    <t>lcga</t>
    <phoneticPr fontId="13"/>
  </si>
  <si>
    <t>フィン干渉係数</t>
    <rPh sb="3" eb="5">
      <t>カンショウ</t>
    </rPh>
    <rPh sb="5" eb="7">
      <t>ケイスウ</t>
    </rPh>
    <phoneticPr fontId="13"/>
  </si>
  <si>
    <r>
      <rPr>
        <sz val="12"/>
        <color theme="1"/>
        <rFont val="ＭＳ Ｐゴシック"/>
        <family val="3"/>
        <charset val="128"/>
        <scheme val="minor"/>
      </rPr>
      <t>K</t>
    </r>
    <r>
      <rPr>
        <vertAlign val="subscript"/>
        <sz val="12"/>
        <color theme="1"/>
        <rFont val="ＭＳ Ｐゴシック"/>
        <family val="3"/>
        <charset val="128"/>
        <scheme val="minor"/>
      </rPr>
      <t>fb</t>
    </r>
    <phoneticPr fontId="13"/>
  </si>
  <si>
    <t>フィン法線力係数</t>
    <phoneticPr fontId="13"/>
  </si>
  <si>
    <t>フィン枚数(3 or 4)</t>
    <rPh sb="3" eb="5">
      <t>マイスウ</t>
    </rPh>
    <phoneticPr fontId="13"/>
  </si>
  <si>
    <t>枚</t>
    <rPh sb="0" eb="1">
      <t>マイ</t>
    </rPh>
    <phoneticPr fontId="13"/>
  </si>
  <si>
    <t>フィン圧力中心</t>
    <rPh sb="3" eb="7">
      <t>アツリョクチュウシン</t>
    </rPh>
    <phoneticPr fontId="13"/>
  </si>
  <si>
    <r>
      <t>X</t>
    </r>
    <r>
      <rPr>
        <vertAlign val="subscript"/>
        <sz val="12"/>
        <color theme="1"/>
        <rFont val="ＭＳ Ｐゴシック"/>
        <family val="3"/>
        <charset val="128"/>
        <scheme val="minor"/>
      </rPr>
      <t>f</t>
    </r>
    <phoneticPr fontId="13"/>
  </si>
  <si>
    <t>フィン翼元前縁位置(エンカバ)</t>
    <rPh sb="3" eb="5">
      <t>ヨクモト</t>
    </rPh>
    <rPh sb="5" eb="7">
      <t>ゼンエン</t>
    </rPh>
    <rPh sb="7" eb="9">
      <t>イチ</t>
    </rPh>
    <phoneticPr fontId="13"/>
  </si>
  <si>
    <t>合成法線力係数</t>
    <rPh sb="0" eb="2">
      <t>ゴウセイ</t>
    </rPh>
    <phoneticPr fontId="13"/>
  </si>
  <si>
    <t>全備</t>
    <rPh sb="0" eb="2">
      <t>ゼンビ</t>
    </rPh>
    <phoneticPr fontId="13"/>
  </si>
  <si>
    <t>フィン翼元前縁位置(ノーズ)</t>
    <rPh sb="3" eb="5">
      <t>ヨクモト</t>
    </rPh>
    <rPh sb="5" eb="7">
      <t>ゼンエン</t>
    </rPh>
    <rPh sb="7" eb="9">
      <t>イチ</t>
    </rPh>
    <phoneticPr fontId="13"/>
  </si>
  <si>
    <t>合成圧力中心</t>
    <rPh sb="0" eb="2">
      <t>ゴウセイ</t>
    </rPh>
    <rPh sb="2" eb="6">
      <t>アツリョクチュウシン</t>
    </rPh>
    <phoneticPr fontId="13"/>
  </si>
  <si>
    <t>m</t>
    <phoneticPr fontId="13"/>
  </si>
  <si>
    <t>フィン寸法(台形フィンのみ対応)CADにて寸法を確認すること</t>
    <rPh sb="3" eb="5">
      <t>スンポウ</t>
    </rPh>
    <rPh sb="6" eb="8">
      <t>ダイケイ</t>
    </rPh>
    <rPh sb="13" eb="15">
      <t>タイオウ</t>
    </rPh>
    <phoneticPr fontId="13"/>
  </si>
  <si>
    <t>a</t>
    <phoneticPr fontId="13"/>
  </si>
  <si>
    <t>翼端翼弦長</t>
    <rPh sb="0" eb="2">
      <t>ヨクタン</t>
    </rPh>
    <rPh sb="2" eb="5">
      <t>ヨクゲンチョウ</t>
    </rPh>
    <phoneticPr fontId="13"/>
  </si>
  <si>
    <t>b</t>
    <phoneticPr fontId="13"/>
  </si>
  <si>
    <t>半スパン</t>
    <rPh sb="0" eb="1">
      <t>ハン</t>
    </rPh>
    <phoneticPr fontId="13"/>
  </si>
  <si>
    <t>S</t>
    <phoneticPr fontId="13"/>
  </si>
  <si>
    <t>翼後縁後退角</t>
    <rPh sb="0" eb="1">
      <t>ヨク</t>
    </rPh>
    <rPh sb="1" eb="3">
      <t>コウエン</t>
    </rPh>
    <rPh sb="3" eb="6">
      <t>コウタイカク</t>
    </rPh>
    <phoneticPr fontId="13"/>
  </si>
  <si>
    <t>l</t>
    <phoneticPr fontId="13"/>
  </si>
  <si>
    <t>燃焼終了</t>
    <rPh sb="0" eb="4">
      <t>ネンショウシュウリョウ</t>
    </rPh>
    <phoneticPr fontId="13"/>
  </si>
  <si>
    <t>ノーズ形状</t>
    <rPh sb="3" eb="5">
      <t>ケイジョウ</t>
    </rPh>
    <phoneticPr fontId="13"/>
  </si>
  <si>
    <t>1：円錐</t>
    <rPh sb="2" eb="4">
      <t>エンスイ</t>
    </rPh>
    <phoneticPr fontId="13"/>
  </si>
  <si>
    <t>2：オジャイブ</t>
    <phoneticPr fontId="13"/>
  </si>
  <si>
    <t>ノーズコーン長さ(テーパ部長さ)</t>
    <rPh sb="6" eb="7">
      <t>ナガ</t>
    </rPh>
    <rPh sb="12" eb="13">
      <t>ブ</t>
    </rPh>
    <rPh sb="13" eb="14">
      <t>ナガ</t>
    </rPh>
    <phoneticPr fontId="13"/>
  </si>
  <si>
    <r>
      <t>L</t>
    </r>
    <r>
      <rPr>
        <vertAlign val="subscript"/>
        <sz val="12"/>
        <color theme="1"/>
        <rFont val="ＭＳ Ｐゴシック"/>
        <family val="3"/>
        <charset val="128"/>
        <scheme val="minor"/>
      </rPr>
      <t>n</t>
    </r>
    <phoneticPr fontId="13"/>
  </si>
  <si>
    <t>ノーズ細長比</t>
    <rPh sb="3" eb="6">
      <t>ホソナガヒ</t>
    </rPh>
    <phoneticPr fontId="13"/>
  </si>
  <si>
    <t>Kn</t>
    <phoneticPr fontId="13"/>
  </si>
  <si>
    <t>ノーズ形状による圧力中心係数</t>
    <rPh sb="3" eb="5">
      <t>ケイジョウ</t>
    </rPh>
    <rPh sb="8" eb="12">
      <t>アツリョクチュウシン</t>
    </rPh>
    <rPh sb="12" eb="14">
      <t>ケイスウ</t>
    </rPh>
    <phoneticPr fontId="13"/>
  </si>
  <si>
    <t>テイル直径</t>
    <rPh sb="3" eb="5">
      <t>チョッケイ</t>
    </rPh>
    <phoneticPr fontId="13"/>
  </si>
  <si>
    <r>
      <t>d</t>
    </r>
    <r>
      <rPr>
        <vertAlign val="subscript"/>
        <sz val="12"/>
        <color theme="1"/>
        <rFont val="ＭＳ Ｐゴシック"/>
        <family val="3"/>
        <charset val="128"/>
        <scheme val="minor"/>
      </rPr>
      <t>br</t>
    </r>
    <phoneticPr fontId="13"/>
  </si>
  <si>
    <t>テイル長さ</t>
    <rPh sb="3" eb="4">
      <t>ナガ</t>
    </rPh>
    <phoneticPr fontId="13"/>
  </si>
  <si>
    <r>
      <t>L</t>
    </r>
    <r>
      <rPr>
        <vertAlign val="subscript"/>
        <sz val="12"/>
        <color theme="1"/>
        <rFont val="ＭＳ Ｐゴシック"/>
        <family val="3"/>
        <charset val="128"/>
        <scheme val="minor"/>
      </rPr>
      <t>cb</t>
    </r>
    <phoneticPr fontId="13"/>
  </si>
  <si>
    <t>断面変化位置</t>
    <rPh sb="0" eb="2">
      <t>ダンメン</t>
    </rPh>
    <rPh sb="2" eb="4">
      <t>ヘンカ</t>
    </rPh>
    <rPh sb="4" eb="6">
      <t>イチ</t>
    </rPh>
    <phoneticPr fontId="13"/>
  </si>
  <si>
    <t>Xt</t>
    <phoneticPr fontId="13"/>
  </si>
  <si>
    <t>L/D</t>
    <phoneticPr fontId="13"/>
  </si>
  <si>
    <t>lcgs</t>
    <phoneticPr fontId="13"/>
  </si>
  <si>
    <t>lcga</t>
    <phoneticPr fontId="13"/>
  </si>
  <si>
    <t>lcg0</t>
    <phoneticPr fontId="13"/>
  </si>
  <si>
    <t>kg・m</t>
    <phoneticPr fontId="13"/>
  </si>
  <si>
    <t>燃焼前燃料</t>
    <rPh sb="0" eb="2">
      <t>ネンショウ</t>
    </rPh>
    <rPh sb="2" eb="3">
      <t>マエ</t>
    </rPh>
    <rPh sb="3" eb="5">
      <t>ネンリョウ</t>
    </rPh>
    <phoneticPr fontId="13"/>
  </si>
  <si>
    <t>燃焼後燃料</t>
    <rPh sb="0" eb="2">
      <t>ネンショウ</t>
    </rPh>
    <rPh sb="2" eb="3">
      <t>ゴ</t>
    </rPh>
    <rPh sb="3" eb="5">
      <t>ネンリョウ</t>
    </rPh>
    <phoneticPr fontId="13"/>
  </si>
  <si>
    <t>モーメント</t>
    <phoneticPr fontId="13"/>
  </si>
  <si>
    <t>空虚</t>
    <rPh sb="0" eb="2">
      <t>クウキョ</t>
    </rPh>
    <phoneticPr fontId="13"/>
  </si>
  <si>
    <t>酸化剤</t>
    <rPh sb="0" eb="3">
      <t>サンカザイ</t>
    </rPh>
    <phoneticPr fontId="13"/>
  </si>
  <si>
    <t>乾燥モーメント</t>
    <rPh sb="0" eb="2">
      <t>カンソウ</t>
    </rPh>
    <phoneticPr fontId="13"/>
  </si>
  <si>
    <t>燃焼終了後</t>
    <rPh sb="0" eb="4">
      <t>ネンショウシュウリョウ</t>
    </rPh>
    <rPh sb="4" eb="5">
      <t>ゴ</t>
    </rPh>
    <phoneticPr fontId="13"/>
  </si>
  <si>
    <t>燃消燃料質量</t>
    <rPh sb="0" eb="1">
      <t>ネン</t>
    </rPh>
    <rPh sb="1" eb="2">
      <t>ケ</t>
    </rPh>
    <rPh sb="2" eb="4">
      <t>ネンリョウ</t>
    </rPh>
    <rPh sb="4" eb="6">
      <t>シツリョウ</t>
    </rPh>
    <phoneticPr fontId="13"/>
  </si>
  <si>
    <t>直径比</t>
    <rPh sb="0" eb="2">
      <t>チョッケイ</t>
    </rPh>
    <rPh sb="2" eb="3">
      <t>ヒ</t>
    </rPh>
    <phoneticPr fontId="13"/>
  </si>
  <si>
    <t>全長比</t>
    <rPh sb="0" eb="2">
      <t>ゼンチョウ</t>
    </rPh>
    <rPh sb="2" eb="3">
      <t>ヒ</t>
    </rPh>
    <phoneticPr fontId="13"/>
  </si>
  <si>
    <t>ボートテイル</t>
    <phoneticPr fontId="13"/>
  </si>
  <si>
    <t>直径比</t>
    <rPh sb="0" eb="3">
      <t>チョッケイヒ</t>
    </rPh>
    <phoneticPr fontId="13"/>
  </si>
  <si>
    <t>テーパ角度</t>
    <rPh sb="3" eb="5">
      <t>カクド</t>
    </rPh>
    <phoneticPr fontId="13"/>
  </si>
  <si>
    <t>deg</t>
    <phoneticPr fontId="13"/>
  </si>
  <si>
    <t>&lt;</t>
    <phoneticPr fontId="13"/>
  </si>
  <si>
    <t>ノーズコーン先端からボディチューブ後端(ボートテイル含む)まで</t>
    <rPh sb="6" eb="8">
      <t>センタン</t>
    </rPh>
    <rPh sb="17" eb="19">
      <t>コウタン</t>
    </rPh>
    <rPh sb="26" eb="27">
      <t>フク</t>
    </rPh>
    <phoneticPr fontId="13"/>
  </si>
  <si>
    <t>燃焼終了重量</t>
    <rPh sb="0" eb="2">
      <t>ネンショウ</t>
    </rPh>
    <rPh sb="2" eb="4">
      <t>シュウリョウ</t>
    </rPh>
    <rPh sb="4" eb="6">
      <t>ジュウリョウ</t>
    </rPh>
    <phoneticPr fontId="13"/>
  </si>
  <si>
    <t>kg</t>
    <phoneticPr fontId="13"/>
  </si>
  <si>
    <t>方位</t>
    <rPh sb="0" eb="2">
      <t>ホウイ</t>
    </rPh>
    <phoneticPr fontId="2"/>
  </si>
  <si>
    <t>ma</t>
    <phoneticPr fontId="13"/>
  </si>
  <si>
    <t>dt</t>
    <phoneticPr fontId="13"/>
  </si>
  <si>
    <t>サンプリングレート</t>
    <phoneticPr fontId="2"/>
  </si>
  <si>
    <t>Hz</t>
    <phoneticPr fontId="13"/>
  </si>
  <si>
    <t>提出の推力履歴のサンプリングレート(100 Hz以上のこと)</t>
    <rPh sb="0" eb="2">
      <t>テイシュツ</t>
    </rPh>
    <rPh sb="3" eb="5">
      <t>スイリョク</t>
    </rPh>
    <rPh sb="5" eb="7">
      <t>リレキ</t>
    </rPh>
    <rPh sb="24" eb="26">
      <t>イジョウ</t>
    </rPh>
    <phoneticPr fontId="13"/>
  </si>
  <si>
    <t>全備重量</t>
    <rPh sb="0" eb="2">
      <t>ゼンビ</t>
    </rPh>
    <rPh sb="2" eb="4">
      <t>ジュウリョウ</t>
    </rPh>
    <phoneticPr fontId="13"/>
  </si>
  <si>
    <t>mb</t>
    <phoneticPr fontId="13"/>
  </si>
  <si>
    <t>kg</t>
    <phoneticPr fontId="13"/>
  </si>
  <si>
    <t>推進剤を除いた機体質量時のピッチ・ヨー方向の慣性モーメント</t>
    <rPh sb="19" eb="21">
      <t>ホウコウ</t>
    </rPh>
    <rPh sb="22" eb="24">
      <t>カンセイ</t>
    </rPh>
    <phoneticPr fontId="13"/>
  </si>
  <si>
    <t>推進剤を除いた機体質量時のロール方向の慣性モーメント</t>
    <rPh sb="16" eb="18">
      <t>ホウコウ</t>
    </rPh>
    <rPh sb="19" eb="21">
      <t>カンセイ</t>
    </rPh>
    <phoneticPr fontId="13"/>
  </si>
  <si>
    <t>Ds</t>
    <phoneticPr fontId="13"/>
  </si>
  <si>
    <t>L</t>
    <phoneticPr fontId="13"/>
  </si>
  <si>
    <r>
      <t>l</t>
    </r>
    <r>
      <rPr>
        <i/>
        <vertAlign val="subscript"/>
        <sz val="10"/>
        <rFont val="Times New Roman"/>
        <family val="1"/>
      </rPr>
      <t>CGS</t>
    </r>
    <phoneticPr fontId="13"/>
  </si>
  <si>
    <t>ノーズコーンApparent Mass</t>
    <phoneticPr fontId="13"/>
  </si>
  <si>
    <t>ボートテイルApparent Mass</t>
    <phoneticPr fontId="13"/>
  </si>
  <si>
    <t>フィンApparent Mass</t>
    <phoneticPr fontId="13"/>
  </si>
  <si>
    <r>
      <t>A</t>
    </r>
    <r>
      <rPr>
        <vertAlign val="subscript"/>
        <sz val="12"/>
        <color theme="1"/>
        <rFont val="ＭＳ Ｐゴシック"/>
        <family val="3"/>
        <charset val="128"/>
        <scheme val="minor"/>
      </rPr>
      <t>22n</t>
    </r>
    <phoneticPr fontId="13"/>
  </si>
  <si>
    <r>
      <t>A</t>
    </r>
    <r>
      <rPr>
        <vertAlign val="subscript"/>
        <sz val="12"/>
        <color theme="1"/>
        <rFont val="ＭＳ Ｐゴシック"/>
        <family val="3"/>
        <charset val="128"/>
        <scheme val="minor"/>
      </rPr>
      <t>22bt</t>
    </r>
    <phoneticPr fontId="13"/>
  </si>
  <si>
    <r>
      <t>X</t>
    </r>
    <r>
      <rPr>
        <vertAlign val="subscript"/>
        <sz val="12"/>
        <color theme="1"/>
        <rFont val="ＭＳ Ｐゴシック"/>
        <family val="3"/>
        <charset val="128"/>
        <scheme val="minor"/>
      </rPr>
      <t>bt</t>
    </r>
    <phoneticPr fontId="13"/>
  </si>
  <si>
    <r>
      <t>A</t>
    </r>
    <r>
      <rPr>
        <vertAlign val="subscript"/>
        <sz val="12"/>
        <color theme="1"/>
        <rFont val="ＭＳ Ｐゴシック"/>
        <family val="3"/>
        <charset val="128"/>
        <scheme val="minor"/>
      </rPr>
      <t>22f</t>
    </r>
    <phoneticPr fontId="13"/>
  </si>
  <si>
    <t>復元モーメント係数</t>
    <rPh sb="0" eb="2">
      <t>フクゲン</t>
    </rPh>
    <rPh sb="7" eb="9">
      <t>ケイスウ</t>
    </rPh>
    <phoneticPr fontId="13"/>
  </si>
  <si>
    <r>
      <t>(C</t>
    </r>
    <r>
      <rPr>
        <vertAlign val="subscript"/>
        <sz val="12"/>
        <color theme="1"/>
        <rFont val="ＭＳ Ｐゴシック"/>
        <family val="2"/>
        <charset val="128"/>
        <scheme val="minor"/>
      </rPr>
      <t>Nα</t>
    </r>
    <r>
      <rPr>
        <sz val="11"/>
        <color theme="1"/>
        <rFont val="ＭＳ Ｐゴシック"/>
        <family val="2"/>
        <charset val="128"/>
        <scheme val="minor"/>
      </rPr>
      <t>)</t>
    </r>
    <r>
      <rPr>
        <vertAlign val="subscript"/>
        <sz val="12"/>
        <color theme="1"/>
        <rFont val="ＭＳ Ｐゴシック"/>
        <family val="3"/>
        <charset val="128"/>
        <scheme val="minor"/>
      </rPr>
      <t>n</t>
    </r>
    <phoneticPr fontId="13"/>
  </si>
  <si>
    <r>
      <t>(C</t>
    </r>
    <r>
      <rPr>
        <vertAlign val="subscript"/>
        <sz val="12"/>
        <color theme="1"/>
        <rFont val="ＭＳ Ｐゴシック"/>
        <family val="2"/>
        <charset val="128"/>
        <scheme val="minor"/>
      </rPr>
      <t>Nα</t>
    </r>
    <r>
      <rPr>
        <sz val="11"/>
        <color theme="1"/>
        <rFont val="ＭＳ Ｐゴシック"/>
        <family val="2"/>
        <charset val="128"/>
        <scheme val="minor"/>
      </rPr>
      <t>)</t>
    </r>
    <r>
      <rPr>
        <vertAlign val="subscript"/>
        <sz val="12"/>
        <color theme="1"/>
        <rFont val="ＭＳ Ｐゴシック"/>
        <family val="3"/>
        <charset val="128"/>
        <scheme val="minor"/>
      </rPr>
      <t>bt</t>
    </r>
    <phoneticPr fontId="13"/>
  </si>
  <si>
    <r>
      <t>(C</t>
    </r>
    <r>
      <rPr>
        <vertAlign val="subscript"/>
        <sz val="12"/>
        <color theme="1"/>
        <rFont val="ＭＳ Ｐゴシック"/>
        <family val="2"/>
        <charset val="128"/>
        <scheme val="minor"/>
      </rPr>
      <t>Nα</t>
    </r>
    <r>
      <rPr>
        <sz val="11"/>
        <color theme="1"/>
        <rFont val="ＭＳ Ｐゴシック"/>
        <family val="2"/>
        <charset val="128"/>
        <scheme val="minor"/>
      </rPr>
      <t>)</t>
    </r>
    <r>
      <rPr>
        <vertAlign val="subscript"/>
        <sz val="12"/>
        <color theme="1"/>
        <rFont val="ＭＳ Ｐゴシック"/>
        <family val="3"/>
        <charset val="128"/>
        <scheme val="minor"/>
      </rPr>
      <t>f</t>
    </r>
    <phoneticPr fontId="13"/>
  </si>
  <si>
    <r>
      <t>(C</t>
    </r>
    <r>
      <rPr>
        <vertAlign val="subscript"/>
        <sz val="12"/>
        <color theme="1"/>
        <rFont val="ＭＳ Ｐゴシック"/>
        <family val="2"/>
        <charset val="128"/>
        <scheme val="minor"/>
      </rPr>
      <t>Nα</t>
    </r>
    <r>
      <rPr>
        <sz val="11"/>
        <color theme="1"/>
        <rFont val="ＭＳ Ｐゴシック"/>
        <family val="2"/>
        <charset val="128"/>
        <scheme val="minor"/>
      </rPr>
      <t>)</t>
    </r>
    <r>
      <rPr>
        <vertAlign val="subscript"/>
        <sz val="12"/>
        <color theme="1"/>
        <rFont val="ＭＳ Ｐゴシック"/>
        <family val="3"/>
        <charset val="128"/>
        <scheme val="minor"/>
      </rPr>
      <t>fb</t>
    </r>
    <phoneticPr fontId="13"/>
  </si>
  <si>
    <t>Pitch/Yaw減衰モーメント係数</t>
    <rPh sb="9" eb="11">
      <t>ゲンスイ</t>
    </rPh>
    <rPh sb="16" eb="18">
      <t>ケイスウ</t>
    </rPh>
    <phoneticPr fontId="13"/>
  </si>
  <si>
    <t>Roll減衰モーメント係数</t>
    <rPh sb="4" eb="6">
      <t>ゲンスイ</t>
    </rPh>
    <rPh sb="11" eb="13">
      <t>ケイスウ</t>
    </rPh>
    <phoneticPr fontId="13"/>
  </si>
  <si>
    <t>rf1</t>
    <phoneticPr fontId="13"/>
  </si>
  <si>
    <t>rf2</t>
    <phoneticPr fontId="13"/>
  </si>
  <si>
    <t>燃料内径</t>
    <rPh sb="0" eb="2">
      <t>ネンリョウ</t>
    </rPh>
    <rPh sb="2" eb="4">
      <t>ナイケイ</t>
    </rPh>
    <phoneticPr fontId="13"/>
  </si>
  <si>
    <t>m</t>
    <phoneticPr fontId="13"/>
  </si>
  <si>
    <t>燃料外径</t>
    <rPh sb="0" eb="2">
      <t>ネンリョウ</t>
    </rPh>
    <rPh sb="2" eb="4">
      <t>ガイケイ</t>
    </rPh>
    <phoneticPr fontId="13"/>
  </si>
  <si>
    <t>燃料内径(燃焼前)</t>
    <rPh sb="0" eb="2">
      <t>ネンリョウ</t>
    </rPh>
    <rPh sb="2" eb="4">
      <t>ナイケイ</t>
    </rPh>
    <rPh sb="5" eb="7">
      <t>ネンショウ</t>
    </rPh>
    <rPh sb="7" eb="8">
      <t>マエ</t>
    </rPh>
    <phoneticPr fontId="13"/>
  </si>
  <si>
    <t>フィングラフ用</t>
    <rPh sb="6" eb="7">
      <t>ヨウ</t>
    </rPh>
    <phoneticPr fontId="13"/>
  </si>
  <si>
    <t>圧力中心</t>
    <rPh sb="0" eb="4">
      <t>アツリョクチュウシン</t>
    </rPh>
    <phoneticPr fontId="13"/>
  </si>
  <si>
    <t>θ2</t>
    <phoneticPr fontId="13"/>
  </si>
  <si>
    <t>deg</t>
    <phoneticPr fontId="13"/>
  </si>
  <si>
    <t>a2</t>
    <phoneticPr fontId="13"/>
  </si>
  <si>
    <t>mm</t>
    <phoneticPr fontId="13"/>
  </si>
  <si>
    <t>a1</t>
    <phoneticPr fontId="13"/>
  </si>
  <si>
    <t>第1後退角</t>
    <rPh sb="0" eb="1">
      <t>ダイ</t>
    </rPh>
    <rPh sb="2" eb="5">
      <t>コウタイカク</t>
    </rPh>
    <phoneticPr fontId="13"/>
  </si>
  <si>
    <t>第1後退長さ</t>
    <rPh sb="0" eb="1">
      <t>ダイ</t>
    </rPh>
    <rPh sb="2" eb="4">
      <t>コウタイ</t>
    </rPh>
    <rPh sb="4" eb="5">
      <t>ナガ</t>
    </rPh>
    <phoneticPr fontId="13"/>
  </si>
  <si>
    <t>θ1</t>
    <phoneticPr fontId="13"/>
  </si>
  <si>
    <t>rad</t>
    <phoneticPr fontId="13"/>
  </si>
  <si>
    <t>擬似翼弦長</t>
    <rPh sb="0" eb="2">
      <t>ギジ</t>
    </rPh>
    <rPh sb="2" eb="5">
      <t>ヨクゲンチョウ</t>
    </rPh>
    <phoneticPr fontId="13"/>
  </si>
  <si>
    <t>deg</t>
    <phoneticPr fontId="13"/>
  </si>
  <si>
    <t>rad</t>
    <phoneticPr fontId="13"/>
  </si>
  <si>
    <t>前縁後退長さ</t>
    <rPh sb="0" eb="2">
      <t>ゼンエン</t>
    </rPh>
    <rPh sb="2" eb="4">
      <t>コウタイ</t>
    </rPh>
    <rPh sb="4" eb="5">
      <t>ナガ</t>
    </rPh>
    <phoneticPr fontId="13"/>
  </si>
  <si>
    <t>擬似寸法</t>
    <rPh sb="0" eb="2">
      <t>ギジ</t>
    </rPh>
    <rPh sb="2" eb="4">
      <t>スンポウ</t>
    </rPh>
    <phoneticPr fontId="13"/>
  </si>
  <si>
    <t>Sw</t>
    <phoneticPr fontId="13"/>
  </si>
  <si>
    <t>mm^2</t>
    <phoneticPr fontId="13"/>
  </si>
  <si>
    <t>アスペクト比</t>
    <rPh sb="5" eb="6">
      <t>ヒ</t>
    </rPh>
    <phoneticPr fontId="13"/>
  </si>
  <si>
    <t>Aw</t>
    <phoneticPr fontId="13"/>
  </si>
  <si>
    <t>テーパ比</t>
    <rPh sb="3" eb="4">
      <t>ヒ</t>
    </rPh>
    <phoneticPr fontId="13"/>
  </si>
  <si>
    <t>AR</t>
    <phoneticPr fontId="13"/>
  </si>
  <si>
    <t>空力平均翼弦位置</t>
    <rPh sb="0" eb="4">
      <t>クウリキヘイキン</t>
    </rPh>
    <rPh sb="4" eb="6">
      <t>ヨクゲン</t>
    </rPh>
    <rPh sb="6" eb="8">
      <t>イチ</t>
    </rPh>
    <phoneticPr fontId="13"/>
  </si>
  <si>
    <t>空力平均翼弦</t>
    <rPh sb="0" eb="2">
      <t>クウリキ</t>
    </rPh>
    <rPh sb="2" eb="4">
      <t>ヘイキン</t>
    </rPh>
    <rPh sb="4" eb="6">
      <t>ヨクゲン</t>
    </rPh>
    <phoneticPr fontId="13"/>
  </si>
  <si>
    <t>MAC</t>
    <phoneticPr fontId="13"/>
  </si>
  <si>
    <t>X_MAC</t>
    <phoneticPr fontId="13"/>
  </si>
  <si>
    <t>mm</t>
    <phoneticPr fontId="13"/>
  </si>
  <si>
    <t>λ</t>
    <phoneticPr fontId="13"/>
  </si>
  <si>
    <t>翼厚</t>
    <rPh sb="0" eb="2">
      <t>ヨクアツ</t>
    </rPh>
    <phoneticPr fontId="13"/>
  </si>
  <si>
    <t>t</t>
    <phoneticPr fontId="13"/>
  </si>
  <si>
    <t>t/c</t>
    <phoneticPr fontId="13"/>
  </si>
  <si>
    <t>%</t>
    <phoneticPr fontId="13"/>
  </si>
  <si>
    <t>有効アスペクト比</t>
    <rPh sb="0" eb="2">
      <t>ユウコウ</t>
    </rPh>
    <rPh sb="7" eb="8">
      <t>ヒ</t>
    </rPh>
    <phoneticPr fontId="13"/>
  </si>
  <si>
    <t>ARe</t>
    <phoneticPr fontId="13"/>
  </si>
  <si>
    <t>翼厚比_MAC</t>
    <rPh sb="0" eb="3">
      <t>ヨクアツヒ</t>
    </rPh>
    <phoneticPr fontId="13"/>
  </si>
  <si>
    <t>翼厚比_翼根翼弦長</t>
    <rPh sb="0" eb="3">
      <t>ヨクアツヒ</t>
    </rPh>
    <rPh sb="4" eb="5">
      <t>ヨク</t>
    </rPh>
    <rPh sb="5" eb="6">
      <t>ネ</t>
    </rPh>
    <rPh sb="6" eb="9">
      <t>ヨクゲンチョウ</t>
    </rPh>
    <phoneticPr fontId="13"/>
  </si>
  <si>
    <t>翼根翼弦長</t>
    <rPh sb="0" eb="1">
      <t>ツバサ</t>
    </rPh>
    <rPh sb="1" eb="2">
      <t>ネ</t>
    </rPh>
    <rPh sb="2" eb="5">
      <t>ヨクゲンチョウ</t>
    </rPh>
    <phoneticPr fontId="13"/>
  </si>
  <si>
    <t>翼面積</t>
    <rPh sb="0" eb="3">
      <t>ヨクメンセキ</t>
    </rPh>
    <phoneticPr fontId="13"/>
  </si>
  <si>
    <t>rad^-1</t>
    <phoneticPr fontId="13"/>
  </si>
  <si>
    <t>画面解像度：FullHD以上を推奨</t>
    <rPh sb="0" eb="5">
      <t>ガメンカイゾウド</t>
    </rPh>
    <rPh sb="12" eb="14">
      <t>イジョウ</t>
    </rPh>
    <rPh sb="15" eb="17">
      <t>スイショウ</t>
    </rPh>
    <phoneticPr fontId="13"/>
  </si>
  <si>
    <t>V</t>
    <phoneticPr fontId="13"/>
  </si>
  <si>
    <t>Cd</t>
    <phoneticPr fontId="13"/>
  </si>
  <si>
    <t>抗力係数</t>
    <rPh sb="0" eb="2">
      <t>コウリョク</t>
    </rPh>
    <rPh sb="2" eb="4">
      <t>ケイスウ</t>
    </rPh>
    <phoneticPr fontId="13"/>
  </si>
  <si>
    <t>最高速度</t>
    <rPh sb="0" eb="4">
      <t>サイコウソクド</t>
    </rPh>
    <phoneticPr fontId="13"/>
  </si>
  <si>
    <t>m/s</t>
    <phoneticPr fontId="13"/>
  </si>
  <si>
    <t>M</t>
    <phoneticPr fontId="13"/>
  </si>
  <si>
    <t>気温</t>
    <rPh sb="0" eb="2">
      <t>キオン</t>
    </rPh>
    <phoneticPr fontId="13"/>
  </si>
  <si>
    <t>degC</t>
    <phoneticPr fontId="13"/>
  </si>
  <si>
    <t>T</t>
    <phoneticPr fontId="13"/>
  </si>
  <si>
    <t>静粘性係数</t>
    <rPh sb="0" eb="5">
      <t>セイネンセイケイスウ</t>
    </rPh>
    <phoneticPr fontId="13"/>
  </si>
  <si>
    <t>μ</t>
    <phoneticPr fontId="13"/>
  </si>
  <si>
    <t>ν</t>
    <phoneticPr fontId="13"/>
  </si>
  <si>
    <t>動粘性係数</t>
    <rPh sb="0" eb="5">
      <t>ドウネンセイケイスウ</t>
    </rPh>
    <phoneticPr fontId="13"/>
  </si>
  <si>
    <t>kg/s・m</t>
    <phoneticPr fontId="13"/>
  </si>
  <si>
    <t>m^2/s</t>
    <phoneticPr fontId="13"/>
  </si>
  <si>
    <t>Re</t>
    <phoneticPr fontId="13"/>
  </si>
  <si>
    <t>レイノルズ数</t>
    <rPh sb="5" eb="6">
      <t>スウ</t>
    </rPh>
    <phoneticPr fontId="13"/>
  </si>
  <si>
    <t>Cf</t>
    <phoneticPr fontId="13"/>
  </si>
  <si>
    <t>摩擦係数</t>
    <rPh sb="0" eb="4">
      <t>マサツケイスウ</t>
    </rPh>
    <phoneticPr fontId="13"/>
  </si>
  <si>
    <t>ボディー濡面積</t>
    <rPh sb="4" eb="7">
      <t>ヌレメンセキ</t>
    </rPh>
    <phoneticPr fontId="13"/>
  </si>
  <si>
    <t>ベース抵抗(ボートテイル)</t>
    <rPh sb="3" eb="5">
      <t>テイコウ</t>
    </rPh>
    <phoneticPr fontId="13"/>
  </si>
  <si>
    <t>ノーズ+ボディ抵抗</t>
    <rPh sb="7" eb="9">
      <t>テイコウ</t>
    </rPh>
    <phoneticPr fontId="13"/>
  </si>
  <si>
    <t>ノーズ+ボディ摩擦係数</t>
    <rPh sb="7" eb="11">
      <t>マサツケイスウ</t>
    </rPh>
    <phoneticPr fontId="13"/>
  </si>
  <si>
    <t>L</t>
    <phoneticPr fontId="13"/>
  </si>
  <si>
    <t>CL</t>
    <phoneticPr fontId="13"/>
  </si>
  <si>
    <t>Cdi</t>
    <phoneticPr fontId="13"/>
  </si>
  <si>
    <t>フィン摩擦のみ</t>
    <rPh sb="3" eb="5">
      <t>マサツ</t>
    </rPh>
    <phoneticPr fontId="13"/>
  </si>
  <si>
    <t>Cdf</t>
    <phoneticPr fontId="13"/>
  </si>
  <si>
    <t>フィン抵抗</t>
    <rPh sb="3" eb="5">
      <t>テイコウ</t>
    </rPh>
    <phoneticPr fontId="13"/>
  </si>
  <si>
    <t>干渉抵抗</t>
    <rPh sb="0" eb="2">
      <t>カンショウ</t>
    </rPh>
    <rPh sb="2" eb="4">
      <t>テイコウ</t>
    </rPh>
    <phoneticPr fontId="13"/>
  </si>
  <si>
    <t>揚力</t>
    <rPh sb="0" eb="2">
      <t>ヨウリョク</t>
    </rPh>
    <phoneticPr fontId="13"/>
  </si>
  <si>
    <t>揚力係数</t>
    <rPh sb="0" eb="2">
      <t>ヨウリョク</t>
    </rPh>
    <rPh sb="2" eb="4">
      <t>ケイスウ</t>
    </rPh>
    <phoneticPr fontId="13"/>
  </si>
  <si>
    <t>フィン誘導抵抗</t>
    <rPh sb="3" eb="5">
      <t>ユウドウ</t>
    </rPh>
    <rPh sb="5" eb="7">
      <t>テイコウ</t>
    </rPh>
    <phoneticPr fontId="13"/>
  </si>
  <si>
    <t>フィン摩擦抵抗</t>
    <rPh sb="3" eb="5">
      <t>マサツ</t>
    </rPh>
    <rPh sb="5" eb="7">
      <t>テイコウ</t>
    </rPh>
    <phoneticPr fontId="13"/>
  </si>
  <si>
    <t>Cff</t>
    <phoneticPr fontId="13"/>
  </si>
  <si>
    <t>Cdb</t>
    <phoneticPr fontId="13"/>
  </si>
  <si>
    <t>合成抗力係数</t>
    <rPh sb="0" eb="2">
      <t>ゴウセイ</t>
    </rPh>
    <rPh sb="2" eb="4">
      <t>コウリョク</t>
    </rPh>
    <rPh sb="4" eb="6">
      <t>ケイスウ</t>
    </rPh>
    <phoneticPr fontId="13"/>
  </si>
  <si>
    <t>抗力係数推算</t>
    <rPh sb="0" eb="2">
      <t>コウリョク</t>
    </rPh>
    <rPh sb="2" eb="4">
      <t>ケイスウ</t>
    </rPh>
    <rPh sb="4" eb="6">
      <t>スイサン</t>
    </rPh>
    <phoneticPr fontId="13"/>
  </si>
  <si>
    <t>前縁後退角</t>
    <rPh sb="0" eb="2">
      <t>ゼンエン</t>
    </rPh>
    <rPh sb="2" eb="5">
      <t>コウタイカク</t>
    </rPh>
    <phoneticPr fontId="13"/>
  </si>
  <si>
    <t>rad</t>
    <phoneticPr fontId="13"/>
  </si>
  <si>
    <t>cr</t>
    <phoneticPr fontId="13"/>
  </si>
  <si>
    <t>ct</t>
    <phoneticPr fontId="13"/>
  </si>
  <si>
    <t>空気力学的翼端翼弦長</t>
    <rPh sb="0" eb="4">
      <t>クウキリキガク</t>
    </rPh>
    <rPh sb="4" eb="5">
      <t>テキ</t>
    </rPh>
    <rPh sb="5" eb="7">
      <t>ヨクタン</t>
    </rPh>
    <rPh sb="7" eb="10">
      <t>ヨクゲンチョウ</t>
    </rPh>
    <phoneticPr fontId="13"/>
  </si>
  <si>
    <t>空気力学的翼根翼弦長</t>
    <rPh sb="0" eb="4">
      <t>クウキリキガク</t>
    </rPh>
    <rPh sb="4" eb="5">
      <t>テキ</t>
    </rPh>
    <rPh sb="5" eb="6">
      <t>ヨク</t>
    </rPh>
    <rPh sb="6" eb="7">
      <t>ネ</t>
    </rPh>
    <rPh sb="7" eb="10">
      <t>ヨクゲンチョウ</t>
    </rPh>
    <phoneticPr fontId="13"/>
  </si>
  <si>
    <t>χ</t>
    <phoneticPr fontId="13"/>
  </si>
  <si>
    <r>
      <rPr>
        <i/>
        <sz val="24"/>
        <color rgb="FFFF0000"/>
        <rFont val="メイリオ"/>
        <family val="3"/>
        <charset val="128"/>
      </rPr>
      <t>成立仮定！！</t>
    </r>
    <r>
      <rPr>
        <i/>
        <sz val="20"/>
        <color theme="1"/>
        <rFont val="メイリオ"/>
        <family val="3"/>
        <charset val="128"/>
      </rPr>
      <t xml:space="preserve">
・機体直径に対して充分に長いこと(細長い)
・薄い平板翼であること
・飛翔速度が音速以下であること
・迎角が小さいこと
・気流が急激に変化しないこと
・飛翔速度が15 m/sを超えていること</t>
    </r>
    <rPh sb="0" eb="2">
      <t>セイリツ</t>
    </rPh>
    <rPh sb="2" eb="4">
      <t>カテイ</t>
    </rPh>
    <rPh sb="8" eb="10">
      <t>キタイ</t>
    </rPh>
    <rPh sb="10" eb="12">
      <t>チョッケイ</t>
    </rPh>
    <rPh sb="13" eb="14">
      <t>タイ</t>
    </rPh>
    <rPh sb="16" eb="18">
      <t>ジュウブン</t>
    </rPh>
    <rPh sb="19" eb="20">
      <t>ナガ</t>
    </rPh>
    <rPh sb="24" eb="26">
      <t>ホソナガ</t>
    </rPh>
    <rPh sb="30" eb="31">
      <t>ウス</t>
    </rPh>
    <rPh sb="32" eb="34">
      <t>ヘイバン</t>
    </rPh>
    <rPh sb="34" eb="35">
      <t>ヨク</t>
    </rPh>
    <rPh sb="42" eb="44">
      <t>ヒショウ</t>
    </rPh>
    <rPh sb="44" eb="46">
      <t>ソクド</t>
    </rPh>
    <rPh sb="47" eb="49">
      <t>オンソク</t>
    </rPh>
    <rPh sb="49" eb="51">
      <t>イカ</t>
    </rPh>
    <rPh sb="58" eb="60">
      <t>ムカエカク</t>
    </rPh>
    <rPh sb="61" eb="62">
      <t>チイ</t>
    </rPh>
    <rPh sb="68" eb="70">
      <t>キリュウ</t>
    </rPh>
    <rPh sb="71" eb="73">
      <t>キュウゲキ</t>
    </rPh>
    <rPh sb="74" eb="76">
      <t>ヘンカ</t>
    </rPh>
    <rPh sb="83" eb="87">
      <t>ヒショウソクド</t>
    </rPh>
    <rPh sb="95" eb="96">
      <t>コ</t>
    </rPh>
    <phoneticPr fontId="13"/>
  </si>
  <si>
    <t>t/c</t>
    <phoneticPr fontId="13"/>
  </si>
  <si>
    <t>翼厚比_翼端翼弦長</t>
    <rPh sb="0" eb="3">
      <t>ヨクアツヒ</t>
    </rPh>
    <rPh sb="4" eb="6">
      <t>ヨクタン</t>
    </rPh>
    <rPh sb="6" eb="9">
      <t>ヨクゲンチョウ</t>
    </rPh>
    <phoneticPr fontId="13"/>
  </si>
  <si>
    <t>空気力学的考察(翼のみとして)</t>
    <rPh sb="0" eb="4">
      <t>クウキリキガク</t>
    </rPh>
    <rPh sb="4" eb="5">
      <t>テキ</t>
    </rPh>
    <rPh sb="5" eb="7">
      <t>コウサツ</t>
    </rPh>
    <rPh sb="8" eb="9">
      <t>ヨク</t>
    </rPh>
    <phoneticPr fontId="13"/>
  </si>
  <si>
    <t>乾燥質量</t>
    <rPh sb="0" eb="2">
      <t>カンソウ</t>
    </rPh>
    <rPh sb="2" eb="4">
      <t>シツリョウ</t>
    </rPh>
    <phoneticPr fontId="13"/>
  </si>
  <si>
    <t>ms</t>
    <phoneticPr fontId="13"/>
  </si>
  <si>
    <t>kg</t>
    <phoneticPr fontId="13"/>
  </si>
  <si>
    <t>できるだけ長く</t>
    <rPh sb="5" eb="6">
      <t>ナガ</t>
    </rPh>
    <phoneticPr fontId="13"/>
  </si>
  <si>
    <t>lf</t>
    <phoneticPr fontId="13"/>
  </si>
  <si>
    <t>燃料長さ</t>
    <rPh sb="0" eb="2">
      <t>ネンリョウ</t>
    </rPh>
    <rPh sb="2" eb="3">
      <t>ナガ</t>
    </rPh>
    <phoneticPr fontId="13"/>
  </si>
  <si>
    <r>
      <t>m</t>
    </r>
    <r>
      <rPr>
        <i/>
        <vertAlign val="subscript"/>
        <sz val="10"/>
        <rFont val="Times New Roman"/>
        <family val="1"/>
      </rPr>
      <t>release</t>
    </r>
    <phoneticPr fontId="13"/>
  </si>
  <si>
    <r>
      <t>t</t>
    </r>
    <r>
      <rPr>
        <i/>
        <vertAlign val="subscript"/>
        <sz val="10"/>
        <rFont val="Times New Roman"/>
        <family val="1"/>
      </rPr>
      <t>release</t>
    </r>
    <phoneticPr fontId="13"/>
  </si>
  <si>
    <t>リリース質量</t>
    <rPh sb="4" eb="6">
      <t>シツリョウ</t>
    </rPh>
    <phoneticPr fontId="13"/>
  </si>
  <si>
    <r>
      <t>C</t>
    </r>
    <r>
      <rPr>
        <i/>
        <vertAlign val="subscript"/>
        <sz val="10"/>
        <rFont val="Times New Roman"/>
        <family val="1"/>
      </rPr>
      <t>D</t>
    </r>
    <r>
      <rPr>
        <i/>
        <sz val="10"/>
        <rFont val="Times New Roman"/>
        <family val="1"/>
      </rPr>
      <t>S</t>
    </r>
    <r>
      <rPr>
        <i/>
        <vertAlign val="subscript"/>
        <sz val="10"/>
        <rFont val="Times New Roman"/>
        <family val="1"/>
      </rPr>
      <t>release</t>
    </r>
    <phoneticPr fontId="13"/>
  </si>
  <si>
    <t>リリースタイミング</t>
    <phoneticPr fontId="13"/>
  </si>
  <si>
    <t>kg</t>
    <phoneticPr fontId="13"/>
  </si>
  <si>
    <t>リリースパラシュート抗力特性</t>
    <rPh sb="10" eb="12">
      <t>コウリョク</t>
    </rPh>
    <rPh sb="12" eb="14">
      <t>トクセイ</t>
    </rPh>
    <phoneticPr fontId="2"/>
  </si>
  <si>
    <t>2段目分離から何秒後にリリースするか(同時ならば0 sec)</t>
    <rPh sb="1" eb="3">
      <t>ダンメ</t>
    </rPh>
    <rPh sb="3" eb="5">
      <t>ブンリ</t>
    </rPh>
    <rPh sb="7" eb="10">
      <t>ナンビョウゴ</t>
    </rPh>
    <rPh sb="19" eb="21">
      <t>ドウジ</t>
    </rPh>
    <phoneticPr fontId="13"/>
  </si>
  <si>
    <t>1段目パラシュート抗力特性（風洞試験，過去の実験から求めた数値）</t>
    <rPh sb="1" eb="3">
      <t>ダンメ</t>
    </rPh>
    <rPh sb="9" eb="11">
      <t>コウリョク</t>
    </rPh>
    <rPh sb="11" eb="13">
      <t>トクセイ</t>
    </rPh>
    <rPh sb="14" eb="16">
      <t>フウドウ</t>
    </rPh>
    <rPh sb="16" eb="18">
      <t>シケン</t>
    </rPh>
    <rPh sb="19" eb="21">
      <t>カコ</t>
    </rPh>
    <rPh sb="22" eb="24">
      <t>ジッケン</t>
    </rPh>
    <rPh sb="26" eb="27">
      <t>モト</t>
    </rPh>
    <rPh sb="29" eb="31">
      <t>スウチ</t>
    </rPh>
    <phoneticPr fontId="13"/>
  </si>
  <si>
    <t>2段目パラシュート抗力特性（風洞試験，過去の実験から求めた数値）</t>
    <rPh sb="1" eb="3">
      <t>ダンメ</t>
    </rPh>
    <rPh sb="9" eb="13">
      <t>コウリョクトクセイ</t>
    </rPh>
    <rPh sb="14" eb="16">
      <t>フウドウ</t>
    </rPh>
    <rPh sb="16" eb="18">
      <t>シケン</t>
    </rPh>
    <rPh sb="19" eb="21">
      <t>カコ</t>
    </rPh>
    <rPh sb="22" eb="24">
      <t>ジッケン</t>
    </rPh>
    <rPh sb="26" eb="27">
      <t>モト</t>
    </rPh>
    <rPh sb="29" eb="31">
      <t>スウチ</t>
    </rPh>
    <phoneticPr fontId="13"/>
  </si>
  <si>
    <t>リリースパラシュート抗力特性（風洞試験，過去の実験から求めた数値）</t>
    <rPh sb="10" eb="14">
      <t>コウリョクトクセイ</t>
    </rPh>
    <rPh sb="15" eb="17">
      <t>フウドウ</t>
    </rPh>
    <rPh sb="17" eb="19">
      <t>シケン</t>
    </rPh>
    <rPh sb="20" eb="22">
      <t>カコ</t>
    </rPh>
    <rPh sb="23" eb="25">
      <t>ジッケン</t>
    </rPh>
    <rPh sb="27" eb="28">
      <t>モト</t>
    </rPh>
    <rPh sb="30" eb="32">
      <t>スウチ</t>
    </rPh>
    <phoneticPr fontId="13"/>
  </si>
  <si>
    <t>lcp</t>
    <phoneticPr fontId="13"/>
  </si>
  <si>
    <r>
      <t>C</t>
    </r>
    <r>
      <rPr>
        <vertAlign val="subscript"/>
        <sz val="12"/>
        <color theme="5"/>
        <rFont val="ＭＳ Ｐゴシック"/>
        <family val="3"/>
        <charset val="128"/>
        <scheme val="minor"/>
      </rPr>
      <t>lp</t>
    </r>
    <phoneticPr fontId="13"/>
  </si>
  <si>
    <r>
      <t>C</t>
    </r>
    <r>
      <rPr>
        <vertAlign val="subscript"/>
        <sz val="12"/>
        <color theme="5"/>
        <rFont val="ＭＳ Ｐゴシック"/>
        <family val="3"/>
        <charset val="128"/>
        <scheme val="minor"/>
      </rPr>
      <t>mq</t>
    </r>
    <phoneticPr fontId="13"/>
  </si>
  <si>
    <t>抗力係数</t>
    <rPh sb="0" eb="4">
      <t>コウリョクケイスウ</t>
    </rPh>
    <phoneticPr fontId="13"/>
  </si>
  <si>
    <r>
      <t>C</t>
    </r>
    <r>
      <rPr>
        <vertAlign val="subscript"/>
        <sz val="12"/>
        <color theme="5"/>
        <rFont val="ＭＳ Ｐゴシック"/>
        <family val="3"/>
        <charset val="128"/>
        <scheme val="minor"/>
      </rPr>
      <t>D</t>
    </r>
    <phoneticPr fontId="13"/>
  </si>
  <si>
    <r>
      <t>C</t>
    </r>
    <r>
      <rPr>
        <vertAlign val="subscript"/>
        <sz val="12"/>
        <color theme="5"/>
        <rFont val="ＭＳ Ｐゴシック"/>
        <family val="3"/>
        <charset val="128"/>
        <scheme val="minor"/>
      </rPr>
      <t>Nα</t>
    </r>
    <phoneticPr fontId="13"/>
  </si>
  <si>
    <t>mm</t>
    <phoneticPr fontId="13"/>
  </si>
  <si>
    <t>CP-CG</t>
    <phoneticPr fontId="13"/>
  </si>
  <si>
    <t>mm</t>
    <phoneticPr fontId="13"/>
  </si>
  <si>
    <t>lcp</t>
    <phoneticPr fontId="13"/>
  </si>
  <si>
    <t>-</t>
    <phoneticPr fontId="13"/>
  </si>
  <si>
    <t>rad^-1</t>
    <phoneticPr fontId="13"/>
  </si>
  <si>
    <t>Apparent Mass</t>
    <phoneticPr fontId="13"/>
  </si>
  <si>
    <r>
      <t>A</t>
    </r>
    <r>
      <rPr>
        <vertAlign val="subscript"/>
        <sz val="12"/>
        <color theme="1"/>
        <rFont val="ＭＳ Ｐゴシック"/>
        <family val="3"/>
        <charset val="128"/>
        <scheme val="minor"/>
      </rPr>
      <t>22</t>
    </r>
    <phoneticPr fontId="13"/>
  </si>
  <si>
    <t>Cs</t>
    <phoneticPr fontId="13"/>
  </si>
  <si>
    <t>Fst</t>
    <phoneticPr fontId="13"/>
  </si>
  <si>
    <t>Cs</t>
    <phoneticPr fontId="13"/>
  </si>
  <si>
    <t>Fst</t>
    <phoneticPr fontId="13"/>
  </si>
  <si>
    <r>
      <t>C</t>
    </r>
    <r>
      <rPr>
        <vertAlign val="subscript"/>
        <sz val="12"/>
        <rFont val="ＭＳ Ｐゴシック"/>
        <family val="3"/>
        <charset val="128"/>
        <scheme val="minor"/>
      </rPr>
      <t>mα</t>
    </r>
    <phoneticPr fontId="13"/>
  </si>
  <si>
    <r>
      <t>C</t>
    </r>
    <r>
      <rPr>
        <vertAlign val="subscript"/>
        <sz val="12"/>
        <rFont val="ＭＳ Ｐゴシック"/>
        <family val="3"/>
        <charset val="128"/>
        <scheme val="minor"/>
      </rPr>
      <t>mq</t>
    </r>
    <phoneticPr fontId="13"/>
  </si>
  <si>
    <t>GUI Plot</t>
    <phoneticPr fontId="13"/>
  </si>
  <si>
    <t>ノーズ</t>
    <phoneticPr fontId="13"/>
  </si>
  <si>
    <t>x</t>
    <phoneticPr fontId="13"/>
  </si>
  <si>
    <t>y</t>
    <phoneticPr fontId="13"/>
  </si>
  <si>
    <t>x</t>
    <phoneticPr fontId="13"/>
  </si>
  <si>
    <t>y</t>
    <phoneticPr fontId="13"/>
  </si>
  <si>
    <t>ボディ</t>
    <phoneticPr fontId="13"/>
  </si>
  <si>
    <t>ボートテイル</t>
    <phoneticPr fontId="13"/>
  </si>
  <si>
    <t>x</t>
    <phoneticPr fontId="13"/>
  </si>
  <si>
    <t>y</t>
    <phoneticPr fontId="13"/>
  </si>
  <si>
    <t>CDWグラフ</t>
    <phoneticPr fontId="13"/>
  </si>
  <si>
    <t>x</t>
    <phoneticPr fontId="13"/>
  </si>
  <si>
    <t>y</t>
    <phoneticPr fontId="13"/>
  </si>
  <si>
    <t>フィン1</t>
    <phoneticPr fontId="13"/>
  </si>
  <si>
    <t>x</t>
    <phoneticPr fontId="13"/>
  </si>
  <si>
    <t>y</t>
    <phoneticPr fontId="13"/>
  </si>
  <si>
    <t>フィン2</t>
    <phoneticPr fontId="13"/>
  </si>
  <si>
    <t>ロケット空力設計シート　Ver.3.0</t>
    <rPh sb="4" eb="6">
      <t>クウリキ</t>
    </rPh>
    <rPh sb="6" eb="8">
      <t>セッケイ</t>
    </rPh>
    <phoneticPr fontId="13"/>
  </si>
  <si>
    <t>重心</t>
    <rPh sb="0" eb="2">
      <t>ジュウシン</t>
    </rPh>
    <phoneticPr fontId="13"/>
  </si>
  <si>
    <t>レール滑走長</t>
    <rPh sb="3" eb="5">
      <t>カッソウ</t>
    </rPh>
    <rPh sb="5" eb="6">
      <t>チョウ</t>
    </rPh>
    <phoneticPr fontId="13"/>
  </si>
  <si>
    <r>
      <rPr>
        <strike/>
        <sz val="11"/>
        <color theme="1"/>
        <rFont val="ＭＳ Ｐゴシック"/>
        <family val="3"/>
        <charset val="128"/>
        <scheme val="minor"/>
      </rPr>
      <t>1段目分離時間（頂点分離なら記入せず）</t>
    </r>
    <r>
      <rPr>
        <sz val="11"/>
        <color theme="1"/>
        <rFont val="ＭＳ Ｐゴシック"/>
        <family val="2"/>
        <charset val="128"/>
        <scheme val="minor"/>
      </rPr>
      <t>←現状記入しても頂点分離</t>
    </r>
    <rPh sb="1" eb="3">
      <t>ダンメ</t>
    </rPh>
    <rPh sb="3" eb="5">
      <t>ブンリ</t>
    </rPh>
    <rPh sb="5" eb="7">
      <t>ジカン</t>
    </rPh>
    <rPh sb="8" eb="10">
      <t>チョウテン</t>
    </rPh>
    <rPh sb="10" eb="12">
      <t>ブンリ</t>
    </rPh>
    <rPh sb="14" eb="16">
      <t>キニュウ</t>
    </rPh>
    <rPh sb="20" eb="22">
      <t>ゲンジョウ</t>
    </rPh>
    <rPh sb="22" eb="24">
      <t>キニュウ</t>
    </rPh>
    <rPh sb="27" eb="29">
      <t>チョウテン</t>
    </rPh>
    <rPh sb="29" eb="31">
      <t>ブンリ</t>
    </rPh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</si>
</sst>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76" formatCode="0.00_ "/>
    <numFmt numFmtId="177" formatCode="0.0_ "/>
    <numFmt numFmtId="178" formatCode="0.000"/>
    <numFmt numFmtId="179" formatCode="0.0"/>
    <numFmt numFmtId="180" formatCode="0.0000_);[Red]\(0.0000\)"/>
    <numFmt numFmtId="181" formatCode="0.000_ "/>
    <numFmt numFmtId="182" formatCode="0.000000_ "/>
    <numFmt numFmtId="183" formatCode="0.0000_ "/>
  </numFmts>
  <fonts count="42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i/>
      <sz val="10"/>
      <name val="Times New Roman"/>
      <family val="1"/>
    </font>
    <font>
      <i/>
      <vertAlign val="subscript"/>
      <sz val="10"/>
      <name val="Times New Roman"/>
      <family val="1"/>
    </font>
    <font>
      <sz val="8"/>
      <name val="ＭＳ Ｐゴシック"/>
      <family val="3"/>
      <charset val="128"/>
    </font>
    <font>
      <vertAlign val="superscript"/>
      <sz val="8"/>
      <name val="ＭＳ Ｐゴシック"/>
      <family val="3"/>
      <charset val="128"/>
    </font>
    <font>
      <i/>
      <sz val="10"/>
      <name val="ＭＳ Ｐ明朝"/>
      <family val="1"/>
      <charset val="128"/>
    </font>
    <font>
      <i/>
      <vertAlign val="subscript"/>
      <sz val="10"/>
      <name val="ＭＳ Ｐ明朝"/>
      <family val="1"/>
      <charset val="128"/>
    </font>
    <font>
      <b/>
      <sz val="11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i/>
      <sz val="8"/>
      <name val="Times New Roman"/>
      <family val="1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7.5"/>
      <color rgb="FF000000"/>
      <name val="MS PGothic"/>
      <family val="3"/>
    </font>
    <font>
      <sz val="11"/>
      <color theme="1"/>
      <name val="MS PGothic"/>
      <family val="3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</font>
    <font>
      <sz val="12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vertAlign val="subscript"/>
      <sz val="12"/>
      <color theme="1"/>
      <name val="ＭＳ Ｐゴシック"/>
      <family val="2"/>
      <charset val="128"/>
      <scheme val="minor"/>
    </font>
    <font>
      <vertAlign val="subscript"/>
      <sz val="12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2"/>
      <name val="ＭＳ Ｐゴシック"/>
      <family val="2"/>
      <charset val="128"/>
      <scheme val="minor"/>
    </font>
    <font>
      <sz val="12"/>
      <name val="ＭＳ Ｐゴシック"/>
      <family val="3"/>
      <charset val="128"/>
      <scheme val="minor"/>
    </font>
    <font>
      <vertAlign val="subscript"/>
      <sz val="12"/>
      <name val="ＭＳ Ｐゴシック"/>
      <family val="3"/>
      <charset val="128"/>
      <scheme val="minor"/>
    </font>
    <font>
      <sz val="12"/>
      <name val="Symbol"/>
      <family val="1"/>
      <charset val="2"/>
    </font>
    <font>
      <sz val="12"/>
      <color rgb="FF0070C0"/>
      <name val="ＭＳ Ｐゴシック"/>
      <family val="2"/>
      <charset val="128"/>
      <scheme val="minor"/>
    </font>
    <font>
      <sz val="12"/>
      <color rgb="FF0070C0"/>
      <name val="ＭＳ Ｐゴシック"/>
      <family val="3"/>
      <charset val="128"/>
      <scheme val="minor"/>
    </font>
    <font>
      <sz val="12"/>
      <color theme="5"/>
      <name val="ＭＳ Ｐゴシック"/>
      <family val="2"/>
      <charset val="128"/>
      <scheme val="minor"/>
    </font>
    <font>
      <sz val="12"/>
      <color theme="5"/>
      <name val="ＭＳ Ｐゴシック"/>
      <family val="3"/>
      <charset val="128"/>
      <scheme val="minor"/>
    </font>
    <font>
      <vertAlign val="subscript"/>
      <sz val="12"/>
      <color theme="5"/>
      <name val="ＭＳ Ｐゴシック"/>
      <family val="3"/>
      <charset val="128"/>
      <scheme val="minor"/>
    </font>
    <font>
      <sz val="16"/>
      <color theme="1"/>
      <name val="ヒラギノ角ゴ Pro W3"/>
      <family val="2"/>
      <charset val="128"/>
    </font>
    <font>
      <i/>
      <sz val="20"/>
      <color theme="1"/>
      <name val="メイリオ"/>
      <family val="3"/>
      <charset val="128"/>
    </font>
    <font>
      <i/>
      <sz val="24"/>
      <color rgb="FFFF0000"/>
      <name val="メイリオ"/>
      <family val="3"/>
      <charset val="128"/>
    </font>
    <font>
      <sz val="16"/>
      <color theme="1"/>
      <name val="ＭＳ Ｐゴシック"/>
      <family val="2"/>
      <charset val="128"/>
      <scheme val="minor"/>
    </font>
    <font>
      <strike/>
      <sz val="11"/>
      <color theme="1"/>
      <name val="ＭＳ Ｐゴシック"/>
      <family val="3"/>
      <charset val="128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B6C5C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00"/>
        <bgColor indexed="64"/>
      </patternFill>
    </fill>
  </fills>
  <borders count="5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1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/>
    <xf numFmtId="0" fontId="11" fillId="0" borderId="0">
      <alignment vertical="center"/>
    </xf>
    <xf numFmtId="0" fontId="1" fillId="0" borderId="0">
      <alignment vertical="center"/>
    </xf>
    <xf numFmtId="0" fontId="12" fillId="0" borderId="0">
      <alignment vertical="center"/>
    </xf>
    <xf numFmtId="0" fontId="20" fillId="0" borderId="0">
      <alignment vertical="center"/>
    </xf>
    <xf numFmtId="0" fontId="21" fillId="0" borderId="0">
      <alignment vertical="center"/>
    </xf>
    <xf numFmtId="0" fontId="22" fillId="0" borderId="0"/>
    <xf numFmtId="0" fontId="20" fillId="0" borderId="0">
      <alignment vertical="center"/>
    </xf>
  </cellStyleXfs>
  <cellXfs count="268">
    <xf numFmtId="0" fontId="0" fillId="0" borderId="0" xfId="0">
      <alignment vertical="center"/>
    </xf>
    <xf numFmtId="0" fontId="3" fillId="0" borderId="6" xfId="1" applyFont="1" applyBorder="1">
      <alignment vertical="center"/>
    </xf>
    <xf numFmtId="0" fontId="3" fillId="0" borderId="6" xfId="1" applyNumberFormat="1" applyFont="1" applyFill="1" applyBorder="1">
      <alignment vertical="center"/>
    </xf>
    <xf numFmtId="0" fontId="3" fillId="0" borderId="6" xfId="1" applyNumberFormat="1" applyFont="1" applyBorder="1">
      <alignment vertical="center"/>
    </xf>
    <xf numFmtId="0" fontId="7" fillId="0" borderId="6" xfId="1" applyFont="1" applyBorder="1">
      <alignment vertical="center"/>
    </xf>
    <xf numFmtId="0" fontId="10" fillId="2" borderId="5" xfId="1" applyFont="1" applyFill="1" applyBorder="1">
      <alignment vertical="center"/>
    </xf>
    <xf numFmtId="0" fontId="10" fillId="3" borderId="5" xfId="1" applyFont="1" applyFill="1" applyBorder="1">
      <alignment vertical="center"/>
    </xf>
    <xf numFmtId="0" fontId="10" fillId="2" borderId="5" xfId="1" applyNumberFormat="1" applyFont="1" applyFill="1" applyBorder="1">
      <alignment vertical="center"/>
    </xf>
    <xf numFmtId="0" fontId="10" fillId="4" borderId="5" xfId="1" applyFont="1" applyFill="1" applyBorder="1">
      <alignment vertical="center"/>
    </xf>
    <xf numFmtId="0" fontId="3" fillId="0" borderId="12" xfId="1" applyNumberFormat="1" applyFont="1" applyFill="1" applyBorder="1">
      <alignment vertical="center"/>
    </xf>
    <xf numFmtId="0" fontId="10" fillId="2" borderId="13" xfId="1" applyNumberFormat="1" applyFont="1" applyFill="1" applyBorder="1">
      <alignment vertical="center"/>
    </xf>
    <xf numFmtId="0" fontId="3" fillId="0" borderId="6" xfId="1" applyFont="1" applyFill="1" applyBorder="1">
      <alignment vertical="center"/>
    </xf>
    <xf numFmtId="0" fontId="10" fillId="0" borderId="0" xfId="1" applyFont="1" applyFill="1" applyBorder="1">
      <alignment vertical="center"/>
    </xf>
    <xf numFmtId="177" fontId="1" fillId="0" borderId="13" xfId="1" applyNumberFormat="1" applyFont="1" applyBorder="1">
      <alignment vertical="center"/>
    </xf>
    <xf numFmtId="176" fontId="1" fillId="0" borderId="5" xfId="1" applyNumberFormat="1" applyFont="1" applyBorder="1">
      <alignment vertical="center"/>
    </xf>
    <xf numFmtId="0" fontId="4" fillId="0" borderId="6" xfId="1" applyNumberFormat="1" applyFont="1" applyBorder="1">
      <alignment vertical="center"/>
    </xf>
    <xf numFmtId="0" fontId="10" fillId="0" borderId="5" xfId="1" applyFont="1" applyFill="1" applyBorder="1">
      <alignment vertical="center"/>
    </xf>
    <xf numFmtId="0" fontId="3" fillId="0" borderId="7" xfId="1" applyFont="1" applyBorder="1">
      <alignment vertical="center"/>
    </xf>
    <xf numFmtId="0" fontId="5" fillId="0" borderId="13" xfId="1" applyFont="1" applyFill="1" applyBorder="1">
      <alignment vertical="center"/>
    </xf>
    <xf numFmtId="0" fontId="10" fillId="0" borderId="5" xfId="1" applyFont="1" applyFill="1" applyBorder="1" applyAlignment="1">
      <alignment vertical="center"/>
    </xf>
    <xf numFmtId="178" fontId="11" fillId="6" borderId="5" xfId="4" applyNumberFormat="1" applyFont="1" applyFill="1" applyBorder="1" applyAlignment="1">
      <alignment vertical="center"/>
    </xf>
    <xf numFmtId="178" fontId="1" fillId="6" borderId="5" xfId="5" applyNumberFormat="1" applyFill="1" applyBorder="1">
      <alignment vertical="center"/>
    </xf>
    <xf numFmtId="2" fontId="11" fillId="6" borderId="5" xfId="4" applyNumberFormat="1" applyFont="1" applyFill="1" applyBorder="1" applyAlignment="1">
      <alignment vertical="center"/>
    </xf>
    <xf numFmtId="0" fontId="11" fillId="6" borderId="5" xfId="4" applyFont="1" applyFill="1" applyBorder="1" applyAlignment="1">
      <alignment vertical="center"/>
    </xf>
    <xf numFmtId="178" fontId="1" fillId="6" borderId="5" xfId="5" applyNumberFormat="1" applyFill="1" applyBorder="1" applyAlignment="1">
      <alignment horizontal="right" vertical="top"/>
    </xf>
    <xf numFmtId="0" fontId="15" fillId="0" borderId="11" xfId="0" applyFont="1" applyBorder="1">
      <alignment vertical="center"/>
    </xf>
    <xf numFmtId="0" fontId="5" fillId="0" borderId="0" xfId="1" applyFont="1" applyFill="1" applyBorder="1">
      <alignment vertical="center"/>
    </xf>
    <xf numFmtId="0" fontId="16" fillId="0" borderId="0" xfId="0" applyFont="1" applyFill="1" applyBorder="1" applyAlignment="1">
      <alignment horizontal="center" vertical="center" wrapText="1"/>
    </xf>
    <xf numFmtId="178" fontId="1" fillId="0" borderId="0" xfId="5" applyNumberFormat="1" applyFill="1" applyBorder="1" applyAlignment="1">
      <alignment horizontal="right" vertical="top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3" fillId="0" borderId="0" xfId="1" applyFont="1" applyFill="1" applyBorder="1">
      <alignment vertical="center"/>
    </xf>
    <xf numFmtId="0" fontId="5" fillId="0" borderId="16" xfId="1" applyNumberFormat="1" applyFont="1" applyFill="1" applyBorder="1">
      <alignment vertical="center"/>
    </xf>
    <xf numFmtId="0" fontId="5" fillId="0" borderId="16" xfId="1" applyFont="1" applyBorder="1">
      <alignment vertical="center"/>
    </xf>
    <xf numFmtId="0" fontId="5" fillId="0" borderId="15" xfId="1" applyNumberFormat="1" applyFont="1" applyFill="1" applyBorder="1">
      <alignment vertical="center"/>
    </xf>
    <xf numFmtId="0" fontId="0" fillId="0" borderId="14" xfId="0" applyBorder="1">
      <alignment vertical="center"/>
    </xf>
    <xf numFmtId="0" fontId="0" fillId="0" borderId="8" xfId="0" applyBorder="1">
      <alignment vertical="center"/>
    </xf>
    <xf numFmtId="0" fontId="10" fillId="3" borderId="10" xfId="1" applyFont="1" applyFill="1" applyBorder="1">
      <alignment vertical="center"/>
    </xf>
    <xf numFmtId="0" fontId="5" fillId="0" borderId="17" xfId="1" applyFont="1" applyBorder="1">
      <alignment vertical="center"/>
    </xf>
    <xf numFmtId="0" fontId="0" fillId="0" borderId="9" xfId="0" applyBorder="1">
      <alignment vertical="center"/>
    </xf>
    <xf numFmtId="179" fontId="11" fillId="6" borderId="5" xfId="4" applyNumberFormat="1" applyFont="1" applyFill="1" applyBorder="1" applyAlignment="1">
      <alignment vertical="center"/>
    </xf>
    <xf numFmtId="0" fontId="10" fillId="0" borderId="10" xfId="1" applyFont="1" applyFill="1" applyBorder="1">
      <alignment vertical="center"/>
    </xf>
    <xf numFmtId="178" fontId="1" fillId="6" borderId="10" xfId="5" applyNumberFormat="1" applyFill="1" applyBorder="1" applyAlignment="1">
      <alignment horizontal="right" vertical="top"/>
    </xf>
    <xf numFmtId="0" fontId="15" fillId="0" borderId="18" xfId="0" applyFont="1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5" xfId="0" applyBorder="1">
      <alignment vertical="center"/>
    </xf>
    <xf numFmtId="0" fontId="5" fillId="0" borderId="27" xfId="1" applyFont="1" applyFill="1" applyBorder="1">
      <alignment vertical="center"/>
    </xf>
    <xf numFmtId="0" fontId="5" fillId="0" borderId="28" xfId="1" applyFont="1" applyFill="1" applyBorder="1">
      <alignment vertical="center"/>
    </xf>
    <xf numFmtId="0" fontId="5" fillId="0" borderId="28" xfId="1" applyFont="1" applyFill="1" applyBorder="1" applyAlignment="1">
      <alignment vertical="center"/>
    </xf>
    <xf numFmtId="0" fontId="5" fillId="0" borderId="29" xfId="1" applyFont="1" applyFill="1" applyBorder="1">
      <alignment vertical="center"/>
    </xf>
    <xf numFmtId="0" fontId="3" fillId="0" borderId="5" xfId="1" applyFont="1" applyFill="1" applyBorder="1">
      <alignment vertical="center"/>
    </xf>
    <xf numFmtId="0" fontId="5" fillId="0" borderId="5" xfId="1" applyFont="1" applyFill="1" applyBorder="1">
      <alignment vertical="center"/>
    </xf>
    <xf numFmtId="0" fontId="5" fillId="0" borderId="5" xfId="1" applyFont="1" applyFill="1" applyBorder="1" applyAlignment="1">
      <alignment vertical="center"/>
    </xf>
    <xf numFmtId="0" fontId="3" fillId="0" borderId="13" xfId="1" applyFont="1" applyFill="1" applyBorder="1">
      <alignment vertical="center"/>
    </xf>
    <xf numFmtId="0" fontId="10" fillId="0" borderId="13" xfId="1" applyFont="1" applyFill="1" applyBorder="1">
      <alignment vertical="center"/>
    </xf>
    <xf numFmtId="0" fontId="0" fillId="0" borderId="13" xfId="0" applyBorder="1">
      <alignment vertical="center"/>
    </xf>
    <xf numFmtId="0" fontId="3" fillId="0" borderId="10" xfId="1" applyFont="1" applyFill="1" applyBorder="1">
      <alignment vertical="center"/>
    </xf>
    <xf numFmtId="0" fontId="5" fillId="0" borderId="10" xfId="1" applyFont="1" applyFill="1" applyBorder="1">
      <alignment vertical="center"/>
    </xf>
    <xf numFmtId="0" fontId="0" fillId="0" borderId="10" xfId="0" applyBorder="1">
      <alignment vertical="center"/>
    </xf>
    <xf numFmtId="0" fontId="5" fillId="0" borderId="23" xfId="1" applyFont="1" applyFill="1" applyBorder="1">
      <alignment vertical="center"/>
    </xf>
    <xf numFmtId="0" fontId="17" fillId="11" borderId="30" xfId="0" applyFont="1" applyFill="1" applyBorder="1" applyAlignment="1">
      <alignment horizontal="center" vertical="center" wrapText="1"/>
    </xf>
    <xf numFmtId="0" fontId="18" fillId="10" borderId="30" xfId="0" applyFont="1" applyFill="1" applyBorder="1" applyAlignment="1">
      <alignment horizontal="center" vertical="center" wrapText="1"/>
    </xf>
    <xf numFmtId="180" fontId="1" fillId="6" borderId="13" xfId="2" applyNumberFormat="1" applyFill="1" applyBorder="1">
      <alignment vertical="center"/>
    </xf>
    <xf numFmtId="0" fontId="19" fillId="0" borderId="5" xfId="0" applyFont="1" applyBorder="1">
      <alignment vertical="center"/>
    </xf>
    <xf numFmtId="0" fontId="0" fillId="0" borderId="5" xfId="0" applyFill="1" applyBorder="1">
      <alignment vertical="center"/>
    </xf>
    <xf numFmtId="178" fontId="1" fillId="6" borderId="5" xfId="2" applyNumberFormat="1" applyFill="1" applyBorder="1">
      <alignment vertical="center"/>
    </xf>
    <xf numFmtId="178" fontId="1" fillId="6" borderId="5" xfId="5" applyNumberFormat="1" applyFill="1" applyBorder="1" applyAlignment="1">
      <alignment vertical="center"/>
    </xf>
    <xf numFmtId="0" fontId="9" fillId="0" borderId="1" xfId="1" applyFont="1" applyBorder="1" applyAlignment="1">
      <alignment vertical="center"/>
    </xf>
    <xf numFmtId="0" fontId="19" fillId="0" borderId="5" xfId="0" applyFont="1" applyFill="1" applyBorder="1">
      <alignment vertical="center"/>
    </xf>
    <xf numFmtId="0" fontId="0" fillId="0" borderId="31" xfId="0" applyBorder="1">
      <alignment vertical="center"/>
    </xf>
    <xf numFmtId="0" fontId="19" fillId="0" borderId="31" xfId="0" applyFont="1" applyFill="1" applyBorder="1">
      <alignment vertical="center"/>
    </xf>
    <xf numFmtId="0" fontId="5" fillId="0" borderId="31" xfId="1" applyFont="1" applyFill="1" applyBorder="1">
      <alignment vertical="center"/>
    </xf>
    <xf numFmtId="0" fontId="0" fillId="0" borderId="31" xfId="0" applyFill="1" applyBorder="1">
      <alignment vertical="center"/>
    </xf>
    <xf numFmtId="0" fontId="0" fillId="0" borderId="26" xfId="0" applyBorder="1">
      <alignment vertical="center"/>
    </xf>
    <xf numFmtId="0" fontId="10" fillId="13" borderId="5" xfId="1" applyNumberFormat="1" applyFont="1" applyFill="1" applyBorder="1">
      <alignment vertical="center"/>
    </xf>
    <xf numFmtId="0" fontId="10" fillId="13" borderId="5" xfId="1" applyFont="1" applyFill="1" applyBorder="1">
      <alignment vertical="center"/>
    </xf>
    <xf numFmtId="0" fontId="0" fillId="6" borderId="13" xfId="0" applyFill="1" applyBorder="1">
      <alignment vertical="center"/>
    </xf>
    <xf numFmtId="0" fontId="0" fillId="6" borderId="5" xfId="0" applyFill="1" applyBorder="1">
      <alignment vertical="center"/>
    </xf>
    <xf numFmtId="0" fontId="0" fillId="6" borderId="31" xfId="0" applyFill="1" applyBorder="1">
      <alignment vertical="center"/>
    </xf>
    <xf numFmtId="0" fontId="23" fillId="0" borderId="0" xfId="9" applyFont="1"/>
    <xf numFmtId="0" fontId="22" fillId="0" borderId="0" xfId="9"/>
    <xf numFmtId="0" fontId="23" fillId="0" borderId="5" xfId="9" applyFont="1" applyBorder="1"/>
    <xf numFmtId="0" fontId="23" fillId="14" borderId="35" xfId="9" applyFont="1" applyFill="1" applyBorder="1"/>
    <xf numFmtId="0" fontId="24" fillId="0" borderId="13" xfId="9" applyFont="1" applyBorder="1" applyAlignment="1">
      <alignment horizontal="center"/>
    </xf>
    <xf numFmtId="0" fontId="23" fillId="0" borderId="13" xfId="9" applyFont="1" applyBorder="1"/>
    <xf numFmtId="0" fontId="23" fillId="0" borderId="14" xfId="9" applyFont="1" applyBorder="1"/>
    <xf numFmtId="0" fontId="23" fillId="0" borderId="12" xfId="9" applyFont="1" applyBorder="1"/>
    <xf numFmtId="0" fontId="24" fillId="0" borderId="7" xfId="9" applyFont="1" applyBorder="1" applyAlignment="1">
      <alignment horizontal="right"/>
    </xf>
    <xf numFmtId="0" fontId="24" fillId="0" borderId="10" xfId="9" applyFont="1" applyBorder="1" applyAlignment="1">
      <alignment horizontal="right"/>
    </xf>
    <xf numFmtId="0" fontId="24" fillId="0" borderId="9" xfId="9" applyFont="1" applyBorder="1" applyAlignment="1">
      <alignment horizontal="right"/>
    </xf>
    <xf numFmtId="0" fontId="24" fillId="14" borderId="12" xfId="9" applyFont="1" applyFill="1" applyBorder="1"/>
    <xf numFmtId="0" fontId="24" fillId="14" borderId="13" xfId="9" applyFont="1" applyFill="1" applyBorder="1"/>
    <xf numFmtId="0" fontId="24" fillId="14" borderId="15" xfId="9" applyFont="1" applyFill="1" applyBorder="1"/>
    <xf numFmtId="181" fontId="23" fillId="0" borderId="14" xfId="9" applyNumberFormat="1" applyFont="1" applyBorder="1"/>
    <xf numFmtId="181" fontId="23" fillId="0" borderId="12" xfId="9" applyNumberFormat="1" applyFont="1" applyBorder="1"/>
    <xf numFmtId="0" fontId="24" fillId="14" borderId="6" xfId="9" applyFont="1" applyFill="1" applyBorder="1"/>
    <xf numFmtId="0" fontId="24" fillId="14" borderId="5" xfId="9" applyFont="1" applyFill="1" applyBorder="1"/>
    <xf numFmtId="0" fontId="24" fillId="14" borderId="16" xfId="9" applyFont="1" applyFill="1" applyBorder="1"/>
    <xf numFmtId="181" fontId="23" fillId="0" borderId="8" xfId="9" applyNumberFormat="1" applyFont="1" applyBorder="1"/>
    <xf numFmtId="181" fontId="23" fillId="0" borderId="6" xfId="9" applyNumberFormat="1" applyFont="1" applyBorder="1"/>
    <xf numFmtId="0" fontId="24" fillId="14" borderId="7" xfId="9" applyFont="1" applyFill="1" applyBorder="1"/>
    <xf numFmtId="0" fontId="24" fillId="14" borderId="10" xfId="9" applyFont="1" applyFill="1" applyBorder="1"/>
    <xf numFmtId="0" fontId="24" fillId="14" borderId="17" xfId="9" applyFont="1" applyFill="1" applyBorder="1"/>
    <xf numFmtId="0" fontId="23" fillId="0" borderId="10" xfId="9" applyFont="1" applyBorder="1"/>
    <xf numFmtId="181" fontId="23" fillId="0" borderId="9" xfId="9" applyNumberFormat="1" applyFont="1" applyBorder="1"/>
    <xf numFmtId="181" fontId="23" fillId="0" borderId="7" xfId="9" applyNumberFormat="1" applyFont="1" applyBorder="1"/>
    <xf numFmtId="181" fontId="23" fillId="0" borderId="0" xfId="9" applyNumberFormat="1" applyFont="1"/>
    <xf numFmtId="0" fontId="23" fillId="0" borderId="36" xfId="9" applyFont="1" applyBorder="1"/>
    <xf numFmtId="0" fontId="23" fillId="0" borderId="37" xfId="9" applyFont="1" applyBorder="1"/>
    <xf numFmtId="0" fontId="24" fillId="0" borderId="38" xfId="9" applyFont="1" applyBorder="1"/>
    <xf numFmtId="0" fontId="23" fillId="0" borderId="39" xfId="9" applyFont="1" applyFill="1" applyBorder="1"/>
    <xf numFmtId="0" fontId="24" fillId="0" borderId="12" xfId="9" applyFont="1" applyBorder="1"/>
    <xf numFmtId="0" fontId="23" fillId="0" borderId="40" xfId="9" applyFont="1" applyFill="1" applyBorder="1" applyAlignment="1">
      <alignment horizontal="left"/>
    </xf>
    <xf numFmtId="0" fontId="23" fillId="0" borderId="41" xfId="9" applyFont="1" applyFill="1" applyBorder="1"/>
    <xf numFmtId="0" fontId="23" fillId="14" borderId="7" xfId="9" applyFont="1" applyFill="1" applyBorder="1"/>
    <xf numFmtId="0" fontId="23" fillId="0" borderId="9" xfId="9" applyFont="1" applyBorder="1"/>
    <xf numFmtId="0" fontId="23" fillId="0" borderId="5" xfId="9" applyFont="1" applyBorder="1" applyAlignment="1">
      <alignment horizontal="left"/>
    </xf>
    <xf numFmtId="0" fontId="23" fillId="0" borderId="0" xfId="9" applyFont="1" applyBorder="1"/>
    <xf numFmtId="0" fontId="23" fillId="0" borderId="42" xfId="9" applyFont="1" applyBorder="1"/>
    <xf numFmtId="0" fontId="23" fillId="0" borderId="43" xfId="9" applyFont="1" applyBorder="1"/>
    <xf numFmtId="0" fontId="23" fillId="0" borderId="44" xfId="9" applyFont="1" applyBorder="1"/>
    <xf numFmtId="0" fontId="23" fillId="0" borderId="5" xfId="9" applyFont="1" applyFill="1" applyBorder="1"/>
    <xf numFmtId="0" fontId="23" fillId="0" borderId="34" xfId="9" applyFont="1" applyBorder="1"/>
    <xf numFmtId="0" fontId="23" fillId="0" borderId="34" xfId="9" applyFont="1" applyFill="1" applyBorder="1"/>
    <xf numFmtId="180" fontId="0" fillId="0" borderId="0" xfId="0" applyNumberFormat="1">
      <alignment vertical="center"/>
    </xf>
    <xf numFmtId="182" fontId="0" fillId="0" borderId="0" xfId="0" applyNumberFormat="1">
      <alignment vertical="center"/>
    </xf>
    <xf numFmtId="177" fontId="1" fillId="6" borderId="5" xfId="1" applyNumberFormat="1" applyFont="1" applyFill="1" applyBorder="1">
      <alignment vertical="center"/>
    </xf>
    <xf numFmtId="176" fontId="1" fillId="6" borderId="5" xfId="1" applyNumberFormat="1" applyFill="1" applyBorder="1">
      <alignment vertical="center"/>
    </xf>
    <xf numFmtId="177" fontId="1" fillId="6" borderId="5" xfId="1" applyNumberFormat="1" applyFill="1" applyBorder="1">
      <alignment vertical="center"/>
    </xf>
    <xf numFmtId="176" fontId="1" fillId="6" borderId="5" xfId="1" applyNumberFormat="1" applyFont="1" applyFill="1" applyBorder="1">
      <alignment vertical="center"/>
    </xf>
    <xf numFmtId="177" fontId="1" fillId="6" borderId="10" xfId="1" applyNumberFormat="1" applyFont="1" applyFill="1" applyBorder="1">
      <alignment vertical="center"/>
    </xf>
    <xf numFmtId="183" fontId="0" fillId="0" borderId="0" xfId="0" applyNumberFormat="1">
      <alignment vertical="center"/>
    </xf>
    <xf numFmtId="0" fontId="22" fillId="0" borderId="5" xfId="9" applyBorder="1" applyAlignment="1">
      <alignment vertical="center"/>
    </xf>
    <xf numFmtId="0" fontId="22" fillId="0" borderId="0" xfId="9" applyAlignment="1">
      <alignment vertical="center"/>
    </xf>
    <xf numFmtId="0" fontId="22" fillId="0" borderId="46" xfId="9" applyBorder="1" applyAlignment="1">
      <alignment vertical="center"/>
    </xf>
    <xf numFmtId="0" fontId="22" fillId="0" borderId="47" xfId="9" applyBorder="1" applyAlignment="1">
      <alignment vertical="center"/>
    </xf>
    <xf numFmtId="0" fontId="22" fillId="0" borderId="48" xfId="9" applyBorder="1" applyAlignment="1">
      <alignment vertical="center"/>
    </xf>
    <xf numFmtId="0" fontId="22" fillId="0" borderId="5" xfId="9" applyFill="1" applyBorder="1" applyAlignment="1">
      <alignment vertical="center"/>
    </xf>
    <xf numFmtId="0" fontId="22" fillId="0" borderId="43" xfId="9" applyBorder="1" applyAlignment="1">
      <alignment vertical="center"/>
    </xf>
    <xf numFmtId="0" fontId="22" fillId="0" borderId="0" xfId="9" applyBorder="1" applyAlignment="1">
      <alignment vertical="center"/>
    </xf>
    <xf numFmtId="0" fontId="22" fillId="0" borderId="42" xfId="9" applyBorder="1" applyAlignment="1">
      <alignment vertical="center"/>
    </xf>
    <xf numFmtId="0" fontId="22" fillId="14" borderId="5" xfId="9" applyFill="1" applyBorder="1" applyAlignment="1">
      <alignment vertical="center"/>
    </xf>
    <xf numFmtId="0" fontId="27" fillId="0" borderId="5" xfId="9" applyFont="1" applyBorder="1" applyAlignment="1">
      <alignment vertical="center"/>
    </xf>
    <xf numFmtId="0" fontId="22" fillId="0" borderId="49" xfId="9" applyBorder="1" applyAlignment="1">
      <alignment vertical="center"/>
    </xf>
    <xf numFmtId="0" fontId="22" fillId="0" borderId="50" xfId="9" applyBorder="1" applyAlignment="1">
      <alignment vertical="center"/>
    </xf>
    <xf numFmtId="0" fontId="22" fillId="0" borderId="44" xfId="9" applyBorder="1" applyAlignment="1">
      <alignment vertical="center"/>
    </xf>
    <xf numFmtId="0" fontId="22" fillId="0" borderId="4" xfId="9" applyBorder="1" applyAlignment="1">
      <alignment vertical="center"/>
    </xf>
    <xf numFmtId="0" fontId="22" fillId="0" borderId="19" xfId="9" applyBorder="1" applyAlignment="1">
      <alignment vertical="center"/>
    </xf>
    <xf numFmtId="0" fontId="22" fillId="0" borderId="20" xfId="9" applyBorder="1" applyAlignment="1">
      <alignment vertical="center"/>
    </xf>
    <xf numFmtId="0" fontId="22" fillId="0" borderId="21" xfId="9" applyBorder="1" applyAlignment="1">
      <alignment vertical="center"/>
    </xf>
    <xf numFmtId="0" fontId="22" fillId="0" borderId="22" xfId="9" applyBorder="1" applyAlignment="1">
      <alignment vertical="center"/>
    </xf>
    <xf numFmtId="0" fontId="28" fillId="0" borderId="0" xfId="9" applyFont="1" applyBorder="1" applyAlignment="1">
      <alignment vertical="center"/>
    </xf>
    <xf numFmtId="0" fontId="29" fillId="0" borderId="0" xfId="9" applyFont="1" applyBorder="1" applyAlignment="1">
      <alignment vertical="center"/>
    </xf>
    <xf numFmtId="0" fontId="31" fillId="0" borderId="0" xfId="9" applyFont="1" applyBorder="1" applyAlignment="1">
      <alignment vertical="center"/>
    </xf>
    <xf numFmtId="0" fontId="28" fillId="0" borderId="5" xfId="9" applyFont="1" applyBorder="1" applyAlignment="1">
      <alignment vertical="center"/>
    </xf>
    <xf numFmtId="0" fontId="32" fillId="0" borderId="5" xfId="9" applyFont="1" applyBorder="1" applyAlignment="1">
      <alignment vertical="center"/>
    </xf>
    <xf numFmtId="0" fontId="33" fillId="0" borderId="5" xfId="9" applyFont="1" applyBorder="1" applyAlignment="1">
      <alignment vertical="center"/>
    </xf>
    <xf numFmtId="0" fontId="22" fillId="5" borderId="5" xfId="9" applyFill="1" applyBorder="1" applyAlignment="1">
      <alignment vertical="center"/>
    </xf>
    <xf numFmtId="0" fontId="22" fillId="5" borderId="6" xfId="9" applyFill="1" applyBorder="1" applyAlignment="1">
      <alignment vertical="center"/>
    </xf>
    <xf numFmtId="0" fontId="22" fillId="5" borderId="8" xfId="9" applyFill="1" applyBorder="1" applyAlignment="1">
      <alignment vertical="center"/>
    </xf>
    <xf numFmtId="0" fontId="34" fillId="0" borderId="6" xfId="9" applyFont="1" applyBorder="1" applyAlignment="1">
      <alignment vertical="center"/>
    </xf>
    <xf numFmtId="0" fontId="35" fillId="0" borderId="5" xfId="9" applyFont="1" applyBorder="1" applyAlignment="1">
      <alignment vertical="center"/>
    </xf>
    <xf numFmtId="0" fontId="35" fillId="0" borderId="8" xfId="9" applyFont="1" applyBorder="1" applyAlignment="1">
      <alignment vertical="center"/>
    </xf>
    <xf numFmtId="0" fontId="35" fillId="0" borderId="6" xfId="9" applyFont="1" applyBorder="1" applyAlignment="1">
      <alignment vertical="center"/>
    </xf>
    <xf numFmtId="0" fontId="35" fillId="0" borderId="7" xfId="9" applyFont="1" applyBorder="1" applyAlignment="1">
      <alignment vertical="center"/>
    </xf>
    <xf numFmtId="0" fontId="35" fillId="0" borderId="10" xfId="9" applyFont="1" applyBorder="1" applyAlignment="1">
      <alignment vertical="center"/>
    </xf>
    <xf numFmtId="0" fontId="35" fillId="0" borderId="9" xfId="9" applyFont="1" applyBorder="1" applyAlignment="1">
      <alignment vertical="center"/>
    </xf>
    <xf numFmtId="0" fontId="22" fillId="0" borderId="18" xfId="9" applyBorder="1" applyAlignment="1">
      <alignment vertical="center"/>
    </xf>
    <xf numFmtId="0" fontId="22" fillId="0" borderId="32" xfId="9" applyBorder="1" applyAlignment="1">
      <alignment vertical="center"/>
    </xf>
    <xf numFmtId="0" fontId="22" fillId="0" borderId="33" xfId="9" applyBorder="1" applyAlignment="1">
      <alignment vertical="center"/>
    </xf>
    <xf numFmtId="0" fontId="32" fillId="0" borderId="43" xfId="9" applyFont="1" applyBorder="1" applyAlignment="1">
      <alignment vertical="center"/>
    </xf>
    <xf numFmtId="0" fontId="33" fillId="0" borderId="0" xfId="9" applyFont="1" applyBorder="1" applyAlignment="1">
      <alignment vertical="center"/>
    </xf>
    <xf numFmtId="0" fontId="33" fillId="0" borderId="43" xfId="9" applyFont="1" applyBorder="1" applyAlignment="1">
      <alignment vertical="center"/>
    </xf>
    <xf numFmtId="0" fontId="33" fillId="0" borderId="49" xfId="9" applyFont="1" applyBorder="1" applyAlignment="1">
      <alignment vertical="center"/>
    </xf>
    <xf numFmtId="0" fontId="33" fillId="0" borderId="50" xfId="9" applyFont="1" applyBorder="1" applyAlignment="1">
      <alignment vertical="center"/>
    </xf>
    <xf numFmtId="0" fontId="34" fillId="0" borderId="7" xfId="9" applyFont="1" applyBorder="1" applyAlignment="1">
      <alignment vertical="center"/>
    </xf>
    <xf numFmtId="0" fontId="34" fillId="0" borderId="36" xfId="9" applyFont="1" applyBorder="1" applyAlignment="1">
      <alignment vertical="center"/>
    </xf>
    <xf numFmtId="0" fontId="35" fillId="0" borderId="37" xfId="9" applyFont="1" applyBorder="1" applyAlignment="1">
      <alignment vertical="center"/>
    </xf>
    <xf numFmtId="0" fontId="35" fillId="0" borderId="38" xfId="9" applyFont="1" applyBorder="1" applyAlignment="1">
      <alignment vertical="center"/>
    </xf>
    <xf numFmtId="0" fontId="12" fillId="0" borderId="16" xfId="0" applyFont="1" applyBorder="1">
      <alignment vertical="center"/>
    </xf>
    <xf numFmtId="0" fontId="0" fillId="0" borderId="18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0" fillId="0" borderId="2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5" fillId="5" borderId="12" xfId="0" applyFont="1" applyFill="1" applyBorder="1" applyAlignment="1">
      <alignment horizontal="center" vertical="center"/>
    </xf>
    <xf numFmtId="0" fontId="16" fillId="5" borderId="6" xfId="0" applyFont="1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6" fillId="8" borderId="4" xfId="0" applyFont="1" applyFill="1" applyBorder="1" applyAlignment="1">
      <alignment horizontal="center" vertical="center"/>
    </xf>
    <xf numFmtId="0" fontId="16" fillId="8" borderId="20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/>
    </xf>
    <xf numFmtId="0" fontId="16" fillId="8" borderId="10" xfId="0" applyFont="1" applyFill="1" applyBorder="1" applyAlignment="1">
      <alignment horizontal="center" vertical="center"/>
    </xf>
    <xf numFmtId="0" fontId="15" fillId="7" borderId="24" xfId="0" applyFont="1" applyFill="1" applyBorder="1" applyAlignment="1">
      <alignment horizontal="center" vertical="center"/>
    </xf>
    <xf numFmtId="0" fontId="15" fillId="7" borderId="25" xfId="0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0" fontId="15" fillId="7" borderId="18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15" fillId="7" borderId="20" xfId="0" applyFont="1" applyFill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6" fillId="9" borderId="6" xfId="0" applyFont="1" applyFill="1" applyBorder="1" applyAlignment="1">
      <alignment horizontal="center" vertical="center"/>
    </xf>
    <xf numFmtId="0" fontId="16" fillId="12" borderId="6" xfId="0" applyFont="1" applyFill="1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4" fontId="0" fillId="0" borderId="22" xfId="0" applyNumberFormat="1" applyBorder="1" applyAlignment="1">
      <alignment horizontal="center" vertical="center"/>
    </xf>
    <xf numFmtId="0" fontId="16" fillId="8" borderId="6" xfId="0" applyFont="1" applyFill="1" applyBorder="1" applyAlignment="1">
      <alignment horizontal="center" vertical="center" wrapText="1"/>
    </xf>
    <xf numFmtId="0" fontId="16" fillId="8" borderId="7" xfId="0" applyFont="1" applyFill="1" applyBorder="1" applyAlignment="1">
      <alignment horizontal="center" vertical="center" wrapText="1"/>
    </xf>
    <xf numFmtId="0" fontId="15" fillId="5" borderId="13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16" fillId="8" borderId="5" xfId="0" applyFont="1" applyFill="1" applyBorder="1" applyAlignment="1">
      <alignment horizontal="center" vertical="center" wrapText="1"/>
    </xf>
    <xf numFmtId="0" fontId="16" fillId="8" borderId="10" xfId="0" applyFont="1" applyFill="1" applyBorder="1" applyAlignment="1">
      <alignment horizontal="center" vertical="center" wrapText="1"/>
    </xf>
    <xf numFmtId="0" fontId="9" fillId="0" borderId="1" xfId="1" applyFont="1" applyBorder="1" applyAlignment="1">
      <alignment horizontal="center" vertical="center"/>
    </xf>
    <xf numFmtId="0" fontId="15" fillId="5" borderId="6" xfId="0" applyFont="1" applyFill="1" applyBorder="1" applyAlignment="1">
      <alignment horizontal="center" vertical="center"/>
    </xf>
    <xf numFmtId="0" fontId="16" fillId="12" borderId="5" xfId="0" applyFont="1" applyFill="1" applyBorder="1" applyAlignment="1">
      <alignment horizontal="center" vertical="center"/>
    </xf>
    <xf numFmtId="0" fontId="16" fillId="9" borderId="5" xfId="0" applyFont="1" applyFill="1" applyBorder="1" applyAlignment="1">
      <alignment horizontal="center" vertical="center"/>
    </xf>
    <xf numFmtId="0" fontId="22" fillId="0" borderId="4" xfId="9" applyBorder="1" applyAlignment="1">
      <alignment horizontal="center" vertical="center"/>
    </xf>
    <xf numFmtId="0" fontId="22" fillId="0" borderId="0" xfId="9" applyBorder="1" applyAlignment="1">
      <alignment horizontal="center" vertical="center"/>
    </xf>
    <xf numFmtId="0" fontId="22" fillId="0" borderId="16" xfId="9" applyBorder="1" applyAlignment="1">
      <alignment horizontal="center" vertical="center"/>
    </xf>
    <xf numFmtId="0" fontId="22" fillId="0" borderId="45" xfId="9" applyBorder="1" applyAlignment="1">
      <alignment horizontal="center" vertical="center"/>
    </xf>
    <xf numFmtId="0" fontId="22" fillId="0" borderId="35" xfId="9" applyBorder="1" applyAlignment="1">
      <alignment horizontal="center" vertical="center"/>
    </xf>
    <xf numFmtId="0" fontId="22" fillId="0" borderId="2" xfId="9" applyBorder="1" applyAlignment="1">
      <alignment horizontal="center" vertical="center"/>
    </xf>
    <xf numFmtId="0" fontId="22" fillId="0" borderId="3" xfId="9" applyBorder="1" applyAlignment="1">
      <alignment horizontal="center" vertical="center"/>
    </xf>
    <xf numFmtId="0" fontId="22" fillId="0" borderId="1" xfId="9" applyBorder="1" applyAlignment="1">
      <alignment horizontal="center" vertical="center"/>
    </xf>
    <xf numFmtId="0" fontId="22" fillId="0" borderId="19" xfId="9" applyBorder="1" applyAlignment="1">
      <alignment horizontal="center" vertical="center"/>
    </xf>
    <xf numFmtId="0" fontId="22" fillId="0" borderId="43" xfId="9" applyBorder="1" applyAlignment="1">
      <alignment horizontal="center" vertical="center"/>
    </xf>
    <xf numFmtId="0" fontId="22" fillId="0" borderId="49" xfId="9" applyBorder="1" applyAlignment="1">
      <alignment horizontal="center" vertical="center"/>
    </xf>
    <xf numFmtId="0" fontId="22" fillId="0" borderId="46" xfId="9" applyBorder="1" applyAlignment="1">
      <alignment horizontal="center" vertical="center"/>
    </xf>
    <xf numFmtId="0" fontId="38" fillId="0" borderId="18" xfId="9" applyFont="1" applyBorder="1" applyAlignment="1">
      <alignment horizontal="left" vertical="center" wrapText="1"/>
    </xf>
    <xf numFmtId="0" fontId="38" fillId="0" borderId="32" xfId="9" applyFont="1" applyBorder="1" applyAlignment="1">
      <alignment horizontal="left" vertical="center" wrapText="1"/>
    </xf>
    <xf numFmtId="0" fontId="38" fillId="0" borderId="33" xfId="9" applyFont="1" applyBorder="1" applyAlignment="1">
      <alignment horizontal="left" vertical="center" wrapText="1"/>
    </xf>
    <xf numFmtId="0" fontId="38" fillId="0" borderId="4" xfId="9" applyFont="1" applyBorder="1" applyAlignment="1">
      <alignment horizontal="left" vertical="center" wrapText="1"/>
    </xf>
    <xf numFmtId="0" fontId="38" fillId="0" borderId="0" xfId="9" applyFont="1" applyBorder="1" applyAlignment="1">
      <alignment horizontal="left" vertical="center" wrapText="1"/>
    </xf>
    <xf numFmtId="0" fontId="38" fillId="0" borderId="19" xfId="9" applyFont="1" applyBorder="1" applyAlignment="1">
      <alignment horizontal="left" vertical="center" wrapText="1"/>
    </xf>
    <xf numFmtId="0" fontId="38" fillId="0" borderId="20" xfId="9" applyFont="1" applyBorder="1" applyAlignment="1">
      <alignment horizontal="left" vertical="center" wrapText="1"/>
    </xf>
    <xf numFmtId="0" fontId="38" fillId="0" borderId="21" xfId="9" applyFont="1" applyBorder="1" applyAlignment="1">
      <alignment horizontal="left" vertical="center" wrapText="1"/>
    </xf>
    <xf numFmtId="0" fontId="38" fillId="0" borderId="22" xfId="9" applyFont="1" applyBorder="1" applyAlignment="1">
      <alignment horizontal="left" vertical="center" wrapText="1"/>
    </xf>
    <xf numFmtId="0" fontId="37" fillId="0" borderId="2" xfId="9" applyFont="1" applyBorder="1" applyAlignment="1">
      <alignment horizontal="center" vertical="center"/>
    </xf>
    <xf numFmtId="0" fontId="37" fillId="0" borderId="3" xfId="9" applyFont="1" applyBorder="1" applyAlignment="1">
      <alignment horizontal="center" vertical="center"/>
    </xf>
    <xf numFmtId="0" fontId="37" fillId="0" borderId="1" xfId="9" applyFont="1" applyBorder="1" applyAlignment="1">
      <alignment horizontal="center" vertical="center"/>
    </xf>
    <xf numFmtId="0" fontId="37" fillId="0" borderId="32" xfId="9" applyFont="1" applyBorder="1" applyAlignment="1">
      <alignment horizontal="center" vertical="center"/>
    </xf>
    <xf numFmtId="0" fontId="22" fillId="0" borderId="47" xfId="9" applyBorder="1" applyAlignment="1">
      <alignment horizontal="center" vertical="center"/>
    </xf>
    <xf numFmtId="0" fontId="22" fillId="0" borderId="48" xfId="9" applyBorder="1" applyAlignment="1">
      <alignment horizontal="center" vertical="center"/>
    </xf>
    <xf numFmtId="0" fontId="22" fillId="0" borderId="5" xfId="9" applyBorder="1" applyAlignment="1">
      <alignment horizontal="center" vertical="center"/>
    </xf>
    <xf numFmtId="0" fontId="40" fillId="5" borderId="51" xfId="9" applyFont="1" applyFill="1" applyBorder="1" applyAlignment="1">
      <alignment horizontal="left" vertical="center"/>
    </xf>
    <xf numFmtId="0" fontId="40" fillId="5" borderId="52" xfId="9" applyFont="1" applyFill="1" applyBorder="1" applyAlignment="1">
      <alignment horizontal="left" vertical="center"/>
    </xf>
    <xf numFmtId="0" fontId="40" fillId="5" borderId="53" xfId="9" applyFont="1" applyFill="1" applyBorder="1" applyAlignment="1">
      <alignment horizontal="left" vertical="center"/>
    </xf>
    <xf numFmtId="0" fontId="24" fillId="0" borderId="0" xfId="9" applyFont="1" applyAlignment="1">
      <alignment horizontal="center"/>
    </xf>
    <xf numFmtId="0" fontId="24" fillId="0" borderId="12" xfId="9" applyFont="1" applyBorder="1" applyAlignment="1">
      <alignment horizontal="center"/>
    </xf>
    <xf numFmtId="0" fontId="24" fillId="0" borderId="13" xfId="9" applyFont="1" applyBorder="1" applyAlignment="1">
      <alignment horizontal="center"/>
    </xf>
    <xf numFmtId="0" fontId="24" fillId="0" borderId="16" xfId="9" applyFont="1" applyBorder="1" applyAlignment="1">
      <alignment horizontal="center"/>
    </xf>
    <xf numFmtId="0" fontId="24" fillId="0" borderId="45" xfId="9" applyFont="1" applyBorder="1" applyAlignment="1">
      <alignment horizontal="center"/>
    </xf>
    <xf numFmtId="0" fontId="24" fillId="0" borderId="35" xfId="9" applyFont="1" applyBorder="1" applyAlignment="1">
      <alignment horizontal="center"/>
    </xf>
    <xf numFmtId="0" fontId="23" fillId="0" borderId="16" xfId="9" applyFont="1" applyFill="1" applyBorder="1" applyAlignment="1">
      <alignment horizontal="center"/>
    </xf>
    <xf numFmtId="0" fontId="23" fillId="0" borderId="45" xfId="9" applyFont="1" applyFill="1" applyBorder="1" applyAlignment="1">
      <alignment horizontal="center"/>
    </xf>
    <xf numFmtId="0" fontId="23" fillId="0" borderId="35" xfId="9" applyFont="1" applyFill="1" applyBorder="1" applyAlignment="1">
      <alignment horizontal="center"/>
    </xf>
  </cellXfs>
  <cellStyles count="11">
    <cellStyle name="標準" xfId="0" builtinId="0"/>
    <cellStyle name="標準 13 2 2" xfId="8"/>
    <cellStyle name="標準 2" xfId="2"/>
    <cellStyle name="標準 2 2" xfId="3"/>
    <cellStyle name="標準 2 3" xfId="10"/>
    <cellStyle name="標準 3" xfId="5"/>
    <cellStyle name="標準 3 10" xfId="7"/>
    <cellStyle name="標準 4" xfId="6"/>
    <cellStyle name="標準 5" xfId="1"/>
    <cellStyle name="標準 6" xfId="9"/>
    <cellStyle name="標準_軌道計算_1" xfId="4"/>
  </cellStyles>
  <dxfs count="0"/>
  <tableStyles count="0" defaultTableStyle="TableStyleMedium2" defaultPivotStyle="PivotStyleLight16"/>
  <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'空力設計(設計)'!$AN$13:$AO$13</c:f>
              <c:strCache>
                <c:ptCount val="1"/>
                <c:pt idx="0">
                  <c:v>ボディ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'空力設計(設計)'!$AN$15:$AN$19</c:f>
              <c:numCache>
                <c:formatCode>General</c:formatCode>
                <c:ptCount val="5"/>
                <c:pt idx="0">
                  <c:v>200</c:v>
                </c:pt>
                <c:pt idx="1">
                  <c:v>1450</c:v>
                </c:pt>
                <c:pt idx="2">
                  <c:v>1450</c:v>
                </c:pt>
                <c:pt idx="3">
                  <c:v>200</c:v>
                </c:pt>
                <c:pt idx="4">
                  <c:v>200</c:v>
                </c:pt>
              </c:numCache>
            </c:numRef>
          </c:xVal>
          <c:yVal>
            <c:numRef>
              <c:f>'空力設計(設計)'!$AO$15:$AO$19</c:f>
              <c:numCache>
                <c:formatCode>General</c:formatCode>
                <c:ptCount val="5"/>
                <c:pt idx="0">
                  <c:v>77</c:v>
                </c:pt>
                <c:pt idx="1">
                  <c:v>77</c:v>
                </c:pt>
                <c:pt idx="2">
                  <c:v>-77</c:v>
                </c:pt>
                <c:pt idx="3">
                  <c:v>-77</c:v>
                </c:pt>
                <c:pt idx="4">
                  <c:v>77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'空力設計(設計)'!$AN$5:$AO$5</c:f>
              <c:strCache>
                <c:ptCount val="1"/>
                <c:pt idx="0">
                  <c:v>ノーズ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'空力設計(設計)'!$AN$7:$AN$10</c:f>
              <c:numCache>
                <c:formatCode>General</c:formatCode>
                <c:ptCount val="4"/>
                <c:pt idx="0">
                  <c:v>0</c:v>
                </c:pt>
                <c:pt idx="1">
                  <c:v>200</c:v>
                </c:pt>
                <c:pt idx="2">
                  <c:v>200</c:v>
                </c:pt>
                <c:pt idx="3">
                  <c:v>0</c:v>
                </c:pt>
              </c:numCache>
            </c:numRef>
          </c:xVal>
          <c:yVal>
            <c:numRef>
              <c:f>'空力設計(設計)'!$AO$7:$AO$10</c:f>
              <c:numCache>
                <c:formatCode>General</c:formatCode>
                <c:ptCount val="4"/>
                <c:pt idx="0">
                  <c:v>0</c:v>
                </c:pt>
                <c:pt idx="1">
                  <c:v>77</c:v>
                </c:pt>
                <c:pt idx="2">
                  <c:v>-77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'空力設計(設計)'!$AN$21:$AO$21</c:f>
              <c:strCache>
                <c:ptCount val="1"/>
                <c:pt idx="0">
                  <c:v>ボートテイル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'空力設計(設計)'!$AN$23:$AN$27</c:f>
              <c:numCache>
                <c:formatCode>General</c:formatCode>
                <c:ptCount val="5"/>
                <c:pt idx="0">
                  <c:v>1450</c:v>
                </c:pt>
                <c:pt idx="1">
                  <c:v>1500</c:v>
                </c:pt>
                <c:pt idx="2">
                  <c:v>1500</c:v>
                </c:pt>
                <c:pt idx="3">
                  <c:v>1450</c:v>
                </c:pt>
                <c:pt idx="4">
                  <c:v>1450</c:v>
                </c:pt>
              </c:numCache>
            </c:numRef>
          </c:xVal>
          <c:yVal>
            <c:numRef>
              <c:f>'空力設計(設計)'!$AO$23:$AO$27</c:f>
              <c:numCache>
                <c:formatCode>General</c:formatCode>
                <c:ptCount val="5"/>
                <c:pt idx="0">
                  <c:v>77</c:v>
                </c:pt>
                <c:pt idx="1">
                  <c:v>65</c:v>
                </c:pt>
                <c:pt idx="2">
                  <c:v>-65</c:v>
                </c:pt>
                <c:pt idx="3">
                  <c:v>-77</c:v>
                </c:pt>
                <c:pt idx="4">
                  <c:v>77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'空力設計(設計)'!$AN$38:$AO$38</c:f>
              <c:strCache>
                <c:ptCount val="1"/>
                <c:pt idx="0">
                  <c:v>フィン2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'空力設計(設計)'!$AN$40:$AN$45</c:f>
              <c:numCache>
                <c:formatCode>General</c:formatCode>
                <c:ptCount val="6"/>
                <c:pt idx="0">
                  <c:v>1250</c:v>
                </c:pt>
                <c:pt idx="1">
                  <c:v>1450</c:v>
                </c:pt>
                <c:pt idx="2">
                  <c:v>1485</c:v>
                </c:pt>
                <c:pt idx="3">
                  <c:v>1515</c:v>
                </c:pt>
                <c:pt idx="4">
                  <c:v>1395</c:v>
                </c:pt>
                <c:pt idx="5">
                  <c:v>1250</c:v>
                </c:pt>
              </c:numCache>
            </c:numRef>
          </c:xVal>
          <c:yVal>
            <c:numRef>
              <c:f>'空力設計(設計)'!$AO$40:$AO$45</c:f>
              <c:numCache>
                <c:formatCode>General</c:formatCode>
                <c:ptCount val="6"/>
                <c:pt idx="0">
                  <c:v>-77</c:v>
                </c:pt>
                <c:pt idx="1">
                  <c:v>-77</c:v>
                </c:pt>
                <c:pt idx="2">
                  <c:v>-106.3684870912048</c:v>
                </c:pt>
                <c:pt idx="3">
                  <c:v>-197</c:v>
                </c:pt>
                <c:pt idx="4">
                  <c:v>-197</c:v>
                </c:pt>
                <c:pt idx="5">
                  <c:v>-77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'空力設計(設計)'!$AN$29:$AO$29</c:f>
              <c:strCache>
                <c:ptCount val="1"/>
                <c:pt idx="0">
                  <c:v>フィン1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'空力設計(設計)'!$AN$31:$AN$36</c:f>
              <c:numCache>
                <c:formatCode>General</c:formatCode>
                <c:ptCount val="6"/>
                <c:pt idx="0">
                  <c:v>1250</c:v>
                </c:pt>
                <c:pt idx="1">
                  <c:v>1450</c:v>
                </c:pt>
                <c:pt idx="2">
                  <c:v>1485</c:v>
                </c:pt>
                <c:pt idx="3">
                  <c:v>1515</c:v>
                </c:pt>
                <c:pt idx="4">
                  <c:v>1395</c:v>
                </c:pt>
                <c:pt idx="5">
                  <c:v>1250</c:v>
                </c:pt>
              </c:numCache>
            </c:numRef>
          </c:xVal>
          <c:yVal>
            <c:numRef>
              <c:f>'空力設計(設計)'!$AO$31:$AO$36</c:f>
              <c:numCache>
                <c:formatCode>General</c:formatCode>
                <c:ptCount val="6"/>
                <c:pt idx="0">
                  <c:v>77</c:v>
                </c:pt>
                <c:pt idx="1">
                  <c:v>77</c:v>
                </c:pt>
                <c:pt idx="2">
                  <c:v>106.3684870912048</c:v>
                </c:pt>
                <c:pt idx="3">
                  <c:v>197</c:v>
                </c:pt>
                <c:pt idx="4">
                  <c:v>197</c:v>
                </c:pt>
                <c:pt idx="5">
                  <c:v>77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'空力設計(設計)'!$AQ$5:$AR$5</c:f>
              <c:strCache>
                <c:ptCount val="1"/>
                <c:pt idx="0">
                  <c:v>全備重心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'空力設計(設計)'!$AQ$7</c:f>
              <c:numCache>
                <c:formatCode>General</c:formatCode>
                <c:ptCount val="1"/>
                <c:pt idx="0">
                  <c:v>880.52173913043487</c:v>
                </c:pt>
              </c:numCache>
            </c:numRef>
          </c:xVal>
          <c:yVal>
            <c:numRef>
              <c:f>'空力設計(設計)'!$AR$7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'空力設計(設計)'!$AQ$9:$AR$9</c:f>
              <c:strCache>
                <c:ptCount val="1"/>
                <c:pt idx="0">
                  <c:v>圧力中心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'空力設計(設計)'!$AQ$11</c:f>
              <c:numCache>
                <c:formatCode>General</c:formatCode>
                <c:ptCount val="1"/>
                <c:pt idx="0">
                  <c:v>1014.3409446026249</c:v>
                </c:pt>
              </c:numCache>
            </c:numRef>
          </c:xVal>
          <c:yVal>
            <c:numRef>
              <c:f>'空力設計(設計)'!$AR$11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03776"/>
        <c:axId val="374504336"/>
      </c:scatterChart>
      <c:valAx>
        <c:axId val="374503776"/>
        <c:scaling>
          <c:orientation val="minMax"/>
          <c:max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4504336"/>
        <c:crosses val="autoZero"/>
        <c:crossBetween val="midCat"/>
        <c:majorUnit val="200"/>
      </c:valAx>
      <c:valAx>
        <c:axId val="374504336"/>
        <c:scaling>
          <c:orientation val="minMax"/>
          <c:max val="400"/>
          <c:min val="-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4503776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'空力設計(設計)'!$AQ$25:$AQ$37</c:f>
              <c:numCache>
                <c:formatCode>General</c:formatCode>
                <c:ptCount val="13"/>
                <c:pt idx="0">
                  <c:v>0</c:v>
                </c:pt>
                <c:pt idx="1">
                  <c:v>77</c:v>
                </c:pt>
                <c:pt idx="2">
                  <c:v>197</c:v>
                </c:pt>
                <c:pt idx="3">
                  <c:v>197</c:v>
                </c:pt>
                <c:pt idx="4">
                  <c:v>106.3684870912048</c:v>
                </c:pt>
                <c:pt idx="5">
                  <c:v>77</c:v>
                </c:pt>
                <c:pt idx="6">
                  <c:v>0</c:v>
                </c:pt>
                <c:pt idx="7">
                  <c:v>-77</c:v>
                </c:pt>
                <c:pt idx="8">
                  <c:v>-106.3684870912048</c:v>
                </c:pt>
                <c:pt idx="9">
                  <c:v>-197</c:v>
                </c:pt>
                <c:pt idx="10">
                  <c:v>-197</c:v>
                </c:pt>
                <c:pt idx="11">
                  <c:v>-77</c:v>
                </c:pt>
                <c:pt idx="12">
                  <c:v>0</c:v>
                </c:pt>
              </c:numCache>
            </c:numRef>
          </c:xVal>
          <c:yVal>
            <c:numRef>
              <c:f>'空力設計(設計)'!$AR$25:$AR$37</c:f>
              <c:numCache>
                <c:formatCode>General</c:formatCode>
                <c:ptCount val="13"/>
                <c:pt idx="0">
                  <c:v>0</c:v>
                </c:pt>
                <c:pt idx="1">
                  <c:v>-93.041666666666657</c:v>
                </c:pt>
                <c:pt idx="2">
                  <c:v>-238.04166666666666</c:v>
                </c:pt>
                <c:pt idx="3">
                  <c:v>-358.04166666666663</c:v>
                </c:pt>
                <c:pt idx="4">
                  <c:v>-328.04166666666663</c:v>
                </c:pt>
                <c:pt idx="5">
                  <c:v>-293.04166666666663</c:v>
                </c:pt>
                <c:pt idx="6">
                  <c:v>-293.04166666666663</c:v>
                </c:pt>
                <c:pt idx="7">
                  <c:v>-293.04166666666663</c:v>
                </c:pt>
                <c:pt idx="8">
                  <c:v>-328.04166666666663</c:v>
                </c:pt>
                <c:pt idx="9">
                  <c:v>-358.04166666666663</c:v>
                </c:pt>
                <c:pt idx="10">
                  <c:v>-238.04166666666666</c:v>
                </c:pt>
                <c:pt idx="11">
                  <c:v>-93.041666666666657</c:v>
                </c:pt>
                <c:pt idx="12">
                  <c:v>0</c:v>
                </c:pt>
              </c:numCache>
            </c:numRef>
          </c:yVal>
          <c:smooth val="0"/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'空力設計(設計)'!$AQ$39:$AQ$40</c:f>
              <c:numCache>
                <c:formatCode>General</c:formatCode>
                <c:ptCount val="2"/>
                <c:pt idx="0">
                  <c:v>77</c:v>
                </c:pt>
                <c:pt idx="1">
                  <c:v>77</c:v>
                </c:pt>
              </c:numCache>
            </c:numRef>
          </c:xVal>
          <c:yVal>
            <c:numRef>
              <c:f>'空力設計(設計)'!$AR$39:$AR$40</c:f>
              <c:numCache>
                <c:formatCode>General</c:formatCode>
                <c:ptCount val="2"/>
                <c:pt idx="0">
                  <c:v>-93.041666666666657</c:v>
                </c:pt>
                <c:pt idx="1">
                  <c:v>-293.04166666666663</c:v>
                </c:pt>
              </c:numCache>
            </c:numRef>
          </c:yVal>
          <c:smooth val="0"/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'空力設計(設計)'!$AQ$41:$AQ$42</c:f>
              <c:numCache>
                <c:formatCode>General</c:formatCode>
                <c:ptCount val="2"/>
                <c:pt idx="0">
                  <c:v>-77</c:v>
                </c:pt>
                <c:pt idx="1">
                  <c:v>-77</c:v>
                </c:pt>
              </c:numCache>
            </c:numRef>
          </c:xVal>
          <c:yVal>
            <c:numRef>
              <c:f>'空力設計(設計)'!$AR$41:$AR$42</c:f>
              <c:numCache>
                <c:formatCode>General</c:formatCode>
                <c:ptCount val="2"/>
                <c:pt idx="0">
                  <c:v>-93.041666666666657</c:v>
                </c:pt>
                <c:pt idx="1">
                  <c:v>-293.04166666666663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508256"/>
        <c:axId val="374508816"/>
      </c:scatterChart>
      <c:valAx>
        <c:axId val="374508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4508816"/>
        <c:crosses val="autoZero"/>
        <c:crossBetween val="midCat"/>
      </c:valAx>
      <c:valAx>
        <c:axId val="37450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74508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654277</xdr:colOff>
      <xdr:row>23</xdr:row>
      <xdr:rowOff>22678</xdr:rowOff>
    </xdr:from>
    <xdr:to>
      <xdr:col>20</xdr:col>
      <xdr:colOff>295105</xdr:colOff>
      <xdr:row>41</xdr:row>
      <xdr:rowOff>63499</xdr:rowOff>
    </xdr:to>
    <xdr:graphicFrame macro="">
      <xdr:nvGraphicFramePr>
        <xdr:cNvPr id="29" name="グラフ 28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138340</xdr:colOff>
      <xdr:row>10</xdr:row>
      <xdr:rowOff>230000</xdr:rowOff>
    </xdr:from>
    <xdr:to>
      <xdr:col>10</xdr:col>
      <xdr:colOff>558001</xdr:colOff>
      <xdr:row>20</xdr:row>
      <xdr:rowOff>142875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83340" y="2770000"/>
          <a:ext cx="4848786" cy="2452875"/>
        </a:xfrm>
        <a:prstGeom prst="rect">
          <a:avLst/>
        </a:prstGeom>
      </xdr:spPr>
    </xdr:pic>
    <xdr:clientData/>
  </xdr:twoCellAnchor>
  <xdr:twoCellAnchor>
    <xdr:from>
      <xdr:col>26</xdr:col>
      <xdr:colOff>100796</xdr:colOff>
      <xdr:row>31</xdr:row>
      <xdr:rowOff>238125</xdr:rowOff>
    </xdr:from>
    <xdr:to>
      <xdr:col>31</xdr:col>
      <xdr:colOff>571500</xdr:colOff>
      <xdr:row>47</xdr:row>
      <xdr:rowOff>105862</xdr:rowOff>
    </xdr:to>
    <xdr:graphicFrame macro="">
      <xdr:nvGraphicFramePr>
        <xdr:cNvPr id="3" name="グラフ 2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125731</xdr:colOff>
      <xdr:row>17</xdr:row>
      <xdr:rowOff>150495</xdr:rowOff>
    </xdr:from>
    <xdr:to>
      <xdr:col>11</xdr:col>
      <xdr:colOff>1190625</xdr:colOff>
      <xdr:row>38</xdr:row>
      <xdr:rowOff>3280</xdr:rowOff>
    </xdr:to>
    <xdr:grpSp>
      <xdr:nvGrpSpPr>
        <xdr:cNvPr id="2" name="グループ化 1"/>
        <xdr:cNvGrpSpPr/>
      </xdr:nvGrpSpPr>
      <xdr:grpSpPr>
        <a:xfrm>
          <a:off x="6602731" y="3169920"/>
          <a:ext cx="4808219" cy="3662785"/>
          <a:chOff x="466456" y="986105"/>
          <a:chExt cx="8221461" cy="6674487"/>
        </a:xfrm>
      </xdr:grpSpPr>
      <xdr:sp macro="" textlink="">
        <xdr:nvSpPr>
          <xdr:cNvPr id="3" name="二等辺三角形 2"/>
          <xdr:cNvSpPr/>
        </xdr:nvSpPr>
        <xdr:spPr>
          <a:xfrm rot="16200000">
            <a:off x="1013575" y="1637597"/>
            <a:ext cx="817072" cy="1911309"/>
          </a:xfrm>
          <a:prstGeom prst="triangle">
            <a:avLst/>
          </a:prstGeom>
          <a:solidFill>
            <a:srgbClr val="3366FF"/>
          </a:solidFill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200"/>
          </a:p>
        </xdr:txBody>
      </xdr:sp>
      <xdr:sp macro="" textlink="">
        <xdr:nvSpPr>
          <xdr:cNvPr id="4" name="正方形/長方形 3"/>
          <xdr:cNvSpPr/>
        </xdr:nvSpPr>
        <xdr:spPr>
          <a:xfrm>
            <a:off x="2377766" y="2184715"/>
            <a:ext cx="6308213" cy="817072"/>
          </a:xfrm>
          <a:prstGeom prst="rect">
            <a:avLst/>
          </a:prstGeom>
          <a:solidFill>
            <a:srgbClr val="3366FF"/>
          </a:solidFill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200"/>
          </a:p>
        </xdr:txBody>
      </xdr:sp>
      <xdr:sp macro="" textlink="">
        <xdr:nvSpPr>
          <xdr:cNvPr id="5" name="直角三角形 4"/>
          <xdr:cNvSpPr/>
        </xdr:nvSpPr>
        <xdr:spPr>
          <a:xfrm rot="10800000">
            <a:off x="7334244" y="3001787"/>
            <a:ext cx="1351733" cy="494533"/>
          </a:xfrm>
          <a:prstGeom prst="rtTriangle">
            <a:avLst/>
          </a:prstGeom>
          <a:solidFill>
            <a:srgbClr val="3366FF"/>
          </a:solidFill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200"/>
          </a:p>
        </xdr:txBody>
      </xdr:sp>
      <xdr:sp macro="" textlink="">
        <xdr:nvSpPr>
          <xdr:cNvPr id="6" name="直角三角形 5"/>
          <xdr:cNvSpPr/>
        </xdr:nvSpPr>
        <xdr:spPr>
          <a:xfrm rot="10800000" flipV="1">
            <a:off x="7334244" y="1690182"/>
            <a:ext cx="1351735" cy="494533"/>
          </a:xfrm>
          <a:prstGeom prst="rtTriangle">
            <a:avLst/>
          </a:prstGeom>
          <a:solidFill>
            <a:srgbClr val="3366FF"/>
          </a:solidFill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200"/>
          </a:p>
        </xdr:txBody>
      </xdr:sp>
      <xdr:sp macro="" textlink="">
        <xdr:nvSpPr>
          <xdr:cNvPr id="7" name="二等辺三角形 6"/>
          <xdr:cNvSpPr/>
        </xdr:nvSpPr>
        <xdr:spPr>
          <a:xfrm>
            <a:off x="2828462" y="3001787"/>
            <a:ext cx="1037695" cy="771057"/>
          </a:xfrm>
          <a:prstGeom prst="triangle">
            <a:avLst/>
          </a:prstGeom>
          <a:solidFill>
            <a:srgbClr val="FF0000"/>
          </a:solidFill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200"/>
          </a:p>
        </xdr:txBody>
      </xdr:sp>
      <xdr:sp macro="" textlink="">
        <xdr:nvSpPr>
          <xdr:cNvPr id="8" name="二等辺三角形 7"/>
          <xdr:cNvSpPr/>
        </xdr:nvSpPr>
        <xdr:spPr>
          <a:xfrm>
            <a:off x="5931708" y="3001787"/>
            <a:ext cx="1037695" cy="771057"/>
          </a:xfrm>
          <a:prstGeom prst="triangle">
            <a:avLst/>
          </a:prstGeom>
          <a:solidFill>
            <a:srgbClr val="FF0000"/>
          </a:solidFill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200"/>
          </a:p>
        </xdr:txBody>
      </xdr:sp>
      <xdr:sp macro="" textlink="">
        <xdr:nvSpPr>
          <xdr:cNvPr id="9" name="円/楕円 8"/>
          <xdr:cNvSpPr/>
        </xdr:nvSpPr>
        <xdr:spPr>
          <a:xfrm>
            <a:off x="5095006" y="2485856"/>
            <a:ext cx="409617" cy="322488"/>
          </a:xfrm>
          <a:prstGeom prst="ellipse">
            <a:avLst/>
          </a:prstGeom>
          <a:solidFill>
            <a:schemeClr val="bg1"/>
          </a:solidFill>
          <a:ln w="25400">
            <a:solidFill>
              <a:schemeClr val="tx1"/>
            </a:solidFill>
          </a:ln>
          <a:effectLst/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kumimoji="1" lang="ja-JP" altLang="en-US" sz="1200"/>
          </a:p>
        </xdr:txBody>
      </xdr:sp>
      <xdr:cxnSp macro="">
        <xdr:nvCxnSpPr>
          <xdr:cNvPr id="10" name="直線コネクタ 9"/>
          <xdr:cNvCxnSpPr>
            <a:stCxn id="9" idx="0"/>
            <a:endCxn id="9" idx="4"/>
          </xdr:cNvCxnSpPr>
        </xdr:nvCxnSpPr>
        <xdr:spPr>
          <a:xfrm>
            <a:off x="5299815" y="2485856"/>
            <a:ext cx="0" cy="322488"/>
          </a:xfrm>
          <a:prstGeom prst="line">
            <a:avLst/>
          </a:prstGeom>
          <a:ln>
            <a:solidFill>
              <a:schemeClr val="tx1"/>
            </a:solidFill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" name="直線コネクタ 10"/>
          <xdr:cNvCxnSpPr>
            <a:stCxn id="9" idx="2"/>
            <a:endCxn id="9" idx="6"/>
          </xdr:cNvCxnSpPr>
        </xdr:nvCxnSpPr>
        <xdr:spPr>
          <a:xfrm>
            <a:off x="5095006" y="2647100"/>
            <a:ext cx="409617" cy="0"/>
          </a:xfrm>
          <a:prstGeom prst="line">
            <a:avLst/>
          </a:prstGeom>
          <a:ln>
            <a:solidFill>
              <a:schemeClr val="tx1"/>
            </a:solidFill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" name="直線コネクタ 11"/>
          <xdr:cNvCxnSpPr/>
        </xdr:nvCxnSpPr>
        <xdr:spPr>
          <a:xfrm flipV="1">
            <a:off x="5299815" y="1263554"/>
            <a:ext cx="0" cy="921163"/>
          </a:xfrm>
          <a:prstGeom prst="line">
            <a:avLst/>
          </a:prstGeom>
          <a:ln>
            <a:solidFill>
              <a:schemeClr val="tx1"/>
            </a:solidFill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grpSp>
        <xdr:nvGrpSpPr>
          <xdr:cNvPr id="13" name="グループ化 12"/>
          <xdr:cNvGrpSpPr/>
        </xdr:nvGrpSpPr>
        <xdr:grpSpPr>
          <a:xfrm>
            <a:off x="5292080" y="986105"/>
            <a:ext cx="3384376" cy="498679"/>
            <a:chOff x="5292080" y="986105"/>
            <a:chExt cx="3384376" cy="498679"/>
          </a:xfrm>
        </xdr:grpSpPr>
        <xdr:sp macro="" textlink="">
          <xdr:nvSpPr>
            <xdr:cNvPr id="27" name="テキスト ボックス 14"/>
            <xdr:cNvSpPr txBox="1"/>
          </xdr:nvSpPr>
          <xdr:spPr>
            <a:xfrm>
              <a:off x="6498926" y="986105"/>
              <a:ext cx="820377" cy="489973"/>
            </a:xfrm>
            <a:prstGeom prst="rect">
              <a:avLst/>
            </a:prstGeom>
            <a:noFill/>
          </xdr:spPr>
          <xdr:txBody>
            <a:bodyPr wrap="square" rtlCol="0">
              <a:spAutoFit/>
            </a:bodyPr>
            <a:lstStyle>
              <a:defPPr>
                <a:defRPr lang="ja-JP"/>
              </a:defPPr>
              <a:lvl1pPr marL="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kumimoji="1"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kumimoji="1" lang="en-US" altLang="ja-JP" sz="1200" b="1">
                  <a:latin typeface="Times New Roman" pitchFamily="18" charset="0"/>
                  <a:cs typeface="Times New Roman" pitchFamily="18" charset="0"/>
                </a:rPr>
                <a:t>L</a:t>
              </a:r>
              <a:r>
                <a:rPr kumimoji="1" lang="en-US" altLang="ja-JP" sz="1200" b="1" baseline="-25000">
                  <a:latin typeface="Times New Roman" pitchFamily="18" charset="0"/>
                  <a:cs typeface="Times New Roman" pitchFamily="18" charset="0"/>
                </a:rPr>
                <a:t>G</a:t>
              </a:r>
              <a:endParaRPr kumimoji="1" lang="ja-JP" alt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  <xdr:cxnSp macro="">
          <xdr:nvCxnSpPr>
            <xdr:cNvPr id="28" name="直線矢印コネクタ 27"/>
            <xdr:cNvCxnSpPr/>
          </xdr:nvCxnSpPr>
          <xdr:spPr>
            <a:xfrm>
              <a:off x="5292080" y="1484784"/>
              <a:ext cx="3384376" cy="0"/>
            </a:xfrm>
            <a:prstGeom prst="straightConnector1">
              <a:avLst/>
            </a:prstGeom>
            <a:ln>
              <a:solidFill>
                <a:schemeClr val="tx1"/>
              </a:solidFill>
              <a:headEnd type="arrow"/>
              <a:tailEnd type="arrow"/>
            </a:ln>
            <a:effectLst/>
          </xdr:spPr>
          <xdr:style>
            <a:lnRef idx="2">
              <a:schemeClr val="accent1"/>
            </a:lnRef>
            <a:fillRef idx="0">
              <a:schemeClr val="accent1"/>
            </a:fillRef>
            <a:effectRef idx="1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4" name="テキスト ボックス 18"/>
          <xdr:cNvSpPr txBox="1"/>
        </xdr:nvSpPr>
        <xdr:spPr>
          <a:xfrm>
            <a:off x="3995935" y="2420890"/>
            <a:ext cx="392560" cy="492293"/>
          </a:xfrm>
          <a:prstGeom prst="rect">
            <a:avLst/>
          </a:prstGeom>
          <a:solidFill>
            <a:schemeClr val="bg1"/>
          </a:solidFill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 sz="1200">
                <a:latin typeface="Times New Roman" pitchFamily="18" charset="0"/>
                <a:cs typeface="Times New Roman" pitchFamily="18" charset="0"/>
              </a:rPr>
              <a:t>M</a:t>
            </a:r>
          </a:p>
        </xdr:txBody>
      </xdr:sp>
      <xdr:sp macro="" textlink="">
        <xdr:nvSpPr>
          <xdr:cNvPr id="15" name="テキスト ボックス 19"/>
          <xdr:cNvSpPr txBox="1"/>
        </xdr:nvSpPr>
        <xdr:spPr>
          <a:xfrm>
            <a:off x="5539147" y="2455566"/>
            <a:ext cx="789539" cy="786070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200">
                <a:latin typeface="Times New Roman" pitchFamily="18" charset="0"/>
                <a:cs typeface="Times New Roman" pitchFamily="18" charset="0"/>
              </a:rPr>
              <a:t>C</a:t>
            </a:r>
            <a:r>
              <a:rPr lang="en-US" altLang="ja-JP" sz="1200" baseline="-25000">
                <a:latin typeface="Times New Roman" pitchFamily="18" charset="0"/>
                <a:cs typeface="Times New Roman" pitchFamily="18" charset="0"/>
              </a:rPr>
              <a:t>G</a:t>
            </a:r>
          </a:p>
          <a:p>
            <a:endParaRPr kumimoji="1" lang="en-US" altLang="ja-JP" sz="1200"/>
          </a:p>
        </xdr:txBody>
      </xdr:sp>
      <xdr:sp macro="" textlink="">
        <xdr:nvSpPr>
          <xdr:cNvPr id="16" name="テキスト ボックス 20"/>
          <xdr:cNvSpPr txBox="1"/>
        </xdr:nvSpPr>
        <xdr:spPr>
          <a:xfrm>
            <a:off x="6207494" y="3276498"/>
            <a:ext cx="681671" cy="48997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 sz="1200">
                <a:latin typeface="Times New Roman" pitchFamily="18" charset="0"/>
                <a:cs typeface="Times New Roman" pitchFamily="18" charset="0"/>
              </a:rPr>
              <a:t>m</a:t>
            </a:r>
            <a:r>
              <a:rPr kumimoji="1" lang="en-US" altLang="ja-JP" sz="1200" baseline="-25000">
                <a:latin typeface="Times New Roman" pitchFamily="18" charset="0"/>
                <a:cs typeface="Times New Roman" pitchFamily="18" charset="0"/>
              </a:rPr>
              <a:t>1</a:t>
            </a:r>
            <a:endParaRPr kumimoji="1" lang="ja-JP" altLang="en-US" sz="1200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17" name="テキスト ボックス 21"/>
          <xdr:cNvSpPr txBox="1"/>
        </xdr:nvSpPr>
        <xdr:spPr>
          <a:xfrm>
            <a:off x="3124185" y="3331951"/>
            <a:ext cx="780098" cy="489973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 sz="1200">
                <a:latin typeface="Times New Roman" pitchFamily="18" charset="0"/>
                <a:cs typeface="Times New Roman" pitchFamily="18" charset="0"/>
              </a:rPr>
              <a:t>m</a:t>
            </a:r>
            <a:r>
              <a:rPr lang="en-US" altLang="ja-JP" sz="1200" baseline="-25000">
                <a:latin typeface="Times New Roman" pitchFamily="18" charset="0"/>
                <a:cs typeface="Times New Roman" pitchFamily="18" charset="0"/>
              </a:rPr>
              <a:t>2</a:t>
            </a:r>
            <a:endParaRPr kumimoji="1" lang="ja-JP" altLang="en-US" sz="1200">
              <a:latin typeface="Times New Roman" pitchFamily="18" charset="0"/>
              <a:cs typeface="Times New Roman" pitchFamily="18" charset="0"/>
            </a:endParaRPr>
          </a:p>
        </xdr:txBody>
      </xdr:sp>
      <xdr:cxnSp macro="">
        <xdr:nvCxnSpPr>
          <xdr:cNvPr id="18" name="直線コネクタ 17"/>
          <xdr:cNvCxnSpPr>
            <a:stCxn id="7" idx="3"/>
          </xdr:cNvCxnSpPr>
        </xdr:nvCxnSpPr>
        <xdr:spPr>
          <a:xfrm>
            <a:off x="3347310" y="3772844"/>
            <a:ext cx="554" cy="1240332"/>
          </a:xfrm>
          <a:prstGeom prst="line">
            <a:avLst/>
          </a:prstGeom>
          <a:ln>
            <a:solidFill>
              <a:schemeClr val="tx1"/>
            </a:solidFill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9" name="直線コネクタ 18"/>
          <xdr:cNvCxnSpPr/>
        </xdr:nvCxnSpPr>
        <xdr:spPr>
          <a:xfrm>
            <a:off x="8676456" y="1268760"/>
            <a:ext cx="0" cy="3767370"/>
          </a:xfrm>
          <a:prstGeom prst="line">
            <a:avLst/>
          </a:prstGeom>
          <a:ln>
            <a:solidFill>
              <a:schemeClr val="tx1"/>
            </a:solidFill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0" name="直線矢印コネクタ 19"/>
          <xdr:cNvCxnSpPr/>
        </xdr:nvCxnSpPr>
        <xdr:spPr>
          <a:xfrm>
            <a:off x="6444208" y="4005064"/>
            <a:ext cx="2232782" cy="0"/>
          </a:xfrm>
          <a:prstGeom prst="straightConnector1">
            <a:avLst/>
          </a:prstGeom>
          <a:ln>
            <a:solidFill>
              <a:schemeClr val="tx1"/>
            </a:solidFill>
            <a:headEnd type="arrow"/>
            <a:tailEnd type="arrow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" name="直線コネクタ 20"/>
          <xdr:cNvCxnSpPr/>
        </xdr:nvCxnSpPr>
        <xdr:spPr>
          <a:xfrm flipH="1">
            <a:off x="6444209" y="3764761"/>
            <a:ext cx="10373" cy="384319"/>
          </a:xfrm>
          <a:prstGeom prst="line">
            <a:avLst/>
          </a:prstGeom>
          <a:ln>
            <a:solidFill>
              <a:schemeClr val="tx1"/>
            </a:solidFill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2" name="直線矢印コネクタ 21"/>
          <xdr:cNvCxnSpPr/>
        </xdr:nvCxnSpPr>
        <xdr:spPr>
          <a:xfrm>
            <a:off x="3347864" y="4725144"/>
            <a:ext cx="5340053" cy="0"/>
          </a:xfrm>
          <a:prstGeom prst="straightConnector1">
            <a:avLst/>
          </a:prstGeom>
          <a:ln>
            <a:solidFill>
              <a:schemeClr val="tx1"/>
            </a:solidFill>
            <a:headEnd type="arrow"/>
            <a:tailEnd type="arrow"/>
          </a:ln>
          <a:effectLst/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3" name="テキスト ボックス 27"/>
          <xdr:cNvSpPr txBox="1"/>
        </xdr:nvSpPr>
        <xdr:spPr>
          <a:xfrm>
            <a:off x="5436095" y="4293095"/>
            <a:ext cx="544617" cy="14219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en-US" altLang="ja-JP" sz="1200">
                <a:latin typeface="Times New Roman" pitchFamily="18" charset="0"/>
                <a:cs typeface="Times New Roman" pitchFamily="18" charset="0"/>
              </a:rPr>
              <a:t>l</a:t>
            </a:r>
            <a:r>
              <a:rPr lang="en-US" altLang="ja-JP" sz="1200" baseline="-25000">
                <a:latin typeface="Times New Roman" pitchFamily="18" charset="0"/>
                <a:cs typeface="Times New Roman" pitchFamily="18" charset="0"/>
              </a:rPr>
              <a:t>2</a:t>
            </a:r>
            <a:endParaRPr kumimoji="1" lang="ja-JP" altLang="en-US" sz="1200">
              <a:latin typeface="Times New Roman" pitchFamily="18" charset="0"/>
              <a:cs typeface="Times New Roman" pitchFamily="18" charset="0"/>
            </a:endParaRPr>
          </a:p>
        </xdr:txBody>
      </xdr:sp>
      <xdr:sp macro="" textlink="">
        <xdr:nvSpPr>
          <xdr:cNvPr id="24" name="テキスト ボックス 28"/>
          <xdr:cNvSpPr txBox="1"/>
        </xdr:nvSpPr>
        <xdr:spPr>
          <a:xfrm>
            <a:off x="7380312" y="3573015"/>
            <a:ext cx="544617" cy="1421986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ja-JP" sz="1200">
                <a:latin typeface="Times New Roman" pitchFamily="18" charset="0"/>
                <a:cs typeface="Times New Roman" pitchFamily="18" charset="0"/>
              </a:rPr>
              <a:t>l</a:t>
            </a:r>
            <a:r>
              <a:rPr kumimoji="1" lang="en-US" altLang="ja-JP" sz="1200" baseline="-25000">
                <a:latin typeface="Times New Roman" pitchFamily="18" charset="0"/>
                <a:cs typeface="Times New Roman" pitchFamily="18" charset="0"/>
              </a:rPr>
              <a:t>1</a:t>
            </a:r>
            <a:endParaRPr kumimoji="1" lang="ja-JP" altLang="en-US" sz="1200">
              <a:latin typeface="Times New Roman" pitchFamily="18" charset="0"/>
              <a:cs typeface="Times New Roman" pitchFamily="18" charset="0"/>
            </a:endParaRPr>
          </a:p>
        </xdr:txBody>
      </xdr:sp>
      <xdr:pic>
        <xdr:nvPicPr>
          <xdr:cNvPr id="25" name="図 24"/>
          <xdr:cNvPicPr/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463566" y="5450068"/>
            <a:ext cx="5672500" cy="272839"/>
          </a:xfrm>
          <a:prstGeom prst="rect">
            <a:avLst/>
          </a:prstGeom>
        </xdr:spPr>
      </xdr:pic>
      <xdr:sp macro="" textlink="">
        <xdr:nvSpPr>
          <xdr:cNvPr id="26" name="テキスト ボックス 4"/>
          <xdr:cNvSpPr txBox="1"/>
        </xdr:nvSpPr>
        <xdr:spPr>
          <a:xfrm>
            <a:off x="2882422" y="5453448"/>
            <a:ext cx="1617400" cy="2207144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ja-JP"/>
            </a:defPPr>
            <a:lvl1pPr marL="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kumimoji="1"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r>
              <a:rPr kumimoji="1" lang="ja-JP" altLang="en-US" sz="1200"/>
              <a:t>重心算出式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F10" sqref="F10"/>
    </sheetView>
  </sheetViews>
  <sheetFormatPr defaultRowHeight="13.5"/>
  <cols>
    <col min="1" max="1" width="24.5" customWidth="1"/>
  </cols>
  <sheetData>
    <row r="1" spans="1:2">
      <c r="A1" t="str">
        <f>諸元!E4</f>
        <v>全長</v>
      </c>
      <c r="B1">
        <f>諸元!F4</f>
        <v>1.5</v>
      </c>
    </row>
    <row r="2" spans="1:2">
      <c r="A2" t="str">
        <f>諸元!E5</f>
        <v>機体直径</v>
      </c>
      <c r="B2">
        <f>諸元!F5</f>
        <v>0.154</v>
      </c>
    </row>
    <row r="3" spans="1:2">
      <c r="A3" t="str">
        <f>諸元!E6</f>
        <v>機体空虚質量</v>
      </c>
      <c r="B3">
        <f>諸元!F6</f>
        <v>7.34</v>
      </c>
    </row>
    <row r="4" spans="1:2">
      <c r="A4" t="str">
        <f>諸元!E7</f>
        <v>機体重心位置</v>
      </c>
      <c r="B4">
        <f>諸元!F7</f>
        <v>0.85799999999999998</v>
      </c>
    </row>
    <row r="5" spans="1:2">
      <c r="A5" t="str">
        <f>諸元!E8</f>
        <v>酸化剤重心位置</v>
      </c>
      <c r="B5">
        <f>諸元!F8</f>
        <v>0.40600000000000003</v>
      </c>
    </row>
    <row r="6" spans="1:2">
      <c r="A6" t="str">
        <f>諸元!E9</f>
        <v>燃料重心位置</v>
      </c>
      <c r="B6">
        <f>諸元!F9</f>
        <v>0.123</v>
      </c>
    </row>
    <row r="7" spans="1:2">
      <c r="A7" t="str">
        <f>諸元!E10</f>
        <v>タンク長さ</v>
      </c>
      <c r="B7">
        <f>諸元!F10</f>
        <v>0.3</v>
      </c>
    </row>
    <row r="8" spans="1:2">
      <c r="A8" t="str">
        <f>諸元!E11</f>
        <v>慣性モーメントPitch・Yaw</v>
      </c>
      <c r="B8">
        <f>諸元!F11</f>
        <v>1.419</v>
      </c>
    </row>
    <row r="9" spans="1:2">
      <c r="A9" t="str">
        <f>諸元!E12</f>
        <v>慣性モーメントRoll</v>
      </c>
      <c r="B9">
        <f>諸元!F12</f>
        <v>2.4E-2</v>
      </c>
    </row>
    <row r="10" spans="1:2">
      <c r="A10" t="str">
        <f>諸元!E13</f>
        <v>リリース質量</v>
      </c>
      <c r="B10">
        <f>諸元!F13</f>
        <v>0</v>
      </c>
    </row>
    <row r="11" spans="1:2">
      <c r="A11" t="str">
        <f>諸元!E14</f>
        <v>圧力中心</v>
      </c>
      <c r="B11">
        <f>諸元!F14</f>
        <v>1.109</v>
      </c>
    </row>
    <row r="12" spans="1:2">
      <c r="A12" t="str">
        <f>諸元!E15</f>
        <v>減衰モーメント係数</v>
      </c>
      <c r="B12">
        <f>諸元!F15</f>
        <v>-1</v>
      </c>
    </row>
    <row r="13" spans="1:2">
      <c r="A13" t="str">
        <f>諸元!E16</f>
        <v>減衰モーメント係数</v>
      </c>
      <c r="B13">
        <f>諸元!F16</f>
        <v>-1.27</v>
      </c>
    </row>
    <row r="14" spans="1:2">
      <c r="A14" t="str">
        <f>諸元!E17</f>
        <v>抗力係数</v>
      </c>
      <c r="B14">
        <f>諸元!F17</f>
        <v>0.51</v>
      </c>
    </row>
    <row r="15" spans="1:2">
      <c r="A15" t="str">
        <f>諸元!E18</f>
        <v>法線力係数</v>
      </c>
      <c r="B15">
        <f>諸元!F18</f>
        <v>8.92</v>
      </c>
    </row>
    <row r="16" spans="1:2">
      <c r="A16" t="str">
        <f>諸元!E19</f>
        <v>角度</v>
      </c>
      <c r="B16">
        <f>諸元!F19</f>
        <v>0</v>
      </c>
    </row>
    <row r="17" spans="1:2">
      <c r="A17" t="str">
        <f>諸元!E20</f>
        <v>1段目抗力特性</v>
      </c>
      <c r="B17">
        <f>諸元!F20</f>
        <v>0.6</v>
      </c>
    </row>
    <row r="18" spans="1:2">
      <c r="A18" t="str">
        <f>諸元!E21</f>
        <v>2段目抗力特性</v>
      </c>
      <c r="B18">
        <f>諸元!F21</f>
        <v>0</v>
      </c>
    </row>
    <row r="19" spans="1:2">
      <c r="A19" t="str">
        <f>諸元!E22</f>
        <v>リリースタイミング</v>
      </c>
      <c r="B19">
        <f>諸元!F22</f>
        <v>0</v>
      </c>
    </row>
    <row r="20" spans="1:2">
      <c r="A20" t="str">
        <f>諸元!E23</f>
        <v>リリースパラシュート抗力特性</v>
      </c>
      <c r="B20">
        <f>諸元!F23</f>
        <v>0</v>
      </c>
    </row>
    <row r="21" spans="1:2">
      <c r="A21" t="str">
        <f>諸元!E24</f>
        <v>サンプリングレート</v>
      </c>
      <c r="B21">
        <f>諸元!F24</f>
        <v>100</v>
      </c>
    </row>
    <row r="22" spans="1:2">
      <c r="A22" t="str">
        <f>諸元!E25</f>
        <v>比推力</v>
      </c>
      <c r="B22">
        <f>諸元!F25</f>
        <v>159.19999999999999</v>
      </c>
    </row>
    <row r="23" spans="1:2">
      <c r="A23" t="str">
        <f>諸元!E26</f>
        <v>酸化剤質量</v>
      </c>
      <c r="B23">
        <f>諸元!F26</f>
        <v>0.379</v>
      </c>
    </row>
    <row r="24" spans="1:2">
      <c r="A24" t="str">
        <f>諸元!E27</f>
        <v>全燃料質量</v>
      </c>
      <c r="B24">
        <f>諸元!F27</f>
        <v>0.17</v>
      </c>
    </row>
    <row r="25" spans="1:2">
      <c r="A25" t="str">
        <f>諸元!E28</f>
        <v>燃焼後燃料質量</v>
      </c>
      <c r="B25">
        <f>諸元!F28</f>
        <v>0.107</v>
      </c>
    </row>
    <row r="26" spans="1:2">
      <c r="A26" t="str">
        <f>諸元!E29</f>
        <v>燃料長さ</v>
      </c>
      <c r="B26">
        <f>諸元!F29</f>
        <v>0.12</v>
      </c>
    </row>
    <row r="27" spans="1:2">
      <c r="A27" t="str">
        <f>諸元!E30</f>
        <v>燃料外径</v>
      </c>
      <c r="B27">
        <f>諸元!F30</f>
        <v>0.05</v>
      </c>
    </row>
    <row r="28" spans="1:2">
      <c r="A28" t="str">
        <f>諸元!E31</f>
        <v>燃料内径</v>
      </c>
      <c r="B28">
        <f>諸元!F31</f>
        <v>2.5000000000000001E-2</v>
      </c>
    </row>
    <row r="29" spans="1:2">
      <c r="A29" t="str">
        <f>諸元!E32</f>
        <v>酸化剤質量流量</v>
      </c>
      <c r="B29">
        <f>諸元!F32</f>
        <v>0.16900000000000001</v>
      </c>
    </row>
    <row r="30" spans="1:2">
      <c r="A30" t="str">
        <f>諸元!E33</f>
        <v>燃料質量流量</v>
      </c>
      <c r="B30">
        <f>諸元!F33</f>
        <v>2.8000000000000001E-2</v>
      </c>
    </row>
    <row r="31" spans="1:2">
      <c r="A31">
        <f>諸元!E34</f>
        <v>0</v>
      </c>
      <c r="B31">
        <f>諸元!F34</f>
        <v>0</v>
      </c>
    </row>
    <row r="32" spans="1:2">
      <c r="A32">
        <f>諸元!E35</f>
        <v>0</v>
      </c>
      <c r="B32">
        <f>諸元!F35</f>
        <v>0</v>
      </c>
    </row>
    <row r="33" spans="1:2">
      <c r="A33" t="str">
        <f>諸元!E36</f>
        <v>大気圧</v>
      </c>
      <c r="B33">
        <f>諸元!F36</f>
        <v>101.325</v>
      </c>
    </row>
    <row r="34" spans="1:2">
      <c r="A34" t="str">
        <f>諸元!E37</f>
        <v>気温</v>
      </c>
      <c r="B34">
        <f>諸元!F37</f>
        <v>15</v>
      </c>
    </row>
    <row r="35" spans="1:2">
      <c r="A35" t="str">
        <f>諸元!E38</f>
        <v>大気密度</v>
      </c>
      <c r="B35">
        <f>諸元!F38</f>
        <v>1.179762025145785</v>
      </c>
    </row>
    <row r="36" spans="1:2">
      <c r="A36" t="str">
        <f>諸元!E39</f>
        <v>重力加速度</v>
      </c>
      <c r="B36">
        <f>諸元!F39</f>
        <v>9.8041</v>
      </c>
    </row>
    <row r="37" spans="1:2">
      <c r="A37" t="str">
        <f>諸元!E40</f>
        <v>風速測定点</v>
      </c>
      <c r="B37">
        <f>諸元!F40</f>
        <v>5</v>
      </c>
    </row>
    <row r="38" spans="1:2">
      <c r="A38" t="str">
        <f>諸元!E41</f>
        <v>高度分布係数</v>
      </c>
      <c r="B38">
        <f>諸元!F41</f>
        <v>7.4</v>
      </c>
    </row>
    <row r="39" spans="1:2">
      <c r="A39" t="str">
        <f>諸元!E42</f>
        <v>1段目分離信号</v>
      </c>
      <c r="B39">
        <f>諸元!F42</f>
        <v>0</v>
      </c>
    </row>
    <row r="40" spans="1:2">
      <c r="A40" t="str">
        <f>諸元!E43</f>
        <v>2段目分離信号</v>
      </c>
      <c r="B40">
        <f>諸元!F43</f>
        <v>0</v>
      </c>
    </row>
    <row r="41" spans="1:2">
      <c r="A41" t="str">
        <f>諸元!E44</f>
        <v>打上角</v>
      </c>
      <c r="B41">
        <f>諸元!F44</f>
        <v>-85</v>
      </c>
    </row>
    <row r="42" spans="1:2">
      <c r="A42" t="str">
        <f>諸元!E45</f>
        <v>方位</v>
      </c>
      <c r="B42">
        <f>諸元!F45</f>
        <v>5</v>
      </c>
    </row>
    <row r="43" spans="1:2">
      <c r="A43" t="str">
        <f>諸元!E46</f>
        <v>ランチャ長</v>
      </c>
      <c r="B43">
        <f>諸元!F46</f>
        <v>5</v>
      </c>
    </row>
  </sheetData>
  <phoneticPr fontId="1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1"/>
  <sheetViews>
    <sheetView tabSelected="1" topLeftCell="A3" zoomScale="85" zoomScaleNormal="85" workbookViewId="0">
      <selection activeCell="K23" sqref="K23"/>
    </sheetView>
  </sheetViews>
  <sheetFormatPr defaultRowHeight="13.5"/>
  <cols>
    <col min="2" max="2" width="14.375" customWidth="1"/>
    <col min="3" max="3" width="7.125" bestFit="1" customWidth="1"/>
    <col min="4" max="4" width="6.375" customWidth="1"/>
    <col min="5" max="5" width="25.625" bestFit="1" customWidth="1"/>
    <col min="6" max="6" width="8.625" customWidth="1"/>
    <col min="7" max="7" width="5.125" bestFit="1" customWidth="1"/>
    <col min="8" max="8" width="66.5" customWidth="1"/>
    <col min="9" max="9" width="13.25" bestFit="1" customWidth="1"/>
    <col min="11" max="11" width="14.5" customWidth="1"/>
    <col min="12" max="12" width="4.75" customWidth="1"/>
    <col min="13" max="13" width="13.875" bestFit="1" customWidth="1"/>
  </cols>
  <sheetData>
    <row r="1" spans="2:14" ht="14.25" thickBot="1">
      <c r="B1" s="213" t="s">
        <v>91</v>
      </c>
      <c r="C1" s="213"/>
      <c r="D1" s="213"/>
      <c r="E1" s="213"/>
      <c r="F1" s="213"/>
      <c r="G1" s="213"/>
      <c r="H1" s="213"/>
    </row>
    <row r="2" spans="2:14" ht="12" customHeight="1" thickBot="1">
      <c r="B2" s="216"/>
      <c r="C2" s="217"/>
      <c r="D2" s="211" t="s">
        <v>0</v>
      </c>
      <c r="E2" s="212"/>
      <c r="F2" s="212"/>
      <c r="G2" s="212"/>
      <c r="H2" s="212"/>
      <c r="I2" s="224"/>
    </row>
    <row r="3" spans="2:14" ht="12" customHeight="1" thickBot="1">
      <c r="B3" s="43" t="s">
        <v>66</v>
      </c>
      <c r="C3" s="25" t="s">
        <v>88</v>
      </c>
      <c r="D3" s="48" t="s">
        <v>1</v>
      </c>
      <c r="E3" s="49" t="s">
        <v>2</v>
      </c>
      <c r="F3" s="50" t="s">
        <v>57</v>
      </c>
      <c r="G3" s="51" t="s">
        <v>3</v>
      </c>
      <c r="H3" s="25" t="s">
        <v>60</v>
      </c>
      <c r="I3" s="61" t="s">
        <v>92</v>
      </c>
    </row>
    <row r="4" spans="2:14" ht="14.25" customHeight="1">
      <c r="B4" s="194" t="s">
        <v>67</v>
      </c>
      <c r="C4" s="220"/>
      <c r="D4" s="55" t="s">
        <v>340</v>
      </c>
      <c r="E4" s="56" t="s">
        <v>5</v>
      </c>
      <c r="F4" s="64">
        <v>1.5</v>
      </c>
      <c r="G4" s="18" t="s">
        <v>6</v>
      </c>
      <c r="H4" s="57" t="s">
        <v>325</v>
      </c>
      <c r="I4" s="35"/>
      <c r="K4" t="s">
        <v>258</v>
      </c>
      <c r="L4" t="s">
        <v>305</v>
      </c>
      <c r="M4">
        <f>F4/F5</f>
        <v>9.7402597402597397</v>
      </c>
    </row>
    <row r="5" spans="2:14" ht="14.25" customHeight="1">
      <c r="B5" s="225"/>
      <c r="C5" s="221"/>
      <c r="D5" s="52" t="s">
        <v>339</v>
      </c>
      <c r="E5" s="16" t="s">
        <v>63</v>
      </c>
      <c r="F5" s="67">
        <v>0.154</v>
      </c>
      <c r="G5" s="53" t="s">
        <v>49</v>
      </c>
      <c r="H5" s="47" t="s">
        <v>151</v>
      </c>
      <c r="I5" s="36"/>
    </row>
    <row r="6" spans="2:14" ht="14.25" customHeight="1">
      <c r="B6" s="225"/>
      <c r="C6" s="221"/>
      <c r="D6" s="52" t="s">
        <v>12</v>
      </c>
      <c r="E6" s="16" t="s">
        <v>150</v>
      </c>
      <c r="F6" s="20">
        <v>7.34</v>
      </c>
      <c r="G6" s="53" t="s">
        <v>11</v>
      </c>
      <c r="H6" s="47" t="s">
        <v>196</v>
      </c>
      <c r="I6" s="36"/>
      <c r="K6" t="s">
        <v>312</v>
      </c>
    </row>
    <row r="7" spans="2:14" ht="14.25" customHeight="1">
      <c r="B7" s="225"/>
      <c r="C7" s="221"/>
      <c r="D7" s="52" t="s">
        <v>341</v>
      </c>
      <c r="E7" s="16" t="s">
        <v>8</v>
      </c>
      <c r="F7" s="21">
        <v>0.85799999999999998</v>
      </c>
      <c r="G7" s="53" t="s">
        <v>6</v>
      </c>
      <c r="H7" s="47" t="s">
        <v>61</v>
      </c>
      <c r="I7" s="36"/>
      <c r="K7" t="s">
        <v>313</v>
      </c>
      <c r="M7">
        <f>F6*F7</f>
        <v>6.29772</v>
      </c>
      <c r="N7" t="s">
        <v>309</v>
      </c>
    </row>
    <row r="8" spans="2:14" ht="14.25" customHeight="1">
      <c r="B8" s="225"/>
      <c r="C8" s="221"/>
      <c r="D8" s="52" t="s">
        <v>59</v>
      </c>
      <c r="E8" s="16" t="s">
        <v>47</v>
      </c>
      <c r="F8" s="24">
        <v>0.40600000000000003</v>
      </c>
      <c r="G8" s="53" t="s">
        <v>6</v>
      </c>
      <c r="H8" s="47" t="s">
        <v>78</v>
      </c>
      <c r="I8" s="36"/>
      <c r="K8" t="s">
        <v>314</v>
      </c>
      <c r="M8">
        <f>(F4-F8)*F26</f>
        <v>0.41462599999999994</v>
      </c>
      <c r="N8" t="s">
        <v>309</v>
      </c>
    </row>
    <row r="9" spans="2:14" ht="14.25" customHeight="1">
      <c r="B9" s="225"/>
      <c r="C9" s="221"/>
      <c r="D9" s="52" t="s">
        <v>58</v>
      </c>
      <c r="E9" s="16" t="s">
        <v>7</v>
      </c>
      <c r="F9" s="24">
        <v>0.123</v>
      </c>
      <c r="G9" s="53" t="s">
        <v>6</v>
      </c>
      <c r="H9" s="47" t="s">
        <v>79</v>
      </c>
      <c r="I9" s="36"/>
      <c r="K9" t="s">
        <v>310</v>
      </c>
      <c r="M9">
        <f>(F4-F9)*F27</f>
        <v>0.23409000000000002</v>
      </c>
      <c r="N9" t="s">
        <v>309</v>
      </c>
    </row>
    <row r="10" spans="2:14" ht="14.25" customHeight="1">
      <c r="B10" s="225"/>
      <c r="C10" s="221"/>
      <c r="D10" s="52" t="s">
        <v>141</v>
      </c>
      <c r="E10" s="16" t="s">
        <v>142</v>
      </c>
      <c r="F10" s="40">
        <v>0.3</v>
      </c>
      <c r="G10" s="53" t="s">
        <v>143</v>
      </c>
      <c r="H10" s="47" t="s">
        <v>197</v>
      </c>
      <c r="I10" s="36"/>
      <c r="K10" t="s">
        <v>311</v>
      </c>
      <c r="M10">
        <f>(F4-F9)*F28</f>
        <v>0.147339</v>
      </c>
      <c r="N10" t="s">
        <v>309</v>
      </c>
    </row>
    <row r="11" spans="2:14" ht="14.25" customHeight="1">
      <c r="B11" s="225"/>
      <c r="C11" s="221"/>
      <c r="D11" s="52" t="s">
        <v>84</v>
      </c>
      <c r="E11" s="16" t="s">
        <v>62</v>
      </c>
      <c r="F11" s="67">
        <v>1.419</v>
      </c>
      <c r="G11" s="53" t="s">
        <v>4</v>
      </c>
      <c r="H11" s="47" t="s">
        <v>337</v>
      </c>
      <c r="I11" s="36"/>
    </row>
    <row r="12" spans="2:14" ht="14.25" customHeight="1">
      <c r="B12" s="225"/>
      <c r="C12" s="221"/>
      <c r="D12" s="52" t="s">
        <v>85</v>
      </c>
      <c r="E12" s="19" t="s">
        <v>46</v>
      </c>
      <c r="F12" s="68">
        <v>2.4E-2</v>
      </c>
      <c r="G12" s="53" t="s">
        <v>4</v>
      </c>
      <c r="H12" s="47" t="s">
        <v>338</v>
      </c>
      <c r="I12" s="36"/>
    </row>
    <row r="13" spans="2:14" ht="14.25" customHeight="1">
      <c r="B13" s="225"/>
      <c r="C13" s="221"/>
      <c r="D13" s="52" t="s">
        <v>457</v>
      </c>
      <c r="E13" s="16" t="s">
        <v>459</v>
      </c>
      <c r="F13" s="67">
        <v>0</v>
      </c>
      <c r="G13" s="53" t="s">
        <v>462</v>
      </c>
      <c r="H13" s="47" t="s">
        <v>459</v>
      </c>
      <c r="I13" s="36"/>
    </row>
    <row r="14" spans="2:14" ht="14.25" customHeight="1">
      <c r="B14" s="214" t="s">
        <v>68</v>
      </c>
      <c r="C14" s="227"/>
      <c r="D14" s="52" t="s">
        <v>9</v>
      </c>
      <c r="E14" s="16" t="s">
        <v>10</v>
      </c>
      <c r="F14" s="20">
        <v>1.109</v>
      </c>
      <c r="G14" s="53" t="s">
        <v>6</v>
      </c>
      <c r="H14" s="47" t="s">
        <v>72</v>
      </c>
      <c r="I14" s="36"/>
      <c r="K14" t="s">
        <v>249</v>
      </c>
      <c r="L14" t="s">
        <v>306</v>
      </c>
      <c r="M14">
        <f>(M7+M9)/(F6+F27)</f>
        <v>0.86974833555259656</v>
      </c>
      <c r="N14" t="s">
        <v>281</v>
      </c>
    </row>
    <row r="15" spans="2:14" ht="14.25" customHeight="1">
      <c r="B15" s="214"/>
      <c r="C15" s="227"/>
      <c r="D15" s="52" t="s">
        <v>64</v>
      </c>
      <c r="E15" s="16" t="s">
        <v>13</v>
      </c>
      <c r="F15" s="22">
        <v>-1</v>
      </c>
      <c r="G15" s="53" t="s">
        <v>14</v>
      </c>
      <c r="H15" s="47" t="s">
        <v>71</v>
      </c>
      <c r="I15" s="36"/>
      <c r="K15" t="s">
        <v>278</v>
      </c>
      <c r="L15" t="s">
        <v>308</v>
      </c>
      <c r="M15">
        <f>(M7+M8+M9)/(F6+F26+F27)</f>
        <v>0.88052173913043486</v>
      </c>
      <c r="N15" t="s">
        <v>281</v>
      </c>
    </row>
    <row r="16" spans="2:14" ht="14.25" customHeight="1">
      <c r="B16" s="214"/>
      <c r="C16" s="227"/>
      <c r="D16" s="52" t="s">
        <v>65</v>
      </c>
      <c r="E16" s="16" t="s">
        <v>13</v>
      </c>
      <c r="F16" s="22">
        <v>-1.27</v>
      </c>
      <c r="G16" s="53" t="s">
        <v>56</v>
      </c>
      <c r="H16" s="47" t="s">
        <v>70</v>
      </c>
      <c r="I16" s="36"/>
      <c r="K16" t="s">
        <v>290</v>
      </c>
      <c r="L16" t="s">
        <v>307</v>
      </c>
      <c r="M16">
        <f>(M7+M10)/(F6+F28)</f>
        <v>0.86545709681751037</v>
      </c>
      <c r="N16" t="s">
        <v>281</v>
      </c>
    </row>
    <row r="17" spans="2:14" ht="14.25" customHeight="1">
      <c r="B17" s="214"/>
      <c r="C17" s="227"/>
      <c r="D17" s="52" t="s">
        <v>15</v>
      </c>
      <c r="E17" s="16" t="s">
        <v>16</v>
      </c>
      <c r="F17" s="23">
        <v>0.51</v>
      </c>
      <c r="G17" s="53" t="s">
        <v>14</v>
      </c>
      <c r="H17" s="47" t="s">
        <v>73</v>
      </c>
      <c r="I17" s="36"/>
    </row>
    <row r="18" spans="2:14" ht="14.25" customHeight="1">
      <c r="B18" s="214"/>
      <c r="C18" s="227"/>
      <c r="D18" s="52" t="s">
        <v>17</v>
      </c>
      <c r="E18" s="16" t="s">
        <v>18</v>
      </c>
      <c r="F18" s="22">
        <v>8.92</v>
      </c>
      <c r="G18" s="53" t="s">
        <v>14</v>
      </c>
      <c r="H18" s="47" t="s">
        <v>74</v>
      </c>
      <c r="I18" s="36"/>
      <c r="K18" t="s">
        <v>451</v>
      </c>
      <c r="L18" t="s">
        <v>452</v>
      </c>
      <c r="M18" s="127">
        <f>F6+F27</f>
        <v>7.51</v>
      </c>
      <c r="N18" t="s">
        <v>453</v>
      </c>
    </row>
    <row r="19" spans="2:14" ht="14.25" customHeight="1">
      <c r="B19" s="214"/>
      <c r="C19" s="227"/>
      <c r="D19" s="52" t="s">
        <v>90</v>
      </c>
      <c r="E19" s="16" t="s">
        <v>19</v>
      </c>
      <c r="F19" s="23">
        <v>0</v>
      </c>
      <c r="G19" s="54" t="s">
        <v>55</v>
      </c>
      <c r="H19" s="47" t="s">
        <v>75</v>
      </c>
      <c r="I19" s="36"/>
      <c r="K19" t="s">
        <v>334</v>
      </c>
      <c r="L19" t="s">
        <v>335</v>
      </c>
      <c r="M19" s="133">
        <f>F6+F27+F26</f>
        <v>7.8889999999999993</v>
      </c>
      <c r="N19" t="s">
        <v>336</v>
      </c>
    </row>
    <row r="20" spans="2:14" ht="14.25" customHeight="1">
      <c r="B20" s="215" t="s">
        <v>176</v>
      </c>
      <c r="C20" s="226"/>
      <c r="D20" s="52" t="s">
        <v>180</v>
      </c>
      <c r="E20" s="16" t="s">
        <v>178</v>
      </c>
      <c r="F20" s="23">
        <v>0.6</v>
      </c>
      <c r="G20" s="53" t="s">
        <v>182</v>
      </c>
      <c r="H20" s="47" t="s">
        <v>465</v>
      </c>
      <c r="I20" s="36"/>
      <c r="K20" t="s">
        <v>326</v>
      </c>
      <c r="L20" t="s">
        <v>329</v>
      </c>
      <c r="M20" s="127">
        <f>F6+F28</f>
        <v>7.4470000000000001</v>
      </c>
      <c r="N20" t="s">
        <v>327</v>
      </c>
    </row>
    <row r="21" spans="2:14" ht="14.25" customHeight="1">
      <c r="B21" s="215"/>
      <c r="C21" s="226"/>
      <c r="D21" s="52" t="s">
        <v>181</v>
      </c>
      <c r="E21" s="16" t="s">
        <v>179</v>
      </c>
      <c r="F21" s="23">
        <v>0</v>
      </c>
      <c r="G21" s="53" t="s">
        <v>182</v>
      </c>
      <c r="H21" s="47" t="s">
        <v>466</v>
      </c>
      <c r="I21" s="36"/>
      <c r="M21" s="127"/>
    </row>
    <row r="22" spans="2:14" ht="14.25" customHeight="1">
      <c r="B22" s="215"/>
      <c r="C22" s="226"/>
      <c r="D22" s="52" t="s">
        <v>458</v>
      </c>
      <c r="E22" s="16" t="s">
        <v>461</v>
      </c>
      <c r="F22" s="23">
        <v>0</v>
      </c>
      <c r="G22" s="53" t="s">
        <v>187</v>
      </c>
      <c r="H22" s="47" t="s">
        <v>464</v>
      </c>
      <c r="I22" s="36"/>
      <c r="M22" s="127"/>
    </row>
    <row r="23" spans="2:14" ht="14.25" customHeight="1">
      <c r="B23" s="215"/>
      <c r="C23" s="226"/>
      <c r="D23" s="52" t="s">
        <v>460</v>
      </c>
      <c r="E23" s="16" t="s">
        <v>463</v>
      </c>
      <c r="F23" s="23">
        <v>0</v>
      </c>
      <c r="G23" s="53" t="s">
        <v>182</v>
      </c>
      <c r="H23" s="47" t="s">
        <v>467</v>
      </c>
      <c r="I23" s="36"/>
    </row>
    <row r="24" spans="2:14" ht="14.25" customHeight="1">
      <c r="B24" s="218" t="s">
        <v>161</v>
      </c>
      <c r="C24" s="222"/>
      <c r="D24" s="52" t="s">
        <v>330</v>
      </c>
      <c r="E24" s="16" t="s">
        <v>331</v>
      </c>
      <c r="F24" s="24">
        <v>100</v>
      </c>
      <c r="G24" s="53" t="s">
        <v>332</v>
      </c>
      <c r="H24" s="47" t="s">
        <v>333</v>
      </c>
      <c r="I24" s="36"/>
    </row>
    <row r="25" spans="2:14" ht="14.25" customHeight="1">
      <c r="B25" s="218"/>
      <c r="C25" s="222"/>
      <c r="D25" s="52" t="s">
        <v>185</v>
      </c>
      <c r="E25" s="16" t="s">
        <v>186</v>
      </c>
      <c r="F25" s="24">
        <v>159.19999999999999</v>
      </c>
      <c r="G25" s="53" t="s">
        <v>187</v>
      </c>
      <c r="H25" s="47" t="s">
        <v>188</v>
      </c>
      <c r="I25" s="36"/>
      <c r="M25" s="127"/>
    </row>
    <row r="26" spans="2:14" ht="14.25" customHeight="1">
      <c r="B26" s="218"/>
      <c r="C26" s="222"/>
      <c r="D26" s="52" t="s">
        <v>48</v>
      </c>
      <c r="E26" s="16" t="s">
        <v>51</v>
      </c>
      <c r="F26" s="24">
        <v>0.379</v>
      </c>
      <c r="G26" s="53" t="s">
        <v>11</v>
      </c>
      <c r="H26" s="47" t="s">
        <v>76</v>
      </c>
      <c r="I26" s="36"/>
    </row>
    <row r="27" spans="2:14" ht="14.25" customHeight="1">
      <c r="B27" s="218"/>
      <c r="C27" s="222"/>
      <c r="D27" s="52" t="s">
        <v>148</v>
      </c>
      <c r="E27" s="16" t="s">
        <v>144</v>
      </c>
      <c r="F27" s="24">
        <v>0.17</v>
      </c>
      <c r="G27" s="53" t="s">
        <v>11</v>
      </c>
      <c r="H27" s="47" t="s">
        <v>145</v>
      </c>
      <c r="I27" s="36"/>
      <c r="K27" s="126"/>
    </row>
    <row r="28" spans="2:14" ht="14.25" customHeight="1">
      <c r="B28" s="218"/>
      <c r="C28" s="222"/>
      <c r="D28" s="52" t="s">
        <v>149</v>
      </c>
      <c r="E28" s="16" t="s">
        <v>146</v>
      </c>
      <c r="F28" s="24">
        <v>0.107</v>
      </c>
      <c r="G28" s="53" t="s">
        <v>147</v>
      </c>
      <c r="H28" s="47" t="s">
        <v>146</v>
      </c>
      <c r="I28" s="36"/>
    </row>
    <row r="29" spans="2:14" ht="14.25" customHeight="1">
      <c r="B29" s="218"/>
      <c r="C29" s="222"/>
      <c r="D29" s="52" t="s">
        <v>455</v>
      </c>
      <c r="E29" s="16" t="s">
        <v>456</v>
      </c>
      <c r="F29" s="24">
        <v>0.12</v>
      </c>
      <c r="G29" s="53" t="s">
        <v>49</v>
      </c>
      <c r="H29" s="47" t="s">
        <v>456</v>
      </c>
      <c r="I29" s="36"/>
    </row>
    <row r="30" spans="2:14" ht="14.25" customHeight="1">
      <c r="B30" s="218"/>
      <c r="C30" s="222"/>
      <c r="D30" s="52" t="s">
        <v>356</v>
      </c>
      <c r="E30" s="16" t="s">
        <v>360</v>
      </c>
      <c r="F30" s="24">
        <v>0.05</v>
      </c>
      <c r="G30" s="53" t="s">
        <v>359</v>
      </c>
      <c r="H30" s="47" t="s">
        <v>360</v>
      </c>
      <c r="I30" s="36"/>
    </row>
    <row r="31" spans="2:14" ht="14.25" customHeight="1">
      <c r="B31" s="218"/>
      <c r="C31" s="222"/>
      <c r="D31" s="52" t="s">
        <v>357</v>
      </c>
      <c r="E31" s="16" t="s">
        <v>358</v>
      </c>
      <c r="F31" s="24">
        <v>2.5000000000000001E-2</v>
      </c>
      <c r="G31" s="53" t="s">
        <v>359</v>
      </c>
      <c r="H31" s="47" t="s">
        <v>361</v>
      </c>
      <c r="I31" s="36"/>
    </row>
    <row r="32" spans="2:14" ht="14.25" customHeight="1">
      <c r="B32" s="218"/>
      <c r="C32" s="222"/>
      <c r="D32" s="52" t="s">
        <v>48</v>
      </c>
      <c r="E32" s="16" t="s">
        <v>52</v>
      </c>
      <c r="F32" s="24">
        <v>0.16900000000000001</v>
      </c>
      <c r="G32" s="53" t="s">
        <v>54</v>
      </c>
      <c r="H32" s="47" t="s">
        <v>77</v>
      </c>
      <c r="I32" s="36"/>
    </row>
    <row r="33" spans="2:14" ht="14.25" customHeight="1" thickBot="1">
      <c r="B33" s="219"/>
      <c r="C33" s="223"/>
      <c r="D33" s="58" t="s">
        <v>50</v>
      </c>
      <c r="E33" s="41" t="s">
        <v>53</v>
      </c>
      <c r="F33" s="42">
        <v>2.8000000000000001E-2</v>
      </c>
      <c r="G33" s="59" t="s">
        <v>54</v>
      </c>
      <c r="H33" s="60" t="s">
        <v>89</v>
      </c>
      <c r="I33" s="39"/>
    </row>
    <row r="34" spans="2:14" s="30" customFormat="1" ht="14.25" customHeight="1" thickBot="1">
      <c r="B34" s="27"/>
      <c r="C34" s="27"/>
      <c r="D34" s="31"/>
      <c r="E34" s="12"/>
      <c r="F34" s="28"/>
      <c r="G34" s="26"/>
      <c r="H34" s="29"/>
      <c r="K34"/>
      <c r="L34"/>
      <c r="M34"/>
      <c r="N34"/>
    </row>
    <row r="35" spans="2:14" ht="14.25" customHeight="1" thickBot="1">
      <c r="D35" s="211" t="s">
        <v>20</v>
      </c>
      <c r="E35" s="212"/>
      <c r="F35" s="212"/>
      <c r="G35" s="212"/>
      <c r="H35" s="212"/>
      <c r="I35" s="69"/>
    </row>
    <row r="36" spans="2:14" ht="14.25" customHeight="1">
      <c r="B36" s="208" t="s">
        <v>69</v>
      </c>
      <c r="C36" s="205"/>
      <c r="D36" s="9" t="s">
        <v>21</v>
      </c>
      <c r="E36" s="10" t="s">
        <v>22</v>
      </c>
      <c r="F36" s="13">
        <v>101.325</v>
      </c>
      <c r="G36" s="34" t="s">
        <v>23</v>
      </c>
      <c r="H36" s="44" t="s">
        <v>80</v>
      </c>
      <c r="I36" s="35"/>
    </row>
    <row r="37" spans="2:14" ht="14.25" customHeight="1">
      <c r="B37" s="209"/>
      <c r="C37" s="206"/>
      <c r="D37" s="2" t="s">
        <v>24</v>
      </c>
      <c r="E37" s="7" t="s">
        <v>25</v>
      </c>
      <c r="F37" s="128">
        <v>15</v>
      </c>
      <c r="G37" s="32" t="s">
        <v>26</v>
      </c>
      <c r="H37" s="45" t="s">
        <v>86</v>
      </c>
      <c r="I37" s="36"/>
      <c r="M37" s="126"/>
    </row>
    <row r="38" spans="2:14" ht="14.25" customHeight="1">
      <c r="B38" s="209"/>
      <c r="C38" s="206"/>
      <c r="D38" s="1" t="s">
        <v>27</v>
      </c>
      <c r="E38" s="5" t="s">
        <v>28</v>
      </c>
      <c r="F38" s="14">
        <v>1.179762025145785</v>
      </c>
      <c r="G38" s="33" t="s">
        <v>29</v>
      </c>
      <c r="H38" s="45" t="s">
        <v>81</v>
      </c>
      <c r="I38" s="36"/>
      <c r="M38" s="126"/>
    </row>
    <row r="39" spans="2:14" ht="14.25" customHeight="1">
      <c r="B39" s="209"/>
      <c r="C39" s="206"/>
      <c r="D39" s="1" t="s">
        <v>30</v>
      </c>
      <c r="E39" s="5" t="s">
        <v>31</v>
      </c>
      <c r="F39" s="14">
        <v>9.8041</v>
      </c>
      <c r="G39" s="33" t="s">
        <v>32</v>
      </c>
      <c r="H39" s="45" t="s">
        <v>93</v>
      </c>
      <c r="I39" s="36"/>
      <c r="M39" s="126"/>
    </row>
    <row r="40" spans="2:14" ht="14.25" customHeight="1">
      <c r="B40" s="209"/>
      <c r="C40" s="206"/>
      <c r="D40" s="1" t="s">
        <v>193</v>
      </c>
      <c r="E40" s="77" t="s">
        <v>194</v>
      </c>
      <c r="F40" s="131">
        <v>5</v>
      </c>
      <c r="G40" s="33" t="s">
        <v>195</v>
      </c>
      <c r="H40" s="45"/>
      <c r="I40" s="36"/>
      <c r="M40" s="126"/>
    </row>
    <row r="41" spans="2:14" ht="14.25" customHeight="1">
      <c r="B41" s="209"/>
      <c r="C41" s="206"/>
      <c r="D41" s="4" t="s">
        <v>34</v>
      </c>
      <c r="E41" s="76" t="s">
        <v>35</v>
      </c>
      <c r="F41" s="128">
        <v>7.4</v>
      </c>
      <c r="G41" s="33"/>
      <c r="H41" s="45" t="s">
        <v>82</v>
      </c>
      <c r="I41" s="36"/>
    </row>
    <row r="42" spans="2:14" ht="14.25" customHeight="1">
      <c r="B42" s="209"/>
      <c r="C42" s="206"/>
      <c r="D42" s="3" t="s">
        <v>36</v>
      </c>
      <c r="E42" s="8" t="s">
        <v>37</v>
      </c>
      <c r="F42" s="129">
        <v>0</v>
      </c>
      <c r="G42" s="33" t="s">
        <v>38</v>
      </c>
      <c r="H42" s="181" t="s">
        <v>508</v>
      </c>
      <c r="I42" s="36"/>
    </row>
    <row r="43" spans="2:14" ht="14.25" customHeight="1">
      <c r="B43" s="209"/>
      <c r="C43" s="206"/>
      <c r="D43" s="15" t="s">
        <v>39</v>
      </c>
      <c r="E43" s="8" t="s">
        <v>40</v>
      </c>
      <c r="F43" s="130">
        <v>0</v>
      </c>
      <c r="G43" s="33" t="s">
        <v>6</v>
      </c>
      <c r="H43" s="45" t="s">
        <v>183</v>
      </c>
      <c r="I43" s="36"/>
    </row>
    <row r="44" spans="2:14" ht="14.25" customHeight="1">
      <c r="B44" s="209"/>
      <c r="C44" s="206"/>
      <c r="D44" s="1" t="s">
        <v>41</v>
      </c>
      <c r="E44" s="6" t="s">
        <v>42</v>
      </c>
      <c r="F44" s="128">
        <v>-85</v>
      </c>
      <c r="G44" s="33" t="s">
        <v>33</v>
      </c>
      <c r="H44" s="45" t="s">
        <v>83</v>
      </c>
      <c r="I44" s="36"/>
    </row>
    <row r="45" spans="2:14" ht="14.25" customHeight="1">
      <c r="B45" s="209"/>
      <c r="C45" s="206"/>
      <c r="D45" s="11" t="s">
        <v>43</v>
      </c>
      <c r="E45" s="6" t="s">
        <v>328</v>
      </c>
      <c r="F45" s="128">
        <v>5</v>
      </c>
      <c r="G45" s="33" t="s">
        <v>33</v>
      </c>
      <c r="H45" s="45" t="s">
        <v>184</v>
      </c>
      <c r="I45" s="36"/>
    </row>
    <row r="46" spans="2:14" ht="14.25" customHeight="1" thickBot="1">
      <c r="B46" s="210"/>
      <c r="C46" s="207"/>
      <c r="D46" s="17" t="s">
        <v>44</v>
      </c>
      <c r="E46" s="37" t="s">
        <v>45</v>
      </c>
      <c r="F46" s="132">
        <v>5</v>
      </c>
      <c r="G46" s="38" t="s">
        <v>6</v>
      </c>
      <c r="H46" s="46" t="s">
        <v>507</v>
      </c>
      <c r="I46" s="39"/>
    </row>
    <row r="47" spans="2:14" ht="7.15" customHeight="1" thickBot="1"/>
    <row r="48" spans="2:14" ht="14.25" thickBot="1">
      <c r="D48" s="198" t="s">
        <v>177</v>
      </c>
      <c r="E48" s="199"/>
      <c r="F48" s="199"/>
      <c r="G48" s="199"/>
      <c r="H48" s="199"/>
      <c r="I48" s="200"/>
    </row>
    <row r="49" spans="2:17">
      <c r="B49" s="194" t="s">
        <v>67</v>
      </c>
      <c r="C49" s="196"/>
      <c r="D49" s="57" t="s">
        <v>171</v>
      </c>
      <c r="E49" s="56" t="s">
        <v>152</v>
      </c>
      <c r="F49" s="78">
        <v>200</v>
      </c>
      <c r="G49" s="18" t="s">
        <v>154</v>
      </c>
      <c r="H49" s="57" t="s">
        <v>158</v>
      </c>
      <c r="I49" s="35"/>
    </row>
    <row r="50" spans="2:17">
      <c r="B50" s="195"/>
      <c r="C50" s="197"/>
      <c r="D50" s="47" t="s">
        <v>172</v>
      </c>
      <c r="E50" s="16" t="s">
        <v>156</v>
      </c>
      <c r="F50" s="79"/>
      <c r="G50" s="53" t="s">
        <v>153</v>
      </c>
      <c r="H50" s="47" t="s">
        <v>159</v>
      </c>
      <c r="I50" s="36"/>
    </row>
    <row r="51" spans="2:17">
      <c r="B51" s="195"/>
      <c r="C51" s="197"/>
      <c r="D51" s="47" t="s">
        <v>173</v>
      </c>
      <c r="E51" s="65" t="s">
        <v>155</v>
      </c>
      <c r="F51" s="79"/>
      <c r="G51" s="53" t="s">
        <v>157</v>
      </c>
      <c r="H51" s="47" t="s">
        <v>160</v>
      </c>
      <c r="I51" s="36"/>
    </row>
    <row r="52" spans="2:17" ht="13.5" customHeight="1">
      <c r="B52" s="195"/>
      <c r="C52" s="197"/>
      <c r="D52" s="47" t="s">
        <v>174</v>
      </c>
      <c r="E52" s="70" t="s">
        <v>162</v>
      </c>
      <c r="F52" s="79">
        <v>130</v>
      </c>
      <c r="G52" s="53" t="s">
        <v>164</v>
      </c>
      <c r="H52" s="66" t="s">
        <v>165</v>
      </c>
      <c r="I52" s="36"/>
      <c r="K52" t="s">
        <v>320</v>
      </c>
      <c r="L52" t="s">
        <v>454</v>
      </c>
    </row>
    <row r="53" spans="2:17">
      <c r="B53" s="195"/>
      <c r="C53" s="197"/>
      <c r="D53" s="47" t="s">
        <v>175</v>
      </c>
      <c r="E53" s="70" t="s">
        <v>163</v>
      </c>
      <c r="F53" s="79">
        <v>50</v>
      </c>
      <c r="G53" s="53" t="s">
        <v>164</v>
      </c>
      <c r="H53" s="66" t="s">
        <v>166</v>
      </c>
      <c r="I53" s="36"/>
      <c r="K53" t="s">
        <v>321</v>
      </c>
      <c r="M53">
        <f>F52/1000/F5</f>
        <v>0.84415584415584421</v>
      </c>
    </row>
    <row r="54" spans="2:17">
      <c r="B54" s="201" t="s">
        <v>161</v>
      </c>
      <c r="C54" s="203"/>
      <c r="D54" s="52" t="s">
        <v>192</v>
      </c>
      <c r="E54" s="16" t="s">
        <v>189</v>
      </c>
      <c r="F54" s="24"/>
      <c r="G54" s="53" t="s">
        <v>190</v>
      </c>
      <c r="H54" s="47" t="s">
        <v>191</v>
      </c>
      <c r="I54" s="36"/>
      <c r="K54" t="s">
        <v>322</v>
      </c>
      <c r="M54">
        <f>DEGREES(ATAN(((F5*1000/2)-(F52/2))/F53))</f>
        <v>13.495733280795811</v>
      </c>
      <c r="N54" t="s">
        <v>323</v>
      </c>
      <c r="O54" t="s">
        <v>324</v>
      </c>
      <c r="P54">
        <v>20</v>
      </c>
      <c r="Q54" t="s">
        <v>323</v>
      </c>
    </row>
    <row r="55" spans="2:17" ht="14.25" thickBot="1">
      <c r="B55" s="202"/>
      <c r="C55" s="204"/>
      <c r="D55" s="71" t="s">
        <v>168</v>
      </c>
      <c r="E55" s="72" t="s">
        <v>167</v>
      </c>
      <c r="F55" s="80"/>
      <c r="G55" s="73" t="s">
        <v>169</v>
      </c>
      <c r="H55" s="74" t="s">
        <v>170</v>
      </c>
      <c r="I55" s="75"/>
    </row>
    <row r="56" spans="2:17" ht="14.25" thickBot="1">
      <c r="E56" s="30"/>
    </row>
    <row r="57" spans="2:17" ht="14.25" thickBot="1">
      <c r="B57" s="191" t="s">
        <v>87</v>
      </c>
      <c r="C57" s="192"/>
      <c r="D57" s="192"/>
      <c r="E57" s="192"/>
      <c r="F57" s="192"/>
      <c r="G57" s="192"/>
      <c r="H57" s="192"/>
      <c r="I57" s="193"/>
    </row>
    <row r="58" spans="2:17">
      <c r="B58" s="182"/>
      <c r="C58" s="183"/>
      <c r="D58" s="183"/>
      <c r="E58" s="183"/>
      <c r="F58" s="183"/>
      <c r="G58" s="183"/>
      <c r="H58" s="183"/>
      <c r="I58" s="184"/>
    </row>
    <row r="59" spans="2:17">
      <c r="B59" s="185"/>
      <c r="C59" s="186"/>
      <c r="D59" s="186"/>
      <c r="E59" s="186"/>
      <c r="F59" s="186"/>
      <c r="G59" s="186"/>
      <c r="H59" s="186"/>
      <c r="I59" s="187"/>
    </row>
    <row r="60" spans="2:17">
      <c r="B60" s="185"/>
      <c r="C60" s="186"/>
      <c r="D60" s="186"/>
      <c r="E60" s="186"/>
      <c r="F60" s="186"/>
      <c r="G60" s="186"/>
      <c r="H60" s="186"/>
      <c r="I60" s="187"/>
    </row>
    <row r="61" spans="2:17" ht="14.25" thickBot="1">
      <c r="B61" s="188"/>
      <c r="C61" s="189"/>
      <c r="D61" s="189"/>
      <c r="E61" s="189"/>
      <c r="F61" s="189"/>
      <c r="G61" s="189"/>
      <c r="H61" s="189"/>
      <c r="I61" s="190"/>
    </row>
  </sheetData>
  <mergeCells count="21">
    <mergeCell ref="C36:C46"/>
    <mergeCell ref="B36:B46"/>
    <mergeCell ref="D35:H35"/>
    <mergeCell ref="B1:H1"/>
    <mergeCell ref="B14:B19"/>
    <mergeCell ref="B20:B23"/>
    <mergeCell ref="B2:C2"/>
    <mergeCell ref="B24:B33"/>
    <mergeCell ref="C4:C13"/>
    <mergeCell ref="C24:C33"/>
    <mergeCell ref="D2:I2"/>
    <mergeCell ref="B4:B13"/>
    <mergeCell ref="C20:C23"/>
    <mergeCell ref="C14:C19"/>
    <mergeCell ref="B58:I61"/>
    <mergeCell ref="B57:I57"/>
    <mergeCell ref="B49:B53"/>
    <mergeCell ref="C49:C53"/>
    <mergeCell ref="D48:I48"/>
    <mergeCell ref="B54:B55"/>
    <mergeCell ref="C54:C55"/>
  </mergeCells>
  <phoneticPr fontId="13"/>
  <pageMargins left="0.18" right="0.18" top="0.75" bottom="0.32" header="0.3" footer="0.17"/>
  <pageSetup paperSize="9" orientation="landscape" horizontalDpi="360" verticalDpi="360" r:id="rId1"/>
  <headerFooter>
    <oddHeader>&amp;C&amp;22H36_15_02_17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D21" sqref="D21"/>
    </sheetView>
  </sheetViews>
  <sheetFormatPr defaultRowHeight="13.5"/>
  <cols>
    <col min="1" max="1" width="11.625" bestFit="1" customWidth="1"/>
    <col min="4" max="4" width="13.375" customWidth="1"/>
    <col min="5" max="5" width="18.5" customWidth="1"/>
  </cols>
  <sheetData>
    <row r="1" spans="1:9">
      <c r="A1" t="s">
        <v>140</v>
      </c>
    </row>
    <row r="2" spans="1:9">
      <c r="A2" t="s">
        <v>94</v>
      </c>
      <c r="B2" t="s">
        <v>98</v>
      </c>
      <c r="D2" t="s">
        <v>96</v>
      </c>
      <c r="E2" t="s">
        <v>97</v>
      </c>
      <c r="F2" t="s">
        <v>107</v>
      </c>
    </row>
    <row r="3" spans="1:9">
      <c r="A3">
        <v>9.8024000000000004</v>
      </c>
      <c r="B3" t="s">
        <v>99</v>
      </c>
      <c r="D3" s="62" t="s">
        <v>101</v>
      </c>
      <c r="E3" s="62" t="s">
        <v>102</v>
      </c>
      <c r="F3">
        <v>0</v>
      </c>
    </row>
    <row r="4" spans="1:9">
      <c r="A4">
        <v>9.8020999999999994</v>
      </c>
      <c r="B4" t="s">
        <v>95</v>
      </c>
      <c r="D4" s="62" t="s">
        <v>103</v>
      </c>
      <c r="E4" s="62" t="s">
        <v>104</v>
      </c>
      <c r="F4">
        <v>10</v>
      </c>
    </row>
    <row r="5" spans="1:9">
      <c r="A5">
        <v>9.8041</v>
      </c>
      <c r="B5" t="s">
        <v>100</v>
      </c>
      <c r="D5" s="62" t="s">
        <v>105</v>
      </c>
      <c r="E5" s="62" t="s">
        <v>106</v>
      </c>
      <c r="F5">
        <v>3</v>
      </c>
    </row>
    <row r="8" spans="1:9">
      <c r="A8" t="s">
        <v>108</v>
      </c>
    </row>
    <row r="9" spans="1:9">
      <c r="B9" t="s">
        <v>109</v>
      </c>
      <c r="E9" t="s">
        <v>125</v>
      </c>
      <c r="H9" t="s">
        <v>99</v>
      </c>
    </row>
    <row r="10" spans="1:9" ht="27">
      <c r="B10" s="63" t="s">
        <v>110</v>
      </c>
      <c r="C10" s="63" t="s">
        <v>111</v>
      </c>
      <c r="E10" s="63" t="s">
        <v>110</v>
      </c>
      <c r="F10" s="63" t="s">
        <v>126</v>
      </c>
      <c r="H10" s="63" t="s">
        <v>110</v>
      </c>
      <c r="I10" s="63" t="s">
        <v>133</v>
      </c>
    </row>
    <row r="11" spans="1:9" ht="27">
      <c r="B11" s="63" t="s">
        <v>112</v>
      </c>
      <c r="C11" s="63" t="s">
        <v>113</v>
      </c>
      <c r="E11" s="63" t="s">
        <v>112</v>
      </c>
      <c r="F11" s="63" t="s">
        <v>127</v>
      </c>
      <c r="H11" s="63" t="s">
        <v>112</v>
      </c>
      <c r="I11" s="63" t="s">
        <v>134</v>
      </c>
    </row>
    <row r="14" spans="1:9">
      <c r="B14" t="s">
        <v>114</v>
      </c>
      <c r="E14" t="s">
        <v>114</v>
      </c>
      <c r="H14" t="s">
        <v>114</v>
      </c>
    </row>
    <row r="15" spans="1:9" ht="27">
      <c r="B15" s="63" t="s">
        <v>115</v>
      </c>
      <c r="C15" s="63" t="s">
        <v>116</v>
      </c>
      <c r="E15" s="63" t="s">
        <v>115</v>
      </c>
      <c r="F15" s="63" t="s">
        <v>128</v>
      </c>
      <c r="H15" s="63" t="s">
        <v>115</v>
      </c>
      <c r="I15" s="63" t="s">
        <v>135</v>
      </c>
    </row>
    <row r="16" spans="1:9" ht="27">
      <c r="B16" s="63" t="s">
        <v>117</v>
      </c>
      <c r="C16" s="63" t="s">
        <v>118</v>
      </c>
      <c r="E16" s="63" t="s">
        <v>117</v>
      </c>
      <c r="F16" s="63" t="s">
        <v>129</v>
      </c>
      <c r="H16" s="63" t="s">
        <v>117</v>
      </c>
      <c r="I16" s="63" t="s">
        <v>136</v>
      </c>
    </row>
    <row r="17" spans="2:9">
      <c r="B17" s="63" t="s">
        <v>119</v>
      </c>
      <c r="C17" s="63" t="s">
        <v>120</v>
      </c>
      <c r="E17" s="63" t="s">
        <v>119</v>
      </c>
      <c r="F17" s="63" t="s">
        <v>130</v>
      </c>
      <c r="H17" s="63" t="s">
        <v>119</v>
      </c>
      <c r="I17" s="63" t="s">
        <v>137</v>
      </c>
    </row>
    <row r="18" spans="2:9">
      <c r="B18" s="63" t="s">
        <v>121</v>
      </c>
      <c r="C18" s="63" t="s">
        <v>122</v>
      </c>
      <c r="E18" s="63" t="s">
        <v>121</v>
      </c>
      <c r="F18" s="63" t="s">
        <v>131</v>
      </c>
      <c r="H18" s="63" t="s">
        <v>121</v>
      </c>
      <c r="I18" s="63" t="s">
        <v>138</v>
      </c>
    </row>
    <row r="19" spans="2:9">
      <c r="B19" s="63" t="s">
        <v>123</v>
      </c>
      <c r="C19" s="63" t="s">
        <v>124</v>
      </c>
      <c r="E19" s="63" t="s">
        <v>123</v>
      </c>
      <c r="F19" s="63" t="s">
        <v>132</v>
      </c>
      <c r="H19" s="63" t="s">
        <v>123</v>
      </c>
      <c r="I19" s="63" t="s">
        <v>139</v>
      </c>
    </row>
  </sheetData>
  <phoneticPr fontId="1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4"/>
  <sheetViews>
    <sheetView zoomScale="60" zoomScaleNormal="60" workbookViewId="0">
      <selection activeCell="D18" sqref="D18"/>
    </sheetView>
  </sheetViews>
  <sheetFormatPr defaultRowHeight="19.5" customHeight="1"/>
  <cols>
    <col min="1" max="1" width="9" style="135"/>
    <col min="2" max="2" width="29.625" style="135" customWidth="1"/>
    <col min="3" max="3" width="7.5" style="135" customWidth="1"/>
    <col min="4" max="4" width="8.875" style="135" customWidth="1"/>
    <col min="5" max="5" width="6.5" style="135" customWidth="1"/>
    <col min="6" max="6" width="9" style="135"/>
    <col min="7" max="7" width="29.875" style="135" customWidth="1"/>
    <col min="8" max="8" width="5.25" style="135" customWidth="1"/>
    <col min="9" max="9" width="9" style="135"/>
    <col min="10" max="10" width="5.25" style="135" customWidth="1"/>
    <col min="11" max="11" width="9" style="135"/>
    <col min="12" max="12" width="31.625" style="135" customWidth="1"/>
    <col min="13" max="13" width="4.375" style="135" customWidth="1"/>
    <col min="14" max="14" width="9" style="135"/>
    <col min="15" max="15" width="5.625" style="135" customWidth="1"/>
    <col min="16" max="16" width="9" style="135"/>
    <col min="17" max="17" width="26.125" style="135" customWidth="1"/>
    <col min="18" max="18" width="7.75" style="135" customWidth="1"/>
    <col min="19" max="19" width="9" style="135"/>
    <col min="20" max="20" width="6.875" style="135" customWidth="1"/>
    <col min="21" max="22" width="9" style="135"/>
    <col min="23" max="23" width="28.5" style="135" customWidth="1"/>
    <col min="24" max="24" width="7.375" style="135" customWidth="1"/>
    <col min="25" max="25" width="9" style="135"/>
    <col min="26" max="27" width="8.25" style="135" customWidth="1"/>
    <col min="28" max="28" width="8.5" style="135" customWidth="1"/>
    <col min="29" max="30" width="9.25" style="135" customWidth="1"/>
    <col min="31" max="16384" width="9" style="135"/>
  </cols>
  <sheetData>
    <row r="1" spans="1:44" ht="19.5" customHeight="1" thickBot="1">
      <c r="A1" s="169"/>
      <c r="B1" s="249" t="s">
        <v>505</v>
      </c>
      <c r="C1" s="250"/>
      <c r="D1" s="250"/>
      <c r="E1" s="250"/>
      <c r="F1" s="250"/>
      <c r="G1" s="250"/>
      <c r="H1" s="250"/>
      <c r="I1" s="250"/>
      <c r="J1" s="251"/>
      <c r="K1" s="170"/>
      <c r="L1" s="252" t="s">
        <v>401</v>
      </c>
      <c r="M1" s="252"/>
      <c r="N1" s="252"/>
      <c r="O1" s="252"/>
      <c r="P1" s="252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1"/>
    </row>
    <row r="2" spans="1:44" ht="19.5" customHeight="1" thickBot="1">
      <c r="A2" s="148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240" t="s">
        <v>447</v>
      </c>
      <c r="AC2" s="241"/>
      <c r="AD2" s="241"/>
      <c r="AE2" s="241"/>
      <c r="AF2" s="241"/>
      <c r="AG2" s="241"/>
      <c r="AH2" s="241"/>
      <c r="AI2" s="242"/>
      <c r="AJ2" s="149"/>
    </row>
    <row r="3" spans="1:44" ht="19.5" customHeight="1" thickBot="1">
      <c r="A3" s="148"/>
      <c r="B3" s="134" t="s">
        <v>291</v>
      </c>
      <c r="C3" s="134"/>
      <c r="D3" s="143">
        <v>1</v>
      </c>
      <c r="E3" s="134"/>
      <c r="F3" s="141"/>
      <c r="G3" s="134" t="s">
        <v>246</v>
      </c>
      <c r="H3" s="134" t="s">
        <v>247</v>
      </c>
      <c r="I3" s="139">
        <f>諸元!F5*1000</f>
        <v>154</v>
      </c>
      <c r="J3" s="134" t="s">
        <v>154</v>
      </c>
      <c r="K3" s="141"/>
      <c r="L3" s="134" t="s">
        <v>272</v>
      </c>
      <c r="M3" s="134"/>
      <c r="N3" s="143">
        <v>4</v>
      </c>
      <c r="O3" s="134" t="s">
        <v>273</v>
      </c>
      <c r="P3" s="141"/>
      <c r="Q3" s="134" t="s">
        <v>299</v>
      </c>
      <c r="R3" s="134" t="s">
        <v>300</v>
      </c>
      <c r="S3" s="139">
        <f>諸元!F52</f>
        <v>130</v>
      </c>
      <c r="T3" s="134" t="s">
        <v>154</v>
      </c>
      <c r="U3" s="141"/>
      <c r="V3" s="141"/>
      <c r="W3" s="256" t="s">
        <v>242</v>
      </c>
      <c r="X3" s="257"/>
      <c r="Y3" s="257"/>
      <c r="Z3" s="258"/>
      <c r="AA3" s="141"/>
      <c r="AB3" s="243"/>
      <c r="AC3" s="244"/>
      <c r="AD3" s="244"/>
      <c r="AE3" s="244"/>
      <c r="AF3" s="244"/>
      <c r="AG3" s="244"/>
      <c r="AH3" s="244"/>
      <c r="AI3" s="245"/>
      <c r="AJ3" s="149"/>
      <c r="AN3" s="233" t="s">
        <v>488</v>
      </c>
      <c r="AO3" s="234"/>
      <c r="AP3" s="234"/>
      <c r="AQ3" s="234"/>
      <c r="AR3" s="235"/>
    </row>
    <row r="4" spans="1:44" ht="19.5" customHeight="1">
      <c r="A4" s="148"/>
      <c r="B4" s="134" t="s">
        <v>292</v>
      </c>
      <c r="C4" s="134"/>
      <c r="D4" s="134"/>
      <c r="E4" s="134"/>
      <c r="F4" s="141"/>
      <c r="G4" s="134" t="s">
        <v>250</v>
      </c>
      <c r="H4" s="134" t="s">
        <v>251</v>
      </c>
      <c r="I4" s="139">
        <f>I3/2</f>
        <v>77</v>
      </c>
      <c r="J4" s="134" t="s">
        <v>154</v>
      </c>
      <c r="K4" s="141"/>
      <c r="L4" s="134"/>
      <c r="M4" s="134"/>
      <c r="N4" s="139"/>
      <c r="O4" s="134"/>
      <c r="P4" s="141"/>
      <c r="Q4" s="134" t="s">
        <v>301</v>
      </c>
      <c r="R4" s="134" t="s">
        <v>302</v>
      </c>
      <c r="S4" s="139">
        <f>諸元!F53</f>
        <v>50</v>
      </c>
      <c r="T4" s="134" t="s">
        <v>154</v>
      </c>
      <c r="U4" s="141"/>
      <c r="V4" s="141"/>
      <c r="W4" s="160" t="s">
        <v>243</v>
      </c>
      <c r="X4" s="159"/>
      <c r="Y4" s="159" t="s">
        <v>244</v>
      </c>
      <c r="Z4" s="161" t="s">
        <v>245</v>
      </c>
      <c r="AA4" s="141"/>
      <c r="AB4" s="243"/>
      <c r="AC4" s="244"/>
      <c r="AD4" s="244"/>
      <c r="AE4" s="244"/>
      <c r="AF4" s="244"/>
      <c r="AG4" s="244"/>
      <c r="AH4" s="244"/>
      <c r="AI4" s="245"/>
      <c r="AJ4" s="149"/>
      <c r="AN4" s="148"/>
      <c r="AO4" s="141"/>
      <c r="AP4" s="141"/>
      <c r="AQ4" s="141"/>
      <c r="AR4" s="149"/>
    </row>
    <row r="5" spans="1:44" ht="19.5" customHeight="1">
      <c r="A5" s="148"/>
      <c r="B5" s="134" t="s">
        <v>293</v>
      </c>
      <c r="C5" s="134"/>
      <c r="D5" s="134"/>
      <c r="E5" s="134"/>
      <c r="F5" s="141"/>
      <c r="G5" s="134" t="s">
        <v>255</v>
      </c>
      <c r="H5" s="134" t="s">
        <v>256</v>
      </c>
      <c r="I5" s="139">
        <f>諸元!F4*1000</f>
        <v>1500</v>
      </c>
      <c r="J5" s="134" t="s">
        <v>154</v>
      </c>
      <c r="K5" s="141"/>
      <c r="L5" s="134" t="s">
        <v>276</v>
      </c>
      <c r="M5" s="134" t="s">
        <v>275</v>
      </c>
      <c r="N5" s="143"/>
      <c r="O5" s="134" t="s">
        <v>154</v>
      </c>
      <c r="P5" s="141"/>
      <c r="Q5" s="134" t="s">
        <v>303</v>
      </c>
      <c r="R5" s="134" t="s">
        <v>304</v>
      </c>
      <c r="S5" s="134">
        <f>I5-S4</f>
        <v>1450</v>
      </c>
      <c r="T5" s="134" t="s">
        <v>154</v>
      </c>
      <c r="U5" s="141"/>
      <c r="V5" s="141"/>
      <c r="W5" s="162" t="s">
        <v>280</v>
      </c>
      <c r="X5" s="163" t="s">
        <v>477</v>
      </c>
      <c r="Y5" s="163">
        <f>S19/1000</f>
        <v>1.0143409446026248</v>
      </c>
      <c r="Z5" s="164" t="s">
        <v>49</v>
      </c>
      <c r="AA5" s="141"/>
      <c r="AB5" s="243"/>
      <c r="AC5" s="244"/>
      <c r="AD5" s="244"/>
      <c r="AE5" s="244"/>
      <c r="AF5" s="244"/>
      <c r="AG5" s="244"/>
      <c r="AH5" s="244"/>
      <c r="AI5" s="245"/>
      <c r="AJ5" s="149"/>
      <c r="AN5" s="228" t="s">
        <v>489</v>
      </c>
      <c r="AO5" s="229"/>
      <c r="AP5" s="141"/>
      <c r="AQ5" s="229" t="s">
        <v>238</v>
      </c>
      <c r="AR5" s="236"/>
    </row>
    <row r="6" spans="1:44" ht="19.5" customHeight="1">
      <c r="A6" s="148"/>
      <c r="B6" s="134"/>
      <c r="C6" s="134"/>
      <c r="D6" s="134"/>
      <c r="E6" s="134"/>
      <c r="F6" s="141"/>
      <c r="G6" s="134" t="s">
        <v>258</v>
      </c>
      <c r="H6" s="134" t="s">
        <v>259</v>
      </c>
      <c r="I6" s="134">
        <f>I5/I3</f>
        <v>9.7402597402597397</v>
      </c>
      <c r="J6" s="134"/>
      <c r="K6" s="141"/>
      <c r="L6" s="134" t="s">
        <v>279</v>
      </c>
      <c r="M6" s="134" t="s">
        <v>275</v>
      </c>
      <c r="N6" s="139">
        <f>I5-S4-N9</f>
        <v>1250</v>
      </c>
      <c r="O6" s="134" t="s">
        <v>154</v>
      </c>
      <c r="P6" s="141"/>
      <c r="Q6" s="134"/>
      <c r="R6" s="134"/>
      <c r="S6" s="134"/>
      <c r="T6" s="134"/>
      <c r="U6" s="141"/>
      <c r="V6" s="141"/>
      <c r="W6" s="165" t="s">
        <v>355</v>
      </c>
      <c r="X6" s="163" t="s">
        <v>469</v>
      </c>
      <c r="Y6" s="163">
        <f>-4*2*($N$12+$I$4)^4/(PI()*$I$5^2*($I$3^2*PI()/4))</f>
        <v>-9.1514766889191843E-2</v>
      </c>
      <c r="Z6" s="164" t="s">
        <v>56</v>
      </c>
      <c r="AA6" s="141"/>
      <c r="AB6" s="243"/>
      <c r="AC6" s="244"/>
      <c r="AD6" s="244"/>
      <c r="AE6" s="244"/>
      <c r="AF6" s="244"/>
      <c r="AG6" s="244"/>
      <c r="AH6" s="244"/>
      <c r="AI6" s="245"/>
      <c r="AJ6" s="149"/>
      <c r="AN6" s="148" t="s">
        <v>490</v>
      </c>
      <c r="AO6" s="141" t="s">
        <v>491</v>
      </c>
      <c r="AP6" s="141"/>
      <c r="AQ6" s="141" t="s">
        <v>490</v>
      </c>
      <c r="AR6" s="149" t="s">
        <v>491</v>
      </c>
    </row>
    <row r="7" spans="1:44" ht="19.5" customHeight="1">
      <c r="A7" s="148"/>
      <c r="B7" s="134" t="s">
        <v>294</v>
      </c>
      <c r="C7" s="134" t="s">
        <v>295</v>
      </c>
      <c r="D7" s="139">
        <f>諸元!F49</f>
        <v>200</v>
      </c>
      <c r="E7" s="134" t="s">
        <v>154</v>
      </c>
      <c r="F7" s="141"/>
      <c r="G7" s="134"/>
      <c r="H7" s="134"/>
      <c r="I7" s="134"/>
      <c r="J7" s="134"/>
      <c r="K7" s="141"/>
      <c r="L7" s="134"/>
      <c r="M7" s="134"/>
      <c r="N7" s="139"/>
      <c r="O7" s="134"/>
      <c r="P7" s="141"/>
      <c r="Q7" s="134" t="s">
        <v>260</v>
      </c>
      <c r="R7" s="134" t="s">
        <v>351</v>
      </c>
      <c r="S7" s="134">
        <f>2*((S3/I3)^2-(I3/I3)^2)</f>
        <v>-0.57480182155506854</v>
      </c>
      <c r="T7" s="134" t="s">
        <v>400</v>
      </c>
      <c r="U7" s="141"/>
      <c r="V7" s="141"/>
      <c r="W7" s="162" t="s">
        <v>354</v>
      </c>
      <c r="X7" s="163" t="s">
        <v>470</v>
      </c>
      <c r="Y7" s="163">
        <f>AVERAGE(Y23,Y29)</f>
        <v>-2.0236313718682957</v>
      </c>
      <c r="Z7" s="164" t="s">
        <v>56</v>
      </c>
      <c r="AA7" s="141"/>
      <c r="AB7" s="243"/>
      <c r="AC7" s="244"/>
      <c r="AD7" s="244"/>
      <c r="AE7" s="244"/>
      <c r="AF7" s="244"/>
      <c r="AG7" s="244"/>
      <c r="AH7" s="244"/>
      <c r="AI7" s="245"/>
      <c r="AJ7" s="149"/>
      <c r="AN7" s="148">
        <v>0</v>
      </c>
      <c r="AO7" s="141">
        <v>0</v>
      </c>
      <c r="AP7" s="141"/>
      <c r="AQ7" s="141">
        <f>I9</f>
        <v>880.52173913043487</v>
      </c>
      <c r="AR7" s="149">
        <v>0</v>
      </c>
    </row>
    <row r="8" spans="1:44" ht="19.5" customHeight="1">
      <c r="A8" s="148"/>
      <c r="B8" s="134"/>
      <c r="C8" s="134"/>
      <c r="D8" s="134"/>
      <c r="E8" s="134"/>
      <c r="F8" s="141"/>
      <c r="G8" s="134" t="s">
        <v>262</v>
      </c>
      <c r="H8" s="134" t="s">
        <v>263</v>
      </c>
      <c r="I8" s="139">
        <f>諸元!M14*1000</f>
        <v>869.74833555259659</v>
      </c>
      <c r="J8" s="134" t="s">
        <v>154</v>
      </c>
      <c r="K8" s="141"/>
      <c r="L8" s="134" t="s">
        <v>282</v>
      </c>
      <c r="M8" s="134"/>
      <c r="N8" s="139"/>
      <c r="O8" s="134"/>
      <c r="P8" s="141"/>
      <c r="Q8" s="134" t="s">
        <v>343</v>
      </c>
      <c r="R8" s="134" t="s">
        <v>346</v>
      </c>
      <c r="S8" s="134">
        <f>S7/2</f>
        <v>-0.28740091077753427</v>
      </c>
      <c r="T8" s="134"/>
      <c r="U8" s="141"/>
      <c r="V8" s="141"/>
      <c r="W8" s="162" t="s">
        <v>471</v>
      </c>
      <c r="X8" s="163" t="s">
        <v>472</v>
      </c>
      <c r="Y8" s="163">
        <v>0.3</v>
      </c>
      <c r="Z8" s="164" t="s">
        <v>478</v>
      </c>
      <c r="AA8" s="141"/>
      <c r="AB8" s="243"/>
      <c r="AC8" s="244"/>
      <c r="AD8" s="244"/>
      <c r="AE8" s="244"/>
      <c r="AF8" s="244"/>
      <c r="AG8" s="244"/>
      <c r="AH8" s="244"/>
      <c r="AI8" s="245"/>
      <c r="AJ8" s="149"/>
      <c r="AN8" s="148">
        <f>D7</f>
        <v>200</v>
      </c>
      <c r="AO8" s="141">
        <f>I4</f>
        <v>77</v>
      </c>
      <c r="AP8" s="141"/>
      <c r="AQ8" s="141"/>
      <c r="AR8" s="149"/>
    </row>
    <row r="9" spans="1:44" ht="19.5" customHeight="1" thickBot="1">
      <c r="A9" s="148"/>
      <c r="B9" s="134" t="s">
        <v>296</v>
      </c>
      <c r="C9" s="134" t="s">
        <v>297</v>
      </c>
      <c r="D9" s="139">
        <f>D7/I3</f>
        <v>1.2987012987012987</v>
      </c>
      <c r="E9" s="134"/>
      <c r="F9" s="141"/>
      <c r="G9" s="134" t="s">
        <v>264</v>
      </c>
      <c r="H9" s="134" t="s">
        <v>265</v>
      </c>
      <c r="I9" s="139">
        <f>諸元!M15*1000</f>
        <v>880.52173913043487</v>
      </c>
      <c r="J9" s="134" t="s">
        <v>154</v>
      </c>
      <c r="K9" s="141"/>
      <c r="L9" s="134" t="s">
        <v>398</v>
      </c>
      <c r="M9" s="134" t="s">
        <v>368</v>
      </c>
      <c r="N9" s="143">
        <v>200</v>
      </c>
      <c r="O9" s="134" t="s">
        <v>154</v>
      </c>
      <c r="P9" s="141"/>
      <c r="Q9" s="134" t="s">
        <v>261</v>
      </c>
      <c r="R9" s="134" t="s">
        <v>347</v>
      </c>
      <c r="S9" s="134">
        <f>S5+(S4/3)*(1+((1-(I3/S3))/(1-(I3/S3)^2)))</f>
        <v>1474.2957746478874</v>
      </c>
      <c r="T9" s="134" t="s">
        <v>154</v>
      </c>
      <c r="U9" s="141"/>
      <c r="V9" s="141"/>
      <c r="W9" s="177" t="s">
        <v>277</v>
      </c>
      <c r="X9" s="167" t="s">
        <v>473</v>
      </c>
      <c r="Y9" s="167">
        <f>D12+S7+S14</f>
        <v>7.2939009313980616</v>
      </c>
      <c r="Z9" s="168" t="s">
        <v>479</v>
      </c>
      <c r="AA9" s="141"/>
      <c r="AB9" s="243"/>
      <c r="AC9" s="244"/>
      <c r="AD9" s="244"/>
      <c r="AE9" s="244"/>
      <c r="AF9" s="244"/>
      <c r="AG9" s="244"/>
      <c r="AH9" s="244"/>
      <c r="AI9" s="245"/>
      <c r="AJ9" s="149"/>
      <c r="AN9" s="148">
        <f>AN8</f>
        <v>200</v>
      </c>
      <c r="AO9" s="141">
        <f>-AO8</f>
        <v>-77</v>
      </c>
      <c r="AP9" s="141"/>
      <c r="AQ9" s="229" t="s">
        <v>363</v>
      </c>
      <c r="AR9" s="236"/>
    </row>
    <row r="10" spans="1:44" ht="19.5" customHeight="1">
      <c r="A10" s="148"/>
      <c r="B10" s="134" t="s">
        <v>298</v>
      </c>
      <c r="C10" s="134"/>
      <c r="D10" s="139">
        <f>IF(D3=1,2/3,IF(D3=2,1-((8*D9^2/3)+((4*D9^2-1)^2/4)-(((4*D9^2-1)*(4*D9^2+1)^2/(16*D9))*ASIN(4*D9/(4*D9^2+1)))),0))</f>
        <v>0.66666666666666663</v>
      </c>
      <c r="E10" s="134"/>
      <c r="F10" s="141"/>
      <c r="G10" s="134" t="s">
        <v>267</v>
      </c>
      <c r="H10" s="134" t="s">
        <v>268</v>
      </c>
      <c r="I10" s="139">
        <f>諸元!M16*1000</f>
        <v>865.45709681751032</v>
      </c>
      <c r="J10" s="134" t="s">
        <v>154</v>
      </c>
      <c r="K10" s="141"/>
      <c r="L10" s="134" t="s">
        <v>284</v>
      </c>
      <c r="M10" s="134" t="s">
        <v>285</v>
      </c>
      <c r="N10" s="143">
        <v>120</v>
      </c>
      <c r="O10" s="134" t="s">
        <v>154</v>
      </c>
      <c r="P10" s="141"/>
      <c r="Q10" s="141"/>
      <c r="R10" s="141"/>
      <c r="S10" s="141"/>
      <c r="T10" s="141"/>
      <c r="U10" s="141"/>
      <c r="V10" s="141"/>
      <c r="W10" s="162"/>
      <c r="X10" s="163"/>
      <c r="Y10" s="163"/>
      <c r="Z10" s="164"/>
      <c r="AA10" s="141"/>
      <c r="AB10" s="243"/>
      <c r="AC10" s="244"/>
      <c r="AD10" s="244"/>
      <c r="AE10" s="244"/>
      <c r="AF10" s="244"/>
      <c r="AG10" s="244"/>
      <c r="AH10" s="244"/>
      <c r="AI10" s="245"/>
      <c r="AJ10" s="149"/>
      <c r="AN10" s="148">
        <v>0</v>
      </c>
      <c r="AO10" s="141">
        <v>0</v>
      </c>
      <c r="AP10" s="141"/>
      <c r="AQ10" s="141" t="s">
        <v>492</v>
      </c>
      <c r="AR10" s="149" t="s">
        <v>493</v>
      </c>
    </row>
    <row r="11" spans="1:44" ht="19.5" customHeight="1" thickBot="1">
      <c r="A11" s="148"/>
      <c r="B11" s="134"/>
      <c r="C11" s="134"/>
      <c r="D11" s="134"/>
      <c r="E11" s="134"/>
      <c r="F11" s="141"/>
      <c r="G11" s="141"/>
      <c r="H11" s="141"/>
      <c r="I11" s="141"/>
      <c r="J11" s="141"/>
      <c r="K11" s="141"/>
      <c r="L11" s="134" t="s">
        <v>376</v>
      </c>
      <c r="M11" s="134" t="s">
        <v>49</v>
      </c>
      <c r="N11" s="143">
        <v>145</v>
      </c>
      <c r="O11" s="134" t="s">
        <v>154</v>
      </c>
      <c r="P11" s="141"/>
      <c r="Q11" s="141"/>
      <c r="R11" s="141"/>
      <c r="S11" s="141"/>
      <c r="T11" s="141"/>
      <c r="U11" s="141"/>
      <c r="V11" s="141"/>
      <c r="W11" s="166"/>
      <c r="X11" s="167"/>
      <c r="Y11" s="167"/>
      <c r="Z11" s="168"/>
      <c r="AA11" s="141"/>
      <c r="AB11" s="246"/>
      <c r="AC11" s="247"/>
      <c r="AD11" s="247"/>
      <c r="AE11" s="247"/>
      <c r="AF11" s="247"/>
      <c r="AG11" s="247"/>
      <c r="AH11" s="247"/>
      <c r="AI11" s="248"/>
      <c r="AJ11" s="149"/>
      <c r="AN11" s="148"/>
      <c r="AO11" s="141"/>
      <c r="AP11" s="141"/>
      <c r="AQ11" s="141">
        <f>S19</f>
        <v>1014.3409446026249</v>
      </c>
      <c r="AR11" s="149">
        <v>0</v>
      </c>
    </row>
    <row r="12" spans="1:44" ht="19.5" customHeight="1">
      <c r="A12" s="148"/>
      <c r="B12" s="134" t="s">
        <v>248</v>
      </c>
      <c r="C12" s="134" t="s">
        <v>350</v>
      </c>
      <c r="D12" s="134">
        <v>2</v>
      </c>
      <c r="E12" s="134" t="s">
        <v>400</v>
      </c>
      <c r="F12" s="141"/>
      <c r="G12" s="141"/>
      <c r="H12" s="141"/>
      <c r="I12" s="141"/>
      <c r="J12" s="141"/>
      <c r="K12" s="141"/>
      <c r="L12" s="134" t="s">
        <v>286</v>
      </c>
      <c r="M12" s="134" t="s">
        <v>287</v>
      </c>
      <c r="N12" s="143">
        <v>120</v>
      </c>
      <c r="O12" s="134" t="s">
        <v>154</v>
      </c>
      <c r="P12" s="141"/>
      <c r="Q12" s="134" t="s">
        <v>266</v>
      </c>
      <c r="R12" s="134" t="s">
        <v>352</v>
      </c>
      <c r="S12" s="134">
        <f>4*N3*(N12/I3)^2/(1+SQRT(1+(2*N21/(N20+N10))^2))</f>
        <v>4.2194687676341847</v>
      </c>
      <c r="T12" s="134" t="s">
        <v>400</v>
      </c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9"/>
      <c r="AN12" s="148"/>
      <c r="AO12" s="141"/>
      <c r="AP12" s="141"/>
      <c r="AQ12" s="141"/>
      <c r="AR12" s="149"/>
    </row>
    <row r="13" spans="1:44" ht="19.5" customHeight="1">
      <c r="A13" s="148"/>
      <c r="B13" s="134" t="s">
        <v>342</v>
      </c>
      <c r="C13" s="134" t="s">
        <v>345</v>
      </c>
      <c r="D13" s="134">
        <f>D12/2</f>
        <v>1</v>
      </c>
      <c r="E13" s="134"/>
      <c r="F13" s="141"/>
      <c r="G13" s="141"/>
      <c r="H13" s="141"/>
      <c r="I13" s="141"/>
      <c r="J13" s="141"/>
      <c r="K13" s="141"/>
      <c r="L13" s="134" t="s">
        <v>369</v>
      </c>
      <c r="M13" s="134" t="s">
        <v>371</v>
      </c>
      <c r="N13" s="143">
        <v>50</v>
      </c>
      <c r="O13" s="134" t="s">
        <v>365</v>
      </c>
      <c r="P13" s="141"/>
      <c r="Q13" s="134" t="s">
        <v>269</v>
      </c>
      <c r="R13" s="144" t="s">
        <v>270</v>
      </c>
      <c r="S13" s="134">
        <f>1+I4/(N12+I4)</f>
        <v>1.3908629441624365</v>
      </c>
      <c r="T13" s="134"/>
      <c r="U13" s="141"/>
      <c r="V13" s="141"/>
      <c r="W13" s="134" t="s">
        <v>480</v>
      </c>
      <c r="X13" s="134" t="s">
        <v>481</v>
      </c>
      <c r="Y13" s="134">
        <f>Y9/2</f>
        <v>3.6469504656990308</v>
      </c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9"/>
      <c r="AN13" s="228" t="s">
        <v>494</v>
      </c>
      <c r="AO13" s="229"/>
      <c r="AP13" s="141"/>
      <c r="AQ13" s="229" t="s">
        <v>362</v>
      </c>
      <c r="AR13" s="236"/>
    </row>
    <row r="14" spans="1:44" ht="19.5" customHeight="1">
      <c r="A14" s="148"/>
      <c r="B14" s="134" t="s">
        <v>252</v>
      </c>
      <c r="C14" s="134" t="s">
        <v>253</v>
      </c>
      <c r="D14" s="134">
        <f>D7*D10</f>
        <v>133.33333333333331</v>
      </c>
      <c r="E14" s="134" t="s">
        <v>154</v>
      </c>
      <c r="F14" s="141"/>
      <c r="G14" s="141"/>
      <c r="H14" s="141"/>
      <c r="I14" s="141"/>
      <c r="J14" s="141"/>
      <c r="K14" s="141"/>
      <c r="L14" s="134"/>
      <c r="M14" s="134"/>
      <c r="N14" s="134">
        <f>RADIANS(N13)</f>
        <v>0.87266462599716477</v>
      </c>
      <c r="O14" s="134" t="s">
        <v>372</v>
      </c>
      <c r="P14" s="141"/>
      <c r="Q14" s="134" t="s">
        <v>271</v>
      </c>
      <c r="R14" s="134" t="s">
        <v>353</v>
      </c>
      <c r="S14" s="134">
        <f>S12*S13</f>
        <v>5.8687027529531299</v>
      </c>
      <c r="T14" s="134" t="s">
        <v>400</v>
      </c>
      <c r="U14" s="141"/>
      <c r="V14" s="141"/>
      <c r="W14" s="153"/>
      <c r="X14" s="153"/>
      <c r="Y14" s="153"/>
      <c r="Z14" s="141"/>
      <c r="AA14" s="141"/>
      <c r="AB14" s="141"/>
      <c r="AC14" s="230"/>
      <c r="AD14" s="231"/>
      <c r="AE14" s="232"/>
      <c r="AF14" s="141"/>
      <c r="AG14" s="230"/>
      <c r="AH14" s="231"/>
      <c r="AI14" s="232"/>
      <c r="AJ14" s="149"/>
      <c r="AN14" s="148" t="s">
        <v>492</v>
      </c>
      <c r="AO14" s="141" t="s">
        <v>493</v>
      </c>
      <c r="AP14" s="141"/>
      <c r="AQ14" s="141" t="s">
        <v>492</v>
      </c>
      <c r="AR14" s="149" t="s">
        <v>493</v>
      </c>
    </row>
    <row r="15" spans="1:44" ht="19.5" customHeight="1">
      <c r="A15" s="148"/>
      <c r="B15" s="141"/>
      <c r="C15" s="141"/>
      <c r="D15" s="141"/>
      <c r="E15" s="141"/>
      <c r="F15" s="141"/>
      <c r="G15" s="141"/>
      <c r="H15" s="141"/>
      <c r="I15" s="141"/>
      <c r="J15" s="141"/>
      <c r="K15" s="141"/>
      <c r="L15" s="134" t="s">
        <v>370</v>
      </c>
      <c r="M15" s="134" t="s">
        <v>366</v>
      </c>
      <c r="N15" s="143">
        <v>35</v>
      </c>
      <c r="O15" s="134" t="s">
        <v>367</v>
      </c>
      <c r="P15" s="141"/>
      <c r="Q15" s="134" t="s">
        <v>344</v>
      </c>
      <c r="R15" s="134" t="s">
        <v>348</v>
      </c>
      <c r="S15" s="134">
        <f>S14/2</f>
        <v>2.934351376476565</v>
      </c>
      <c r="T15" s="134"/>
      <c r="U15" s="141"/>
      <c r="V15" s="141"/>
      <c r="W15" s="156" t="s">
        <v>249</v>
      </c>
      <c r="X15" s="156"/>
      <c r="Y15" s="156"/>
      <c r="Z15" s="141"/>
      <c r="AA15" s="141"/>
      <c r="AB15" s="141"/>
      <c r="AC15" s="136"/>
      <c r="AD15" s="137"/>
      <c r="AE15" s="138"/>
      <c r="AF15" s="141"/>
      <c r="AG15" s="239"/>
      <c r="AH15" s="137"/>
      <c r="AI15" s="138"/>
      <c r="AJ15" s="149"/>
      <c r="AN15" s="148">
        <f>D7</f>
        <v>200</v>
      </c>
      <c r="AO15" s="141">
        <f>I4</f>
        <v>77</v>
      </c>
      <c r="AP15" s="141"/>
      <c r="AQ15" s="141">
        <v>0</v>
      </c>
      <c r="AR15" s="149">
        <v>0</v>
      </c>
    </row>
    <row r="16" spans="1:44" ht="19.5" customHeight="1">
      <c r="A16" s="148"/>
      <c r="B16" s="141"/>
      <c r="C16" s="141"/>
      <c r="D16" s="141"/>
      <c r="E16" s="141"/>
      <c r="F16" s="141"/>
      <c r="G16" s="141"/>
      <c r="H16" s="141"/>
      <c r="I16" s="141"/>
      <c r="J16" s="141"/>
      <c r="K16" s="141"/>
      <c r="L16" s="134" t="s">
        <v>288</v>
      </c>
      <c r="M16" s="134" t="s">
        <v>364</v>
      </c>
      <c r="N16" s="139">
        <f>90-DEGREES(ATAN((N12-(N15/TAN(N14)))/(N10+N11-N9-N15)))</f>
        <v>18.315095804849378</v>
      </c>
      <c r="O16" s="134" t="s">
        <v>374</v>
      </c>
      <c r="P16" s="141"/>
      <c r="Q16" s="134" t="s">
        <v>274</v>
      </c>
      <c r="R16" s="134" t="s">
        <v>275</v>
      </c>
      <c r="S16" s="134">
        <f>N6+(N11*(N20+2*N10)/(3*(N20+N10)))+(N20+N10-(N20*N10/(N20+N10)))/6</f>
        <v>1359.6298750501533</v>
      </c>
      <c r="T16" s="134" t="s">
        <v>154</v>
      </c>
      <c r="U16" s="141"/>
      <c r="V16" s="141"/>
      <c r="W16" s="157" t="s">
        <v>254</v>
      </c>
      <c r="X16" s="158" t="s">
        <v>482</v>
      </c>
      <c r="Y16" s="158">
        <f>(S19-I8)/I3</f>
        <v>0.93891304577940438</v>
      </c>
      <c r="Z16" s="141"/>
      <c r="AA16" s="141"/>
      <c r="AB16" s="141"/>
      <c r="AC16" s="140"/>
      <c r="AD16" s="141"/>
      <c r="AE16" s="142"/>
      <c r="AF16" s="141"/>
      <c r="AG16" s="237"/>
      <c r="AH16" s="141"/>
      <c r="AI16" s="142"/>
      <c r="AJ16" s="149"/>
      <c r="AN16" s="148">
        <f>I5-S4</f>
        <v>1450</v>
      </c>
      <c r="AO16" s="141">
        <f>AO15</f>
        <v>77</v>
      </c>
      <c r="AP16" s="141"/>
      <c r="AQ16" s="141">
        <f>N9</f>
        <v>200</v>
      </c>
      <c r="AR16" s="149">
        <f>AR15</f>
        <v>0</v>
      </c>
    </row>
    <row r="17" spans="1:44" ht="19.5" customHeight="1">
      <c r="A17" s="148"/>
      <c r="B17" s="141"/>
      <c r="C17" s="141"/>
      <c r="D17" s="141"/>
      <c r="E17" s="141"/>
      <c r="F17" s="141"/>
      <c r="G17" s="141"/>
      <c r="H17" s="141"/>
      <c r="I17" s="141"/>
      <c r="J17" s="141"/>
      <c r="K17" s="141"/>
      <c r="L17" s="134"/>
      <c r="M17" s="134"/>
      <c r="N17" s="139">
        <f>RADIANS(_xlfn.FLOOR.MATH(N16*100)/100)</f>
        <v>0.31956978604016173</v>
      </c>
      <c r="O17" s="134" t="s">
        <v>375</v>
      </c>
      <c r="P17" s="141"/>
      <c r="Q17" s="141"/>
      <c r="R17" s="141"/>
      <c r="S17" s="141"/>
      <c r="T17" s="141"/>
      <c r="U17" s="141"/>
      <c r="V17" s="141"/>
      <c r="W17" s="158" t="s">
        <v>257</v>
      </c>
      <c r="X17" s="158" t="s">
        <v>483</v>
      </c>
      <c r="Y17" s="158">
        <f>100*(S19-I8)/I5</f>
        <v>9.6395072700018858</v>
      </c>
      <c r="Z17" s="141"/>
      <c r="AA17" s="141"/>
      <c r="AB17" s="141"/>
      <c r="AC17" s="140"/>
      <c r="AD17" s="141"/>
      <c r="AE17" s="142"/>
      <c r="AF17" s="141"/>
      <c r="AG17" s="237"/>
      <c r="AH17" s="141"/>
      <c r="AI17" s="142"/>
      <c r="AJ17" s="149"/>
      <c r="AN17" s="148">
        <f>AN16</f>
        <v>1450</v>
      </c>
      <c r="AO17" s="141">
        <f>-AO16</f>
        <v>-77</v>
      </c>
      <c r="AP17" s="141"/>
      <c r="AQ17" s="141">
        <f>AQ16+N15</f>
        <v>235</v>
      </c>
      <c r="AR17" s="149">
        <f>AR16+N15*TAN(RADIANS((90-N13)))</f>
        <v>29.368487091204798</v>
      </c>
    </row>
    <row r="18" spans="1:44" ht="19.5" customHeight="1" thickBot="1">
      <c r="A18" s="148"/>
      <c r="B18" s="141"/>
      <c r="C18" s="141"/>
      <c r="D18" s="141"/>
      <c r="E18" s="141"/>
      <c r="F18" s="141"/>
      <c r="G18" s="141"/>
      <c r="H18" s="141"/>
      <c r="I18" s="141"/>
      <c r="J18" s="141"/>
      <c r="K18" s="141"/>
      <c r="L18" s="134" t="s">
        <v>440</v>
      </c>
      <c r="M18" s="134" t="s">
        <v>446</v>
      </c>
      <c r="N18" s="134">
        <f>RADIANS(90)-ATAN(N12/N11)</f>
        <v>0.8794593980254346</v>
      </c>
      <c r="O18" s="134" t="s">
        <v>441</v>
      </c>
      <c r="P18" s="141"/>
      <c r="Q18" s="141"/>
      <c r="R18" s="141"/>
      <c r="S18" s="141"/>
      <c r="T18" s="141"/>
      <c r="U18" s="141"/>
      <c r="V18" s="141"/>
      <c r="W18" s="153"/>
      <c r="X18" s="155"/>
      <c r="Y18" s="153"/>
      <c r="Z18" s="141"/>
      <c r="AA18" s="141"/>
      <c r="AB18" s="141"/>
      <c r="AC18" s="140"/>
      <c r="AD18" s="141"/>
      <c r="AE18" s="142"/>
      <c r="AF18" s="141"/>
      <c r="AG18" s="237"/>
      <c r="AH18" s="141"/>
      <c r="AI18" s="142"/>
      <c r="AJ18" s="149"/>
      <c r="AN18" s="148">
        <f>AN15</f>
        <v>200</v>
      </c>
      <c r="AO18" s="141">
        <f>AO17</f>
        <v>-77</v>
      </c>
      <c r="AP18" s="141"/>
      <c r="AQ18" s="141">
        <f>N10+N11</f>
        <v>265</v>
      </c>
      <c r="AR18" s="149">
        <f>N12</f>
        <v>120</v>
      </c>
    </row>
    <row r="19" spans="1:44" ht="19.5" customHeight="1" thickBot="1">
      <c r="A19" s="148"/>
      <c r="B19" s="141"/>
      <c r="C19" s="141"/>
      <c r="D19" s="141"/>
      <c r="E19" s="141"/>
      <c r="F19" s="141"/>
      <c r="G19" s="141"/>
      <c r="H19" s="141"/>
      <c r="I19" s="141"/>
      <c r="J19" s="141"/>
      <c r="K19" s="141"/>
      <c r="L19" s="255" t="s">
        <v>377</v>
      </c>
      <c r="M19" s="255"/>
      <c r="N19" s="255"/>
      <c r="O19" s="255"/>
      <c r="P19" s="141"/>
      <c r="Q19" s="178" t="s">
        <v>280</v>
      </c>
      <c r="R19" s="179" t="s">
        <v>468</v>
      </c>
      <c r="S19" s="179">
        <f>(D12*D14+S7*S9+S14*S16)/Y9</f>
        <v>1014.3409446026249</v>
      </c>
      <c r="T19" s="180" t="s">
        <v>474</v>
      </c>
      <c r="U19" s="141"/>
      <c r="V19" s="141"/>
      <c r="W19" s="156" t="s">
        <v>278</v>
      </c>
      <c r="X19" s="156"/>
      <c r="Y19" s="156"/>
      <c r="Z19" s="141"/>
      <c r="AA19" s="141"/>
      <c r="AB19" s="141"/>
      <c r="AC19" s="140"/>
      <c r="AD19" s="141"/>
      <c r="AE19" s="142"/>
      <c r="AF19" s="141"/>
      <c r="AG19" s="237"/>
      <c r="AH19" s="141"/>
      <c r="AI19" s="142"/>
      <c r="AJ19" s="149"/>
      <c r="AN19" s="148">
        <f>AN15</f>
        <v>200</v>
      </c>
      <c r="AO19" s="141">
        <f>AO15</f>
        <v>77</v>
      </c>
      <c r="AP19" s="141"/>
      <c r="AQ19" s="141">
        <f>AQ18-N10</f>
        <v>145</v>
      </c>
      <c r="AR19" s="149">
        <f>AR18</f>
        <v>120</v>
      </c>
    </row>
    <row r="20" spans="1:44" ht="19.5" customHeight="1">
      <c r="A20" s="148"/>
      <c r="B20" s="141"/>
      <c r="C20" s="141"/>
      <c r="D20" s="141"/>
      <c r="E20" s="141"/>
      <c r="F20" s="141"/>
      <c r="G20" s="141"/>
      <c r="H20" s="141"/>
      <c r="I20" s="141"/>
      <c r="J20" s="141"/>
      <c r="K20" s="141"/>
      <c r="L20" s="134" t="s">
        <v>373</v>
      </c>
      <c r="M20" s="134" t="s">
        <v>283</v>
      </c>
      <c r="N20" s="134">
        <f>(N10+N11)*(1-(N12/((N10+N11)/TAN(N17))))</f>
        <v>225.29055836131189</v>
      </c>
      <c r="O20" s="134" t="s">
        <v>388</v>
      </c>
      <c r="P20" s="141"/>
      <c r="Q20" s="141"/>
      <c r="R20" s="141"/>
      <c r="S20" s="141"/>
      <c r="T20" s="141"/>
      <c r="U20" s="141"/>
      <c r="V20" s="141"/>
      <c r="W20" s="158" t="s">
        <v>318</v>
      </c>
      <c r="X20" s="158" t="s">
        <v>484</v>
      </c>
      <c r="Y20" s="158">
        <f>(S19-I9)/I3</f>
        <v>0.86895587968954535</v>
      </c>
      <c r="Z20" s="141"/>
      <c r="AA20" s="141"/>
      <c r="AB20" s="141"/>
      <c r="AC20" s="140"/>
      <c r="AD20" s="141"/>
      <c r="AE20" s="142"/>
      <c r="AF20" s="141"/>
      <c r="AG20" s="237"/>
      <c r="AH20" s="141"/>
      <c r="AI20" s="142"/>
      <c r="AJ20" s="149"/>
      <c r="AN20" s="148"/>
      <c r="AO20" s="141"/>
      <c r="AP20" s="141"/>
      <c r="AQ20" s="141">
        <f>AQ15</f>
        <v>0</v>
      </c>
      <c r="AR20" s="149">
        <f>AR15</f>
        <v>0</v>
      </c>
    </row>
    <row r="21" spans="1:44" ht="19.5" customHeight="1">
      <c r="A21" s="148"/>
      <c r="B21" s="141"/>
      <c r="C21" s="141"/>
      <c r="D21" s="141"/>
      <c r="E21" s="141"/>
      <c r="F21" s="141"/>
      <c r="G21" s="141"/>
      <c r="H21" s="141"/>
      <c r="I21" s="141"/>
      <c r="J21" s="141"/>
      <c r="K21" s="141"/>
      <c r="L21" s="134"/>
      <c r="M21" s="134" t="s">
        <v>289</v>
      </c>
      <c r="N21" s="139">
        <f>SQRT(((N9/2)-((N10/2)-N12*TAN(N17)))^2+N12^2)</f>
        <v>144.06108109531675</v>
      </c>
      <c r="O21" s="134" t="s">
        <v>154</v>
      </c>
      <c r="P21" s="141"/>
      <c r="Q21" s="141" t="s">
        <v>475</v>
      </c>
      <c r="R21" s="141"/>
      <c r="S21" s="141">
        <f>S19-I9</f>
        <v>133.81920547218999</v>
      </c>
      <c r="T21" s="141" t="s">
        <v>476</v>
      </c>
      <c r="U21" s="141"/>
      <c r="V21" s="141"/>
      <c r="W21" s="158" t="s">
        <v>319</v>
      </c>
      <c r="X21" s="158" t="s">
        <v>485</v>
      </c>
      <c r="Y21" s="158">
        <f>(S19-I9)/I5*100</f>
        <v>8.9212803648126648</v>
      </c>
      <c r="Z21" s="141"/>
      <c r="AA21" s="141"/>
      <c r="AB21" s="141"/>
      <c r="AC21" s="145"/>
      <c r="AD21" s="146"/>
      <c r="AE21" s="147"/>
      <c r="AF21" s="141"/>
      <c r="AG21" s="140"/>
      <c r="AH21" s="141"/>
      <c r="AI21" s="142"/>
      <c r="AJ21" s="149"/>
      <c r="AN21" s="228" t="s">
        <v>495</v>
      </c>
      <c r="AO21" s="229"/>
      <c r="AP21" s="141"/>
      <c r="AQ21" s="141"/>
      <c r="AR21" s="149"/>
    </row>
    <row r="22" spans="1:44" ht="19.5" customHeight="1">
      <c r="A22" s="148"/>
      <c r="B22" s="141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53" t="s">
        <v>349</v>
      </c>
      <c r="X22" s="153" t="s">
        <v>486</v>
      </c>
      <c r="Y22" s="153">
        <f>2*$Y$13*Y21/100</f>
        <v>0.65070935162170329</v>
      </c>
      <c r="Z22" s="141"/>
      <c r="AA22" s="141"/>
      <c r="AB22" s="141"/>
      <c r="AC22" s="141"/>
      <c r="AD22" s="141"/>
      <c r="AE22" s="141"/>
      <c r="AF22" s="141"/>
      <c r="AG22" s="237"/>
      <c r="AH22" s="141"/>
      <c r="AI22" s="142"/>
      <c r="AJ22" s="149"/>
      <c r="AN22" s="148" t="s">
        <v>496</v>
      </c>
      <c r="AO22" s="141" t="s">
        <v>497</v>
      </c>
      <c r="AP22" s="141"/>
      <c r="AQ22" s="141"/>
      <c r="AR22" s="149"/>
    </row>
    <row r="23" spans="1:44" ht="19.5" customHeight="1">
      <c r="A23" s="148"/>
      <c r="B23" s="141"/>
      <c r="C23" s="141"/>
      <c r="D23" s="141"/>
      <c r="E23" s="141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  <c r="W23" s="153" t="s">
        <v>354</v>
      </c>
      <c r="X23" s="154" t="s">
        <v>487</v>
      </c>
      <c r="Y23" s="154">
        <f>-4*(($D$13*(($D$14-$I9)/$I$5)^2)+($S$8*(($S$9-$I9)/$I$5)^2)+($S$15*(($S$16-$I9)/$I$5)^2))</f>
        <v>-2.0098254101249937</v>
      </c>
      <c r="Z23" s="141"/>
      <c r="AA23" s="141"/>
      <c r="AB23" s="141"/>
      <c r="AC23" s="141"/>
      <c r="AD23" s="141"/>
      <c r="AE23" s="141"/>
      <c r="AF23" s="141"/>
      <c r="AG23" s="237"/>
      <c r="AH23" s="141"/>
      <c r="AI23" s="142"/>
      <c r="AJ23" s="149"/>
      <c r="AN23" s="148">
        <f>AN16</f>
        <v>1450</v>
      </c>
      <c r="AO23" s="141">
        <f>AO16</f>
        <v>77</v>
      </c>
      <c r="AP23" s="141"/>
      <c r="AQ23" s="229" t="s">
        <v>498</v>
      </c>
      <c r="AR23" s="236"/>
    </row>
    <row r="24" spans="1:44" ht="19.5" customHeight="1">
      <c r="A24" s="148"/>
      <c r="B24" s="141"/>
      <c r="C24" s="141"/>
      <c r="D24" s="141"/>
      <c r="E24" s="141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237"/>
      <c r="AH24" s="141"/>
      <c r="AI24" s="142"/>
      <c r="AJ24" s="149"/>
      <c r="AN24" s="148">
        <f>AN23+S4</f>
        <v>1500</v>
      </c>
      <c r="AO24" s="141">
        <f>S3/2</f>
        <v>65</v>
      </c>
      <c r="AP24" s="141"/>
      <c r="AQ24" s="141" t="s">
        <v>499</v>
      </c>
      <c r="AR24" s="149" t="s">
        <v>500</v>
      </c>
    </row>
    <row r="25" spans="1:44" ht="19.5" customHeight="1">
      <c r="A25" s="148"/>
      <c r="B25" s="141"/>
      <c r="C25" s="141"/>
      <c r="D25" s="141"/>
      <c r="E25" s="141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56" t="s">
        <v>290</v>
      </c>
      <c r="X25" s="156"/>
      <c r="Y25" s="156"/>
      <c r="Z25" s="141"/>
      <c r="AA25" s="141"/>
      <c r="AB25" s="141"/>
      <c r="AC25" s="141"/>
      <c r="AD25" s="141"/>
      <c r="AE25" s="141"/>
      <c r="AF25" s="141"/>
      <c r="AG25" s="237"/>
      <c r="AH25" s="141"/>
      <c r="AI25" s="142"/>
      <c r="AJ25" s="149"/>
      <c r="AN25" s="148">
        <f>AN24</f>
        <v>1500</v>
      </c>
      <c r="AO25" s="141">
        <f>-AO24</f>
        <v>-65</v>
      </c>
      <c r="AP25" s="141"/>
      <c r="AQ25" s="141">
        <v>0</v>
      </c>
      <c r="AR25" s="149">
        <v>0</v>
      </c>
    </row>
    <row r="26" spans="1:44" ht="19.5" customHeight="1">
      <c r="A26" s="148"/>
      <c r="B26" s="141"/>
      <c r="C26" s="141"/>
      <c r="D26" s="141"/>
      <c r="E26" s="141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  <c r="W26" s="158" t="s">
        <v>318</v>
      </c>
      <c r="X26" s="158" t="s">
        <v>484</v>
      </c>
      <c r="Y26" s="158">
        <f>(S19-I10)/I3</f>
        <v>0.96677823237087368</v>
      </c>
      <c r="Z26" s="141"/>
      <c r="AA26" s="141"/>
      <c r="AB26" s="141"/>
      <c r="AC26" s="141"/>
      <c r="AD26" s="141"/>
      <c r="AE26" s="141"/>
      <c r="AF26" s="141"/>
      <c r="AG26" s="237"/>
      <c r="AH26" s="141"/>
      <c r="AI26" s="142"/>
      <c r="AJ26" s="149"/>
      <c r="AN26" s="148">
        <f>AN23</f>
        <v>1450</v>
      </c>
      <c r="AO26" s="141">
        <f>-AO23</f>
        <v>-77</v>
      </c>
      <c r="AP26" s="141"/>
      <c r="AQ26" s="141">
        <f>I4</f>
        <v>77</v>
      </c>
      <c r="AR26" s="149">
        <f>-I4*TAN(N18)</f>
        <v>-93.041666666666657</v>
      </c>
    </row>
    <row r="27" spans="1:44" ht="19.5" customHeight="1">
      <c r="A27" s="148"/>
      <c r="B27" s="141"/>
      <c r="C27" s="141"/>
      <c r="D27" s="141"/>
      <c r="E27" s="141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  <c r="W27" s="158" t="s">
        <v>319</v>
      </c>
      <c r="X27" s="158" t="s">
        <v>485</v>
      </c>
      <c r="Y27" s="158">
        <f>(S19-I10)/I5*100</f>
        <v>9.9255898523409698</v>
      </c>
      <c r="Z27" s="141"/>
      <c r="AA27" s="141"/>
      <c r="AB27" s="141"/>
      <c r="AF27" s="141"/>
      <c r="AG27" s="237"/>
      <c r="AH27" s="141"/>
      <c r="AI27" s="142"/>
      <c r="AJ27" s="149"/>
      <c r="AN27" s="148">
        <f>AN23</f>
        <v>1450</v>
      </c>
      <c r="AO27" s="141">
        <f>AO23</f>
        <v>77</v>
      </c>
      <c r="AP27" s="141"/>
      <c r="AQ27" s="141">
        <f>AQ26+N12</f>
        <v>197</v>
      </c>
      <c r="AR27" s="149">
        <f>AR26-N11</f>
        <v>-238.04166666666666</v>
      </c>
    </row>
    <row r="28" spans="1:44" ht="19.5" customHeight="1">
      <c r="A28" s="148"/>
      <c r="B28" s="141"/>
      <c r="C28" s="141"/>
      <c r="D28" s="141"/>
      <c r="E28" s="141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53" t="s">
        <v>349</v>
      </c>
      <c r="X28" s="153" t="s">
        <v>486</v>
      </c>
      <c r="Y28" s="153">
        <f>2*$Y$13*Y27/100</f>
        <v>0.72396269068664953</v>
      </c>
      <c r="Z28" s="141"/>
      <c r="AA28" s="141"/>
      <c r="AB28" s="141"/>
      <c r="AF28" s="141"/>
      <c r="AG28" s="140"/>
      <c r="AH28" s="141"/>
      <c r="AI28" s="142"/>
      <c r="AJ28" s="149"/>
      <c r="AN28" s="148"/>
      <c r="AO28" s="141"/>
      <c r="AP28" s="141"/>
      <c r="AQ28" s="141">
        <f>AQ27</f>
        <v>197</v>
      </c>
      <c r="AR28" s="149">
        <f>AR27-N10</f>
        <v>-358.04166666666663</v>
      </c>
    </row>
    <row r="29" spans="1:44" ht="19.5" customHeight="1">
      <c r="A29" s="148"/>
      <c r="B29" s="141"/>
      <c r="C29" s="141"/>
      <c r="D29" s="141"/>
      <c r="E29" s="141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53" t="s">
        <v>354</v>
      </c>
      <c r="X29" s="154" t="s">
        <v>487</v>
      </c>
      <c r="Y29" s="154">
        <f>-4*(($D$13*(($D$14-$I10)/$I$5)^2)+($S$8*(($S$9-$I10)/$I$5)^2)+($S$15*(($S$16-$I10)/$I$5)^2))</f>
        <v>-2.0374373336115976</v>
      </c>
      <c r="Z29" s="141"/>
      <c r="AA29" s="141"/>
      <c r="AB29" s="141"/>
      <c r="AF29" s="141"/>
      <c r="AG29" s="237"/>
      <c r="AH29" s="141"/>
      <c r="AI29" s="142"/>
      <c r="AJ29" s="149"/>
      <c r="AN29" s="228" t="s">
        <v>501</v>
      </c>
      <c r="AO29" s="229"/>
      <c r="AP29" s="141"/>
      <c r="AQ29" s="141">
        <f>AQ28-(N12-N15*TAN(RADIANS(90)-N14))</f>
        <v>106.3684870912048</v>
      </c>
      <c r="AR29" s="149">
        <f>-(N9+N15+I4*TAN(N18))</f>
        <v>-328.04166666666663</v>
      </c>
    </row>
    <row r="30" spans="1:44" ht="19.5" customHeight="1">
      <c r="A30" s="148"/>
      <c r="B30" s="141"/>
      <c r="C30" s="141"/>
      <c r="D30" s="141"/>
      <c r="E30" s="141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F30" s="141"/>
      <c r="AG30" s="237"/>
      <c r="AH30" s="141"/>
      <c r="AI30" s="142"/>
      <c r="AJ30" s="149"/>
      <c r="AN30" s="148" t="s">
        <v>502</v>
      </c>
      <c r="AO30" s="141" t="s">
        <v>503</v>
      </c>
      <c r="AP30" s="141"/>
      <c r="AQ30" s="141">
        <f>AQ29-N15*TAN(RADIANS(90)-N14)</f>
        <v>77</v>
      </c>
      <c r="AR30" s="149">
        <f>AR29+N15</f>
        <v>-293.04166666666663</v>
      </c>
    </row>
    <row r="31" spans="1:44" ht="19.5" customHeight="1">
      <c r="A31" s="148"/>
      <c r="B31" s="141"/>
      <c r="C31" s="141"/>
      <c r="D31" s="141"/>
      <c r="E31" s="141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F31" s="141"/>
      <c r="AG31" s="237"/>
      <c r="AH31" s="141"/>
      <c r="AI31" s="142"/>
      <c r="AJ31" s="149"/>
      <c r="AN31" s="148">
        <f t="shared" ref="AN31:AN36" si="0">AQ15+$N$6</f>
        <v>1250</v>
      </c>
      <c r="AO31" s="141">
        <f t="shared" ref="AO31:AO36" si="1">AR15+$I$4</f>
        <v>77</v>
      </c>
      <c r="AP31" s="141"/>
      <c r="AQ31" s="141">
        <v>0</v>
      </c>
      <c r="AR31" s="149">
        <f>AR30</f>
        <v>-293.04166666666663</v>
      </c>
    </row>
    <row r="32" spans="1:44" ht="19.5" customHeight="1">
      <c r="A32" s="148"/>
      <c r="B32" s="141"/>
      <c r="C32" s="141"/>
      <c r="D32" s="141"/>
      <c r="E32" s="141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229" t="s">
        <v>450</v>
      </c>
      <c r="X32" s="229"/>
      <c r="Y32" s="229"/>
      <c r="Z32" s="229"/>
      <c r="AA32" s="141"/>
      <c r="AB32" s="141"/>
      <c r="AF32" s="141"/>
      <c r="AG32" s="237"/>
      <c r="AH32" s="141"/>
      <c r="AI32" s="142"/>
      <c r="AJ32" s="149"/>
      <c r="AN32" s="148">
        <f t="shared" si="0"/>
        <v>1450</v>
      </c>
      <c r="AO32" s="141">
        <f t="shared" si="1"/>
        <v>77</v>
      </c>
      <c r="AP32" s="141"/>
      <c r="AQ32" s="141">
        <f>-AQ30</f>
        <v>-77</v>
      </c>
      <c r="AR32" s="149">
        <f>AR30</f>
        <v>-293.04166666666663</v>
      </c>
    </row>
    <row r="33" spans="1:44" ht="19.5" customHeight="1">
      <c r="A33" s="148"/>
      <c r="B33" s="141"/>
      <c r="C33" s="141"/>
      <c r="D33" s="141"/>
      <c r="E33" s="141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35" t="s">
        <v>444</v>
      </c>
      <c r="X33" s="135" t="s">
        <v>443</v>
      </c>
      <c r="Y33" s="135">
        <f>N10</f>
        <v>120</v>
      </c>
      <c r="AA33" s="141"/>
      <c r="AB33" s="141"/>
      <c r="AF33" s="141"/>
      <c r="AG33" s="237"/>
      <c r="AH33" s="141"/>
      <c r="AI33" s="142"/>
      <c r="AJ33" s="149"/>
      <c r="AN33" s="148">
        <f t="shared" si="0"/>
        <v>1485</v>
      </c>
      <c r="AO33" s="141">
        <f t="shared" si="1"/>
        <v>106.3684870912048</v>
      </c>
      <c r="AP33" s="141"/>
      <c r="AQ33" s="141">
        <f>-AQ29</f>
        <v>-106.3684870912048</v>
      </c>
      <c r="AR33" s="149">
        <f>AR29</f>
        <v>-328.04166666666663</v>
      </c>
    </row>
    <row r="34" spans="1:44" ht="19.5" customHeight="1">
      <c r="A34" s="148"/>
      <c r="B34" s="141"/>
      <c r="C34" s="141"/>
      <c r="D34" s="141"/>
      <c r="E34" s="141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35" t="s">
        <v>445</v>
      </c>
      <c r="X34" s="135" t="s">
        <v>442</v>
      </c>
      <c r="Y34" s="135">
        <f>N20</f>
        <v>225.29055836131189</v>
      </c>
      <c r="AA34" s="141"/>
      <c r="AB34" s="141"/>
      <c r="AF34" s="141"/>
      <c r="AG34" s="238"/>
      <c r="AH34" s="146"/>
      <c r="AI34" s="147"/>
      <c r="AJ34" s="149"/>
      <c r="AN34" s="148">
        <f t="shared" si="0"/>
        <v>1515</v>
      </c>
      <c r="AO34" s="141">
        <f t="shared" si="1"/>
        <v>197</v>
      </c>
      <c r="AP34" s="141"/>
      <c r="AQ34" s="141">
        <f>-AQ28</f>
        <v>-197</v>
      </c>
      <c r="AR34" s="149">
        <f>AR28</f>
        <v>-358.04166666666663</v>
      </c>
    </row>
    <row r="35" spans="1:44" ht="19.5" customHeight="1">
      <c r="A35" s="148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 t="s">
        <v>399</v>
      </c>
      <c r="X35" s="141" t="s">
        <v>381</v>
      </c>
      <c r="Y35" s="153">
        <f>(N12+I4)*Y34*(1+Y38)</f>
        <v>68022.239997178433</v>
      </c>
      <c r="Z35" s="141" t="s">
        <v>379</v>
      </c>
      <c r="AA35" s="141"/>
      <c r="AB35" s="141"/>
      <c r="AF35" s="141"/>
      <c r="AG35" s="141"/>
      <c r="AH35" s="141"/>
      <c r="AI35" s="141"/>
      <c r="AJ35" s="149"/>
      <c r="AN35" s="148">
        <f t="shared" si="0"/>
        <v>1395</v>
      </c>
      <c r="AO35" s="141">
        <f t="shared" si="1"/>
        <v>197</v>
      </c>
      <c r="AP35" s="141"/>
      <c r="AQ35" s="141">
        <f>-AQ27</f>
        <v>-197</v>
      </c>
      <c r="AR35" s="149">
        <f>AR27</f>
        <v>-238.04166666666666</v>
      </c>
    </row>
    <row r="36" spans="1:44" ht="19.5" customHeight="1">
      <c r="A36" s="148"/>
      <c r="B36" s="141"/>
      <c r="C36" s="141"/>
      <c r="D36" s="141"/>
      <c r="E36" s="141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 t="s">
        <v>380</v>
      </c>
      <c r="X36" s="141" t="s">
        <v>383</v>
      </c>
      <c r="Y36" s="141">
        <f>4*(N12+I4)/(Y34*(1+Y38))</f>
        <v>2.2821359603335494</v>
      </c>
      <c r="Z36" s="141"/>
      <c r="AA36" s="141"/>
      <c r="AB36" s="141"/>
      <c r="AF36" s="141"/>
      <c r="AG36" s="141"/>
      <c r="AH36" s="141"/>
      <c r="AI36" s="141"/>
      <c r="AJ36" s="149"/>
      <c r="AN36" s="148">
        <f t="shared" si="0"/>
        <v>1250</v>
      </c>
      <c r="AO36" s="141">
        <f t="shared" si="1"/>
        <v>77</v>
      </c>
      <c r="AP36" s="141"/>
      <c r="AQ36" s="141">
        <f>-AQ26</f>
        <v>-77</v>
      </c>
      <c r="AR36" s="149">
        <f>AR26</f>
        <v>-93.041666666666657</v>
      </c>
    </row>
    <row r="37" spans="1:44" ht="19.5" customHeight="1">
      <c r="A37" s="148"/>
      <c r="B37" s="141"/>
      <c r="C37" s="141"/>
      <c r="D37" s="141"/>
      <c r="E37" s="141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 t="s">
        <v>394</v>
      </c>
      <c r="X37" s="141" t="s">
        <v>395</v>
      </c>
      <c r="Y37" s="141">
        <f>0.8*Y36</f>
        <v>1.8257087682668396</v>
      </c>
      <c r="Z37" s="141"/>
      <c r="AA37" s="141"/>
      <c r="AB37" s="141"/>
      <c r="AF37" s="141"/>
      <c r="AG37" s="141"/>
      <c r="AH37" s="141"/>
      <c r="AI37" s="141"/>
      <c r="AJ37" s="149"/>
      <c r="AN37" s="148"/>
      <c r="AO37" s="141"/>
      <c r="AP37" s="141"/>
      <c r="AQ37" s="141">
        <f>-AQ25</f>
        <v>0</v>
      </c>
      <c r="AR37" s="149">
        <f>AR25</f>
        <v>0</v>
      </c>
    </row>
    <row r="38" spans="1:44" ht="19.5" customHeight="1">
      <c r="A38" s="148"/>
      <c r="B38" s="141"/>
      <c r="C38" s="141"/>
      <c r="D38" s="141"/>
      <c r="E38" s="141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 t="s">
        <v>382</v>
      </c>
      <c r="X38" s="141" t="s">
        <v>389</v>
      </c>
      <c r="Y38" s="141">
        <f>Y33/Y34</f>
        <v>0.53264549066254629</v>
      </c>
      <c r="Z38" s="141"/>
      <c r="AA38" s="141"/>
      <c r="AB38" s="141"/>
      <c r="AF38" s="141"/>
      <c r="AG38" s="141"/>
      <c r="AH38" s="141"/>
      <c r="AI38" s="141"/>
      <c r="AJ38" s="149"/>
      <c r="AN38" s="228" t="s">
        <v>504</v>
      </c>
      <c r="AO38" s="229"/>
      <c r="AP38" s="141"/>
      <c r="AQ38" s="141"/>
      <c r="AR38" s="149"/>
    </row>
    <row r="39" spans="1:44" ht="19.5" customHeight="1">
      <c r="A39" s="148"/>
      <c r="B39" s="141"/>
      <c r="C39" s="141"/>
      <c r="D39" s="141"/>
      <c r="E39" s="141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 t="s">
        <v>384</v>
      </c>
      <c r="X39" s="141" t="s">
        <v>387</v>
      </c>
      <c r="Y39" s="141">
        <f>N12*(1+2*Y38)/(3*(1+Y38))</f>
        <v>53.901335798986082</v>
      </c>
      <c r="Z39" s="141" t="s">
        <v>388</v>
      </c>
      <c r="AA39" s="141"/>
      <c r="AB39" s="141"/>
      <c r="AF39" s="141"/>
      <c r="AG39" s="141"/>
      <c r="AH39" s="141"/>
      <c r="AI39" s="141"/>
      <c r="AJ39" s="149"/>
      <c r="AN39" s="148" t="s">
        <v>492</v>
      </c>
      <c r="AO39" s="141" t="s">
        <v>493</v>
      </c>
      <c r="AP39" s="141"/>
      <c r="AQ39" s="141">
        <f>AQ26</f>
        <v>77</v>
      </c>
      <c r="AR39" s="149">
        <f>AR26</f>
        <v>-93.041666666666657</v>
      </c>
    </row>
    <row r="40" spans="1:44" ht="19.5" customHeight="1">
      <c r="A40" s="148"/>
      <c r="B40" s="141"/>
      <c r="C40" s="141"/>
      <c r="D40" s="141"/>
      <c r="E40" s="141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 t="s">
        <v>385</v>
      </c>
      <c r="X40" s="141" t="s">
        <v>386</v>
      </c>
      <c r="Y40" s="141">
        <f>2/3*Y34*(1+(Y38^2/(1+Y38)))</f>
        <v>177.9963771721801</v>
      </c>
      <c r="Z40" s="141" t="s">
        <v>388</v>
      </c>
      <c r="AA40" s="141"/>
      <c r="AB40" s="141"/>
      <c r="AF40" s="141"/>
      <c r="AG40" s="141"/>
      <c r="AH40" s="141"/>
      <c r="AI40" s="141"/>
      <c r="AJ40" s="149"/>
      <c r="AN40" s="148">
        <f t="shared" ref="AN40:AN45" si="2">AN31</f>
        <v>1250</v>
      </c>
      <c r="AO40" s="141">
        <f>-AO31</f>
        <v>-77</v>
      </c>
      <c r="AP40" s="141"/>
      <c r="AQ40" s="141">
        <f>AQ30</f>
        <v>77</v>
      </c>
      <c r="AR40" s="149">
        <f>AR30</f>
        <v>-293.04166666666663</v>
      </c>
    </row>
    <row r="41" spans="1:44" ht="19.5" customHeight="1">
      <c r="A41" s="148"/>
      <c r="B41" s="141"/>
      <c r="C41" s="141"/>
      <c r="D41" s="141"/>
      <c r="E41" s="141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54" t="s">
        <v>390</v>
      </c>
      <c r="X41" s="154" t="s">
        <v>391</v>
      </c>
      <c r="Y41" s="154">
        <v>4</v>
      </c>
      <c r="Z41" s="141" t="s">
        <v>388</v>
      </c>
      <c r="AA41" s="141"/>
      <c r="AB41" s="141"/>
      <c r="AF41" s="141"/>
      <c r="AG41" s="141"/>
      <c r="AH41" s="141"/>
      <c r="AI41" s="141"/>
      <c r="AJ41" s="149"/>
      <c r="AN41" s="148">
        <f t="shared" si="2"/>
        <v>1450</v>
      </c>
      <c r="AO41" s="141">
        <f>-AO32</f>
        <v>-77</v>
      </c>
      <c r="AP41" s="141"/>
      <c r="AQ41" s="141">
        <f>AQ36</f>
        <v>-77</v>
      </c>
      <c r="AR41" s="149">
        <f>AR36</f>
        <v>-93.041666666666657</v>
      </c>
    </row>
    <row r="42" spans="1:44" ht="19.5" customHeight="1">
      <c r="A42" s="148"/>
      <c r="B42" s="141"/>
      <c r="C42" s="141"/>
      <c r="D42" s="141"/>
      <c r="E42" s="141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53" t="s">
        <v>396</v>
      </c>
      <c r="X42" s="153" t="s">
        <v>392</v>
      </c>
      <c r="Y42" s="141">
        <f>100*Y41/Y40</f>
        <v>2.2472367491674876</v>
      </c>
      <c r="Z42" s="141" t="s">
        <v>393</v>
      </c>
      <c r="AA42" s="141"/>
      <c r="AB42" s="141"/>
      <c r="AF42" s="141"/>
      <c r="AG42" s="141"/>
      <c r="AH42" s="141"/>
      <c r="AI42" s="141"/>
      <c r="AJ42" s="149"/>
      <c r="AN42" s="148">
        <f t="shared" si="2"/>
        <v>1485</v>
      </c>
      <c r="AO42" s="141">
        <f>-AO33</f>
        <v>-106.3684870912048</v>
      </c>
      <c r="AP42" s="141"/>
      <c r="AQ42" s="141">
        <f>AQ32</f>
        <v>-77</v>
      </c>
      <c r="AR42" s="149">
        <f>AR32</f>
        <v>-293.04166666666663</v>
      </c>
    </row>
    <row r="43" spans="1:44" ht="19.5" customHeight="1">
      <c r="A43" s="148"/>
      <c r="B43" s="141"/>
      <c r="C43" s="141"/>
      <c r="D43" s="141"/>
      <c r="E43" s="141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 t="s">
        <v>397</v>
      </c>
      <c r="X43" s="141" t="s">
        <v>392</v>
      </c>
      <c r="Y43" s="141">
        <f>100*Y41/Y34</f>
        <v>1.7754849688751544</v>
      </c>
      <c r="Z43" s="141" t="s">
        <v>393</v>
      </c>
      <c r="AA43" s="141"/>
      <c r="AB43" s="141"/>
      <c r="AF43" s="141"/>
      <c r="AG43" s="141"/>
      <c r="AH43" s="141"/>
      <c r="AI43" s="141"/>
      <c r="AJ43" s="149"/>
      <c r="AN43" s="148">
        <f t="shared" si="2"/>
        <v>1515</v>
      </c>
      <c r="AO43" s="141">
        <f>-AO34</f>
        <v>-197</v>
      </c>
      <c r="AP43" s="141"/>
      <c r="AQ43" s="141"/>
      <c r="AR43" s="149"/>
    </row>
    <row r="44" spans="1:44" ht="19.5" customHeight="1">
      <c r="A44" s="148"/>
      <c r="B44" s="141"/>
      <c r="C44" s="141"/>
      <c r="D44" s="141"/>
      <c r="E44" s="141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  <c r="W44" s="141" t="s">
        <v>449</v>
      </c>
      <c r="X44" s="141" t="s">
        <v>448</v>
      </c>
      <c r="Y44" s="141">
        <f>100*Y41/Y33</f>
        <v>3.3333333333333335</v>
      </c>
      <c r="Z44" s="141" t="s">
        <v>214</v>
      </c>
      <c r="AA44" s="141"/>
      <c r="AB44" s="141"/>
      <c r="AF44" s="141"/>
      <c r="AG44" s="141"/>
      <c r="AH44" s="141"/>
      <c r="AI44" s="141"/>
      <c r="AJ44" s="149"/>
      <c r="AN44" s="148">
        <f t="shared" si="2"/>
        <v>1395</v>
      </c>
      <c r="AO44" s="141">
        <f t="shared" ref="AO44:AO45" si="3">-AO35</f>
        <v>-197</v>
      </c>
      <c r="AP44" s="141"/>
      <c r="AQ44" s="141"/>
      <c r="AR44" s="149"/>
    </row>
    <row r="45" spans="1:44" ht="19.5" customHeight="1">
      <c r="A45" s="148"/>
      <c r="B45" s="141" t="s">
        <v>404</v>
      </c>
      <c r="C45" s="141" t="s">
        <v>403</v>
      </c>
      <c r="D45" s="141">
        <f>D74</f>
        <v>0.20255549722437616</v>
      </c>
      <c r="E45" s="141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Z45" s="141"/>
      <c r="AA45" s="141"/>
      <c r="AB45" s="141"/>
      <c r="AF45" s="141"/>
      <c r="AG45" s="141"/>
      <c r="AH45" s="141"/>
      <c r="AI45" s="141"/>
      <c r="AJ45" s="149"/>
      <c r="AN45" s="148">
        <f t="shared" si="2"/>
        <v>1250</v>
      </c>
      <c r="AO45" s="141">
        <f t="shared" si="3"/>
        <v>-77</v>
      </c>
      <c r="AP45" s="141"/>
      <c r="AQ45" s="141"/>
      <c r="AR45" s="149"/>
    </row>
    <row r="46" spans="1:44" ht="19.5" customHeight="1" thickBot="1">
      <c r="A46" s="148"/>
      <c r="B46" s="141" t="s">
        <v>405</v>
      </c>
      <c r="C46" s="141" t="s">
        <v>402</v>
      </c>
      <c r="D46" s="141">
        <v>442</v>
      </c>
      <c r="E46" s="141" t="s">
        <v>406</v>
      </c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F46" s="141"/>
      <c r="AG46" s="141"/>
      <c r="AH46" s="141"/>
      <c r="AI46" s="141"/>
      <c r="AJ46" s="149"/>
      <c r="AN46" s="150"/>
      <c r="AO46" s="151"/>
      <c r="AP46" s="151"/>
      <c r="AQ46" s="151"/>
      <c r="AR46" s="152"/>
    </row>
    <row r="47" spans="1:44" ht="19.5" customHeight="1">
      <c r="A47" s="148"/>
      <c r="B47" s="141"/>
      <c r="C47" s="141" t="s">
        <v>407</v>
      </c>
      <c r="D47" s="141">
        <f>D46/340</f>
        <v>1.3</v>
      </c>
      <c r="E47" s="141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F47" s="141"/>
      <c r="AG47" s="141"/>
      <c r="AH47" s="141"/>
      <c r="AI47" s="141"/>
      <c r="AJ47" s="149"/>
    </row>
    <row r="48" spans="1:44" ht="19.5" customHeight="1">
      <c r="A48" s="148"/>
      <c r="B48" s="141"/>
      <c r="C48" s="141"/>
      <c r="D48" s="141"/>
      <c r="E48" s="141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9"/>
    </row>
    <row r="49" spans="1:36" ht="19.5" customHeight="1" thickBot="1">
      <c r="A49" s="150"/>
      <c r="B49" s="151"/>
      <c r="C49" s="151"/>
      <c r="D49" s="151"/>
      <c r="E49" s="151"/>
      <c r="F49" s="151"/>
      <c r="G49" s="151"/>
      <c r="H49" s="151"/>
      <c r="I49" s="151"/>
      <c r="J49" s="151"/>
      <c r="K49" s="151"/>
      <c r="L49" s="151"/>
      <c r="M49" s="151"/>
      <c r="N49" s="151"/>
      <c r="O49" s="151"/>
      <c r="P49" s="151"/>
      <c r="Q49" s="151"/>
      <c r="R49" s="151"/>
      <c r="S49" s="151"/>
      <c r="T49" s="151"/>
      <c r="U49" s="151"/>
      <c r="V49" s="151"/>
      <c r="W49" s="151"/>
      <c r="X49" s="151"/>
      <c r="Y49" s="151"/>
      <c r="Z49" s="151"/>
      <c r="AA49" s="151"/>
      <c r="AB49" s="151"/>
      <c r="AC49" s="151"/>
      <c r="AD49" s="151"/>
      <c r="AE49" s="151"/>
      <c r="AF49" s="151"/>
      <c r="AG49" s="151"/>
      <c r="AH49" s="151"/>
      <c r="AI49" s="151"/>
      <c r="AJ49" s="152"/>
    </row>
    <row r="53" spans="1:36" ht="19.5" customHeight="1">
      <c r="B53" s="239" t="s">
        <v>439</v>
      </c>
      <c r="C53" s="253"/>
      <c r="D53" s="253"/>
      <c r="E53" s="254"/>
    </row>
    <row r="54" spans="1:36" ht="19.5" customHeight="1">
      <c r="B54" s="140" t="s">
        <v>408</v>
      </c>
      <c r="C54" s="141" t="s">
        <v>410</v>
      </c>
      <c r="D54" s="141">
        <v>15</v>
      </c>
      <c r="E54" s="142" t="s">
        <v>409</v>
      </c>
    </row>
    <row r="55" spans="1:36" ht="19.5" customHeight="1">
      <c r="B55" s="140" t="s">
        <v>411</v>
      </c>
      <c r="C55" s="141" t="s">
        <v>412</v>
      </c>
      <c r="D55" s="141">
        <f>18.2*((273+20+117)/(273.15+D54+117))*((273.15+D54)/(273+20))^(3/2)*10^-6</f>
        <v>1.7962463837350092E-5</v>
      </c>
      <c r="E55" s="142" t="s">
        <v>415</v>
      </c>
    </row>
    <row r="56" spans="1:36" ht="19.5" customHeight="1">
      <c r="B56" s="140" t="s">
        <v>414</v>
      </c>
      <c r="C56" s="141" t="s">
        <v>413</v>
      </c>
      <c r="D56" s="141">
        <f>D55/1.2</f>
        <v>1.496871986445841E-5</v>
      </c>
      <c r="E56" s="142" t="s">
        <v>416</v>
      </c>
    </row>
    <row r="57" spans="1:36" ht="19.5" customHeight="1">
      <c r="B57" s="140" t="s">
        <v>418</v>
      </c>
      <c r="C57" s="141" t="s">
        <v>417</v>
      </c>
      <c r="D57" s="141">
        <f>(I3*D46)/D56</f>
        <v>4547349447.1374283</v>
      </c>
      <c r="E57" s="142"/>
    </row>
    <row r="58" spans="1:36" ht="19.5" customHeight="1">
      <c r="B58" s="140" t="s">
        <v>420</v>
      </c>
      <c r="C58" s="141" t="s">
        <v>419</v>
      </c>
      <c r="D58" s="141">
        <f>0.455/((LOG10(D57))^2.58)-1700/D57</f>
        <v>1.3088998912986333E-3</v>
      </c>
      <c r="E58" s="142"/>
    </row>
    <row r="59" spans="1:36" ht="19.5" customHeight="1">
      <c r="B59" s="140"/>
      <c r="C59" s="141"/>
      <c r="D59" s="141"/>
      <c r="E59" s="142"/>
    </row>
    <row r="60" spans="1:36" ht="19.5" customHeight="1">
      <c r="B60" s="140"/>
      <c r="C60" s="141"/>
      <c r="D60" s="141"/>
      <c r="E60" s="142"/>
    </row>
    <row r="61" spans="1:36" ht="19.5" customHeight="1">
      <c r="B61" s="140" t="s">
        <v>421</v>
      </c>
      <c r="C61" s="141" t="s">
        <v>378</v>
      </c>
      <c r="D61" s="141">
        <f>I3*PI()*I5+諸元!F50</f>
        <v>725707.90297924227</v>
      </c>
      <c r="E61" s="142" t="s">
        <v>379</v>
      </c>
    </row>
    <row r="62" spans="1:36" ht="19.5" customHeight="1">
      <c r="B62" s="140"/>
      <c r="C62" s="141"/>
      <c r="D62" s="141"/>
      <c r="E62" s="142"/>
    </row>
    <row r="63" spans="1:36" ht="19.5" customHeight="1">
      <c r="B63" s="140"/>
      <c r="C63" s="141"/>
      <c r="D63" s="141"/>
      <c r="E63" s="142"/>
    </row>
    <row r="64" spans="1:36" ht="19.5" customHeight="1">
      <c r="B64" s="140" t="s">
        <v>424</v>
      </c>
      <c r="C64" s="141"/>
      <c r="D64" s="141">
        <f>10^(-1.4-LOG(D57)/(LOG(10))*0.16)</f>
        <v>1.1343802777454058E-3</v>
      </c>
      <c r="E64" s="142"/>
    </row>
    <row r="65" spans="2:5" ht="19.5" customHeight="1">
      <c r="B65" s="172" t="s">
        <v>423</v>
      </c>
      <c r="C65" s="173" t="s">
        <v>437</v>
      </c>
      <c r="D65" s="173">
        <f>1.02*D64*D61/(I3^2*PI()/4)*(1+(1.5/(I6^(3/2))))</f>
        <v>4.7305028006674923E-2</v>
      </c>
      <c r="E65" s="142"/>
    </row>
    <row r="66" spans="2:5" ht="19.5" customHeight="1">
      <c r="B66" s="174" t="s">
        <v>422</v>
      </c>
      <c r="C66" s="173" t="s">
        <v>437</v>
      </c>
      <c r="D66" s="173">
        <f>0.029/SQRT(D65)*(S3/I3)^3</f>
        <v>8.0206994036111381E-2</v>
      </c>
      <c r="E66" s="142"/>
    </row>
    <row r="67" spans="2:5" ht="19.5" customHeight="1">
      <c r="B67" s="140" t="s">
        <v>428</v>
      </c>
      <c r="C67" s="141"/>
      <c r="D67" s="141">
        <f>2*D58*(1+2*Y42/100)</f>
        <v>2.7354561000655715E-3</v>
      </c>
      <c r="E67" s="142"/>
    </row>
    <row r="68" spans="2:5" ht="19.5" customHeight="1">
      <c r="B68" s="140" t="s">
        <v>432</v>
      </c>
      <c r="C68" s="141" t="s">
        <v>425</v>
      </c>
      <c r="D68" s="141">
        <f>(1.2*PI()*(N12/10^3)^2*D46)^2*D46</f>
        <v>254480.21892832554</v>
      </c>
      <c r="E68" s="142"/>
    </row>
    <row r="69" spans="2:5" ht="19.5" customHeight="1">
      <c r="B69" s="140" t="s">
        <v>433</v>
      </c>
      <c r="C69" s="141" t="s">
        <v>426</v>
      </c>
      <c r="D69" s="141">
        <f>2*D68/(1.2*D46^2*Y35)</f>
        <v>3.1915915849748892E-5</v>
      </c>
      <c r="E69" s="142"/>
    </row>
    <row r="70" spans="2:5" ht="19.5" customHeight="1">
      <c r="B70" s="140" t="s">
        <v>434</v>
      </c>
      <c r="C70" s="141" t="s">
        <v>427</v>
      </c>
      <c r="D70" s="141">
        <f>D69^2/PI()*Y37</f>
        <v>5.9196530196236909E-10</v>
      </c>
      <c r="E70" s="142"/>
    </row>
    <row r="71" spans="2:5" ht="19.5" customHeight="1">
      <c r="B71" s="140" t="s">
        <v>435</v>
      </c>
      <c r="C71" s="141" t="s">
        <v>436</v>
      </c>
      <c r="D71" s="141">
        <f>D67/((I3/10^3)^2*PI()/4)*0.5*(N20/10^3*N12/10^3*2)*N3</f>
        <v>1.5881175866795844E-2</v>
      </c>
      <c r="E71" s="142"/>
    </row>
    <row r="72" spans="2:5" ht="19.5" customHeight="1">
      <c r="B72" s="172" t="s">
        <v>430</v>
      </c>
      <c r="C72" s="173" t="s">
        <v>429</v>
      </c>
      <c r="D72" s="173">
        <f>D70+D71</f>
        <v>1.5881176458761147E-2</v>
      </c>
      <c r="E72" s="142"/>
    </row>
    <row r="73" spans="2:5" ht="19.5" customHeight="1">
      <c r="B73" s="172" t="s">
        <v>431</v>
      </c>
      <c r="C73" s="173"/>
      <c r="D73" s="173">
        <f>D71*(N20/10^3)/((I3/10^3)^2*PI()/4)*(I3/10^3)*0.5*N3</f>
        <v>5.9162298722828709E-2</v>
      </c>
      <c r="E73" s="142"/>
    </row>
    <row r="74" spans="2:5" ht="19.5" customHeight="1">
      <c r="B74" s="175" t="s">
        <v>438</v>
      </c>
      <c r="C74" s="176" t="s">
        <v>403</v>
      </c>
      <c r="D74" s="176">
        <f>D65+D66+D72+D73</f>
        <v>0.20255549722437616</v>
      </c>
      <c r="E74" s="147"/>
    </row>
  </sheetData>
  <mergeCells count="22">
    <mergeCell ref="B1:J1"/>
    <mergeCell ref="L1:P1"/>
    <mergeCell ref="B53:E53"/>
    <mergeCell ref="L19:O19"/>
    <mergeCell ref="W3:Z3"/>
    <mergeCell ref="W32:Z32"/>
    <mergeCell ref="AN38:AO38"/>
    <mergeCell ref="AN5:AO5"/>
    <mergeCell ref="AC14:AE14"/>
    <mergeCell ref="AN3:AR3"/>
    <mergeCell ref="AQ23:AR23"/>
    <mergeCell ref="AQ5:AR5"/>
    <mergeCell ref="AQ9:AR9"/>
    <mergeCell ref="AN13:AO13"/>
    <mergeCell ref="AN21:AO21"/>
    <mergeCell ref="AG29:AG34"/>
    <mergeCell ref="AQ13:AR13"/>
    <mergeCell ref="AG14:AI14"/>
    <mergeCell ref="AG15:AG20"/>
    <mergeCell ref="AN29:AO29"/>
    <mergeCell ref="AG22:AG27"/>
    <mergeCell ref="AB2:AI11"/>
  </mergeCells>
  <phoneticPr fontId="13"/>
  <pageMargins left="0.7" right="0.7" top="0.75" bottom="0.75" header="0.3" footer="0.3"/>
  <pageSetup paperSize="9" orientation="portrait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F17" sqref="F17"/>
    </sheetView>
  </sheetViews>
  <sheetFormatPr defaultColWidth="13" defaultRowHeight="14.25"/>
  <cols>
    <col min="1" max="1" width="5" style="82" customWidth="1"/>
    <col min="2" max="2" width="15" style="82" customWidth="1"/>
    <col min="3" max="7" width="13" style="82"/>
    <col min="8" max="8" width="14.625" style="82" customWidth="1"/>
    <col min="9" max="9" width="8.5" style="82" customWidth="1"/>
    <col min="10" max="11" width="13" style="82"/>
    <col min="12" max="12" width="24.125" style="82" bestFit="1" customWidth="1"/>
    <col min="13" max="16384" width="13" style="82"/>
  </cols>
  <sheetData>
    <row r="1" spans="1:11" ht="6.6" customHeight="1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>
      <c r="A2" s="81"/>
      <c r="B2" s="81" t="s">
        <v>198</v>
      </c>
      <c r="C2" s="81"/>
      <c r="D2" s="81"/>
      <c r="E2" s="81"/>
      <c r="F2" s="81"/>
      <c r="G2" s="81"/>
      <c r="H2" s="81"/>
      <c r="I2" s="81"/>
      <c r="J2" s="81"/>
      <c r="K2" s="81"/>
    </row>
    <row r="3" spans="1:11">
      <c r="A3" s="81"/>
      <c r="B3" s="83" t="s">
        <v>199</v>
      </c>
      <c r="C3" s="84"/>
      <c r="D3" s="81" t="s">
        <v>200</v>
      </c>
      <c r="E3" s="81"/>
      <c r="F3" s="81"/>
      <c r="G3" s="81"/>
      <c r="H3" s="81"/>
      <c r="I3" s="81"/>
      <c r="J3" s="81"/>
      <c r="K3" s="81"/>
    </row>
    <row r="4" spans="1:11">
      <c r="A4" s="81"/>
      <c r="B4" s="83" t="s">
        <v>506</v>
      </c>
      <c r="C4" s="84"/>
      <c r="D4" s="81" t="s">
        <v>201</v>
      </c>
      <c r="E4" s="81"/>
      <c r="F4" s="81"/>
      <c r="G4" s="81"/>
      <c r="H4" s="81"/>
      <c r="I4" s="81"/>
      <c r="J4" s="81"/>
      <c r="K4" s="81"/>
    </row>
    <row r="5" spans="1:11">
      <c r="A5" s="81"/>
      <c r="B5" s="83" t="s">
        <v>202</v>
      </c>
      <c r="C5" s="84"/>
      <c r="D5" s="81" t="s">
        <v>203</v>
      </c>
      <c r="E5" s="81"/>
      <c r="F5" s="81"/>
      <c r="G5" s="81"/>
      <c r="H5" s="81"/>
      <c r="I5" s="81"/>
      <c r="J5" s="81"/>
      <c r="K5" s="81"/>
    </row>
    <row r="6" spans="1:11">
      <c r="A6" s="81"/>
      <c r="B6" s="81"/>
      <c r="C6" s="81"/>
      <c r="D6" s="81"/>
      <c r="E6" s="81"/>
      <c r="F6" s="81"/>
      <c r="G6" s="81"/>
      <c r="H6" s="81"/>
      <c r="I6" s="81"/>
      <c r="J6" s="81"/>
      <c r="K6" s="81"/>
    </row>
    <row r="7" spans="1:11" ht="15" thickBot="1">
      <c r="A7" s="81"/>
      <c r="B7" s="259"/>
      <c r="C7" s="259"/>
      <c r="D7" s="81"/>
      <c r="E7" s="81"/>
      <c r="F7" s="81"/>
      <c r="G7" s="81"/>
      <c r="H7" s="81"/>
      <c r="I7" s="81"/>
      <c r="J7" s="81"/>
      <c r="K7" s="81"/>
    </row>
    <row r="8" spans="1:11">
      <c r="A8" s="81"/>
      <c r="B8" s="260" t="s">
        <v>204</v>
      </c>
      <c r="C8" s="261"/>
      <c r="D8" s="261" t="s">
        <v>205</v>
      </c>
      <c r="E8" s="261"/>
      <c r="F8" s="85" t="s">
        <v>206</v>
      </c>
      <c r="G8" s="86" t="s">
        <v>207</v>
      </c>
      <c r="H8" s="87" t="s">
        <v>208</v>
      </c>
      <c r="I8" s="81"/>
      <c r="J8" s="88" t="s">
        <v>209</v>
      </c>
      <c r="K8" s="87" t="s">
        <v>210</v>
      </c>
    </row>
    <row r="9" spans="1:11" ht="15" thickBot="1">
      <c r="A9" s="81" t="s">
        <v>211</v>
      </c>
      <c r="B9" s="89" t="s">
        <v>212</v>
      </c>
      <c r="C9" s="90" t="s">
        <v>213</v>
      </c>
      <c r="D9" s="90" t="s">
        <v>212</v>
      </c>
      <c r="E9" s="90" t="s">
        <v>213</v>
      </c>
      <c r="F9" s="90" t="s">
        <v>213</v>
      </c>
      <c r="G9" s="90" t="s">
        <v>212</v>
      </c>
      <c r="H9" s="91" t="s">
        <v>213</v>
      </c>
      <c r="I9" s="81"/>
      <c r="J9" s="89" t="s">
        <v>214</v>
      </c>
      <c r="K9" s="91" t="s">
        <v>214</v>
      </c>
    </row>
    <row r="10" spans="1:11">
      <c r="A10" s="81">
        <v>1</v>
      </c>
      <c r="B10" s="92"/>
      <c r="C10" s="93"/>
      <c r="D10" s="93"/>
      <c r="E10" s="94"/>
      <c r="F10" s="86">
        <f>E10</f>
        <v>0</v>
      </c>
      <c r="G10" s="86">
        <f>B10+D10</f>
        <v>0</v>
      </c>
      <c r="H10" s="95" t="e">
        <f>((B10*C10)+(D10*F10))/G10</f>
        <v>#DIV/0!</v>
      </c>
      <c r="I10" s="81"/>
      <c r="J10" s="96" t="e">
        <f>100*($C$3-G10)/$C$3</f>
        <v>#DIV/0!</v>
      </c>
      <c r="K10" s="95" t="e">
        <f>100*($C$4-H10)/$C$4</f>
        <v>#DIV/0!</v>
      </c>
    </row>
    <row r="11" spans="1:11">
      <c r="A11" s="81">
        <v>2</v>
      </c>
      <c r="B11" s="97"/>
      <c r="C11" s="98"/>
      <c r="D11" s="98"/>
      <c r="E11" s="99"/>
      <c r="F11" s="83">
        <f>E11</f>
        <v>0</v>
      </c>
      <c r="G11" s="83">
        <f t="shared" ref="G11:G14" si="0">B11+D11</f>
        <v>0</v>
      </c>
      <c r="H11" s="100" t="e">
        <f t="shared" ref="H11:H14" si="1">((B11*C11)+(D11*F11))/G11</f>
        <v>#DIV/0!</v>
      </c>
      <c r="I11" s="81"/>
      <c r="J11" s="101" t="e">
        <f t="shared" ref="J11:J14" si="2">100*($C$3-G11)/$C$3</f>
        <v>#DIV/0!</v>
      </c>
      <c r="K11" s="100" t="e">
        <f t="shared" ref="K11:K14" si="3">100*($C$4-H11)/$C$4</f>
        <v>#DIV/0!</v>
      </c>
    </row>
    <row r="12" spans="1:11">
      <c r="A12" s="81">
        <v>3</v>
      </c>
      <c r="B12" s="97"/>
      <c r="C12" s="98"/>
      <c r="D12" s="98"/>
      <c r="E12" s="99"/>
      <c r="F12" s="83">
        <f t="shared" ref="F12:F14" si="4">E12</f>
        <v>0</v>
      </c>
      <c r="G12" s="83">
        <f t="shared" si="0"/>
        <v>0</v>
      </c>
      <c r="H12" s="100" t="e">
        <f t="shared" si="1"/>
        <v>#DIV/0!</v>
      </c>
      <c r="I12" s="81"/>
      <c r="J12" s="101" t="e">
        <f t="shared" si="2"/>
        <v>#DIV/0!</v>
      </c>
      <c r="K12" s="100" t="e">
        <f t="shared" si="3"/>
        <v>#DIV/0!</v>
      </c>
    </row>
    <row r="13" spans="1:11">
      <c r="A13" s="81">
        <v>4</v>
      </c>
      <c r="B13" s="97"/>
      <c r="C13" s="98"/>
      <c r="D13" s="98"/>
      <c r="E13" s="99"/>
      <c r="F13" s="83">
        <f t="shared" si="4"/>
        <v>0</v>
      </c>
      <c r="G13" s="83">
        <f t="shared" si="0"/>
        <v>0</v>
      </c>
      <c r="H13" s="100" t="e">
        <f t="shared" si="1"/>
        <v>#DIV/0!</v>
      </c>
      <c r="I13" s="81"/>
      <c r="J13" s="101" t="e">
        <f t="shared" si="2"/>
        <v>#DIV/0!</v>
      </c>
      <c r="K13" s="100" t="e">
        <f t="shared" si="3"/>
        <v>#DIV/0!</v>
      </c>
    </row>
    <row r="14" spans="1:11" ht="15" thickBot="1">
      <c r="A14" s="81">
        <v>5</v>
      </c>
      <c r="B14" s="102"/>
      <c r="C14" s="103"/>
      <c r="D14" s="103"/>
      <c r="E14" s="104"/>
      <c r="F14" s="105">
        <f t="shared" si="4"/>
        <v>0</v>
      </c>
      <c r="G14" s="105">
        <f t="shared" si="0"/>
        <v>0</v>
      </c>
      <c r="H14" s="106" t="e">
        <f t="shared" si="1"/>
        <v>#DIV/0!</v>
      </c>
      <c r="I14" s="81"/>
      <c r="J14" s="107" t="e">
        <f t="shared" si="2"/>
        <v>#DIV/0!</v>
      </c>
      <c r="K14" s="106" t="e">
        <f t="shared" si="3"/>
        <v>#DIV/0!</v>
      </c>
    </row>
    <row r="15" spans="1:11" ht="15" thickBot="1">
      <c r="A15" s="81"/>
      <c r="B15" s="81"/>
      <c r="C15" s="81"/>
      <c r="D15" s="81"/>
      <c r="E15" s="81"/>
      <c r="F15" s="81"/>
      <c r="G15" s="81"/>
      <c r="H15" s="108"/>
      <c r="I15" s="81"/>
      <c r="J15" s="108"/>
      <c r="K15" s="108"/>
    </row>
    <row r="16" spans="1:11" ht="15" thickBot="1">
      <c r="A16" s="81"/>
      <c r="B16" s="109" t="s">
        <v>215</v>
      </c>
      <c r="C16" s="110" t="s">
        <v>216</v>
      </c>
      <c r="D16" s="111" t="s">
        <v>217</v>
      </c>
      <c r="E16" s="81"/>
      <c r="I16" s="81"/>
    </row>
    <row r="17" spans="2:7">
      <c r="B17" s="112" t="s">
        <v>218</v>
      </c>
      <c r="C17" s="113">
        <f>AVERAGE(G10:G14)</f>
        <v>0</v>
      </c>
      <c r="D17" s="95" t="e">
        <f>100*($C$3-C17)/$C$3</f>
        <v>#DIV/0!</v>
      </c>
    </row>
    <row r="18" spans="2:7">
      <c r="B18" s="114" t="s">
        <v>219</v>
      </c>
      <c r="C18" s="101" t="e">
        <f>AVERAGE(H10:H14)</f>
        <v>#DIV/0!</v>
      </c>
      <c r="D18" s="100" t="e">
        <f>100*($C$4-C18)/$C$4</f>
        <v>#DIV/0!</v>
      </c>
    </row>
    <row r="19" spans="2:7">
      <c r="B19" s="114" t="s">
        <v>220</v>
      </c>
      <c r="C19" s="101" t="e">
        <f>C20-C18</f>
        <v>#DIV/0!</v>
      </c>
      <c r="D19" s="100"/>
    </row>
    <row r="20" spans="2:7" ht="15" thickBot="1">
      <c r="B20" s="115" t="s">
        <v>221</v>
      </c>
      <c r="C20" s="116"/>
      <c r="D20" s="117" t="e">
        <f>100*(C5-C20)/C5</f>
        <v>#DIV/0!</v>
      </c>
    </row>
    <row r="22" spans="2:7">
      <c r="B22" s="83" t="s">
        <v>315</v>
      </c>
      <c r="C22" s="83" t="e">
        <f>C18*C17</f>
        <v>#DIV/0!</v>
      </c>
      <c r="D22" s="81"/>
      <c r="E22" s="81"/>
      <c r="F22" s="81"/>
      <c r="G22" s="81"/>
    </row>
    <row r="23" spans="2:7">
      <c r="B23" s="119"/>
      <c r="C23" s="119"/>
      <c r="D23" s="81"/>
      <c r="E23" s="81"/>
      <c r="F23" s="81"/>
      <c r="G23" s="81"/>
    </row>
    <row r="24" spans="2:7">
      <c r="B24" s="262" t="s">
        <v>316</v>
      </c>
      <c r="C24" s="263"/>
      <c r="D24" s="264"/>
      <c r="E24" s="265" t="s">
        <v>278</v>
      </c>
      <c r="F24" s="266"/>
      <c r="G24" s="267"/>
    </row>
    <row r="25" spans="2:7">
      <c r="B25" s="124" t="s">
        <v>317</v>
      </c>
      <c r="C25" s="125">
        <f>諸元!F27-諸元!F28</f>
        <v>6.3000000000000014E-2</v>
      </c>
      <c r="D25" s="120" t="s">
        <v>222</v>
      </c>
      <c r="E25" s="124" t="s">
        <v>223</v>
      </c>
      <c r="F25" s="125">
        <f>諸元!F26</f>
        <v>0.379</v>
      </c>
      <c r="G25" s="120" t="s">
        <v>222</v>
      </c>
    </row>
    <row r="26" spans="2:7">
      <c r="B26" s="83" t="s">
        <v>224</v>
      </c>
      <c r="C26" s="123">
        <f>諸元!F9</f>
        <v>0.123</v>
      </c>
      <c r="D26" s="120" t="s">
        <v>225</v>
      </c>
      <c r="E26" s="83" t="s">
        <v>226</v>
      </c>
      <c r="F26" s="123">
        <f>諸元!F8</f>
        <v>0.40600000000000003</v>
      </c>
      <c r="G26" s="120" t="s">
        <v>225</v>
      </c>
    </row>
    <row r="27" spans="2:7">
      <c r="B27" s="83" t="s">
        <v>227</v>
      </c>
      <c r="C27" s="83">
        <f>C25*C26</f>
        <v>7.7490000000000015E-3</v>
      </c>
      <c r="D27" s="120" t="s">
        <v>228</v>
      </c>
      <c r="E27" s="83" t="s">
        <v>229</v>
      </c>
      <c r="F27" s="83">
        <f>F25*F26</f>
        <v>0.15387400000000001</v>
      </c>
      <c r="G27" s="120" t="s">
        <v>230</v>
      </c>
    </row>
    <row r="28" spans="2:7">
      <c r="B28" s="121"/>
      <c r="C28" s="119"/>
      <c r="D28" s="120"/>
      <c r="E28" s="121"/>
      <c r="F28" s="119"/>
      <c r="G28" s="120"/>
    </row>
    <row r="29" spans="2:7">
      <c r="B29" s="118" t="s">
        <v>231</v>
      </c>
      <c r="C29" s="83" t="e">
        <f>C22-C27</f>
        <v>#DIV/0!</v>
      </c>
      <c r="D29" s="120" t="s">
        <v>230</v>
      </c>
      <c r="E29" s="118" t="s">
        <v>232</v>
      </c>
      <c r="F29" s="83" t="e">
        <f>C22+F27</f>
        <v>#DIV/0!</v>
      </c>
      <c r="G29" s="120" t="s">
        <v>230</v>
      </c>
    </row>
    <row r="30" spans="2:7">
      <c r="B30" s="83" t="s">
        <v>233</v>
      </c>
      <c r="C30" s="83">
        <f>C17-C25</f>
        <v>-6.3000000000000014E-2</v>
      </c>
      <c r="D30" s="120" t="s">
        <v>234</v>
      </c>
      <c r="E30" s="83" t="s">
        <v>235</v>
      </c>
      <c r="F30" s="83">
        <f>C17+F25</f>
        <v>0.379</v>
      </c>
      <c r="G30" s="120" t="s">
        <v>234</v>
      </c>
    </row>
    <row r="31" spans="2:7">
      <c r="B31" s="121"/>
      <c r="C31" s="119"/>
      <c r="D31" s="120"/>
      <c r="E31" s="121"/>
      <c r="F31" s="119"/>
      <c r="G31" s="120"/>
    </row>
    <row r="32" spans="2:7">
      <c r="B32" s="83" t="s">
        <v>236</v>
      </c>
      <c r="C32" s="83" t="e">
        <f>C29/C30</f>
        <v>#DIV/0!</v>
      </c>
      <c r="D32" s="120" t="s">
        <v>237</v>
      </c>
      <c r="E32" s="83" t="s">
        <v>238</v>
      </c>
      <c r="F32" s="83" t="e">
        <f>F29/F30</f>
        <v>#DIV/0!</v>
      </c>
      <c r="G32" s="120" t="s">
        <v>237</v>
      </c>
    </row>
    <row r="33" spans="2:7">
      <c r="B33" s="83" t="s">
        <v>239</v>
      </c>
      <c r="C33" s="83" t="e">
        <f>C20-C32</f>
        <v>#DIV/0!</v>
      </c>
      <c r="D33" s="122" t="s">
        <v>237</v>
      </c>
      <c r="E33" s="83" t="s">
        <v>239</v>
      </c>
      <c r="F33" s="83" t="e">
        <f>C20-F32</f>
        <v>#DIV/0!</v>
      </c>
      <c r="G33" s="122" t="s">
        <v>237</v>
      </c>
    </row>
    <row r="34" spans="2:7">
      <c r="B34" s="81"/>
      <c r="C34" s="81"/>
      <c r="D34" s="81"/>
      <c r="E34" s="81"/>
      <c r="F34" s="81"/>
      <c r="G34" s="81"/>
    </row>
    <row r="35" spans="2:7">
      <c r="B35" s="83" t="s">
        <v>240</v>
      </c>
      <c r="C35" s="83"/>
      <c r="D35" s="83" t="e">
        <f>100*(F33-C33)/C20</f>
        <v>#DIV/0!</v>
      </c>
      <c r="E35" s="81" t="s">
        <v>241</v>
      </c>
      <c r="F35" s="81"/>
      <c r="G35" s="81"/>
    </row>
    <row r="36" spans="2:7">
      <c r="B36" s="81"/>
      <c r="C36" s="81"/>
      <c r="D36" s="81"/>
      <c r="E36" s="81"/>
      <c r="F36" s="81"/>
      <c r="G36" s="81"/>
    </row>
    <row r="37" spans="2:7">
      <c r="B37" s="81"/>
      <c r="C37" s="81"/>
      <c r="D37" s="81"/>
      <c r="E37" s="81"/>
      <c r="F37" s="81"/>
      <c r="G37" s="81"/>
    </row>
  </sheetData>
  <mergeCells count="5">
    <mergeCell ref="B7:C7"/>
    <mergeCell ref="B8:C8"/>
    <mergeCell ref="D8:E8"/>
    <mergeCell ref="B24:D24"/>
    <mergeCell ref="E24:G24"/>
  </mergeCells>
  <phoneticPr fontId="13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programsheet</vt:lpstr>
      <vt:lpstr>諸元</vt:lpstr>
      <vt:lpstr>射場環境データ</vt:lpstr>
      <vt:lpstr>空力設計(設計)</vt:lpstr>
      <vt:lpstr>重心測定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JumpeiOguro</dc:creator>
  <cp:lastModifiedBy>susumu</cp:lastModifiedBy>
  <cp:lastPrinted>2013-10-25T17:26:27Z</cp:lastPrinted>
  <dcterms:created xsi:type="dcterms:W3CDTF">2013-10-23T17:58:39Z</dcterms:created>
  <dcterms:modified xsi:type="dcterms:W3CDTF">2015-12-18T02:56:30Z</dcterms:modified>
</cp:coreProperties>
</file>