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8835" firstSheet="9" activeTab="2"/>
  </bookViews>
  <sheets>
    <sheet name="シート12" sheetId="3" r:id="rId1"/>
    <sheet name="シート12 (2)" sheetId="4" r:id="rId2"/>
    <sheet name="シート3" sheetId="5" r:id="rId3"/>
  </sheets>
  <definedNames>
    <definedName name="_xlnm._FilterDatabase" localSheetId="0" hidden="1">シート12!$A$1:$D$53</definedName>
    <definedName name="_xlnm._FilterDatabase" localSheetId="1" hidden="1">'シート12 (2)'!$A$1:$D$47</definedName>
  </definedNames>
  <calcPr calcId="144525"/>
</workbook>
</file>

<file path=xl/sharedStrings.xml><?xml version="1.0" encoding="utf-8"?>
<sst xmlns="http://schemas.openxmlformats.org/spreadsheetml/2006/main" count="267" uniqueCount="174">
  <si>
    <t>d</t>
  </si>
  <si>
    <t>m</t>
  </si>
  <si>
    <t>ceres</t>
  </si>
  <si>
    <t>ok</t>
  </si>
  <si>
    <t>charon</t>
  </si>
  <si>
    <t>makemake</t>
  </si>
  <si>
    <t>eris</t>
  </si>
  <si>
    <t>pluto</t>
  </si>
  <si>
    <t>moon</t>
  </si>
  <si>
    <t>mercury</t>
  </si>
  <si>
    <t>mars</t>
  </si>
  <si>
    <t>(sirius B)</t>
  </si>
  <si>
    <t>0.0084 sun diameter  0.978 sun mass</t>
  </si>
  <si>
    <t>venus</t>
  </si>
  <si>
    <t>earth</t>
  </si>
  <si>
    <t>kepler-452b</t>
  </si>
  <si>
    <t>1.63 earth diameter  3.29 earth mass</t>
  </si>
  <si>
    <t>55 cancri e</t>
  </si>
  <si>
    <t>2.04 earth diameter 7.8 earth mass</t>
  </si>
  <si>
    <t>star of diamond</t>
  </si>
  <si>
    <t>kepler-22b</t>
  </si>
  <si>
    <t>2.34 E diameter  35.1 E amss</t>
  </si>
  <si>
    <t>neptune</t>
  </si>
  <si>
    <t>uranus</t>
  </si>
  <si>
    <t>gliese-436b</t>
  </si>
  <si>
    <t>4.327 E diameter  22.2 E mass</t>
  </si>
  <si>
    <t>Burning ball of ice</t>
  </si>
  <si>
    <t>hat-p-11b(Kepler3b)</t>
  </si>
  <si>
    <t>0.422Rj 0.081Mj</t>
  </si>
  <si>
    <t>Luhman 16B</t>
  </si>
  <si>
    <t>27.9 Mj</t>
  </si>
  <si>
    <t>28.6 Mj</t>
  </si>
  <si>
    <t>105% Rj</t>
  </si>
  <si>
    <t>104% Rj</t>
  </si>
  <si>
    <t>0.84Rj</t>
  </si>
  <si>
    <t>saturn</t>
  </si>
  <si>
    <t>jupiter</t>
  </si>
  <si>
    <t>OGLE-TR-122b</t>
  </si>
  <si>
    <t>0.12 Rs 0.09Ms</t>
  </si>
  <si>
    <t>wasp-17b</t>
  </si>
  <si>
    <t>1.991 Rj 0.486 Mj</t>
  </si>
  <si>
    <t>Barnard's star</t>
  </si>
  <si>
    <t>0.2 Rs 0.159Ms</t>
  </si>
  <si>
    <t>224,000 km</t>
  </si>
  <si>
    <t>0.196 Rs 0.144Ms</t>
  </si>
  <si>
    <t>0.2 Rs 0.17 Ms</t>
  </si>
  <si>
    <t>0.178Rs 0.163Ms</t>
  </si>
  <si>
    <t>224000km(1/6 Rs) 0.16Ms</t>
  </si>
  <si>
    <t>Lalande 21185</t>
  </si>
  <si>
    <t>0.359Rs 0.355Ms</t>
  </si>
  <si>
    <t>0.392Rs 0.389Ms</t>
  </si>
  <si>
    <t>0.46Rs 0.46Ms</t>
  </si>
  <si>
    <t>0.393Rs 0.46Ms</t>
  </si>
  <si>
    <t>WR 102</t>
  </si>
  <si>
    <t>0.52Rs 16.1Ms</t>
  </si>
  <si>
    <t>0.52Rs 16.7Ms</t>
  </si>
  <si>
    <t>0.58Rs 16.7Ms</t>
  </si>
  <si>
    <t>HD 100546 b</t>
  </si>
  <si>
    <t>77.341Re 985.5Me</t>
  </si>
  <si>
    <t>6.9Rj 3.101Mj</t>
  </si>
  <si>
    <t>sun</t>
  </si>
  <si>
    <t>sirius A</t>
  </si>
  <si>
    <t>1.711 sun diameter  2.02 sun mass</t>
  </si>
  <si>
    <t>vega</t>
  </si>
  <si>
    <t>Elnath</t>
  </si>
  <si>
    <t>Bellatrix</t>
  </si>
  <si>
    <t>pollux</t>
  </si>
  <si>
    <t>capella A</t>
  </si>
  <si>
    <t>zeta puppis</t>
  </si>
  <si>
    <t>zeta puppis (ζPuppis)</t>
  </si>
  <si>
    <t>14-26Rs 56.1Ms</t>
  </si>
  <si>
    <t>20Rs 59Ms</t>
  </si>
  <si>
    <t>60Ms</t>
  </si>
  <si>
    <t>melnick 34</t>
  </si>
  <si>
    <t>arcturus</t>
  </si>
  <si>
    <t>sagittarius A*</t>
  </si>
  <si>
    <t>??</t>
  </si>
  <si>
    <t>aldebaran</t>
  </si>
  <si>
    <t>aludra</t>
  </si>
  <si>
    <t>rigel A</t>
  </si>
  <si>
    <t>Beta Pegasi</t>
  </si>
  <si>
    <t>Epsilon Pegasi</t>
  </si>
  <si>
    <t>デネブ</t>
  </si>
  <si>
    <t>α Cygni</t>
  </si>
  <si>
    <t>La superba</t>
  </si>
  <si>
    <t>au</t>
  </si>
  <si>
    <t>422Rs 1.2Ms</t>
  </si>
  <si>
    <t>352Rs 1.6Ms</t>
  </si>
  <si>
    <t>307Rs 3Ms</t>
  </si>
  <si>
    <t>4AU 3Ms</t>
  </si>
  <si>
    <t>215Rs 3Ms</t>
  </si>
  <si>
    <t>pistol star(milky way's core)</t>
  </si>
  <si>
    <t>420Rs 27.5Ms</t>
  </si>
  <si>
    <t>435Rs 27.5Ms</t>
  </si>
  <si>
    <t>306Rs 27.5Ms</t>
  </si>
  <si>
    <t>450,520,000 kilometers</t>
  </si>
  <si>
    <t>mira</t>
  </si>
  <si>
    <t>antares</t>
  </si>
  <si>
    <t>betelgeuse</t>
  </si>
  <si>
    <t>cains vy</t>
  </si>
  <si>
    <t>2billion</t>
  </si>
  <si>
    <t>uy</t>
  </si>
  <si>
    <t>2.4 billion</t>
  </si>
  <si>
    <t>hottest star</t>
  </si>
  <si>
    <t>2.73 Rs 2.6 Ms</t>
  </si>
  <si>
    <t>2.363 Rs 2.135 Ms</t>
  </si>
  <si>
    <t>4.2Rs 5Ms</t>
  </si>
  <si>
    <t>5.5Rs 4.5Ms</t>
  </si>
  <si>
    <t>5.75Rs 7.7Ms</t>
  </si>
  <si>
    <t>5.7Rs 8Ms</t>
  </si>
  <si>
    <t>6Rs 9Ms</t>
  </si>
  <si>
    <t>5.75Rs 8.6Ms</t>
  </si>
  <si>
    <t>9.06Rs 1.91Ms</t>
  </si>
  <si>
    <t>8.8Rs 2Ms</t>
  </si>
  <si>
    <t>9Rs 2Ms</t>
  </si>
  <si>
    <t>光のリングの直径は約0.4天文単位（＝約6000万km、地球から太陽までの距離の約0.4倍）</t>
  </si>
  <si>
    <t>capella A (Alpha Aurigae)</t>
  </si>
  <si>
    <t>11.98Rs 2.5687Ms</t>
  </si>
  <si>
    <t>いて座Aスターの直径は約6000万km　ブラックホール本体の直径は、シャドウの直径の2.5分の1と考えられている</t>
  </si>
  <si>
    <t>Sagittarius A*</t>
  </si>
  <si>
    <t>8.26×10^36 kg</t>
  </si>
  <si>
    <t>太陽の400万倍の質量</t>
  </si>
  <si>
    <t>リングの直径は約6000万キロメートルであり</t>
  </si>
  <si>
    <t>Melnick 34</t>
  </si>
  <si>
    <t>19.3Rs 148Ms</t>
  </si>
  <si>
    <t>27,870,000 kilometres</t>
  </si>
  <si>
    <t>ブラックホールそのもののサイズについても、直径約2000万キロメートルで水星の軌道の中に収まる程度という計算結果がもたらされた。</t>
  </si>
  <si>
    <t>25.4Rs 1.08Ms</t>
  </si>
  <si>
    <t>2.188 × 10^30 kg</t>
  </si>
  <si>
    <t>35.342 million km</t>
  </si>
  <si>
    <t>45.1Rs 1.16Ms</t>
  </si>
  <si>
    <t xml:space="preserve">44Rs 2×10^30 kg </t>
  </si>
  <si>
    <t>35 and 40 the size of our sun</t>
  </si>
  <si>
    <t>43Rs 1.7Ms</t>
  </si>
  <si>
    <t>44.2Rs 1.7Ms</t>
  </si>
  <si>
    <t>44.13Rs 1.16Ms</t>
  </si>
  <si>
    <t>aludra (Eta Canis Majoris)</t>
  </si>
  <si>
    <t>54Rs 18.19Ms</t>
  </si>
  <si>
    <t>56.3Rs 19.19Ms</t>
  </si>
  <si>
    <t>Rigel A</t>
  </si>
  <si>
    <t>78.9±7.4Rs  21±3Ms</t>
  </si>
  <si>
    <t>70Rs  21Ms</t>
  </si>
  <si>
    <t>79Rs  21Ms</t>
  </si>
  <si>
    <t>78Rs  17Ms</t>
  </si>
  <si>
    <t>Beta Pegasi (β Pegasi)</t>
  </si>
  <si>
    <t>95Rs 2.1Ms</t>
  </si>
  <si>
    <t>Epsilon Pegasi (ε Pegasi)</t>
  </si>
  <si>
    <t>211Rs  7.07 - 7.45Ms</t>
  </si>
  <si>
    <t>185Rs 11.7Ms</t>
  </si>
  <si>
    <t>Deneb (α Cygni)</t>
  </si>
  <si>
    <t>203±17Rs 19±4Ms</t>
  </si>
  <si>
    <t>203Rs 20Ms</t>
  </si>
  <si>
    <t>200Rs 20Ms</t>
  </si>
  <si>
    <t>AU[m]</t>
  </si>
  <si>
    <t>149597870700</t>
  </si>
  <si>
    <t>332–402Rs 1.18Ms</t>
  </si>
  <si>
    <t>It’s slightly more massive than our sun but at least 330 times larger in size</t>
  </si>
  <si>
    <t>680Rs 11-14.3Ms</t>
  </si>
  <si>
    <t>700Rs 12Ms</t>
  </si>
  <si>
    <t>400 to 500 times the diameter of the sun, and yet its mass is no more than twice as great</t>
  </si>
  <si>
    <t>887Rs 11.6Ms</t>
  </si>
  <si>
    <t>764-1021Rs 16.5-19Ms</t>
  </si>
  <si>
    <t>700Rs 15Ms</t>
  </si>
  <si>
    <t>1.2 billion km</t>
  </si>
  <si>
    <t>1420Rs 17Ms</t>
  </si>
  <si>
    <t>1,420 ± 120 or 2,069Rs  17±8Ms</t>
  </si>
  <si>
    <t>1708Rs 7-10Ms</t>
  </si>
  <si>
    <t>2.3765 billion km</t>
  </si>
  <si>
    <t>Stephenson 2-18</t>
  </si>
  <si>
    <t>unknown</t>
  </si>
  <si>
    <t>2150Rs</t>
  </si>
  <si>
    <t>Winter triangle, Summer triangle</t>
  </si>
  <si>
    <t>containerEarth</t>
  </si>
  <si>
    <t>image</t>
  </si>
</sst>
</file>

<file path=xl/styles.xml><?xml version="1.0" encoding="utf-8"?>
<styleSheet xmlns="http://schemas.openxmlformats.org/spreadsheetml/2006/main" xmlns:xr9="http://schemas.microsoft.com/office/spreadsheetml/2016/revision9">
  <numFmts count="5">
    <numFmt numFmtId="176" formatCode="_ * #,##0_ ;_ * \-#,##0_ ;_ * &quot;-&quot;??_ ;_ @_ "/>
    <numFmt numFmtId="177" formatCode="_-&quot;\&quot;* #,##0_-\ ;\-&quot;\&quot;* #,##0_-\ ;_-&quot;\&quot;* &quot;-&quot;??_-\ ;_-@_-"/>
    <numFmt numFmtId="178" formatCode="_ * #,##0.00_ ;_ * \-#,##0.00_ ;_ * &quot;-&quot;??_ ;_ @_ "/>
    <numFmt numFmtId="179" formatCode="_-&quot;\&quot;* #,##0.00_-\ ;\-&quot;\&quot;* #,##0.00_-\ ;_-&quot;\&quot;* &quot;-&quot;??_-\ ;_-@_-"/>
    <numFmt numFmtId="180" formatCode="#,##0.00_ "/>
  </numFmts>
  <fonts count="21">
    <font>
      <sz val="11"/>
      <color theme="1"/>
      <name val="游ゴシック"/>
      <charset val="128"/>
      <scheme val="minor"/>
    </font>
    <font>
      <sz val="11"/>
      <color theme="1"/>
      <name val="游ゴシック"/>
      <charset val="134"/>
      <scheme val="minor"/>
    </font>
    <font>
      <u/>
      <sz val="11"/>
      <color rgb="FF0000FF"/>
      <name val="游ゴシック"/>
      <charset val="0"/>
      <scheme val="minor"/>
    </font>
    <font>
      <u/>
      <sz val="11"/>
      <color rgb="FF800080"/>
      <name val="游ゴシック"/>
      <charset val="0"/>
      <scheme val="minor"/>
    </font>
    <font>
      <sz val="11"/>
      <color rgb="FFFF0000"/>
      <name val="游ゴシック"/>
      <charset val="0"/>
      <scheme val="minor"/>
    </font>
    <font>
      <b/>
      <sz val="18"/>
      <color theme="3"/>
      <name val="游ゴシック"/>
      <charset val="134"/>
      <scheme val="minor"/>
    </font>
    <font>
      <i/>
      <sz val="11"/>
      <color rgb="FF7F7F7F"/>
      <name val="游ゴシック"/>
      <charset val="0"/>
      <scheme val="minor"/>
    </font>
    <font>
      <b/>
      <sz val="15"/>
      <color theme="3"/>
      <name val="游ゴシック"/>
      <charset val="134"/>
      <scheme val="minor"/>
    </font>
    <font>
      <b/>
      <sz val="13"/>
      <color theme="3"/>
      <name val="游ゴシック"/>
      <charset val="134"/>
      <scheme val="minor"/>
    </font>
    <font>
      <b/>
      <sz val="11"/>
      <color theme="3"/>
      <name val="游ゴシック"/>
      <charset val="134"/>
      <scheme val="minor"/>
    </font>
    <font>
      <sz val="11"/>
      <color rgb="FF3F3F76"/>
      <name val="游ゴシック"/>
      <charset val="0"/>
      <scheme val="minor"/>
    </font>
    <font>
      <b/>
      <sz val="11"/>
      <color rgb="FF3F3F3F"/>
      <name val="游ゴシック"/>
      <charset val="0"/>
      <scheme val="minor"/>
    </font>
    <font>
      <b/>
      <sz val="11"/>
      <color rgb="FFFA7D00"/>
      <name val="游ゴシック"/>
      <charset val="0"/>
      <scheme val="minor"/>
    </font>
    <font>
      <b/>
      <sz val="11"/>
      <color rgb="FFFFFFFF"/>
      <name val="游ゴシック"/>
      <charset val="0"/>
      <scheme val="minor"/>
    </font>
    <font>
      <sz val="11"/>
      <color rgb="FFFA7D00"/>
      <name val="游ゴシック"/>
      <charset val="0"/>
      <scheme val="minor"/>
    </font>
    <font>
      <b/>
      <sz val="11"/>
      <color theme="1"/>
      <name val="游ゴシック"/>
      <charset val="0"/>
      <scheme val="minor"/>
    </font>
    <font>
      <sz val="11"/>
      <color rgb="FF006100"/>
      <name val="游ゴシック"/>
      <charset val="0"/>
      <scheme val="minor"/>
    </font>
    <font>
      <sz val="11"/>
      <color rgb="FF9C0006"/>
      <name val="游ゴシック"/>
      <charset val="0"/>
      <scheme val="minor"/>
    </font>
    <font>
      <sz val="11"/>
      <color rgb="FF9C6500"/>
      <name val="游ゴシック"/>
      <charset val="0"/>
      <scheme val="minor"/>
    </font>
    <font>
      <sz val="11"/>
      <color theme="0"/>
      <name val="游ゴシック"/>
      <charset val="0"/>
      <scheme val="minor"/>
    </font>
    <font>
      <sz val="11"/>
      <color theme="1"/>
      <name val="游ゴシック"/>
      <charset val="0"/>
      <scheme val="minor"/>
    </font>
  </fonts>
  <fills count="38">
    <fill>
      <patternFill patternType="none"/>
    </fill>
    <fill>
      <patternFill patternType="gray125"/>
    </fill>
    <fill>
      <patternFill patternType="solid">
        <fgColor rgb="FFFFC000"/>
        <bgColor indexed="64"/>
      </patternFill>
    </fill>
    <fill>
      <patternFill patternType="solid">
        <fgColor rgb="FF0070C0"/>
        <bgColor indexed="64"/>
      </patternFill>
    </fill>
    <fill>
      <patternFill patternType="solid">
        <fgColor rgb="FF00B0F0"/>
        <bgColor indexed="64"/>
      </patternFill>
    </fill>
    <fill>
      <patternFill patternType="solid">
        <fgColor theme="0" tint="-0.5"/>
        <bgColor indexed="64"/>
      </patternFill>
    </fill>
    <fill>
      <patternFill patternType="solid">
        <fgColor rgb="FF00B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7"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8" borderId="4" applyNumberFormat="0" applyAlignment="0" applyProtection="0">
      <alignment vertical="center"/>
    </xf>
    <xf numFmtId="0" fontId="11" fillId="9" borderId="5" applyNumberFormat="0" applyAlignment="0" applyProtection="0">
      <alignment vertical="center"/>
    </xf>
    <xf numFmtId="0" fontId="12" fillId="9" borderId="4" applyNumberFormat="0" applyAlignment="0" applyProtection="0">
      <alignment vertical="center"/>
    </xf>
    <xf numFmtId="0" fontId="13" fillId="10"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11" borderId="0" applyNumberFormat="0" applyBorder="0" applyAlignment="0" applyProtection="0">
      <alignment vertical="center"/>
    </xf>
    <xf numFmtId="0" fontId="17"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xf numFmtId="0" fontId="19" fillId="34" borderId="0" applyNumberFormat="0" applyBorder="0" applyAlignment="0" applyProtection="0">
      <alignment vertical="center"/>
    </xf>
    <xf numFmtId="0" fontId="20" fillId="35" borderId="0" applyNumberFormat="0" applyBorder="0" applyAlignment="0" applyProtection="0">
      <alignment vertical="center"/>
    </xf>
    <xf numFmtId="0" fontId="20" fillId="36" borderId="0" applyNumberFormat="0" applyBorder="0" applyAlignment="0" applyProtection="0">
      <alignment vertical="center"/>
    </xf>
    <xf numFmtId="0" fontId="19" fillId="37" borderId="0" applyNumberFormat="0" applyBorder="0" applyAlignment="0" applyProtection="0">
      <alignment vertical="center"/>
    </xf>
  </cellStyleXfs>
  <cellXfs count="13">
    <xf numFmtId="0" fontId="0" fillId="0" borderId="0" xfId="0">
      <alignment vertical="center"/>
    </xf>
    <xf numFmtId="9" fontId="0" fillId="0" borderId="0" xfId="0" applyNumberFormat="1">
      <alignment vertical="center"/>
    </xf>
    <xf numFmtId="0" fontId="0" fillId="0" borderId="0" xfId="0" applyFill="1">
      <alignment vertical="center"/>
    </xf>
    <xf numFmtId="180" fontId="0" fillId="0" borderId="0" xfId="0" applyNumberFormat="1">
      <alignment vertical="center"/>
    </xf>
    <xf numFmtId="0" fontId="0" fillId="2" borderId="0" xfId="0" applyFill="1">
      <alignment vertical="center"/>
    </xf>
    <xf numFmtId="180" fontId="0" fillId="2" borderId="0" xfId="0" applyNumberFormat="1" applyFill="1">
      <alignment vertical="center"/>
    </xf>
    <xf numFmtId="180" fontId="0" fillId="0" borderId="0" xfId="0" applyNumberFormat="1" applyFill="1">
      <alignment vertical="center"/>
    </xf>
    <xf numFmtId="0" fontId="0" fillId="3" borderId="0" xfId="0" applyFill="1">
      <alignment vertical="center"/>
    </xf>
    <xf numFmtId="180" fontId="0" fillId="4" borderId="0" xfId="0" applyNumberFormat="1" applyFill="1">
      <alignment vertical="center"/>
    </xf>
    <xf numFmtId="0" fontId="0" fillId="4" borderId="0" xfId="0" applyFill="1">
      <alignment vertical="center"/>
    </xf>
    <xf numFmtId="0" fontId="0" fillId="5" borderId="0" xfId="0" applyFill="1">
      <alignment vertical="center"/>
    </xf>
    <xf numFmtId="180" fontId="0" fillId="5" borderId="0" xfId="0" applyNumberFormat="1" applyFill="1">
      <alignment vertical="center"/>
    </xf>
    <xf numFmtId="0" fontId="0" fillId="6" borderId="0" xfId="0" applyFill="1">
      <alignment vertical="center"/>
    </xf>
    <xf numFmtId="0" fontId="0" fillId="0" borderId="0" xfId="0" quotePrefix="1">
      <alignment vertical="center"/>
    </xf>
  </cellXfs>
  <cellStyles count="49">
    <cellStyle name="標準" xfId="0" builtinId="0"/>
    <cellStyle name="桁区切り" xfId="1" builtinId="3"/>
    <cellStyle name="通貨" xfId="2" builtinId="4"/>
    <cellStyle name="パーセント" xfId="3" builtinId="5"/>
    <cellStyle name="桁区切り[0]" xfId="4" builtinId="6"/>
    <cellStyle name="通貨[0]" xfId="5" builtinId="7"/>
    <cellStyle name="ハイパーリンク" xfId="6" builtinId="8"/>
    <cellStyle name="訪問済ハイパーリンク" xfId="7" builtinId="9"/>
    <cellStyle name="メモ" xfId="8" builtinId="10"/>
    <cellStyle name="警告文" xfId="9" builtinId="11"/>
    <cellStyle name="タイトル" xfId="10" builtinId="15"/>
    <cellStyle name="説明文" xfId="11" builtinId="53"/>
    <cellStyle name="見出し 1" xfId="12" builtinId="16"/>
    <cellStyle name="見出し 2" xfId="13" builtinId="17"/>
    <cellStyle name="見出し 3" xfId="14" builtinId="18"/>
    <cellStyle name="見出し 4" xfId="15" builtinId="19"/>
    <cellStyle name="入力" xfId="16" builtinId="20"/>
    <cellStyle name="出力" xfId="17" builtinId="21"/>
    <cellStyle name="計算" xfId="18" builtinId="22"/>
    <cellStyle name="チェックセル" xfId="19" builtinId="23"/>
    <cellStyle name="リンクセル" xfId="20" builtinId="24"/>
    <cellStyle name="集計" xfId="21" builtinId="25"/>
    <cellStyle name="良い" xfId="22" builtinId="26"/>
    <cellStyle name="悪い" xfId="23" builtinId="27"/>
    <cellStyle name="どちらでもない" xfId="24" builtinId="28"/>
    <cellStyle name="アクセント 1" xfId="25" builtinId="29"/>
    <cellStyle name="20% - アクセント 1" xfId="26" builtinId="30"/>
    <cellStyle name="40% - アクセント 1" xfId="27" builtinId="31"/>
    <cellStyle name="60% - アクセント 1" xfId="28" builtinId="32"/>
    <cellStyle name="アクセント 2" xfId="29" builtinId="33"/>
    <cellStyle name="20% - アクセント 2" xfId="30" builtinId="34"/>
    <cellStyle name="40% - アクセント 2" xfId="31" builtinId="35"/>
    <cellStyle name="60% - アクセント 2" xfId="32" builtinId="36"/>
    <cellStyle name="アクセント 3" xfId="33" builtinId="37"/>
    <cellStyle name="20% - アクセント 3" xfId="34" builtinId="38"/>
    <cellStyle name="40% - アクセント 3" xfId="35" builtinId="39"/>
    <cellStyle name="60% - アクセント 3" xfId="36" builtinId="40"/>
    <cellStyle name="アクセント 4" xfId="37" builtinId="41"/>
    <cellStyle name="20% - アクセント 4" xfId="38" builtinId="42"/>
    <cellStyle name="40% - アクセント 4" xfId="39" builtinId="43"/>
    <cellStyle name="60% - アクセント 4" xfId="40" builtinId="44"/>
    <cellStyle name="アクセント 5" xfId="41" builtinId="45"/>
    <cellStyle name="20% - アクセント 5" xfId="42" builtinId="46"/>
    <cellStyle name="40% - アクセント 5" xfId="43" builtinId="47"/>
    <cellStyle name="60% - アクセント 5" xfId="44" builtinId="48"/>
    <cellStyle name="アクセント 6" xfId="45" builtinId="49"/>
    <cellStyle name="20% - アクセント 6" xfId="46" builtinId="50"/>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9525</xdr:colOff>
      <xdr:row>4</xdr:row>
      <xdr:rowOff>190500</xdr:rowOff>
    </xdr:from>
    <xdr:to>
      <xdr:col>5</xdr:col>
      <xdr:colOff>352425</xdr:colOff>
      <xdr:row>13</xdr:row>
      <xdr:rowOff>0</xdr:rowOff>
    </xdr:to>
    <xdr:sp>
      <xdr:nvSpPr>
        <xdr:cNvPr id="2" name="四角形 1"/>
        <xdr:cNvSpPr/>
      </xdr:nvSpPr>
      <xdr:spPr>
        <a:xfrm>
          <a:off x="2066925" y="1143000"/>
          <a:ext cx="1714500" cy="1952625"/>
        </a:xfrm>
        <a:prstGeom prst="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ja-JP" altLang="en-US" sz="1100"/>
        </a:p>
      </xdr:txBody>
    </xdr:sp>
    <xdr:clientData/>
  </xdr:twoCellAnchor>
  <xdr:twoCellAnchor>
    <xdr:from>
      <xdr:col>3</xdr:col>
      <xdr:colOff>260350</xdr:colOff>
      <xdr:row>6</xdr:row>
      <xdr:rowOff>85725</xdr:rowOff>
    </xdr:from>
    <xdr:to>
      <xdr:col>5</xdr:col>
      <xdr:colOff>98425</xdr:colOff>
      <xdr:row>11</xdr:row>
      <xdr:rowOff>104775</xdr:rowOff>
    </xdr:to>
    <xdr:sp>
      <xdr:nvSpPr>
        <xdr:cNvPr id="4" name="楕円 3"/>
        <xdr:cNvSpPr/>
      </xdr:nvSpPr>
      <xdr:spPr>
        <a:xfrm>
          <a:off x="2317750" y="1514475"/>
          <a:ext cx="1209675" cy="1209675"/>
        </a:xfrm>
        <a:prstGeom prst="ellipse">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ja-JP" altLang="en-US" sz="1100"/>
        </a:p>
      </xdr:txBody>
    </xdr:sp>
    <xdr:clientData/>
  </xdr:twoCellAnchor>
  <xdr:twoCellAnchor>
    <xdr:from>
      <xdr:col>3</xdr:col>
      <xdr:colOff>247650</xdr:colOff>
      <xdr:row>6</xdr:row>
      <xdr:rowOff>82550</xdr:rowOff>
    </xdr:from>
    <xdr:to>
      <xdr:col>5</xdr:col>
      <xdr:colOff>95250</xdr:colOff>
      <xdr:row>11</xdr:row>
      <xdr:rowOff>92075</xdr:rowOff>
    </xdr:to>
    <xdr:sp>
      <xdr:nvSpPr>
        <xdr:cNvPr id="5" name="四角形 4"/>
        <xdr:cNvSpPr/>
      </xdr:nvSpPr>
      <xdr:spPr>
        <a:xfrm>
          <a:off x="2305050" y="1511300"/>
          <a:ext cx="1219200" cy="1200150"/>
        </a:xfrm>
        <a:prstGeom prst="rect">
          <a:avLst/>
        </a:prstGeom>
        <a:noFill/>
        <a:ln>
          <a:solidFill>
            <a:schemeClr val="tx1"/>
          </a:solidFill>
        </a:ln>
        <a:extLst>
          <a:ext uri="{909E8E84-426E-40DD-AFC4-6F175D3DCCD1}">
            <a14:hiddenFill xmlns:a14="http://schemas.microsoft.com/office/drawing/2010/main">
              <a:solidFill>
                <a:schemeClr val="accent1"/>
              </a:solidFill>
            </a14:hiddenFill>
          </a:ext>
        </a:extLst>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ja-JP" altLang="en-US" sz="1100"/>
        </a:p>
      </xdr:txBody>
    </xdr:sp>
    <xdr:clientData/>
  </xdr:twoCellAnchor>
  <xdr:twoCellAnchor>
    <xdr:from>
      <xdr:col>4</xdr:col>
      <xdr:colOff>561975</xdr:colOff>
      <xdr:row>3</xdr:row>
      <xdr:rowOff>57150</xdr:rowOff>
    </xdr:from>
    <xdr:to>
      <xdr:col>5</xdr:col>
      <xdr:colOff>400050</xdr:colOff>
      <xdr:row>6</xdr:row>
      <xdr:rowOff>85725</xdr:rowOff>
    </xdr:to>
    <xdr:cxnSp>
      <xdr:nvCxnSpPr>
        <xdr:cNvPr id="6" name="直線コネクタ 5"/>
        <xdr:cNvCxnSpPr/>
      </xdr:nvCxnSpPr>
      <xdr:spPr>
        <a:xfrm flipH="1">
          <a:off x="3305175" y="771525"/>
          <a:ext cx="523875" cy="742950"/>
        </a:xfrm>
        <a:prstGeom prst="line">
          <a:avLst/>
        </a:prstGeom>
        <a:ln>
          <a:solidFill>
            <a:sysClr val="windowText" lastClr="000000"/>
          </a:solidFill>
        </a:ln>
      </xdr:spPr>
      <xdr:style>
        <a:lnRef idx="2">
          <a:schemeClr val="accent1"/>
        </a:lnRef>
        <a:fillRef idx="0">
          <a:srgbClr val="FFFFFF"/>
        </a:fillRef>
        <a:effectRef idx="0">
          <a:srgbClr val="FFFFFF"/>
        </a:effectRef>
        <a:fontRef idx="minor">
          <a:schemeClr val="tx1"/>
        </a:fontRef>
      </xdr:style>
    </xdr:cxnSp>
    <xdr:clientData/>
  </xdr:twoCellAnchor>
  <xdr:twoCellAnchor>
    <xdr:from>
      <xdr:col>5</xdr:col>
      <xdr:colOff>355600</xdr:colOff>
      <xdr:row>6</xdr:row>
      <xdr:rowOff>123825</xdr:rowOff>
    </xdr:from>
    <xdr:to>
      <xdr:col>6</xdr:col>
      <xdr:colOff>57150</xdr:colOff>
      <xdr:row>7</xdr:row>
      <xdr:rowOff>79375</xdr:rowOff>
    </xdr:to>
    <xdr:cxnSp>
      <xdr:nvCxnSpPr>
        <xdr:cNvPr id="7" name="直線コネクタ 6"/>
        <xdr:cNvCxnSpPr/>
      </xdr:nvCxnSpPr>
      <xdr:spPr>
        <a:xfrm flipH="1">
          <a:off x="3784600" y="1552575"/>
          <a:ext cx="387350" cy="193675"/>
        </a:xfrm>
        <a:prstGeom prst="line">
          <a:avLst/>
        </a:prstGeom>
        <a:ln>
          <a:solidFill>
            <a:sysClr val="windowText" lastClr="000000"/>
          </a:solidFill>
        </a:ln>
      </xdr:spPr>
      <xdr:style>
        <a:lnRef idx="2">
          <a:schemeClr val="accent1"/>
        </a:lnRef>
        <a:fillRef idx="0">
          <a:srgbClr val="FFFFFF"/>
        </a:fillRef>
        <a:effectRef idx="0">
          <a:srgbClr val="FFFFFF"/>
        </a:effectRef>
        <a:fontRef idx="minor">
          <a:schemeClr val="tx1"/>
        </a:fontRef>
      </xdr:style>
    </xdr:cxnSp>
    <xdr:clientData/>
  </xdr:twoCellAnchor>
  <xdr:twoCellAnchor>
    <xdr:from>
      <xdr:col>3</xdr:col>
      <xdr:colOff>247650</xdr:colOff>
      <xdr:row>11</xdr:row>
      <xdr:rowOff>171450</xdr:rowOff>
    </xdr:from>
    <xdr:to>
      <xdr:col>3</xdr:col>
      <xdr:colOff>247650</xdr:colOff>
      <xdr:row>15</xdr:row>
      <xdr:rowOff>19050</xdr:rowOff>
    </xdr:to>
    <xdr:cxnSp>
      <xdr:nvCxnSpPr>
        <xdr:cNvPr id="8" name="直線コネクタ 7"/>
        <xdr:cNvCxnSpPr/>
      </xdr:nvCxnSpPr>
      <xdr:spPr>
        <a:xfrm>
          <a:off x="2305050" y="2790825"/>
          <a:ext cx="0" cy="800100"/>
        </a:xfrm>
        <a:prstGeom prst="line">
          <a:avLst/>
        </a:prstGeom>
        <a:ln>
          <a:solidFill>
            <a:schemeClr val="tx1"/>
          </a:solidFill>
        </a:ln>
      </xdr:spPr>
      <xdr:style>
        <a:lnRef idx="2">
          <a:schemeClr val="accent1"/>
        </a:lnRef>
        <a:fillRef idx="0">
          <a:srgbClr val="FFFFFF"/>
        </a:fillRef>
        <a:effectRef idx="0">
          <a:srgbClr val="FFFFFF"/>
        </a:effectRef>
        <a:fontRef idx="minor">
          <a:schemeClr val="tx1"/>
        </a:fontRef>
      </xdr:style>
    </xdr:cxnSp>
    <xdr:clientData/>
  </xdr:twoCellAnchor>
  <xdr:twoCellAnchor>
    <xdr:from>
      <xdr:col>5</xdr:col>
      <xdr:colOff>98425</xdr:colOff>
      <xdr:row>11</xdr:row>
      <xdr:rowOff>136525</xdr:rowOff>
    </xdr:from>
    <xdr:to>
      <xdr:col>5</xdr:col>
      <xdr:colOff>98425</xdr:colOff>
      <xdr:row>14</xdr:row>
      <xdr:rowOff>222250</xdr:rowOff>
    </xdr:to>
    <xdr:cxnSp>
      <xdr:nvCxnSpPr>
        <xdr:cNvPr id="9" name="直線コネクタ 8"/>
        <xdr:cNvCxnSpPr/>
      </xdr:nvCxnSpPr>
      <xdr:spPr>
        <a:xfrm>
          <a:off x="3527425" y="2755900"/>
          <a:ext cx="0" cy="800100"/>
        </a:xfrm>
        <a:prstGeom prst="line">
          <a:avLst/>
        </a:prstGeom>
        <a:ln>
          <a:solidFill>
            <a:schemeClr val="tx1"/>
          </a:solidFill>
        </a:ln>
      </xdr:spPr>
      <xdr:style>
        <a:lnRef idx="2">
          <a:schemeClr val="accent1"/>
        </a:lnRef>
        <a:fillRef idx="0">
          <a:srgbClr val="FFFFFF"/>
        </a:fillRef>
        <a:effectRef idx="0">
          <a:srgbClr val="FFFFFF"/>
        </a:effectRef>
        <a:fontRef idx="minor">
          <a:schemeClr val="tx1"/>
        </a:fontRef>
      </xdr:style>
    </xdr:cxnSp>
    <xdr:clientData/>
  </xdr:twoCellAnchor>
  <xdr:twoCellAnchor>
    <xdr:from>
      <xdr:col>5</xdr:col>
      <xdr:colOff>358775</xdr:colOff>
      <xdr:row>13</xdr:row>
      <xdr:rowOff>15875</xdr:rowOff>
    </xdr:from>
    <xdr:to>
      <xdr:col>5</xdr:col>
      <xdr:colOff>358775</xdr:colOff>
      <xdr:row>16</xdr:row>
      <xdr:rowOff>101600</xdr:rowOff>
    </xdr:to>
    <xdr:cxnSp>
      <xdr:nvCxnSpPr>
        <xdr:cNvPr id="10" name="直線コネクタ 9"/>
        <xdr:cNvCxnSpPr/>
      </xdr:nvCxnSpPr>
      <xdr:spPr>
        <a:xfrm>
          <a:off x="3787775" y="3111500"/>
          <a:ext cx="0" cy="800100"/>
        </a:xfrm>
        <a:prstGeom prst="line">
          <a:avLst/>
        </a:prstGeom>
        <a:ln>
          <a:solidFill>
            <a:schemeClr val="tx1"/>
          </a:solidFill>
        </a:ln>
      </xdr:spPr>
      <xdr:style>
        <a:lnRef idx="2">
          <a:schemeClr val="accent1"/>
        </a:lnRef>
        <a:fillRef idx="0">
          <a:srgbClr val="FFFFFF"/>
        </a:fillRef>
        <a:effectRef idx="0">
          <a:srgbClr val="FFFFFF"/>
        </a:effectRef>
        <a:fontRef idx="minor">
          <a:schemeClr val="tx1"/>
        </a:fontRef>
      </xdr:style>
    </xdr:cxnSp>
    <xdr:clientData/>
  </xdr:twoCellAnchor>
  <xdr:twoCellAnchor>
    <xdr:from>
      <xdr:col>3</xdr:col>
      <xdr:colOff>9525</xdr:colOff>
      <xdr:row>13</xdr:row>
      <xdr:rowOff>28575</xdr:rowOff>
    </xdr:from>
    <xdr:to>
      <xdr:col>3</xdr:col>
      <xdr:colOff>9525</xdr:colOff>
      <xdr:row>16</xdr:row>
      <xdr:rowOff>114300</xdr:rowOff>
    </xdr:to>
    <xdr:cxnSp>
      <xdr:nvCxnSpPr>
        <xdr:cNvPr id="11" name="直線コネクタ 10"/>
        <xdr:cNvCxnSpPr/>
      </xdr:nvCxnSpPr>
      <xdr:spPr>
        <a:xfrm>
          <a:off x="2066925" y="3124200"/>
          <a:ext cx="0" cy="800100"/>
        </a:xfrm>
        <a:prstGeom prst="line">
          <a:avLst/>
        </a:prstGeom>
        <a:ln>
          <a:solidFill>
            <a:schemeClr val="tx1"/>
          </a:solidFill>
        </a:ln>
      </xdr:spPr>
      <xdr:style>
        <a:lnRef idx="2">
          <a:schemeClr val="accent1"/>
        </a:lnRef>
        <a:fillRef idx="0">
          <a:srgbClr val="FFFFFF"/>
        </a:fillRef>
        <a:effectRef idx="0">
          <a:srgbClr val="FFFFFF"/>
        </a:effectRef>
        <a:fontRef idx="minor">
          <a:schemeClr val="tx1"/>
        </a:fontRef>
      </xdr:style>
    </xdr:cxnSp>
    <xdr:clientData/>
  </xdr:twoCellAnchor>
  <xdr:twoCellAnchor>
    <xdr:from>
      <xdr:col>3</xdr:col>
      <xdr:colOff>247650</xdr:colOff>
      <xdr:row>13</xdr:row>
      <xdr:rowOff>219075</xdr:rowOff>
    </xdr:from>
    <xdr:to>
      <xdr:col>5</xdr:col>
      <xdr:colOff>95250</xdr:colOff>
      <xdr:row>13</xdr:row>
      <xdr:rowOff>219075</xdr:rowOff>
    </xdr:to>
    <xdr:cxnSp>
      <xdr:nvCxnSpPr>
        <xdr:cNvPr id="12" name="直線矢印コネクタ 11"/>
        <xdr:cNvCxnSpPr/>
      </xdr:nvCxnSpPr>
      <xdr:spPr>
        <a:xfrm>
          <a:off x="2305050" y="3314700"/>
          <a:ext cx="1219200" cy="0"/>
        </a:xfrm>
        <a:prstGeom prst="straightConnector1">
          <a:avLst/>
        </a:prstGeom>
        <a:ln>
          <a:headEnd type="arrow"/>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3</xdr:col>
      <xdr:colOff>12700</xdr:colOff>
      <xdr:row>16</xdr:row>
      <xdr:rowOff>0</xdr:rowOff>
    </xdr:from>
    <xdr:to>
      <xdr:col>5</xdr:col>
      <xdr:colOff>352425</xdr:colOff>
      <xdr:row>16</xdr:row>
      <xdr:rowOff>0</xdr:rowOff>
    </xdr:to>
    <xdr:cxnSp>
      <xdr:nvCxnSpPr>
        <xdr:cNvPr id="13" name="直線矢印コネクタ 12"/>
        <xdr:cNvCxnSpPr/>
      </xdr:nvCxnSpPr>
      <xdr:spPr>
        <a:xfrm>
          <a:off x="2070100" y="3810000"/>
          <a:ext cx="1711325" cy="0"/>
        </a:xfrm>
        <a:prstGeom prst="straightConnector1">
          <a:avLst/>
        </a:prstGeom>
        <a:ln>
          <a:headEnd type="arrow"/>
          <a:tailEnd type="arrow"/>
        </a:ln>
      </xdr:spPr>
      <xdr:style>
        <a:lnRef idx="2">
          <a:schemeClr val="accent1"/>
        </a:lnRef>
        <a:fillRef idx="0">
          <a:srgbClr val="FFFFFF"/>
        </a:fillRef>
        <a:effectRef idx="0">
          <a:srgbClr val="FFFFFF"/>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69"/>
  <sheetViews>
    <sheetView topLeftCell="A9" workbookViewId="0">
      <selection activeCell="G69" sqref="G69"/>
    </sheetView>
  </sheetViews>
  <sheetFormatPr defaultColWidth="9" defaultRowHeight="18.75"/>
  <cols>
    <col min="1" max="1" width="21" customWidth="1"/>
    <col min="2" max="2" width="16.5" style="3"/>
    <col min="3" max="3" width="12.625"/>
    <col min="5" max="5" width="11"/>
    <col min="6" max="6" width="11.5"/>
    <col min="7" max="7" width="12.625"/>
    <col min="8" max="8" width="11"/>
    <col min="9" max="9" width="9.875"/>
  </cols>
  <sheetData>
    <row r="1" spans="2:3">
      <c r="B1" s="3" t="s">
        <v>0</v>
      </c>
      <c r="C1" t="s">
        <v>1</v>
      </c>
    </row>
    <row r="2" spans="1:5">
      <c r="A2" s="4" t="s">
        <v>2</v>
      </c>
      <c r="B2" s="5">
        <v>946</v>
      </c>
      <c r="C2" s="4">
        <v>9.393</v>
      </c>
      <c r="D2" s="4">
        <v>20</v>
      </c>
      <c r="E2" t="s">
        <v>3</v>
      </c>
    </row>
    <row r="3" spans="1:5">
      <c r="A3" s="4" t="s">
        <v>4</v>
      </c>
      <c r="B3" s="5">
        <v>1208</v>
      </c>
      <c r="C3" s="4">
        <v>1.52</v>
      </c>
      <c r="D3" s="4">
        <v>21</v>
      </c>
      <c r="E3" t="s">
        <v>3</v>
      </c>
    </row>
    <row r="4" s="10" customFormat="1" spans="1:2">
      <c r="A4" s="10" t="s">
        <v>5</v>
      </c>
      <c r="B4" s="11">
        <v>1430</v>
      </c>
    </row>
    <row r="5" spans="1:5">
      <c r="A5" s="4" t="s">
        <v>6</v>
      </c>
      <c r="B5" s="5">
        <v>2326</v>
      </c>
      <c r="C5" s="4">
        <v>1.6466</v>
      </c>
      <c r="D5" s="4">
        <v>22</v>
      </c>
      <c r="E5" t="s">
        <v>3</v>
      </c>
    </row>
    <row r="6" spans="1:5">
      <c r="A6" s="4" t="s">
        <v>7</v>
      </c>
      <c r="B6" s="5">
        <v>2370</v>
      </c>
      <c r="C6" s="4">
        <v>1.3</v>
      </c>
      <c r="D6" s="4">
        <v>22</v>
      </c>
      <c r="E6" t="s">
        <v>3</v>
      </c>
    </row>
    <row r="7" spans="1:5">
      <c r="A7" s="4" t="s">
        <v>8</v>
      </c>
      <c r="B7" s="5">
        <v>3474.3</v>
      </c>
      <c r="C7" s="4">
        <v>7.347673</v>
      </c>
      <c r="D7" s="4">
        <v>22</v>
      </c>
      <c r="E7" t="s">
        <v>3</v>
      </c>
    </row>
    <row r="8" spans="1:5">
      <c r="A8" s="4" t="s">
        <v>9</v>
      </c>
      <c r="B8" s="5">
        <v>4879.4</v>
      </c>
      <c r="C8" s="4">
        <v>3.301</v>
      </c>
      <c r="D8" s="4">
        <v>23</v>
      </c>
      <c r="E8" t="s">
        <v>3</v>
      </c>
    </row>
    <row r="9" spans="1:5">
      <c r="A9" s="4" t="s">
        <v>10</v>
      </c>
      <c r="B9" s="5">
        <v>6794.4</v>
      </c>
      <c r="C9" s="4">
        <v>6.4171</v>
      </c>
      <c r="D9" s="4">
        <v>23</v>
      </c>
      <c r="E9" t="s">
        <v>3</v>
      </c>
    </row>
    <row r="10" s="2" customFormat="1" spans="1:5">
      <c r="A10" s="9" t="s">
        <v>11</v>
      </c>
      <c r="B10" s="8">
        <f>0.0084*B29</f>
        <v>11692.8</v>
      </c>
      <c r="C10" s="8">
        <f>0.978*C29</f>
        <v>1.9453398</v>
      </c>
      <c r="D10" s="9">
        <v>30</v>
      </c>
      <c r="E10" s="2" t="s">
        <v>12</v>
      </c>
    </row>
    <row r="11" spans="1:5">
      <c r="A11" s="4" t="s">
        <v>13</v>
      </c>
      <c r="B11" s="5">
        <v>12103.6</v>
      </c>
      <c r="C11" s="4">
        <v>4.8673</v>
      </c>
      <c r="D11" s="4">
        <v>24</v>
      </c>
      <c r="E11" t="s">
        <v>3</v>
      </c>
    </row>
    <row r="12" spans="1:5">
      <c r="A12" s="4" t="s">
        <v>14</v>
      </c>
      <c r="B12" s="5">
        <v>12756.274</v>
      </c>
      <c r="C12" s="4">
        <v>5.972</v>
      </c>
      <c r="D12" s="4">
        <v>24</v>
      </c>
      <c r="E12" t="s">
        <v>3</v>
      </c>
    </row>
    <row r="13" s="2" customFormat="1" spans="1:5">
      <c r="A13" s="9" t="s">
        <v>15</v>
      </c>
      <c r="B13" s="8">
        <f>B12*1.63</f>
        <v>20792.72662</v>
      </c>
      <c r="C13" s="8">
        <f>C12*3.29/10</f>
        <v>1.964788</v>
      </c>
      <c r="D13" s="9">
        <v>25</v>
      </c>
      <c r="E13" s="2" t="s">
        <v>16</v>
      </c>
    </row>
    <row r="14" s="2" customFormat="1" spans="1:9">
      <c r="A14" s="9" t="s">
        <v>17</v>
      </c>
      <c r="B14" s="8">
        <v>26022</v>
      </c>
      <c r="C14" s="9">
        <f>7.8*C12/10</f>
        <v>4.65816</v>
      </c>
      <c r="D14" s="9">
        <v>25</v>
      </c>
      <c r="E14" s="2" t="s">
        <v>18</v>
      </c>
      <c r="I14" s="2" t="s">
        <v>19</v>
      </c>
    </row>
    <row r="15" s="2" customFormat="1" spans="1:5">
      <c r="A15" s="9" t="s">
        <v>20</v>
      </c>
      <c r="B15" s="8">
        <v>29388</v>
      </c>
      <c r="C15" s="9">
        <f>35.1*C12/100</f>
        <v>2.096172</v>
      </c>
      <c r="D15" s="9">
        <v>26</v>
      </c>
      <c r="E15" s="2" t="s">
        <v>21</v>
      </c>
    </row>
    <row r="16" spans="1:8">
      <c r="A16" s="4" t="s">
        <v>22</v>
      </c>
      <c r="B16" s="5">
        <f>2*24764</f>
        <v>49528</v>
      </c>
      <c r="C16" s="4">
        <v>1.02413</v>
      </c>
      <c r="D16" s="4">
        <v>26</v>
      </c>
      <c r="E16" t="s">
        <v>3</v>
      </c>
      <c r="G16" s="6"/>
      <c r="H16" s="2"/>
    </row>
    <row r="17" spans="1:8">
      <c r="A17" s="4" t="s">
        <v>23</v>
      </c>
      <c r="B17" s="5">
        <f>25559*2</f>
        <v>51118</v>
      </c>
      <c r="C17" s="4">
        <v>8.6811</v>
      </c>
      <c r="D17" s="4">
        <v>25</v>
      </c>
      <c r="E17" t="s">
        <v>3</v>
      </c>
      <c r="H17" s="2"/>
    </row>
    <row r="18" spans="1:9">
      <c r="A18" s="9" t="s">
        <v>24</v>
      </c>
      <c r="B18" s="8">
        <f>4.327*B12</f>
        <v>55196.397598</v>
      </c>
      <c r="C18" s="8">
        <f>22.2*C12/100</f>
        <v>1.325784</v>
      </c>
      <c r="D18" s="9">
        <v>26</v>
      </c>
      <c r="E18" t="s">
        <v>25</v>
      </c>
      <c r="H18" s="2"/>
      <c r="I18" t="s">
        <v>26</v>
      </c>
    </row>
    <row r="19" s="2" customFormat="1" spans="1:9">
      <c r="A19" s="9" t="s">
        <v>27</v>
      </c>
      <c r="B19" s="8">
        <v>60339.248</v>
      </c>
      <c r="C19" s="9">
        <f>0.081*C22*10</f>
        <v>1.537866</v>
      </c>
      <c r="D19" s="9">
        <v>26</v>
      </c>
      <c r="E19" s="2" t="s">
        <v>28</v>
      </c>
      <c r="H19" s="6"/>
      <c r="I19"/>
    </row>
    <row r="20" s="2" customFormat="1" spans="1:10">
      <c r="A20" s="10" t="s">
        <v>29</v>
      </c>
      <c r="B20" s="11">
        <v>93654</v>
      </c>
      <c r="C20" s="10"/>
      <c r="D20" s="10"/>
      <c r="E20" s="2" t="s">
        <v>30</v>
      </c>
      <c r="F20" s="2" t="s">
        <v>31</v>
      </c>
      <c r="G20" s="2" t="s">
        <v>31</v>
      </c>
      <c r="H20" s="2" t="s">
        <v>32</v>
      </c>
      <c r="I20" s="2" t="s">
        <v>33</v>
      </c>
      <c r="J20" s="2" t="s">
        <v>34</v>
      </c>
    </row>
    <row r="21" spans="1:7">
      <c r="A21" s="4" t="s">
        <v>35</v>
      </c>
      <c r="B21" s="5">
        <v>120536</v>
      </c>
      <c r="C21" s="4">
        <v>5.688</v>
      </c>
      <c r="D21" s="4">
        <v>26</v>
      </c>
      <c r="E21" t="s">
        <v>3</v>
      </c>
      <c r="G21" s="2"/>
    </row>
    <row r="22" spans="1:5">
      <c r="A22" s="4" t="s">
        <v>36</v>
      </c>
      <c r="B22" s="5">
        <v>142984</v>
      </c>
      <c r="C22" s="4">
        <v>1.8986</v>
      </c>
      <c r="D22" s="4">
        <v>27</v>
      </c>
      <c r="E22" t="s">
        <v>3</v>
      </c>
    </row>
    <row r="23" spans="1:5">
      <c r="A23" s="9" t="s">
        <v>37</v>
      </c>
      <c r="B23" s="8">
        <f>0.12*B29</f>
        <v>167040</v>
      </c>
      <c r="C23" s="9">
        <f>0.09*C29*10</f>
        <v>1.79019</v>
      </c>
      <c r="D23" s="9">
        <v>29</v>
      </c>
      <c r="E23" t="s">
        <v>38</v>
      </c>
    </row>
    <row r="24" spans="1:5">
      <c r="A24" s="9" t="s">
        <v>39</v>
      </c>
      <c r="B24" s="8">
        <f>1.991*B22</f>
        <v>284681.144</v>
      </c>
      <c r="C24" s="8">
        <f>0.486*C22*10</f>
        <v>9.227196</v>
      </c>
      <c r="D24" s="9">
        <v>26</v>
      </c>
      <c r="E24" t="s">
        <v>40</v>
      </c>
    </row>
    <row r="25" s="10" customFormat="1" spans="1:16">
      <c r="A25" s="10" t="s">
        <v>41</v>
      </c>
      <c r="B25" s="11">
        <v>224000</v>
      </c>
      <c r="C25" s="10">
        <f>0.159*C29*10</f>
        <v>3.162669</v>
      </c>
      <c r="D25" s="10">
        <v>29</v>
      </c>
      <c r="E25" s="10" t="s">
        <v>42</v>
      </c>
      <c r="G25" s="10" t="s">
        <v>43</v>
      </c>
      <c r="H25" s="11">
        <f>2*C22/3</f>
        <v>1.26573333333333</v>
      </c>
      <c r="J25" s="10" t="s">
        <v>44</v>
      </c>
      <c r="L25" s="10" t="s">
        <v>45</v>
      </c>
      <c r="N25" s="10" t="s">
        <v>46</v>
      </c>
      <c r="P25" s="10" t="s">
        <v>47</v>
      </c>
    </row>
    <row r="26" spans="1:13">
      <c r="A26" s="9" t="s">
        <v>48</v>
      </c>
      <c r="B26" s="8">
        <v>547060</v>
      </c>
      <c r="C26" s="9">
        <f>0.46*C29*10</f>
        <v>9.14986</v>
      </c>
      <c r="D26" s="9">
        <v>29</v>
      </c>
      <c r="E26" t="s">
        <v>49</v>
      </c>
      <c r="G26" t="s">
        <v>50</v>
      </c>
      <c r="I26" t="s">
        <v>51</v>
      </c>
      <c r="K26" t="s">
        <v>52</v>
      </c>
      <c r="M26" t="s">
        <v>52</v>
      </c>
    </row>
    <row r="27" spans="1:9">
      <c r="A27" s="9" t="s">
        <v>53</v>
      </c>
      <c r="B27" s="8">
        <f>0.52*B29</f>
        <v>723840</v>
      </c>
      <c r="C27" s="9">
        <f>16.1*C29/10</f>
        <v>3.202451</v>
      </c>
      <c r="D27" s="9">
        <v>31</v>
      </c>
      <c r="E27" t="s">
        <v>54</v>
      </c>
      <c r="G27" t="s">
        <v>55</v>
      </c>
      <c r="I27" t="s">
        <v>56</v>
      </c>
    </row>
    <row r="28" s="10" customFormat="1" spans="1:7">
      <c r="A28" s="10" t="s">
        <v>57</v>
      </c>
      <c r="B28" s="11">
        <v>900000</v>
      </c>
      <c r="E28" s="10" t="s">
        <v>58</v>
      </c>
      <c r="G28" s="10" t="s">
        <v>59</v>
      </c>
    </row>
    <row r="29" spans="1:5">
      <c r="A29" s="4" t="s">
        <v>60</v>
      </c>
      <c r="B29" s="5">
        <v>1392000</v>
      </c>
      <c r="C29" s="4">
        <v>1.9891</v>
      </c>
      <c r="D29" s="4">
        <v>30</v>
      </c>
      <c r="E29" t="s">
        <v>3</v>
      </c>
    </row>
    <row r="30" spans="1:5">
      <c r="A30" s="9" t="s">
        <v>61</v>
      </c>
      <c r="B30" s="8">
        <v>2381712</v>
      </c>
      <c r="C30" s="8">
        <f>2.02*C29</f>
        <v>4.017982</v>
      </c>
      <c r="D30" s="9">
        <v>30</v>
      </c>
      <c r="E30" t="s">
        <v>62</v>
      </c>
    </row>
    <row r="31" spans="1:2">
      <c r="A31" s="9" t="s">
        <v>63</v>
      </c>
      <c r="B31" s="8">
        <v>3800000</v>
      </c>
    </row>
    <row r="32" spans="1:2">
      <c r="A32" s="9" t="s">
        <v>64</v>
      </c>
      <c r="B32" s="8">
        <v>5800000</v>
      </c>
    </row>
    <row r="33" spans="1:2">
      <c r="A33" s="9" t="s">
        <v>65</v>
      </c>
      <c r="B33" s="8">
        <f>2*5.96*6.96*(100000)</f>
        <v>8296320</v>
      </c>
    </row>
    <row r="34" spans="1:2">
      <c r="A34" s="9" t="s">
        <v>66</v>
      </c>
      <c r="B34" s="8">
        <v>12200000</v>
      </c>
    </row>
    <row r="35" spans="1:5">
      <c r="A35" s="9" t="s">
        <v>67</v>
      </c>
      <c r="B35" s="8">
        <v>16800000</v>
      </c>
      <c r="C35" s="12"/>
      <c r="D35" s="12" t="s">
        <v>68</v>
      </c>
      <c r="E35" s="12">
        <v>19000000</v>
      </c>
    </row>
    <row r="36" spans="1:9">
      <c r="A36" s="10" t="s">
        <v>69</v>
      </c>
      <c r="B36" s="11">
        <v>19000000</v>
      </c>
      <c r="C36" s="11"/>
      <c r="D36" s="10"/>
      <c r="F36" t="s">
        <v>70</v>
      </c>
      <c r="H36" t="s">
        <v>71</v>
      </c>
      <c r="I36" t="s">
        <v>72</v>
      </c>
    </row>
    <row r="37" spans="1:5">
      <c r="A37" s="9" t="s">
        <v>73</v>
      </c>
      <c r="B37" s="8">
        <v>28000000</v>
      </c>
      <c r="C37" s="12"/>
      <c r="D37" s="12"/>
      <c r="E37" s="12"/>
    </row>
    <row r="38" spans="1:2">
      <c r="A38" s="9" t="s">
        <v>74</v>
      </c>
      <c r="B38" s="8">
        <v>35300000</v>
      </c>
    </row>
    <row r="39" spans="1:3">
      <c r="A39" s="9" t="s">
        <v>75</v>
      </c>
      <c r="B39" s="8">
        <v>44000000</v>
      </c>
      <c r="C39" t="s">
        <v>76</v>
      </c>
    </row>
    <row r="40" spans="1:2">
      <c r="A40" s="9" t="s">
        <v>77</v>
      </c>
      <c r="B40" s="8">
        <v>61400000</v>
      </c>
    </row>
    <row r="41" spans="1:2">
      <c r="A41" s="9" t="s">
        <v>78</v>
      </c>
      <c r="B41" s="8">
        <v>78300000</v>
      </c>
    </row>
    <row r="42" spans="1:2">
      <c r="A42" s="9" t="s">
        <v>79</v>
      </c>
      <c r="B42" s="8">
        <v>109828800</v>
      </c>
    </row>
    <row r="43" spans="1:5">
      <c r="A43" s="9" t="s">
        <v>80</v>
      </c>
      <c r="B43" s="8">
        <v>132183000</v>
      </c>
      <c r="C43" s="2"/>
      <c r="D43" s="2"/>
      <c r="E43" s="2"/>
    </row>
    <row r="44" spans="1:5">
      <c r="A44" s="9" t="s">
        <v>81</v>
      </c>
      <c r="B44" s="8">
        <v>257409000</v>
      </c>
      <c r="C44" s="2"/>
      <c r="D44" s="2"/>
      <c r="E44" s="2"/>
    </row>
    <row r="45" spans="1:6">
      <c r="A45" s="9" t="s">
        <v>82</v>
      </c>
      <c r="B45" s="8">
        <v>282576000</v>
      </c>
      <c r="C45" s="2"/>
      <c r="D45" s="2"/>
      <c r="E45" s="2"/>
      <c r="F45" s="2"/>
    </row>
    <row r="46" spans="1:6">
      <c r="A46" s="9" t="s">
        <v>83</v>
      </c>
      <c r="B46" s="8">
        <v>283000000</v>
      </c>
      <c r="C46" s="2"/>
      <c r="D46" s="2"/>
      <c r="E46" s="2"/>
      <c r="F46" s="2"/>
    </row>
    <row r="47" s="10" customFormat="1" spans="1:11">
      <c r="A47" s="10" t="s">
        <v>84</v>
      </c>
      <c r="B47" s="11">
        <v>300000000</v>
      </c>
      <c r="C47" s="10" t="s">
        <v>76</v>
      </c>
      <c r="D47" s="10" t="s">
        <v>85</v>
      </c>
      <c r="F47" s="10" t="s">
        <v>86</v>
      </c>
      <c r="H47" s="10" t="s">
        <v>87</v>
      </c>
      <c r="I47" s="10" t="s">
        <v>88</v>
      </c>
      <c r="J47" s="10" t="s">
        <v>89</v>
      </c>
      <c r="K47" s="10" t="s">
        <v>90</v>
      </c>
    </row>
    <row r="48" s="10" customFormat="1" spans="1:12">
      <c r="A48" s="10" t="s">
        <v>91</v>
      </c>
      <c r="B48" s="11">
        <v>425000000</v>
      </c>
      <c r="D48" s="10">
        <v>2.6</v>
      </c>
      <c r="F48" s="10" t="s">
        <v>92</v>
      </c>
      <c r="H48" s="10" t="s">
        <v>93</v>
      </c>
      <c r="I48" s="10" t="s">
        <v>94</v>
      </c>
      <c r="J48" s="10" t="s">
        <v>94</v>
      </c>
      <c r="L48" s="10" t="s">
        <v>95</v>
      </c>
    </row>
    <row r="49" spans="1:5">
      <c r="A49" s="9" t="s">
        <v>96</v>
      </c>
      <c r="B49" s="8">
        <f>695700*402*2</f>
        <v>559342800</v>
      </c>
      <c r="D49">
        <v>5.1</v>
      </c>
      <c r="E49" t="e">
        <f>D49*#REF!</f>
        <v>#REF!</v>
      </c>
    </row>
    <row r="50" spans="1:2">
      <c r="A50" s="9" t="s">
        <v>97</v>
      </c>
      <c r="B50" s="8">
        <v>946000000</v>
      </c>
    </row>
    <row r="51" spans="1:2">
      <c r="A51" s="9" t="s">
        <v>98</v>
      </c>
      <c r="B51" s="8">
        <v>1550000000</v>
      </c>
    </row>
    <row r="52" spans="1:2">
      <c r="A52" s="9" t="s">
        <v>99</v>
      </c>
      <c r="B52" s="8" t="s">
        <v>100</v>
      </c>
    </row>
    <row r="53" spans="1:7">
      <c r="A53" s="9" t="s">
        <v>101</v>
      </c>
      <c r="B53" s="8" t="s">
        <v>102</v>
      </c>
      <c r="G53">
        <f>473/0.83</f>
        <v>569.879518072289</v>
      </c>
    </row>
    <row r="55" spans="7:7">
      <c r="G55">
        <f>447/0.83</f>
        <v>538.55421686747</v>
      </c>
    </row>
    <row r="59" spans="7:7">
      <c r="G59">
        <f>468/0.83</f>
        <v>563.855421686747</v>
      </c>
    </row>
    <row r="60" spans="7:7">
      <c r="G60">
        <f>484/0.83</f>
        <v>583.132530120482</v>
      </c>
    </row>
    <row r="61" spans="7:7">
      <c r="G61">
        <f>425/0.83</f>
        <v>512.048192771084</v>
      </c>
    </row>
    <row r="62" spans="6:7">
      <c r="F62">
        <f>343/0.83</f>
        <v>413.253012048193</v>
      </c>
      <c r="G62">
        <f>500/0.83</f>
        <v>602.409638554217</v>
      </c>
    </row>
    <row r="63" spans="7:7">
      <c r="G63">
        <f>382/0.83</f>
        <v>460.240963855422</v>
      </c>
    </row>
    <row r="66" spans="7:7">
      <c r="G66">
        <f>555/0.83</f>
        <v>668.674698795181</v>
      </c>
    </row>
    <row r="69" spans="7:7">
      <c r="G69">
        <f>500*0.83</f>
        <v>415</v>
      </c>
    </row>
  </sheetData>
  <autoFilter ref="A1:D53">
    <sortState ref="A1:D53">
      <sortCondition ref="B1"/>
    </sortState>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7"/>
  <sheetViews>
    <sheetView topLeftCell="A32" workbookViewId="0">
      <selection activeCell="A32" sqref="A32"/>
    </sheetView>
  </sheetViews>
  <sheetFormatPr defaultColWidth="9" defaultRowHeight="18.75"/>
  <cols>
    <col min="1" max="1" width="21" customWidth="1"/>
    <col min="2" max="2" width="16.5" style="3"/>
    <col min="3" max="3" width="14.875"/>
    <col min="5" max="5" width="9" style="2"/>
    <col min="6" max="6" width="14.875"/>
    <col min="8" max="8" width="12.625"/>
    <col min="9" max="9" width="11"/>
    <col min="10" max="10" width="9.875"/>
    <col min="14" max="14" width="13.75"/>
  </cols>
  <sheetData>
    <row r="1" spans="2:3">
      <c r="B1" s="3" t="s">
        <v>0</v>
      </c>
      <c r="C1" t="s">
        <v>1</v>
      </c>
    </row>
    <row r="2" spans="1:6">
      <c r="A2" s="4" t="s">
        <v>2</v>
      </c>
      <c r="B2" s="5">
        <v>946</v>
      </c>
      <c r="C2" s="4">
        <v>9.393</v>
      </c>
      <c r="D2" s="4">
        <v>20</v>
      </c>
      <c r="F2" t="s">
        <v>3</v>
      </c>
    </row>
    <row r="3" spans="1:6">
      <c r="A3" s="4" t="s">
        <v>4</v>
      </c>
      <c r="B3" s="5">
        <v>1208</v>
      </c>
      <c r="C3" s="4">
        <v>1.52</v>
      </c>
      <c r="D3" s="4">
        <v>21</v>
      </c>
      <c r="E3" s="6">
        <f>B3/B2</f>
        <v>1.276955602537</v>
      </c>
      <c r="F3" t="s">
        <v>3</v>
      </c>
    </row>
    <row r="4" spans="1:6">
      <c r="A4" s="4" t="s">
        <v>6</v>
      </c>
      <c r="B4" s="5">
        <v>2326</v>
      </c>
      <c r="C4" s="4">
        <v>1.6466</v>
      </c>
      <c r="D4" s="4">
        <v>22</v>
      </c>
      <c r="E4" s="6">
        <f t="shared" ref="E4:E26" si="0">B4/B3</f>
        <v>1.92549668874172</v>
      </c>
      <c r="F4" t="s">
        <v>3</v>
      </c>
    </row>
    <row r="5" spans="1:6">
      <c r="A5" s="4" t="s">
        <v>7</v>
      </c>
      <c r="B5" s="5">
        <v>2370</v>
      </c>
      <c r="C5" s="4">
        <v>1.3</v>
      </c>
      <c r="D5" s="4">
        <v>22</v>
      </c>
      <c r="E5" s="6">
        <f t="shared" si="0"/>
        <v>1.0189165950129</v>
      </c>
      <c r="F5" t="s">
        <v>3</v>
      </c>
    </row>
    <row r="6" spans="1:6">
      <c r="A6" s="4" t="s">
        <v>8</v>
      </c>
      <c r="B6" s="5">
        <v>3474.3</v>
      </c>
      <c r="C6" s="4">
        <v>7.347673</v>
      </c>
      <c r="D6" s="4">
        <v>22</v>
      </c>
      <c r="E6" s="6">
        <f t="shared" si="0"/>
        <v>1.46594936708861</v>
      </c>
      <c r="F6" t="s">
        <v>3</v>
      </c>
    </row>
    <row r="7" spans="1:6">
      <c r="A7" s="4" t="s">
        <v>9</v>
      </c>
      <c r="B7" s="5">
        <v>4879.4</v>
      </c>
      <c r="C7" s="4">
        <v>3.301</v>
      </c>
      <c r="D7" s="4">
        <v>23</v>
      </c>
      <c r="E7" s="6">
        <f t="shared" si="0"/>
        <v>1.40442679100826</v>
      </c>
      <c r="F7" t="s">
        <v>3</v>
      </c>
    </row>
    <row r="8" spans="1:6">
      <c r="A8" s="4" t="s">
        <v>10</v>
      </c>
      <c r="B8" s="5">
        <v>6794.4</v>
      </c>
      <c r="C8" s="4">
        <v>6.4171</v>
      </c>
      <c r="D8" s="4">
        <v>23</v>
      </c>
      <c r="E8" s="6">
        <f t="shared" si="0"/>
        <v>1.39246628683855</v>
      </c>
      <c r="F8" t="s">
        <v>3</v>
      </c>
    </row>
    <row r="9" s="2" customFormat="1" spans="1:6">
      <c r="A9" s="7" t="s">
        <v>11</v>
      </c>
      <c r="B9" s="8">
        <f>0.0084*B25</f>
        <v>11692.8</v>
      </c>
      <c r="C9" s="8">
        <f>0.978*C25</f>
        <v>1.9453398</v>
      </c>
      <c r="D9" s="9">
        <v>30</v>
      </c>
      <c r="E9" s="6">
        <f t="shared" si="0"/>
        <v>1.72094666195691</v>
      </c>
      <c r="F9" s="2" t="s">
        <v>12</v>
      </c>
    </row>
    <row r="10" spans="1:6">
      <c r="A10" s="4" t="s">
        <v>13</v>
      </c>
      <c r="B10" s="5">
        <v>12103.6</v>
      </c>
      <c r="C10" s="4">
        <v>4.8673</v>
      </c>
      <c r="D10" s="4">
        <v>24</v>
      </c>
      <c r="E10" s="6">
        <f t="shared" si="0"/>
        <v>1.03513273125342</v>
      </c>
      <c r="F10" t="s">
        <v>3</v>
      </c>
    </row>
    <row r="11" spans="1:6">
      <c r="A11" s="4" t="s">
        <v>14</v>
      </c>
      <c r="B11" s="5">
        <v>12756.274</v>
      </c>
      <c r="C11" s="4">
        <v>5.972</v>
      </c>
      <c r="D11" s="4">
        <v>24</v>
      </c>
      <c r="E11" s="6">
        <f t="shared" si="0"/>
        <v>1.05392395650881</v>
      </c>
      <c r="F11" t="s">
        <v>3</v>
      </c>
    </row>
    <row r="12" s="2" customFormat="1" spans="1:9">
      <c r="A12" s="9" t="s">
        <v>15</v>
      </c>
      <c r="B12" s="8">
        <f>B11*1.63</f>
        <v>20792.72662</v>
      </c>
      <c r="C12" s="8">
        <f>C11*3.29/10</f>
        <v>1.964788</v>
      </c>
      <c r="D12" s="9">
        <v>25</v>
      </c>
      <c r="E12" s="6">
        <f t="shared" si="0"/>
        <v>1.63</v>
      </c>
      <c r="F12" s="2" t="s">
        <v>16</v>
      </c>
      <c r="I12"/>
    </row>
    <row r="13" s="2" customFormat="1" spans="1:10">
      <c r="A13" s="9" t="s">
        <v>17</v>
      </c>
      <c r="B13" s="8">
        <v>26022</v>
      </c>
      <c r="C13" s="9">
        <f>7.8*C11/10</f>
        <v>4.65816</v>
      </c>
      <c r="D13" s="9">
        <v>25</v>
      </c>
      <c r="E13" s="6">
        <f t="shared" si="0"/>
        <v>1.25149531735632</v>
      </c>
      <c r="F13" s="2" t="s">
        <v>18</v>
      </c>
      <c r="J13" s="2" t="s">
        <v>19</v>
      </c>
    </row>
    <row r="14" s="2" customFormat="1" spans="1:6">
      <c r="A14" s="9" t="s">
        <v>20</v>
      </c>
      <c r="B14" s="8">
        <v>29388</v>
      </c>
      <c r="C14" s="9">
        <f>35.1*C11/100</f>
        <v>2.096172</v>
      </c>
      <c r="D14" s="9">
        <v>26</v>
      </c>
      <c r="E14" s="6">
        <f t="shared" si="0"/>
        <v>1.12935208669587</v>
      </c>
      <c r="F14" s="2" t="s">
        <v>21</v>
      </c>
    </row>
    <row r="15" spans="1:9">
      <c r="A15" s="4" t="s">
        <v>22</v>
      </c>
      <c r="B15" s="5">
        <f>2*24764</f>
        <v>49528</v>
      </c>
      <c r="C15" s="4">
        <v>1.02413</v>
      </c>
      <c r="D15" s="4">
        <v>26</v>
      </c>
      <c r="E15" s="6">
        <f t="shared" si="0"/>
        <v>1.68531373349667</v>
      </c>
      <c r="F15" t="s">
        <v>3</v>
      </c>
      <c r="H15" s="6"/>
      <c r="I15" s="2"/>
    </row>
    <row r="16" spans="1:9">
      <c r="A16" s="4" t="s">
        <v>23</v>
      </c>
      <c r="B16" s="5">
        <f>25559*2</f>
        <v>51118</v>
      </c>
      <c r="C16" s="4">
        <v>8.6811</v>
      </c>
      <c r="D16" s="4">
        <v>25</v>
      </c>
      <c r="E16" s="6">
        <f t="shared" si="0"/>
        <v>1.03210305281861</v>
      </c>
      <c r="F16" t="s">
        <v>3</v>
      </c>
      <c r="I16" s="2"/>
    </row>
    <row r="17" spans="1:10">
      <c r="A17" s="7" t="s">
        <v>24</v>
      </c>
      <c r="B17" s="8">
        <f>4.327*B11</f>
        <v>55196.397598</v>
      </c>
      <c r="C17" s="8">
        <f>22.2*C11/100</f>
        <v>1.325784</v>
      </c>
      <c r="D17" s="9">
        <v>26</v>
      </c>
      <c r="E17" s="6">
        <f t="shared" si="0"/>
        <v>1.0797839821198</v>
      </c>
      <c r="F17" t="s">
        <v>25</v>
      </c>
      <c r="I17" s="2"/>
      <c r="J17" t="s">
        <v>26</v>
      </c>
    </row>
    <row r="18" s="2" customFormat="1" spans="1:10">
      <c r="A18" s="7" t="s">
        <v>27</v>
      </c>
      <c r="B18" s="8">
        <v>60339.248</v>
      </c>
      <c r="C18" s="9">
        <f>0.081*C20*10</f>
        <v>1.537866</v>
      </c>
      <c r="D18" s="9">
        <v>26</v>
      </c>
      <c r="E18" s="6">
        <f t="shared" si="0"/>
        <v>1.09317366034385</v>
      </c>
      <c r="F18" s="2" t="s">
        <v>28</v>
      </c>
      <c r="I18" s="6"/>
      <c r="J18"/>
    </row>
    <row r="19" spans="1:8">
      <c r="A19" s="7" t="s">
        <v>35</v>
      </c>
      <c r="B19" s="5">
        <v>120536</v>
      </c>
      <c r="C19" s="4">
        <v>5.688</v>
      </c>
      <c r="D19" s="4">
        <v>26</v>
      </c>
      <c r="E19" s="6">
        <f t="shared" si="0"/>
        <v>1.99763841935849</v>
      </c>
      <c r="F19" t="s">
        <v>3</v>
      </c>
      <c r="H19" s="2"/>
    </row>
    <row r="20" spans="1:6">
      <c r="A20" s="4" t="s">
        <v>36</v>
      </c>
      <c r="B20" s="5">
        <v>142984</v>
      </c>
      <c r="C20" s="4">
        <v>1.8986</v>
      </c>
      <c r="D20" s="4">
        <v>27</v>
      </c>
      <c r="E20" s="6">
        <f t="shared" si="0"/>
        <v>1.18623481781377</v>
      </c>
      <c r="F20" t="s">
        <v>3</v>
      </c>
    </row>
    <row r="21" spans="1:6">
      <c r="A21" s="7" t="s">
        <v>37</v>
      </c>
      <c r="B21" s="8">
        <f>0.12*B25</f>
        <v>167040</v>
      </c>
      <c r="C21" s="9">
        <f>0.09*C25*10</f>
        <v>1.79019</v>
      </c>
      <c r="D21" s="9">
        <v>29</v>
      </c>
      <c r="E21" s="6">
        <f t="shared" si="0"/>
        <v>1.16824260057069</v>
      </c>
      <c r="F21" t="s">
        <v>38</v>
      </c>
    </row>
    <row r="22" spans="1:6">
      <c r="A22" s="9" t="s">
        <v>39</v>
      </c>
      <c r="B22" s="8">
        <f>1.991*B20</f>
        <v>284681.144</v>
      </c>
      <c r="C22" s="8">
        <f>0.486*C20*10</f>
        <v>9.227196</v>
      </c>
      <c r="D22" s="9">
        <v>26</v>
      </c>
      <c r="E22" s="6">
        <f t="shared" si="0"/>
        <v>1.70426930076628</v>
      </c>
      <c r="F22" t="s">
        <v>40</v>
      </c>
    </row>
    <row r="23" spans="1:14">
      <c r="A23" s="9" t="s">
        <v>48</v>
      </c>
      <c r="B23" s="8">
        <v>547060</v>
      </c>
      <c r="C23" s="9">
        <f>0.46*C25*10</f>
        <v>9.14986</v>
      </c>
      <c r="D23" s="9">
        <v>29</v>
      </c>
      <c r="E23" s="6">
        <f t="shared" si="0"/>
        <v>1.92165871020948</v>
      </c>
      <c r="F23" t="s">
        <v>49</v>
      </c>
      <c r="H23" t="s">
        <v>50</v>
      </c>
      <c r="J23" t="s">
        <v>51</v>
      </c>
      <c r="L23" t="s">
        <v>52</v>
      </c>
      <c r="N23" t="s">
        <v>52</v>
      </c>
    </row>
    <row r="24" spans="1:10">
      <c r="A24" s="9" t="s">
        <v>53</v>
      </c>
      <c r="B24" s="8">
        <f>0.52*B25</f>
        <v>723840</v>
      </c>
      <c r="C24" s="9">
        <f>16.1*C25/10</f>
        <v>3.202451</v>
      </c>
      <c r="D24" s="9">
        <v>31</v>
      </c>
      <c r="E24" s="6">
        <f t="shared" si="0"/>
        <v>1.32314554162249</v>
      </c>
      <c r="F24" t="s">
        <v>54</v>
      </c>
      <c r="H24" t="s">
        <v>55</v>
      </c>
      <c r="I24" t="s">
        <v>103</v>
      </c>
      <c r="J24" t="s">
        <v>56</v>
      </c>
    </row>
    <row r="25" spans="1:6">
      <c r="A25" s="4" t="s">
        <v>60</v>
      </c>
      <c r="B25" s="5">
        <v>1392000</v>
      </c>
      <c r="C25" s="4">
        <v>1.9891</v>
      </c>
      <c r="D25" s="4">
        <v>30</v>
      </c>
      <c r="E25" s="6">
        <f t="shared" si="0"/>
        <v>1.92307692307692</v>
      </c>
      <c r="F25" t="s">
        <v>3</v>
      </c>
    </row>
    <row r="26" spans="1:6">
      <c r="A26" s="9" t="s">
        <v>61</v>
      </c>
      <c r="B26" s="8">
        <v>2381712</v>
      </c>
      <c r="C26" s="8">
        <f>2.02*C25</f>
        <v>4.017982</v>
      </c>
      <c r="D26" s="9">
        <v>30</v>
      </c>
      <c r="E26" s="6">
        <f t="shared" si="0"/>
        <v>1.711</v>
      </c>
      <c r="F26" t="s">
        <v>62</v>
      </c>
    </row>
    <row r="27" spans="1:8">
      <c r="A27" s="9" t="s">
        <v>63</v>
      </c>
      <c r="B27" s="8">
        <f>2.363*B25</f>
        <v>3289296</v>
      </c>
      <c r="C27" s="8">
        <f>2.135*C25</f>
        <v>4.2467285</v>
      </c>
      <c r="D27" s="9">
        <v>30</v>
      </c>
      <c r="E27" s="6">
        <f t="shared" ref="E27:E45" si="1">B27/B26</f>
        <v>1.38106370543542</v>
      </c>
      <c r="F27" t="s">
        <v>104</v>
      </c>
      <c r="H27" t="s">
        <v>105</v>
      </c>
    </row>
    <row r="28" spans="1:8">
      <c r="A28" s="9" t="s">
        <v>64</v>
      </c>
      <c r="B28" s="8">
        <f>4.2*B25</f>
        <v>5846400</v>
      </c>
      <c r="C28" s="9">
        <f>5*C25</f>
        <v>9.9455</v>
      </c>
      <c r="D28" s="9">
        <v>30</v>
      </c>
      <c r="E28" s="6">
        <f t="shared" si="1"/>
        <v>1.77740160812526</v>
      </c>
      <c r="F28" t="s">
        <v>106</v>
      </c>
      <c r="H28" s="3" t="s">
        <v>107</v>
      </c>
    </row>
    <row r="29" spans="1:10">
      <c r="A29" s="9" t="s">
        <v>65</v>
      </c>
      <c r="B29" s="8">
        <v>8004000</v>
      </c>
      <c r="C29" s="8">
        <f>7.7*C25/10</f>
        <v>1.531607</v>
      </c>
      <c r="D29" s="9">
        <v>31</v>
      </c>
      <c r="E29" s="6">
        <f t="shared" si="1"/>
        <v>1.36904761904762</v>
      </c>
      <c r="F29" t="s">
        <v>108</v>
      </c>
      <c r="H29" t="s">
        <v>109</v>
      </c>
      <c r="I29" t="s">
        <v>110</v>
      </c>
      <c r="J29" t="s">
        <v>111</v>
      </c>
    </row>
    <row r="30" spans="1:14">
      <c r="A30" s="9" t="s">
        <v>66</v>
      </c>
      <c r="B30" s="8">
        <v>12611520</v>
      </c>
      <c r="C30" s="8">
        <f>1.91*C25</f>
        <v>3.799181</v>
      </c>
      <c r="D30" s="9">
        <v>30</v>
      </c>
      <c r="E30" s="6">
        <f t="shared" si="1"/>
        <v>1.57565217391304</v>
      </c>
      <c r="F30" t="s">
        <v>112</v>
      </c>
      <c r="H30" t="s">
        <v>113</v>
      </c>
      <c r="I30" t="s">
        <v>114</v>
      </c>
      <c r="N30" t="s">
        <v>115</v>
      </c>
    </row>
    <row r="31" spans="1:14">
      <c r="A31" s="9" t="s">
        <v>116</v>
      </c>
      <c r="B31" s="8">
        <v>16676160</v>
      </c>
      <c r="C31" s="8">
        <f>2.5687*C25</f>
        <v>5.10940117</v>
      </c>
      <c r="D31" s="9">
        <v>30</v>
      </c>
      <c r="E31" s="6">
        <f t="shared" si="1"/>
        <v>1.32229580573951</v>
      </c>
      <c r="F31" t="s">
        <v>117</v>
      </c>
      <c r="H31" t="s">
        <v>117</v>
      </c>
      <c r="N31" t="s">
        <v>118</v>
      </c>
    </row>
    <row r="32" spans="1:14">
      <c r="A32" s="9" t="s">
        <v>119</v>
      </c>
      <c r="B32" s="8">
        <f>60000000/2.5</f>
        <v>24000000</v>
      </c>
      <c r="C32" s="9">
        <v>8.26</v>
      </c>
      <c r="D32" s="9">
        <v>36</v>
      </c>
      <c r="E32" s="6">
        <f t="shared" si="1"/>
        <v>1.43918024293362</v>
      </c>
      <c r="H32" t="s">
        <v>120</v>
      </c>
      <c r="J32" t="s">
        <v>121</v>
      </c>
      <c r="N32" t="s">
        <v>122</v>
      </c>
    </row>
    <row r="33" spans="1:14">
      <c r="A33" s="9" t="s">
        <v>123</v>
      </c>
      <c r="B33" s="8">
        <v>27870000</v>
      </c>
      <c r="C33" s="8">
        <f>148*C25/100</f>
        <v>2.943868</v>
      </c>
      <c r="D33" s="9">
        <v>32</v>
      </c>
      <c r="E33" s="6">
        <f t="shared" si="1"/>
        <v>1.16125</v>
      </c>
      <c r="F33" t="s">
        <v>124</v>
      </c>
      <c r="H33" t="s">
        <v>125</v>
      </c>
      <c r="N33" t="s">
        <v>126</v>
      </c>
    </row>
    <row r="34" spans="1:14">
      <c r="A34" s="9" t="s">
        <v>74</v>
      </c>
      <c r="B34" s="8">
        <v>35356800</v>
      </c>
      <c r="C34" s="8">
        <f>1.08*C25</f>
        <v>2.148228</v>
      </c>
      <c r="D34" s="9">
        <v>30</v>
      </c>
      <c r="E34" s="6">
        <f t="shared" si="1"/>
        <v>1.2686329386437</v>
      </c>
      <c r="F34" t="s">
        <v>127</v>
      </c>
      <c r="H34" t="s">
        <v>128</v>
      </c>
      <c r="J34" t="s">
        <v>129</v>
      </c>
      <c r="N34" s="8">
        <v>44000000</v>
      </c>
    </row>
    <row r="35" spans="1:15">
      <c r="A35" s="9" t="s">
        <v>77</v>
      </c>
      <c r="B35" s="8">
        <v>61400000</v>
      </c>
      <c r="C35" s="8">
        <f>1.16*C25</f>
        <v>2.307356</v>
      </c>
      <c r="D35" s="9">
        <v>30</v>
      </c>
      <c r="E35" s="6">
        <f t="shared" si="1"/>
        <v>1.7365824961535</v>
      </c>
      <c r="F35" t="s">
        <v>130</v>
      </c>
      <c r="H35" t="s">
        <v>131</v>
      </c>
      <c r="J35" t="s">
        <v>132</v>
      </c>
      <c r="M35" t="s">
        <v>133</v>
      </c>
      <c r="N35" t="s">
        <v>134</v>
      </c>
      <c r="O35" t="s">
        <v>135</v>
      </c>
    </row>
    <row r="36" spans="1:8">
      <c r="A36" s="9" t="s">
        <v>136</v>
      </c>
      <c r="B36" s="8">
        <v>78369600</v>
      </c>
      <c r="C36" s="8">
        <f>19.19*C25/10</f>
        <v>3.8170829</v>
      </c>
      <c r="D36" s="9">
        <v>31</v>
      </c>
      <c r="E36" s="6">
        <f t="shared" si="1"/>
        <v>1.27637785016287</v>
      </c>
      <c r="F36" t="s">
        <v>137</v>
      </c>
      <c r="H36" t="s">
        <v>138</v>
      </c>
    </row>
    <row r="37" spans="1:10">
      <c r="A37" s="9" t="s">
        <v>139</v>
      </c>
      <c r="B37" s="8">
        <v>109828800</v>
      </c>
      <c r="C37" s="8">
        <f>21*C25/10</f>
        <v>4.17711</v>
      </c>
      <c r="D37" s="9">
        <v>31</v>
      </c>
      <c r="E37" s="6">
        <f t="shared" si="1"/>
        <v>1.40142095914742</v>
      </c>
      <c r="F37" t="s">
        <v>140</v>
      </c>
      <c r="H37" t="s">
        <v>141</v>
      </c>
      <c r="I37" t="s">
        <v>142</v>
      </c>
      <c r="J37" t="s">
        <v>143</v>
      </c>
    </row>
    <row r="38" spans="1:7">
      <c r="A38" s="9" t="s">
        <v>144</v>
      </c>
      <c r="B38" s="8">
        <v>132183000</v>
      </c>
      <c r="C38" s="8">
        <f>C25*2.1</f>
        <v>4.17711</v>
      </c>
      <c r="D38" s="9">
        <v>30</v>
      </c>
      <c r="E38" s="6">
        <f t="shared" si="1"/>
        <v>1.20353677723876</v>
      </c>
      <c r="F38" s="2" t="s">
        <v>145</v>
      </c>
      <c r="G38" s="2" t="s">
        <v>145</v>
      </c>
    </row>
    <row r="39" spans="1:10">
      <c r="A39" s="9" t="s">
        <v>146</v>
      </c>
      <c r="B39" s="8">
        <v>257409000</v>
      </c>
      <c r="C39" s="8">
        <f>11.7*C25/10</f>
        <v>2.327247</v>
      </c>
      <c r="D39" s="9">
        <v>31</v>
      </c>
      <c r="E39" s="6">
        <f t="shared" si="1"/>
        <v>1.94736842105263</v>
      </c>
      <c r="F39" s="2" t="s">
        <v>147</v>
      </c>
      <c r="G39" s="2"/>
      <c r="H39" t="s">
        <v>148</v>
      </c>
      <c r="I39" t="s">
        <v>148</v>
      </c>
      <c r="J39" t="s">
        <v>148</v>
      </c>
    </row>
    <row r="40" spans="1:13">
      <c r="A40" s="9" t="s">
        <v>149</v>
      </c>
      <c r="B40" s="8">
        <v>282576000</v>
      </c>
      <c r="C40" s="8">
        <f>2*C25</f>
        <v>3.9782</v>
      </c>
      <c r="D40" s="9">
        <v>31</v>
      </c>
      <c r="E40" s="6">
        <f t="shared" si="1"/>
        <v>1.09777047422584</v>
      </c>
      <c r="F40" s="2" t="s">
        <v>150</v>
      </c>
      <c r="G40" s="2"/>
      <c r="H40" s="2" t="s">
        <v>151</v>
      </c>
      <c r="I40" s="2" t="s">
        <v>152</v>
      </c>
      <c r="L40" t="s">
        <v>153</v>
      </c>
      <c r="M40" s="13" t="s">
        <v>154</v>
      </c>
    </row>
    <row r="41" spans="1:10">
      <c r="A41" s="9" t="s">
        <v>96</v>
      </c>
      <c r="B41" s="8">
        <f>695700*402*2</f>
        <v>559342800</v>
      </c>
      <c r="C41" s="8">
        <f>1.18*C25</f>
        <v>2.347138</v>
      </c>
      <c r="D41" s="9">
        <v>30</v>
      </c>
      <c r="E41" s="6">
        <f t="shared" si="1"/>
        <v>1.97944199082725</v>
      </c>
      <c r="F41" s="6" t="s">
        <v>155</v>
      </c>
      <c r="G41" s="6" t="s">
        <v>155</v>
      </c>
      <c r="J41" t="s">
        <v>156</v>
      </c>
    </row>
    <row r="42" spans="1:10">
      <c r="A42" s="9" t="s">
        <v>97</v>
      </c>
      <c r="B42" s="8">
        <v>946000000</v>
      </c>
      <c r="C42" s="8">
        <f>12*C25/10</f>
        <v>2.38692</v>
      </c>
      <c r="D42" s="9">
        <v>31</v>
      </c>
      <c r="E42" s="6">
        <f t="shared" si="1"/>
        <v>1.6912705410707</v>
      </c>
      <c r="F42" t="s">
        <v>157</v>
      </c>
      <c r="H42" t="s">
        <v>158</v>
      </c>
      <c r="J42" t="s">
        <v>159</v>
      </c>
    </row>
    <row r="43" spans="1:12">
      <c r="A43" s="9" t="s">
        <v>98</v>
      </c>
      <c r="B43" s="8">
        <f>887*B25</f>
        <v>1234704000</v>
      </c>
      <c r="C43" s="8">
        <f>15*C25/10</f>
        <v>2.98365</v>
      </c>
      <c r="D43" s="9">
        <v>31</v>
      </c>
      <c r="E43" s="6">
        <f t="shared" si="1"/>
        <v>1.30518393234672</v>
      </c>
      <c r="F43" t="s">
        <v>160</v>
      </c>
      <c r="H43" t="s">
        <v>161</v>
      </c>
      <c r="J43" t="s">
        <v>162</v>
      </c>
      <c r="L43" t="s">
        <v>163</v>
      </c>
    </row>
    <row r="44" spans="1:8">
      <c r="A44" s="9" t="s">
        <v>99</v>
      </c>
      <c r="B44" s="8">
        <v>1976640000</v>
      </c>
      <c r="C44" s="9">
        <f>1.7*C25</f>
        <v>3.38147</v>
      </c>
      <c r="D44" s="9">
        <v>31</v>
      </c>
      <c r="E44" s="6">
        <f t="shared" si="1"/>
        <v>1.60090191657272</v>
      </c>
      <c r="F44" t="s">
        <v>164</v>
      </c>
      <c r="H44" t="s">
        <v>165</v>
      </c>
    </row>
    <row r="45" spans="1:8">
      <c r="A45" s="9" t="s">
        <v>101</v>
      </c>
      <c r="B45" s="8">
        <v>2376500000</v>
      </c>
      <c r="C45" s="9">
        <v>1.9891</v>
      </c>
      <c r="D45" s="9">
        <v>31</v>
      </c>
      <c r="E45" s="6">
        <f t="shared" si="1"/>
        <v>1.2022927796665</v>
      </c>
      <c r="F45" t="s">
        <v>166</v>
      </c>
      <c r="H45" t="s">
        <v>167</v>
      </c>
    </row>
    <row r="46" spans="1:6">
      <c r="A46" t="s">
        <v>168</v>
      </c>
      <c r="C46" t="s">
        <v>169</v>
      </c>
      <c r="F46" t="s">
        <v>170</v>
      </c>
    </row>
    <row r="47" spans="2:2">
      <c r="B47" s="3" t="s">
        <v>171</v>
      </c>
    </row>
  </sheetData>
  <autoFilter ref="A1:D47">
    <sortState ref="A1:D47">
      <sortCondition ref="B1:B52"/>
    </sortState>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3:G16"/>
  <sheetViews>
    <sheetView tabSelected="1" workbookViewId="0">
      <selection activeCell="M14" sqref="M14"/>
    </sheetView>
  </sheetViews>
  <sheetFormatPr defaultColWidth="9" defaultRowHeight="18.75" outlineLevelCol="6"/>
  <cols>
    <col min="10" max="10" width="12.625"/>
  </cols>
  <sheetData>
    <row r="3" spans="6:6">
      <c r="F3" t="s">
        <v>172</v>
      </c>
    </row>
    <row r="7" spans="7:7">
      <c r="G7" t="s">
        <v>173</v>
      </c>
    </row>
    <row r="14" spans="5:5">
      <c r="E14" s="1">
        <v>1</v>
      </c>
    </row>
    <row r="16" spans="5:5">
      <c r="E16" s="1">
        <v>1.2</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シート12</vt:lpstr>
      <vt:lpstr>シート12 (2)</vt:lpstr>
      <vt:lpstr>シート3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大輔</dc:creator>
  <cp:lastModifiedBy>skdit</cp:lastModifiedBy>
  <dcterms:created xsi:type="dcterms:W3CDTF">2019-12-22T12:44:00Z</dcterms:created>
  <dcterms:modified xsi:type="dcterms:W3CDTF">2023-09-27T05:49:51Z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1DAAB3E531424D46B8928253B3776603</vt:lpwstr>
  </property>
  <property fmtid="{D5CDD505-2E9C-101B-9397-08002B2CF9AE}" pid="3" name="KSOProductBuildVer">
    <vt:lpwstr>1041-12.2.0.13215</vt:lpwstr>
  </property>
</Properties>
</file>