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C967F1-E096-4ECC-A07D-70895612A668}" xr6:coauthVersionLast="47" xr6:coauthVersionMax="47" xr10:uidLastSave="{00000000-0000-0000-0000-000000000000}"/>
  <bookViews>
    <workbookView xWindow="-108" yWindow="-108" windowWidth="23256" windowHeight="12456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33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<sst xmlns="http://schemas.openxmlformats.org/spreadsheetml/2006/main" count="263" uniqueCount="155">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</sst>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49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%" xfId="972" xr:uid="{00000000-0005-0000-0000-0000BF0B0000}"/>
    <cellStyle name="Input % (1dp)" xfId="973" xr:uid="{00000000-0005-0000-0000-0000C00B0000}"/>
    <cellStyle name="Input [yellow]" xfId="974" xr:uid="{00000000-0005-0000-0000-0000C1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$" xfId="991" xr:uid="{00000000-0005-0000-0000-0000EE0B0000}"/>
    <cellStyle name="Input%" xfId="992" xr:uid="{00000000-0005-0000-0000-0000EF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--" xfId="1080" xr:uid="{00000000-0005-0000-0000-0000500C0000}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%Input" xfId="1091" xr:uid="{00000000-0005-0000-0000-00006E0C0000}"/>
    <cellStyle name="normal;" xfId="1092" xr:uid="{00000000-0005-0000-0000-00006F0C0000}"/>
    <cellStyle name="normal; 2" xfId="3677" xr:uid="{00000000-0005-0000-0000-0000700C0000}"/>
    <cellStyle name="Normal_Copy of Rank Model - 230108 VB" xfId="2311" xr:uid="{00000000-0005-0000-0000-0000710C0000}"/>
    <cellStyle name="Normal_Southern Cross LBO v9" xfId="2" xr:uid="{00000000-0005-0000-0000-000072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&amp;L Numbers" xfId="1126" xr:uid="{00000000-0005-0000-0000-000095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" xfId="2309" builtinId="5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]" xfId="1172" xr:uid="{00000000-0005-0000-0000-0000CA0C0000}"/>
    <cellStyle name="percent [1-]" xfId="1173" xr:uid="{00000000-0005-0000-0000-0000CB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arn-out (2)" xfId="1334" xr:uid="{00000000-0005-0000-0000-00007F0D0000}"/>
    <cellStyle name="s_Earn-out (2)_1" xfId="1335" xr:uid="{00000000-0005-0000-0000-000080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-titulo" xfId="1549" xr:uid="{00000000-0005-0000-0000-00005B0E0000}"/>
    <cellStyle name="Sub-titulo 2" xfId="1550" xr:uid="{00000000-0005-0000-0000-00005C0E0000}"/>
    <cellStyle name="Subtotal" xfId="1551" xr:uid="{00000000-0005-0000-0000-00005D0E0000}"/>
    <cellStyle name="Sub-total" xfId="1552" xr:uid="{00000000-0005-0000-0000-00005E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#" xfId="1560" xr:uid="{00000000-0005-0000-0000-0000670E0000}"/>
    <cellStyle name="t%" xfId="1561" xr:uid="{00000000-0005-0000-0000-000068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19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39" t="s">
        <v>136</v>
      </c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40"/>
      <c r="Q14" s="340"/>
      <c r="R14" s="340"/>
      <c r="S14" s="340"/>
      <c r="T14" s="340"/>
      <c r="W14"/>
    </row>
    <row r="15" spans="2:23" ht="12.75" customHeight="1">
      <c r="C15" s="15"/>
      <c r="D15" s="341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W15"/>
    </row>
    <row r="16" spans="2:23" ht="12.75" customHeight="1">
      <c r="C16" s="15"/>
      <c r="D16" s="341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0"/>
      <c r="Q16" s="340"/>
      <c r="R16" s="340"/>
      <c r="S16" s="340"/>
      <c r="T16" s="340"/>
      <c r="W16"/>
    </row>
    <row r="17" spans="3:23" ht="12.75" customHeight="1">
      <c r="D17" s="341"/>
      <c r="E17" s="340"/>
      <c r="F17" s="340"/>
      <c r="G17" s="340"/>
      <c r="H17" s="340"/>
      <c r="I17" s="340"/>
      <c r="J17" s="340"/>
      <c r="K17" s="340"/>
      <c r="L17" s="340"/>
      <c r="M17" s="340"/>
      <c r="N17" s="340"/>
      <c r="O17" s="340"/>
      <c r="P17" s="340"/>
      <c r="Q17" s="340"/>
      <c r="R17" s="340"/>
      <c r="S17" s="340"/>
      <c r="T17" s="340"/>
      <c r="W17"/>
    </row>
    <row r="18" spans="3:23">
      <c r="W18"/>
    </row>
    <row r="19" spans="3:23" ht="18">
      <c r="C19" s="342" t="s">
        <v>20</v>
      </c>
      <c r="E19" s="335">
        <f>Assumptions!D12</f>
        <v>43921</v>
      </c>
      <c r="W19"/>
    </row>
    <row r="20" spans="3:23">
      <c r="C20" s="342"/>
      <c r="W20"/>
    </row>
    <row r="21" spans="3:23">
      <c r="C21" s="342"/>
      <c r="W21"/>
    </row>
    <row r="22" spans="3:23">
      <c r="C22" s="342"/>
      <c r="W22"/>
    </row>
    <row r="23" spans="3:23">
      <c r="C23" s="342"/>
    </row>
    <row r="24" spans="3:23">
      <c r="C24" s="342"/>
    </row>
    <row r="25" spans="3:23">
      <c r="C25" s="342"/>
    </row>
    <row r="26" spans="3:23" ht="12.75" customHeight="1">
      <c r="C26" s="342"/>
    </row>
    <row r="27" spans="3:23">
      <c r="C27" s="342"/>
    </row>
    <row r="28" spans="3:23">
      <c r="C28" s="342"/>
    </row>
    <row r="29" spans="3:23" ht="4.5" customHeight="1">
      <c r="C29" s="342"/>
    </row>
    <row r="30" spans="3:23">
      <c r="C30" s="342"/>
      <c r="Q30" s="165"/>
      <c r="R30" s="166"/>
      <c r="S30" s="166"/>
    </row>
    <row r="31" spans="3:23">
      <c r="C31" s="342"/>
      <c r="Q31" s="166"/>
      <c r="R31" s="166"/>
      <c r="S31" s="166"/>
      <c r="V31" s="45"/>
    </row>
    <row r="32" spans="3:23">
      <c r="C32" s="342"/>
      <c r="Q32" s="166"/>
      <c r="R32" s="166"/>
      <c r="S32" s="166"/>
    </row>
    <row r="33" spans="3:19">
      <c r="C33" s="342"/>
      <c r="Q33" s="167"/>
      <c r="R33" s="166"/>
      <c r="S33" s="166"/>
    </row>
    <row r="34" spans="3:19">
      <c r="C34" s="342"/>
      <c r="Q34" s="167"/>
      <c r="R34" s="166"/>
      <c r="S34" s="166"/>
    </row>
    <row r="35" spans="3:19" ht="4.5" customHeight="1">
      <c r="C35" s="342"/>
      <c r="Q35" s="167"/>
      <c r="R35" s="166"/>
      <c r="S35" s="166"/>
    </row>
    <row r="36" spans="3:19">
      <c r="C36" s="342"/>
      <c r="Q36" s="167"/>
      <c r="R36" s="166"/>
      <c r="S36" s="166"/>
    </row>
    <row r="37" spans="3:19">
      <c r="C37" s="342"/>
      <c r="G37"/>
      <c r="Q37" s="167"/>
      <c r="R37" s="166"/>
      <c r="S37" s="166"/>
    </row>
    <row r="38" spans="3:19">
      <c r="C38" s="342"/>
      <c r="Q38" s="167"/>
      <c r="R38" s="166"/>
      <c r="S38" s="166"/>
    </row>
    <row r="39" spans="3:19">
      <c r="C39" s="342"/>
      <c r="Q39" s="167"/>
      <c r="R39" s="166"/>
      <c r="S39" s="166"/>
    </row>
    <row r="40" spans="3:19">
      <c r="C40" s="342"/>
    </row>
    <row r="41" spans="3:19">
      <c r="C41" s="342"/>
    </row>
    <row r="42" spans="3:19">
      <c r="C42" s="342"/>
    </row>
    <row r="43" spans="3:19">
      <c r="C43" s="342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abSelected="1" zoomScale="85" zoomScaleNormal="85" workbookViewId="0">
      <selection activeCell="C7" sqref="C7"/>
    </sheetView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3" t="s">
        <v>150</v>
      </c>
      <c r="C3" s="343"/>
      <c r="D3" s="343"/>
      <c r="E3" s="343"/>
      <c r="F3" s="343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16">
        <v>1255.6304578332745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9.2582973996280238E-2</v>
      </c>
      <c r="D6" s="307">
        <f t="shared" ref="D6:F6" si="0">D5/C5-1</f>
        <v>7.8213241232100827E-2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16">
        <f>C8*C5</f>
        <v>627.81522891663724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07">
        <v>0.5</v>
      </c>
      <c r="D8" s="307">
        <f t="shared" ref="C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47.802339666669354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3.807038875845481E-2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41.462339666669351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23.457871001934574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68.013164525283585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-12.868295115543621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20.331704884456379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-97.485108655128599</v>
      </c>
      <c r="E34" s="316">
        <f t="shared" si="8"/>
        <v>-71.303275945960308</v>
      </c>
      <c r="F34" s="316">
        <f t="shared" si="8"/>
        <v>-6.1242475374651235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-97.485108655128599</v>
      </c>
      <c r="D35" s="316">
        <f t="shared" si="9"/>
        <v>-71.303275945960308</v>
      </c>
      <c r="E35" s="316">
        <f t="shared" si="9"/>
        <v>-6.1242475374651235</v>
      </c>
      <c r="F35" s="316">
        <f t="shared" si="9"/>
        <v>25.013649701350829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1.1333154033636088</v>
      </c>
      <c r="D36" s="318">
        <f t="shared" si="10"/>
        <v>0.63779389583145563</v>
      </c>
      <c r="E36" s="318">
        <f t="shared" si="10"/>
        <v>4.9232287802763113E-2</v>
      </c>
      <c r="F36" s="318">
        <f t="shared" si="10"/>
        <v>-0.19608071254033302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topLeftCell="A4" zoomScale="85" zoomScaleNormal="85" zoomScaleSheetLayoutView="85" workbookViewId="0">
      <selection activeCell="K33" sqref="K33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v>1100</v>
      </c>
      <c r="N11" s="106">
        <f t="shared" ref="M11:V11" si="1">M11*(1+N13)</f>
        <v>1186.0345653553109</v>
      </c>
      <c r="O11" s="106">
        <f t="shared" si="1"/>
        <v>1267.6285587167015</v>
      </c>
      <c r="P11" s="106">
        <f t="shared" si="1"/>
        <v>1263.8132245678012</v>
      </c>
      <c r="Q11" s="106">
        <f t="shared" si="1"/>
        <v>1289.0894890591571</v>
      </c>
      <c r="R11" s="106">
        <f t="shared" ca="1" si="1"/>
        <v>1312.2930998622219</v>
      </c>
      <c r="S11" s="106">
        <f t="shared" ca="1" si="1"/>
        <v>1333.2897894600173</v>
      </c>
      <c r="T11" s="106">
        <f t="shared" ca="1" si="1"/>
        <v>1351.9558465124576</v>
      </c>
      <c r="U11" s="106">
        <f t="shared" ca="1" si="1"/>
        <v>1368.179316670607</v>
      </c>
      <c r="V11" s="106">
        <f t="shared" ca="1" si="1"/>
        <v>1381.8611098373131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1255.6304578332745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9.2582973996280238E-2</v>
      </c>
      <c r="N13" s="124">
        <f>IF(ISERROR(N12/M12-1),"n.a.",N12/M12-1)</f>
        <v>7.8213241232100827E-2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75.356085796370493</v>
      </c>
      <c r="N15" s="106">
        <f t="shared" si="3"/>
        <v>97.939970389950702</v>
      </c>
      <c r="O15" s="106">
        <f t="shared" si="3"/>
        <v>108.97667722814352</v>
      </c>
      <c r="P15" s="106">
        <f t="shared" si="3"/>
        <v>111.75656134732664</v>
      </c>
      <c r="Q15" s="106">
        <f t="shared" ca="1" si="3"/>
        <v>114.32941948111497</v>
      </c>
      <c r="R15" s="106">
        <f t="shared" ca="1" si="3"/>
        <v>116.73115502293999</v>
      </c>
      <c r="S15" s="106">
        <f t="shared" ca="1" si="3"/>
        <v>118.94816039033064</v>
      </c>
      <c r="T15" s="106">
        <f t="shared" ca="1" si="3"/>
        <v>120.96763181923723</v>
      </c>
      <c r="U15" s="106">
        <f t="shared" ca="1" si="3"/>
        <v>122.77769095071135</v>
      </c>
      <c r="V15" s="106">
        <f t="shared" ca="1" si="3"/>
        <v>124.36749988535817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86.017633190018358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-0.19959299838883438</v>
      </c>
      <c r="N17" s="6">
        <f t="shared" si="5"/>
        <v>0.29969556346924753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1.8992404957827835E-2</v>
      </c>
      <c r="T17" s="6">
        <f t="shared" ca="1" si="5"/>
        <v>1.6977744105328263E-2</v>
      </c>
      <c r="U17" s="6">
        <f t="shared" ca="1" si="5"/>
        <v>1.4963169107740315E-2</v>
      </c>
      <c r="V17" s="6">
        <f t="shared" ca="1" si="5"/>
        <v>1.2948679213107495E-2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6.8505532542154995E-2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3.9792480754277201E-2</v>
      </c>
      <c r="O23" s="124">
        <f t="shared" si="12"/>
        <v>4.0887011602227082E-2</v>
      </c>
      <c r="P23" s="124">
        <f t="shared" si="12"/>
        <v>4.3360768092057009E-2</v>
      </c>
      <c r="Q23" s="124">
        <f t="shared" ca="1" si="12"/>
        <v>4.1566749689017926E-2</v>
      </c>
      <c r="R23" s="124">
        <f t="shared" ca="1" si="12"/>
        <v>3.9904658570765014E-2</v>
      </c>
      <c r="S23" s="124">
        <f t="shared" ca="1" si="12"/>
        <v>3.8363719932030194E-2</v>
      </c>
      <c r="T23" s="124">
        <f t="shared" ca="1" si="12"/>
        <v>3.6934123385904745E-2</v>
      </c>
      <c r="U23" s="124">
        <f t="shared" ca="1" si="12"/>
        <v>3.5606920401517715E-2</v>
      </c>
      <c r="V23" s="124">
        <f t="shared" ca="1" si="12"/>
        <v>3.4373932128093677E-2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34.90079227302148</v>
      </c>
      <c r="N25" s="106">
        <f>+N15+N20</f>
        <v>50.744712774141966</v>
      </c>
      <c r="O25" s="106">
        <f>+O15+O20</f>
        <v>57.147133640579348</v>
      </c>
      <c r="P25" s="106">
        <f>+P15+P20</f>
        <v>56.956649205167444</v>
      </c>
      <c r="Q25" s="106">
        <f t="shared" ref="Q25:V25" ca="1" si="13">Q15+Q20</f>
        <v>60.746159362648974</v>
      </c>
      <c r="R25" s="106">
        <f t="shared" ca="1" si="13"/>
        <v>64.364546928167186</v>
      </c>
      <c r="S25" s="106">
        <f t="shared" ca="1" si="13"/>
        <v>67.798204319251028</v>
      </c>
      <c r="T25" s="106">
        <f t="shared" ca="1" si="13"/>
        <v>71.034327771850826</v>
      </c>
      <c r="U25" s="106">
        <f t="shared" ca="1" si="13"/>
        <v>74.061038927018146</v>
      </c>
      <c r="V25" s="106">
        <f t="shared" ca="1" si="13"/>
        <v>76.867499885358171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-0.3984488309807741</v>
      </c>
      <c r="N26" s="6">
        <f t="shared" si="14"/>
        <v>0.45397022443435842</v>
      </c>
      <c r="O26" s="6">
        <f t="shared" si="14"/>
        <v>0.12616922072125458</v>
      </c>
      <c r="P26" s="6">
        <f t="shared" si="14"/>
        <v>-3.3332281652118656E-3</v>
      </c>
      <c r="Q26" s="6">
        <f t="shared" ca="1" si="14"/>
        <v>6.6533235546056613E-2</v>
      </c>
      <c r="R26" s="6">
        <f t="shared" ca="1" si="14"/>
        <v>5.9565701000400262E-2</v>
      </c>
      <c r="S26" s="6">
        <f t="shared" ca="1" si="14"/>
        <v>5.334702961423643E-2</v>
      </c>
      <c r="T26" s="6">
        <f t="shared" ca="1" si="14"/>
        <v>4.7731698576578774E-2</v>
      </c>
      <c r="U26" s="6">
        <f t="shared" ca="1" si="14"/>
        <v>4.2609133500757013E-2</v>
      </c>
      <c r="V26" s="6">
        <f t="shared" ca="1" si="14"/>
        <v>3.7893891295605497E-2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3.1727992975474073E-2</v>
      </c>
      <c r="N27" s="6">
        <f t="shared" si="15"/>
        <v>4.2785188776467004E-2</v>
      </c>
      <c r="O27" s="6">
        <f t="shared" si="15"/>
        <v>4.5081923444855891E-2</v>
      </c>
      <c r="P27" s="6">
        <f t="shared" si="15"/>
        <v>4.5067299580320089E-2</v>
      </c>
      <c r="Q27" s="6">
        <f t="shared" ca="1" si="15"/>
        <v>4.7123306704629636E-2</v>
      </c>
      <c r="R27" s="6">
        <f ca="1">IF(ISERROR(R25/R$11),"n.a.",R25/R$11)</f>
        <v>4.9047386544153013E-2</v>
      </c>
      <c r="S27" s="6">
        <f ca="1">IF(ISERROR(S25/S$11),"n.a.",S25/S$11)</f>
        <v>5.0850313904158312E-2</v>
      </c>
      <c r="T27" s="6">
        <f ca="1">IF(ISERROR(T25/T$11),"n.a.",T25/T$11)</f>
        <v>5.2541899171554253E-2</v>
      </c>
      <c r="U27" s="6">
        <f ca="1">IF(ISERROR(U25/U$11),"n.a.",U25/U$11)</f>
        <v>5.4131090877211782E-2</v>
      </c>
      <c r="V27" s="6">
        <f ca="1">IF(ISERROR(V25/V$11),"n.a.",V25/V$11)</f>
        <v>5.5626067871906319E-2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34.413741923335557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-0.22637194402068406</v>
      </c>
      <c r="N32" s="6">
        <f t="shared" si="17"/>
        <v>0.45919113845905302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3.1285219930305051E-2</v>
      </c>
      <c r="N33" s="6">
        <f t="shared" si="18"/>
        <v>4.2339598459092409E-2</v>
      </c>
      <c r="O33" s="6">
        <f t="shared" si="18"/>
        <v>4.4828810046523906E-2</v>
      </c>
      <c r="P33" s="6">
        <f t="shared" si="18"/>
        <v>4.5097344432430381E-2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4.2157287367945349E-2</v>
      </c>
      <c r="O42" s="124">
        <f t="shared" si="22"/>
        <v>3.9443731096290603E-2</v>
      </c>
      <c r="P42" s="124">
        <f t="shared" si="22"/>
        <v>3.9562808038425934E-2</v>
      </c>
      <c r="Q42" s="124">
        <f t="shared" si="22"/>
        <v>3.8787066704339151E-2</v>
      </c>
      <c r="R42" s="124">
        <f t="shared" ca="1" si="22"/>
        <v>3.8101244306816454E-2</v>
      </c>
      <c r="S42" s="124">
        <f t="shared" ca="1" si="22"/>
        <v>3.7501224711433523E-2</v>
      </c>
      <c r="T42" s="124">
        <f t="shared" ca="1" si="22"/>
        <v>3.6983456322912743E-2</v>
      </c>
      <c r="U42" s="124">
        <f t="shared" ca="1" si="22"/>
        <v>3.6544917315131174E-2</v>
      </c>
      <c r="V42" s="124">
        <f t="shared" ca="1" si="22"/>
        <v>3.6183086450624923E-2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0.3232132552928273</v>
      </c>
      <c r="N43" s="6">
        <f t="shared" si="23"/>
        <v>0.48948320281368662</v>
      </c>
      <c r="O43" s="6">
        <f t="shared" si="23"/>
        <v>0.54118623111140918</v>
      </c>
      <c r="P43" s="6">
        <f t="shared" si="23"/>
        <v>0.55259897587036788</v>
      </c>
      <c r="Q43" s="6">
        <f t="shared" ca="1" si="23"/>
        <v>0.56266724499323606</v>
      </c>
      <c r="R43" s="6">
        <f t="shared" ca="1" si="23"/>
        <v>0.57166533655754537</v>
      </c>
      <c r="S43" s="6">
        <f t="shared" ca="1" si="23"/>
        <v>0.57964881645984223</v>
      </c>
      <c r="T43" s="6">
        <f t="shared" ca="1" si="23"/>
        <v>0.58666629041134455</v>
      </c>
      <c r="U43" s="6">
        <f t="shared" ca="1" si="23"/>
        <v>0.59275989299984211</v>
      </c>
      <c r="V43" s="6">
        <f t="shared" ca="1" si="23"/>
        <v>0.59796570610416755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1.27895873441601E-2</v>
      </c>
      <c r="O47" s="6">
        <f t="shared" si="26"/>
        <v>8.7645681570287133E-3</v>
      </c>
      <c r="P47" s="6">
        <f t="shared" si="26"/>
        <v>3.1293069864746182E-3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4.2157287367945353E-3</v>
      </c>
      <c r="O51" s="124">
        <f t="shared" si="45"/>
        <v>3.9443731096290603E-3</v>
      </c>
      <c r="P51" s="124">
        <f t="shared" si="45"/>
        <v>3.9562808038425927E-3</v>
      </c>
      <c r="Q51" s="124">
        <f t="shared" si="45"/>
        <v>3.878706670433915E-3</v>
      </c>
      <c r="R51" s="124">
        <f t="shared" ca="1" si="45"/>
        <v>3.8101244306816455E-3</v>
      </c>
      <c r="S51" s="124">
        <f t="shared" ca="1" si="45"/>
        <v>3.750122471143352E-3</v>
      </c>
      <c r="T51" s="124">
        <f t="shared" ca="1" si="45"/>
        <v>3.6983456322912745E-3</v>
      </c>
      <c r="U51" s="124">
        <f t="shared" ca="1" si="45"/>
        <v>3.6544917315131172E-3</v>
      </c>
      <c r="V51" s="124">
        <f t="shared" ca="1" si="45"/>
        <v>3.6183086450624923E-3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5.6935255010518142E-3</v>
      </c>
      <c r="O55" s="124">
        <f t="shared" si="63"/>
        <v>-1.9831088415811719E-2</v>
      </c>
      <c r="P55" s="124">
        <f t="shared" si="63"/>
        <v>3.8494933242315555E-3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1186.0345653553109</v>
      </c>
      <c r="O60" s="217">
        <f t="shared" si="65"/>
        <v>1267.6285587167015</v>
      </c>
      <c r="P60" s="217">
        <f t="shared" ref="P60:V60" si="66">P11</f>
        <v>1263.8132245678012</v>
      </c>
      <c r="Q60" s="217">
        <f t="shared" si="66"/>
        <v>1289.0894890591571</v>
      </c>
      <c r="R60" s="217">
        <f t="shared" ca="1" si="66"/>
        <v>1312.2930998622219</v>
      </c>
      <c r="S60" s="217">
        <f t="shared" ca="1" si="66"/>
        <v>1333.2897894600173</v>
      </c>
      <c r="T60" s="217">
        <f t="shared" ca="1" si="66"/>
        <v>1351.9558465124576</v>
      </c>
      <c r="U60" s="217">
        <f t="shared" ca="1" si="66"/>
        <v>1368.179316670607</v>
      </c>
      <c r="V60" s="217">
        <f t="shared" ca="1" si="66"/>
        <v>1381.8611098373131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7.8213241232100827E-2</v>
      </c>
      <c r="O61" s="218">
        <f t="shared" si="67"/>
        <v>6.879562851268739E-2</v>
      </c>
      <c r="P61" s="218">
        <f t="shared" si="67"/>
        <v>-3.0098202842343547E-3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75.356085796370493</v>
      </c>
      <c r="N62" s="217">
        <f t="shared" si="68"/>
        <v>97.939970389950702</v>
      </c>
      <c r="O62" s="217">
        <f t="shared" si="68"/>
        <v>108.97667722814352</v>
      </c>
      <c r="P62" s="217">
        <f t="shared" si="68"/>
        <v>111.75656134732664</v>
      </c>
      <c r="Q62" s="217">
        <f t="shared" ref="Q62:V62" ca="1" si="69">Q15</f>
        <v>114.32941948111497</v>
      </c>
      <c r="R62" s="217">
        <f t="shared" ca="1" si="69"/>
        <v>116.73115502293999</v>
      </c>
      <c r="S62" s="217">
        <f t="shared" ca="1" si="69"/>
        <v>118.94816039033064</v>
      </c>
      <c r="T62" s="217">
        <f t="shared" ca="1" si="69"/>
        <v>120.96763181923723</v>
      </c>
      <c r="U62" s="217">
        <f t="shared" ca="1" si="69"/>
        <v>122.77769095071135</v>
      </c>
      <c r="V62" s="217">
        <f t="shared" ca="1" si="69"/>
        <v>124.36749988535817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-0.19959299838883438</v>
      </c>
      <c r="N63" s="218">
        <f t="shared" si="70"/>
        <v>0.29969556346924753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1.8992404957827835E-2</v>
      </c>
      <c r="T63" s="218">
        <f t="shared" ca="1" si="70"/>
        <v>1.6977744105328263E-2</v>
      </c>
      <c r="U63" s="218">
        <f t="shared" ca="1" si="70"/>
        <v>1.4963169107740315E-2</v>
      </c>
      <c r="V63" s="218">
        <f t="shared" ca="1" si="70"/>
        <v>1.2948679213107495E-2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6.8505532542154995E-2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8.973801127872949E-2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-47.195257615808735</v>
      </c>
      <c r="O65" s="219">
        <f t="shared" si="74"/>
        <v>-51.829543587564167</v>
      </c>
      <c r="P65" s="219">
        <f t="shared" si="74"/>
        <v>-54.799912142159194</v>
      </c>
      <c r="Q65" s="219">
        <f t="shared" ca="1" si="74"/>
        <v>-53.583260118465994</v>
      </c>
      <c r="R65" s="219">
        <f t="shared" ca="1" si="74"/>
        <v>-52.366608094772801</v>
      </c>
      <c r="S65" s="219">
        <f t="shared" ca="1" si="74"/>
        <v>-51.149956071079615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-3.9792480754277201E-2</v>
      </c>
      <c r="O66" s="220">
        <f t="shared" si="75"/>
        <v>-4.0887011602227082E-2</v>
      </c>
      <c r="P66" s="220">
        <f t="shared" si="75"/>
        <v>-4.3360768092057009E-2</v>
      </c>
      <c r="Q66" s="220">
        <f t="shared" ca="1" si="75"/>
        <v>-4.1566749689017926E-2</v>
      </c>
      <c r="R66" s="220">
        <f t="shared" ca="1" si="75"/>
        <v>-3.9904658570765014E-2</v>
      </c>
      <c r="S66" s="220">
        <f t="shared" ca="1" si="75"/>
        <v>-3.8363719932030201E-2</v>
      </c>
      <c r="T66" s="220">
        <f t="shared" ca="1" si="75"/>
        <v>-3.6934123385904738E-2</v>
      </c>
      <c r="U66" s="220">
        <f t="shared" ca="1" si="75"/>
        <v>-3.5606920401517715E-2</v>
      </c>
      <c r="V66" s="220">
        <f t="shared" ca="1" si="75"/>
        <v>-3.4373932128093677E-2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0.94390515231617467</v>
      </c>
      <c r="O67" s="220">
        <f t="shared" si="76"/>
        <v>1.0365908717512833</v>
      </c>
      <c r="P67" s="220">
        <f t="shared" si="76"/>
        <v>1.0959982428431838</v>
      </c>
      <c r="Q67" s="220">
        <f t="shared" ca="1" si="76"/>
        <v>1.0716652023693198</v>
      </c>
      <c r="R67" s="220">
        <f t="shared" ca="1" si="76"/>
        <v>1.0473321618954561</v>
      </c>
      <c r="S67" s="220">
        <f t="shared" ca="1" si="76"/>
        <v>1.0229991214215923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34.90079227302148</v>
      </c>
      <c r="N68" s="217">
        <f t="shared" si="77"/>
        <v>50.744712774141966</v>
      </c>
      <c r="O68" s="217">
        <f t="shared" si="77"/>
        <v>57.147133640579348</v>
      </c>
      <c r="P68" s="217">
        <f t="shared" si="77"/>
        <v>56.956649205167444</v>
      </c>
      <c r="Q68" s="217">
        <f t="shared" ca="1" si="77"/>
        <v>60.746159362648974</v>
      </c>
      <c r="R68" s="217">
        <f t="shared" ca="1" si="77"/>
        <v>64.364546928167186</v>
      </c>
      <c r="S68" s="217">
        <f t="shared" ca="1" si="77"/>
        <v>67.798204319251028</v>
      </c>
      <c r="T68" s="217">
        <f t="shared" ca="1" si="77"/>
        <v>71.034327771850826</v>
      </c>
      <c r="U68" s="217">
        <f t="shared" ca="1" si="77"/>
        <v>74.061038927018146</v>
      </c>
      <c r="V68" s="217">
        <f t="shared" ca="1" si="77"/>
        <v>76.867499885358171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-0.3984488309807741</v>
      </c>
      <c r="N69" s="220">
        <f t="shared" si="79"/>
        <v>0.45397022443435842</v>
      </c>
      <c r="O69" s="220">
        <f t="shared" si="79"/>
        <v>0.12616922072125458</v>
      </c>
      <c r="P69" s="220">
        <f t="shared" si="79"/>
        <v>-3.3332281652118656E-3</v>
      </c>
      <c r="Q69" s="220">
        <f t="shared" ca="1" si="79"/>
        <v>6.6533235546056613E-2</v>
      </c>
      <c r="R69" s="220">
        <f t="shared" ca="1" si="79"/>
        <v>5.9565701000400262E-2</v>
      </c>
      <c r="S69" s="220">
        <f t="shared" ca="1" si="79"/>
        <v>5.334702961423643E-2</v>
      </c>
      <c r="T69" s="220">
        <f t="shared" ca="1" si="79"/>
        <v>4.7731698576578774E-2</v>
      </c>
      <c r="U69" s="220">
        <f t="shared" ca="1" si="79"/>
        <v>4.2609133500757013E-2</v>
      </c>
      <c r="V69" s="220">
        <f t="shared" ca="1" si="79"/>
        <v>3.7893891295605497E-2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3.1727992975474073E-2</v>
      </c>
      <c r="N70" s="325">
        <f t="shared" si="81"/>
        <v>4.2785188776467004E-2</v>
      </c>
      <c r="O70" s="325">
        <f t="shared" si="81"/>
        <v>4.5081923444855891E-2</v>
      </c>
      <c r="P70" s="325">
        <f t="shared" si="81"/>
        <v>4.5067299580320089E-2</v>
      </c>
      <c r="Q70" s="325">
        <f t="shared" ca="1" si="81"/>
        <v>4.7123306704629636E-2</v>
      </c>
      <c r="R70" s="325">
        <f t="shared" ca="1" si="81"/>
        <v>4.9047386544153013E-2</v>
      </c>
      <c r="S70" s="325">
        <f t="shared" ca="1" si="81"/>
        <v>5.0850313904158312E-2</v>
      </c>
      <c r="T70" s="325">
        <f t="shared" ca="1" si="81"/>
        <v>5.2541899171554253E-2</v>
      </c>
      <c r="U70" s="325">
        <f t="shared" ca="1" si="81"/>
        <v>5.4131090877211782E-2</v>
      </c>
      <c r="V70" s="325">
        <f t="shared" ca="1" si="81"/>
        <v>5.5626067871906319E-2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75.356085796370493</v>
      </c>
      <c r="N71" s="219">
        <f t="shared" si="82"/>
        <v>97.939970389950702</v>
      </c>
      <c r="O71" s="219">
        <f t="shared" si="82"/>
        <v>108.97667722814352</v>
      </c>
      <c r="P71" s="219">
        <f t="shared" si="82"/>
        <v>111.75656134732664</v>
      </c>
      <c r="Q71" s="219">
        <f t="shared" ca="1" si="82"/>
        <v>114.32941948111497</v>
      </c>
      <c r="R71" s="219">
        <f t="shared" ca="1" si="82"/>
        <v>116.73115502293999</v>
      </c>
      <c r="S71" s="219">
        <f t="shared" ca="1" si="82"/>
        <v>118.94816039033064</v>
      </c>
      <c r="T71" s="219">
        <f t="shared" ca="1" si="82"/>
        <v>120.96763181923723</v>
      </c>
      <c r="U71" s="219">
        <f t="shared" ca="1" si="82"/>
        <v>122.77769095071135</v>
      </c>
      <c r="V71" s="219">
        <f t="shared" ca="1" si="82"/>
        <v>124.36749988535817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4.2157287367945349E-2</v>
      </c>
      <c r="O73" s="218">
        <f t="shared" si="84"/>
        <v>3.9443731096290603E-2</v>
      </c>
      <c r="P73" s="218">
        <f t="shared" si="84"/>
        <v>3.9562808038425934E-2</v>
      </c>
      <c r="Q73" s="218">
        <f t="shared" si="84"/>
        <v>3.8787066704339151E-2</v>
      </c>
      <c r="R73" s="218">
        <f t="shared" ca="1" si="84"/>
        <v>3.8101244306816454E-2</v>
      </c>
      <c r="S73" s="218">
        <f t="shared" ca="1" si="84"/>
        <v>3.7501224711433523E-2</v>
      </c>
      <c r="T73" s="218">
        <f t="shared" ca="1" si="84"/>
        <v>3.6983456322912743E-2</v>
      </c>
      <c r="U73" s="218">
        <f t="shared" ca="1" si="84"/>
        <v>3.6544917315131174E-2</v>
      </c>
      <c r="V73" s="218">
        <f t="shared" ca="1" si="84"/>
        <v>3.6183086450624923E-2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1.27895873441601E-2</v>
      </c>
      <c r="O75" s="220">
        <f t="shared" si="86"/>
        <v>8.7645681570287133E-3</v>
      </c>
      <c r="P75" s="220">
        <f t="shared" si="86"/>
        <v>3.1293069864746182E-3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4.2157287367945353E-3</v>
      </c>
      <c r="O77" s="218">
        <f t="shared" si="88"/>
        <v>3.9443731096290603E-3</v>
      </c>
      <c r="P77" s="218">
        <f t="shared" si="88"/>
        <v>3.9562808038425927E-3</v>
      </c>
      <c r="Q77" s="218">
        <f t="shared" si="88"/>
        <v>3.878706670433915E-3</v>
      </c>
      <c r="R77" s="218">
        <f t="shared" ca="1" si="88"/>
        <v>3.8101244306816455E-3</v>
      </c>
      <c r="S77" s="218">
        <f t="shared" ca="1" si="88"/>
        <v>3.750122471143352E-3</v>
      </c>
      <c r="T77" s="218">
        <f t="shared" ca="1" si="88"/>
        <v>3.6983456322912745E-3</v>
      </c>
      <c r="U77" s="218">
        <f t="shared" ca="1" si="88"/>
        <v>3.6544917315131172E-3</v>
      </c>
      <c r="V77" s="218">
        <f t="shared" ca="1" si="88"/>
        <v>3.6183086450624923E-3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5.6935255010518142E-3</v>
      </c>
      <c r="O79" s="330">
        <f t="shared" si="90"/>
        <v>-1.9831088415811719E-2</v>
      </c>
      <c r="P79" s="330">
        <f t="shared" si="90"/>
        <v>3.8494933242315555E-3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Normal="100" zoomScaleSheetLayoutView="100" workbookViewId="0">
      <selection activeCell="J24" sqref="J24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1186.0345653553109</v>
      </c>
      <c r="L24" s="136">
        <f>' Financials'!O60</f>
        <v>1267.6285587167015</v>
      </c>
      <c r="M24" s="136">
        <f>' Financials'!P60</f>
        <v>1263.8132245678012</v>
      </c>
      <c r="N24" s="136">
        <f>' Financials'!Q60</f>
        <v>1289.0894890591571</v>
      </c>
      <c r="O24" s="136">
        <f ca="1">' Financials'!R60</f>
        <v>1312.2930998622219</v>
      </c>
      <c r="P24" s="136">
        <f ca="1">' Financials'!S60</f>
        <v>1333.2897894600173</v>
      </c>
      <c r="Q24" s="136">
        <f ca="1">' Financials'!T60</f>
        <v>1351.9558465124576</v>
      </c>
      <c r="R24" s="136">
        <f ca="1">' Financials'!U60</f>
        <v>1368.179316670607</v>
      </c>
      <c r="S24" s="136">
        <f ca="1">' Financials'!V60</f>
        <v>1381.8611098373131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7.8213241232100827E-2</v>
      </c>
      <c r="L25" s="55">
        <f t="shared" si="5"/>
        <v>6.879562851268739E-2</v>
      </c>
      <c r="M25" s="55">
        <f t="shared" si="5"/>
        <v>-3.0098202842343547E-3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75.356085796370493</v>
      </c>
      <c r="K27" s="136">
        <f>+' Financials'!N62</f>
        <v>97.939970389950702</v>
      </c>
      <c r="L27" s="136">
        <f>+' Financials'!O62</f>
        <v>108.97667722814352</v>
      </c>
      <c r="M27" s="136">
        <f>+' Financials'!P62</f>
        <v>111.75656134732664</v>
      </c>
      <c r="N27" s="136">
        <f ca="1">+' Financials'!Q62</f>
        <v>114.32941948111497</v>
      </c>
      <c r="O27" s="136">
        <f ca="1">+' Financials'!R62</f>
        <v>116.73115502293999</v>
      </c>
      <c r="P27" s="136">
        <f ca="1">+' Financials'!S62</f>
        <v>118.94816039033064</v>
      </c>
      <c r="Q27" s="136">
        <f ca="1">+' Financials'!T62</f>
        <v>120.96763181923723</v>
      </c>
      <c r="R27" s="136">
        <f ca="1">+' Financials'!U62</f>
        <v>122.77769095071135</v>
      </c>
      <c r="S27" s="136">
        <f ca="1">+' Financials'!V62</f>
        <v>124.36749988535817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6.8505532542154995E-2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8.973801127872949E-2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-0.19959299838883438</v>
      </c>
      <c r="K29" s="55">
        <f t="shared" si="10"/>
        <v>0.29969556346924753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1.8992404957827835E-2</v>
      </c>
      <c r="Q29" s="55">
        <f t="shared" ca="1" si="10"/>
        <v>1.6977744105328263E-2</v>
      </c>
      <c r="R29" s="55">
        <f t="shared" ca="1" si="10"/>
        <v>1.4963169107740315E-2</v>
      </c>
      <c r="S29" s="55">
        <f t="shared" ca="1" si="10"/>
        <v>1.2948679213107495E-2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-47.195257615808735</v>
      </c>
      <c r="L31" s="136">
        <f>' Financials'!O65</f>
        <v>-51.829543587564167</v>
      </c>
      <c r="M31" s="136">
        <f>' Financials'!P65</f>
        <v>-54.799912142159194</v>
      </c>
      <c r="N31" s="136">
        <f ca="1">' Financials'!Q65</f>
        <v>-53.583260118465994</v>
      </c>
      <c r="O31" s="136">
        <f ca="1">' Financials'!R65</f>
        <v>-52.366608094772801</v>
      </c>
      <c r="P31" s="136">
        <f ca="1">' Financials'!S65</f>
        <v>-51.149956071079615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3.9792480754277201E-2</v>
      </c>
      <c r="L32" s="55">
        <f t="shared" si="13"/>
        <v>4.0887011602227082E-2</v>
      </c>
      <c r="M32" s="55">
        <f t="shared" si="13"/>
        <v>4.3360768092057009E-2</v>
      </c>
      <c r="N32" s="55">
        <f t="shared" ca="1" si="13"/>
        <v>4.1566749689017926E-2</v>
      </c>
      <c r="O32" s="55">
        <f t="shared" ca="1" si="13"/>
        <v>3.9904658570765014E-2</v>
      </c>
      <c r="P32" s="55">
        <f t="shared" ca="1" si="13"/>
        <v>3.8363719932030201E-2</v>
      </c>
      <c r="Q32" s="55">
        <f t="shared" ca="1" si="13"/>
        <v>3.6934123385904738E-2</v>
      </c>
      <c r="R32" s="55">
        <f t="shared" ca="1" si="13"/>
        <v>3.5606920401517715E-2</v>
      </c>
      <c r="S32" s="55">
        <f t="shared" ref="S32" ca="1" si="14">IF(ISERROR(-S31/S$24),"n.a.",(-S31/S$24))</f>
        <v>3.4373932128093677E-2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0.94390515231617467</v>
      </c>
      <c r="L33" s="55">
        <f t="shared" si="17"/>
        <v>1.0365908717512833</v>
      </c>
      <c r="M33" s="55">
        <f t="shared" si="17"/>
        <v>1.0959982428431838</v>
      </c>
      <c r="N33" s="55">
        <f t="shared" ca="1" si="17"/>
        <v>1.0716652023693198</v>
      </c>
      <c r="O33" s="55">
        <f t="shared" ca="1" si="17"/>
        <v>1.0473321618954561</v>
      </c>
      <c r="P33" s="55">
        <f t="shared" ca="1" si="17"/>
        <v>1.0229991214215923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34.90079227302148</v>
      </c>
      <c r="K35" s="41">
        <f t="shared" si="20"/>
        <v>50.744712774141966</v>
      </c>
      <c r="L35" s="41">
        <f t="shared" si="20"/>
        <v>57.147133640579348</v>
      </c>
      <c r="M35" s="41">
        <f t="shared" si="20"/>
        <v>56.956649205167444</v>
      </c>
      <c r="N35" s="41">
        <f t="shared" ca="1" si="20"/>
        <v>60.746159362648974</v>
      </c>
      <c r="O35" s="41">
        <f t="shared" ca="1" si="20"/>
        <v>64.364546928167186</v>
      </c>
      <c r="P35" s="41">
        <f t="shared" ca="1" si="20"/>
        <v>67.798204319251028</v>
      </c>
      <c r="Q35" s="41">
        <f t="shared" ca="1" si="20"/>
        <v>71.034327771850826</v>
      </c>
      <c r="R35" s="41">
        <f t="shared" ca="1" si="20"/>
        <v>74.061038927018146</v>
      </c>
      <c r="S35" s="41">
        <f t="shared" ref="S35" ca="1" si="21">S27+S31</f>
        <v>76.867499885358171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3.1727992975474073E-2</v>
      </c>
      <c r="K36" s="55">
        <f t="shared" si="24"/>
        <v>4.2785188776467004E-2</v>
      </c>
      <c r="L36" s="55">
        <f t="shared" si="24"/>
        <v>4.5081923444855891E-2</v>
      </c>
      <c r="M36" s="55">
        <f t="shared" si="24"/>
        <v>4.5067299580320089E-2</v>
      </c>
      <c r="N36" s="55">
        <f t="shared" ca="1" si="24"/>
        <v>4.7123306704629636E-2</v>
      </c>
      <c r="O36" s="55">
        <f t="shared" ca="1" si="24"/>
        <v>4.9047386544153013E-2</v>
      </c>
      <c r="P36" s="55">
        <f t="shared" ca="1" si="24"/>
        <v>5.0850313904158312E-2</v>
      </c>
      <c r="Q36" s="55">
        <f t="shared" ca="1" si="24"/>
        <v>5.2541899171554253E-2</v>
      </c>
      <c r="R36" s="55">
        <f t="shared" ca="1" si="24"/>
        <v>5.4131090877211782E-2</v>
      </c>
      <c r="S36" s="55">
        <f t="shared" ref="S36" ca="1" si="25">IF(ISERROR(S35/S$24),"n.a.",(S35/S$24))</f>
        <v>5.5626067871906319E-2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-0.3984488309807741</v>
      </c>
      <c r="K37" s="55">
        <f t="shared" si="26"/>
        <v>0.45397022443435842</v>
      </c>
      <c r="L37" s="55">
        <f t="shared" si="26"/>
        <v>0.12616922072125458</v>
      </c>
      <c r="M37" s="55">
        <f t="shared" si="26"/>
        <v>-3.3332281652118656E-3</v>
      </c>
      <c r="N37" s="55">
        <f t="shared" ca="1" si="26"/>
        <v>6.6533235546056613E-2</v>
      </c>
      <c r="O37" s="55">
        <f t="shared" ca="1" si="26"/>
        <v>5.9565701000400262E-2</v>
      </c>
      <c r="P37" s="55">
        <f t="shared" ca="1" si="26"/>
        <v>5.334702961423643E-2</v>
      </c>
      <c r="Q37" s="55">
        <f t="shared" ca="1" si="26"/>
        <v>4.7731698576578774E-2</v>
      </c>
      <c r="R37" s="55">
        <f t="shared" ca="1" si="26"/>
        <v>4.2609133500757013E-2</v>
      </c>
      <c r="S37" s="55">
        <f t="shared" ca="1" si="26"/>
        <v>3.7893891295605497E-2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-5.933134686413652</v>
      </c>
      <c r="K39" s="2">
        <f t="shared" si="27"/>
        <v>-8.6266011716041344</v>
      </c>
      <c r="L39" s="2">
        <f t="shared" si="27"/>
        <v>-9.7150127188984907</v>
      </c>
      <c r="M39" s="2">
        <f t="shared" si="27"/>
        <v>-9.6826303648784666</v>
      </c>
      <c r="N39" s="2">
        <f t="shared" ca="1" si="27"/>
        <v>-10.326847091650327</v>
      </c>
      <c r="O39" s="2">
        <f t="shared" ca="1" si="27"/>
        <v>-10.941972977788422</v>
      </c>
      <c r="P39" s="2">
        <f t="shared" ca="1" si="27"/>
        <v>-11.525694734272676</v>
      </c>
      <c r="Q39" s="2">
        <f t="shared" ca="1" si="27"/>
        <v>-12.075835721214641</v>
      </c>
      <c r="R39" s="2">
        <f t="shared" ca="1" si="27"/>
        <v>-12.590376617593085</v>
      </c>
      <c r="S39" s="2">
        <f t="shared" ref="S39" ca="1" si="28">-S35*S40</f>
        <v>-13.067474980510889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28.967657586607828</v>
      </c>
      <c r="K42" s="41">
        <f t="shared" si="30"/>
        <v>42.11811160253783</v>
      </c>
      <c r="L42" s="2">
        <f t="shared" si="30"/>
        <v>47.432120921680855</v>
      </c>
      <c r="M42" s="2">
        <f t="shared" si="30"/>
        <v>47.274018840288974</v>
      </c>
      <c r="N42" s="2">
        <f t="shared" ca="1" si="30"/>
        <v>50.419312270998645</v>
      </c>
      <c r="O42" s="2">
        <f t="shared" ca="1" si="30"/>
        <v>53.422573950378762</v>
      </c>
      <c r="P42" s="2">
        <f t="shared" ca="1" si="30"/>
        <v>56.272509584978351</v>
      </c>
      <c r="Q42" s="2">
        <f t="shared" ca="1" si="30"/>
        <v>58.958492050636181</v>
      </c>
      <c r="R42" s="2">
        <f t="shared" ca="1" si="30"/>
        <v>61.470662309425059</v>
      </c>
      <c r="S42" s="2">
        <f t="shared" ref="S42" ca="1" si="31">S35+S39</f>
        <v>63.800024904847284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2.6334234169643481E-2</v>
      </c>
      <c r="K43" s="55">
        <f t="shared" si="33"/>
        <v>3.5511706684467612E-2</v>
      </c>
      <c r="L43" s="55">
        <f t="shared" si="33"/>
        <v>3.7417996459230385E-2</v>
      </c>
      <c r="M43" s="55">
        <f t="shared" si="33"/>
        <v>3.7405858651665673E-2</v>
      </c>
      <c r="N43" s="55">
        <f t="shared" ca="1" si="33"/>
        <v>3.9112344564842597E-2</v>
      </c>
      <c r="O43" s="55">
        <f t="shared" ca="1" si="33"/>
        <v>4.0709330831646996E-2</v>
      </c>
      <c r="P43" s="55">
        <f t="shared" ca="1" si="33"/>
        <v>4.2205760540451394E-2</v>
      </c>
      <c r="Q43" s="55">
        <f t="shared" ca="1" si="33"/>
        <v>4.3609776312390026E-2</v>
      </c>
      <c r="R43" s="55">
        <f t="shared" ca="1" si="33"/>
        <v>4.4928805428085777E-2</v>
      </c>
      <c r="S43" s="55">
        <f t="shared" ref="S43" ca="1" si="34">IF(ISERROR(S42/S$24),"n.a.",(S42/S$24))</f>
        <v>4.6169636333682249E-2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-0.38359571569634865</v>
      </c>
      <c r="K44" s="55">
        <f t="shared" si="35"/>
        <v>0.45397022443435842</v>
      </c>
      <c r="L44" s="55">
        <f t="shared" si="35"/>
        <v>0.12616922072125458</v>
      </c>
      <c r="M44" s="55">
        <f t="shared" si="35"/>
        <v>-3.3332281652118656E-3</v>
      </c>
      <c r="N44" s="55">
        <f t="shared" ca="1" si="35"/>
        <v>6.6533235546056835E-2</v>
      </c>
      <c r="O44" s="55">
        <f t="shared" ca="1" si="35"/>
        <v>5.9565701000400262E-2</v>
      </c>
      <c r="P44" s="55">
        <f t="shared" ca="1" si="35"/>
        <v>5.334702961423643E-2</v>
      </c>
      <c r="Q44" s="55">
        <f t="shared" ca="1" si="35"/>
        <v>4.7731698576578774E-2</v>
      </c>
      <c r="R44" s="55">
        <f t="shared" ca="1" si="35"/>
        <v>4.2609133500757013E-2</v>
      </c>
      <c r="S44" s="55">
        <f t="shared" ca="1" si="35"/>
        <v>3.7893891295605497E-2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47.195257615808735</v>
      </c>
      <c r="L46" s="2">
        <f t="shared" si="37"/>
        <v>51.829543587564167</v>
      </c>
      <c r="M46" s="2">
        <f t="shared" si="37"/>
        <v>54.799912142159194</v>
      </c>
      <c r="N46" s="2">
        <f t="shared" ca="1" si="37"/>
        <v>53.583260118465994</v>
      </c>
      <c r="O46" s="2">
        <f t="shared" ca="1" si="37"/>
        <v>52.366608094772801</v>
      </c>
      <c r="P46" s="2">
        <f t="shared" ca="1" si="37"/>
        <v>51.149956071079615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4.2157287367945349E-2</v>
      </c>
      <c r="L49" s="55">
        <f t="shared" si="41"/>
        <v>3.9443731096290603E-2</v>
      </c>
      <c r="M49" s="55">
        <f t="shared" si="41"/>
        <v>3.9562808038425934E-2</v>
      </c>
      <c r="N49" s="55">
        <f t="shared" si="41"/>
        <v>3.8787066704339151E-2</v>
      </c>
      <c r="O49" s="55">
        <f t="shared" ca="1" si="41"/>
        <v>3.8101244306816454E-2</v>
      </c>
      <c r="P49" s="55">
        <f t="shared" ca="1" si="41"/>
        <v>3.7501224711433523E-2</v>
      </c>
      <c r="Q49" s="55">
        <f t="shared" ca="1" si="41"/>
        <v>3.6983456322912743E-2</v>
      </c>
      <c r="R49" s="55">
        <f t="shared" ca="1" si="41"/>
        <v>3.6544917315131174E-2</v>
      </c>
      <c r="S49" s="55">
        <f t="shared" ref="S49" ca="1" si="42">IF(ISERROR(-S48/S$24),"n.a.",(-S48/S$24))</f>
        <v>3.6183086450624923E-2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0.96470075827557278</v>
      </c>
      <c r="M50" s="55">
        <f t="shared" si="45"/>
        <v>0.91241022194146038</v>
      </c>
      <c r="N50" s="55">
        <f t="shared" ca="1" si="45"/>
        <v>0.93312724700692251</v>
      </c>
      <c r="O50" s="55">
        <f t="shared" ca="1" si="45"/>
        <v>0.95480692409006662</v>
      </c>
      <c r="P50" s="55">
        <f t="shared" ca="1" si="45"/>
        <v>0.97751794606662812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1.27895873441601E-2</v>
      </c>
      <c r="L53" s="55">
        <f t="shared" si="47"/>
        <v>8.7645681570287133E-3</v>
      </c>
      <c r="M53" s="55">
        <f t="shared" si="47"/>
        <v>3.1293069864746182E-3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-4.2157287367945353E-3</v>
      </c>
      <c r="L56" s="55">
        <f t="shared" si="48"/>
        <v>-3.9443731096290603E-3</v>
      </c>
      <c r="M56" s="55">
        <f t="shared" si="48"/>
        <v>-3.9562808038425927E-3</v>
      </c>
      <c r="N56" s="55">
        <f t="shared" si="48"/>
        <v>-3.878706670433915E-3</v>
      </c>
      <c r="O56" s="55">
        <f t="shared" ca="1" si="48"/>
        <v>-3.8101244306816455E-3</v>
      </c>
      <c r="P56" s="55">
        <f t="shared" ca="1" si="48"/>
        <v>-3.750122471143352E-3</v>
      </c>
      <c r="Q56" s="55">
        <f t="shared" ca="1" si="48"/>
        <v>-3.6983456322912745E-3</v>
      </c>
      <c r="R56" s="55">
        <f t="shared" ca="1" si="48"/>
        <v>-3.6544917315131172E-3</v>
      </c>
      <c r="S56" s="55">
        <f t="shared" ca="1" si="48"/>
        <v>-3.6183086450624923E-3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-5.6935255010518142E-3</v>
      </c>
      <c r="L59" s="55">
        <f t="shared" si="49"/>
        <v>1.9831088415811719E-2</v>
      </c>
      <c r="M59" s="55">
        <f t="shared" si="49"/>
        <v>-3.8494933242315555E-3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16.530436886125468</v>
      </c>
      <c r="K61" s="137">
        <f t="shared" si="50"/>
        <v>42.729543842171907</v>
      </c>
      <c r="L61" s="137">
        <f t="shared" si="50"/>
        <v>80.510335436232509</v>
      </c>
      <c r="M61" s="137">
        <f t="shared" si="50"/>
        <v>46.163749964637887</v>
      </c>
      <c r="N61" s="137">
        <f t="shared" ca="1" si="50"/>
        <v>49.002572389464632</v>
      </c>
      <c r="O61" s="137">
        <f t="shared" ca="1" si="50"/>
        <v>50.789182045151563</v>
      </c>
      <c r="P61" s="137">
        <f t="shared" ca="1" si="50"/>
        <v>52.422465656057966</v>
      </c>
      <c r="Q61" s="137">
        <f t="shared" ca="1" si="50"/>
        <v>53.891796098022581</v>
      </c>
      <c r="R61" s="137">
        <f t="shared" ca="1" si="50"/>
        <v>55.187314333118252</v>
      </c>
      <c r="S61" s="137">
        <f t="shared" ca="1" si="50"/>
        <v>56.300024904847277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-1.1314467410078896E-2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16.519122418715391</v>
      </c>
      <c r="K64" s="137">
        <f t="shared" si="52"/>
        <v>42.729543842171907</v>
      </c>
      <c r="L64" s="137">
        <f t="shared" si="52"/>
        <v>80.510335436232509</v>
      </c>
      <c r="M64" s="137">
        <f>M63+M61</f>
        <v>46.163749964637887</v>
      </c>
      <c r="N64" s="137">
        <f t="shared" ca="1" si="52"/>
        <v>49.002572389464632</v>
      </c>
      <c r="O64" s="137">
        <f t="shared" ca="1" si="52"/>
        <v>50.789182045151563</v>
      </c>
      <c r="P64" s="137">
        <f ca="1">P63+P61</f>
        <v>52.422465656057966</v>
      </c>
      <c r="Q64" s="137">
        <f ca="1">Q63+Q61</f>
        <v>53.891796098022581</v>
      </c>
      <c r="R64" s="137">
        <f ca="1">R63+R61</f>
        <v>55.187314333118252</v>
      </c>
      <c r="S64" s="137">
        <f ca="1">S63+S61</f>
        <v>56.300024904847277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707.26906286714382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1057.1237490255444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320.64311358464136</v>
      </c>
      <c r="I75" s="53">
        <f ca="1">H75/$H$77</f>
        <v>0.50617903929753916</v>
      </c>
      <c r="L75" t="s">
        <v>50</v>
      </c>
      <c r="N75" s="41">
        <f ca="1">SUMPRODUCT($G$64:$T$64,$G$67:$T$67)</f>
        <v>320.64311358464136</v>
      </c>
      <c r="O75" s="53">
        <f ca="1">N75/$N$77</f>
        <v>0.38728039227454986</v>
      </c>
    </row>
    <row r="76" spans="4:20">
      <c r="F76" t="s">
        <v>51</v>
      </c>
      <c r="H76" s="322">
        <f ca="1">T69*S67</f>
        <v>312.81479101295071</v>
      </c>
      <c r="I76" s="53">
        <f ca="1">H76/$H$77</f>
        <v>0.4938209607024609</v>
      </c>
      <c r="L76" t="s">
        <v>51</v>
      </c>
      <c r="N76" s="41">
        <f ca="1">T70*R67</f>
        <v>507.29220145018695</v>
      </c>
      <c r="O76" s="53">
        <f ca="1">N76/$N$77</f>
        <v>0.61271960772545009</v>
      </c>
    </row>
    <row r="77" spans="4:20">
      <c r="F77" s="24" t="s">
        <v>52</v>
      </c>
      <c r="G77" s="56"/>
      <c r="H77" s="323">
        <f ca="1">SUM(H75:H76)</f>
        <v>633.45790459759201</v>
      </c>
      <c r="I77" s="58">
        <f ca="1">SUM(I75:I76)</f>
        <v>1</v>
      </c>
      <c r="L77" s="24" t="s">
        <v>52</v>
      </c>
      <c r="M77" s="56"/>
      <c r="N77" s="49">
        <f ca="1">SUM(N75:N76)</f>
        <v>827.93531503482836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548.84109105800701</v>
      </c>
      <c r="I79" s="58"/>
      <c r="L79" s="24" t="s">
        <v>68</v>
      </c>
      <c r="M79" s="56"/>
      <c r="N79" s="49">
        <f ca="1">N77+N78</f>
        <v>743.31850149524337</v>
      </c>
      <c r="O79" s="58"/>
    </row>
    <row r="80" spans="4:20">
      <c r="F80" s="57" t="s">
        <v>64</v>
      </c>
      <c r="G80" s="57"/>
      <c r="H80" s="63">
        <f ca="1">H79/Assumptions!$D$17*100</f>
        <v>275.79954324522964</v>
      </c>
      <c r="I80" s="84"/>
      <c r="L80" s="57" t="s">
        <v>64</v>
      </c>
      <c r="M80" s="57"/>
      <c r="N80" s="83">
        <f ca="1">N79/Assumptions!$D$17*100</f>
        <v>373.52688517348912</v>
      </c>
      <c r="O80" s="84"/>
    </row>
    <row r="81" spans="4:20">
      <c r="F81" s="85" t="s">
        <v>28</v>
      </c>
      <c r="G81" s="42"/>
      <c r="H81" s="324">
        <f ca="1">H80/Assumptions!$D$16-1</f>
        <v>0.67151238330442209</v>
      </c>
      <c r="I81" s="87"/>
      <c r="L81" s="85" t="s">
        <v>28</v>
      </c>
      <c r="M81" s="42"/>
      <c r="N81" s="86">
        <f ca="1">N80/Assumptions!$D$16-1</f>
        <v>1.2637993040817523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633.45790459759201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827.93531503482836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700.89501932085182</v>
      </c>
      <c r="G95" s="267">
        <v>714.3962434659469</v>
      </c>
      <c r="H95" s="268">
        <v>728.86184076426321</v>
      </c>
      <c r="I95" s="267">
        <v>744.3989637883808</v>
      </c>
      <c r="J95" s="269">
        <v>761.13125012204569</v>
      </c>
      <c r="L95" s="28">
        <f>L96-$I$88</f>
        <v>7.4999999999999997E-2</v>
      </c>
      <c r="M95" s="292">
        <f t="dataTable" ref="M95:Q99" dt2D="1" dtr="1" r1="F10" r2="F11" ca="1"/>
        <v>823.18619317831462</v>
      </c>
      <c r="N95" s="293">
        <v>855.62020943285938</v>
      </c>
      <c r="O95" s="293">
        <v>888.05422568740414</v>
      </c>
      <c r="P95" s="293">
        <v>920.4882419419489</v>
      </c>
      <c r="Q95" s="294">
        <v>952.92225819649366</v>
      </c>
    </row>
    <row r="96" spans="4:20" ht="12.75" customHeight="1">
      <c r="E96" s="28">
        <f>E97-$I$88</f>
        <v>0.08</v>
      </c>
      <c r="F96" s="270">
        <v>654.49057116859763</v>
      </c>
      <c r="G96" s="271">
        <v>665.84703459929335</v>
      </c>
      <c r="H96" s="268">
        <v>677.96059559203536</v>
      </c>
      <c r="I96" s="271">
        <v>690.90957458427692</v>
      </c>
      <c r="J96" s="272">
        <v>704.78348064739271</v>
      </c>
      <c r="L96" s="28">
        <f>L97-$I$88</f>
        <v>0.08</v>
      </c>
      <c r="M96" s="295">
        <v>795.12835994975467</v>
      </c>
      <c r="N96" s="296">
        <v>826.23571663094094</v>
      </c>
      <c r="O96" s="297">
        <v>857.34307331212699</v>
      </c>
      <c r="P96" s="296">
        <v>888.45042999331326</v>
      </c>
      <c r="Q96" s="298">
        <v>919.55778667449931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613.59228866261685</v>
      </c>
      <c r="G97" s="268">
        <v>623.22410244927141</v>
      </c>
      <c r="H97" s="271">
        <v>633.45790459759201</v>
      </c>
      <c r="I97" s="268">
        <v>644.35195204580418</v>
      </c>
      <c r="J97" s="272">
        <v>655.97226932389731</v>
      </c>
      <c r="L97" s="159">
        <f>$M$88</f>
        <v>8.5000000000000006E-2</v>
      </c>
      <c r="M97" s="295">
        <v>768.25387957010048</v>
      </c>
      <c r="N97" s="297">
        <v>798.09459730246442</v>
      </c>
      <c r="O97" s="296">
        <v>827.93531503482836</v>
      </c>
      <c r="P97" s="297">
        <v>857.77603276719231</v>
      </c>
      <c r="Q97" s="298">
        <v>887.61675049955625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577.2807298234751</v>
      </c>
      <c r="G98" s="271">
        <v>585.50996647542797</v>
      </c>
      <c r="H98" s="268">
        <v>594.22327587161317</v>
      </c>
      <c r="I98" s="271">
        <v>603.46466462514309</v>
      </c>
      <c r="J98" s="272">
        <v>613.28364017576848</v>
      </c>
      <c r="L98" s="134">
        <f>L97+$I$88</f>
        <v>9.0000000000000011E-2</v>
      </c>
      <c r="M98" s="295">
        <v>742.50607457500109</v>
      </c>
      <c r="N98" s="296">
        <v>771.13720048310574</v>
      </c>
      <c r="O98" s="297">
        <v>799.76832639121039</v>
      </c>
      <c r="P98" s="296">
        <v>828.39945229931516</v>
      </c>
      <c r="Q98" s="298">
        <v>857.03057820741969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544.83010188200785</v>
      </c>
      <c r="G99" s="274">
        <v>551.90721577827082</v>
      </c>
      <c r="H99" s="274">
        <v>559.37750266877072</v>
      </c>
      <c r="I99" s="274">
        <v>567.27466309587055</v>
      </c>
      <c r="J99" s="275">
        <v>575.63636237162325</v>
      </c>
      <c r="L99" s="135">
        <f>L98+$I$88</f>
        <v>9.5000000000000015E-2</v>
      </c>
      <c r="M99" s="299">
        <v>717.83126181440764</v>
      </c>
      <c r="N99" s="300">
        <v>745.30702950315708</v>
      </c>
      <c r="O99" s="300">
        <v>772.78279719190641</v>
      </c>
      <c r="P99" s="300">
        <v>800.25856488065585</v>
      </c>
      <c r="Q99" s="301">
        <v>827.73433256940518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275.79954324522964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373.52688517348912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309.6875405936014</v>
      </c>
      <c r="G104" s="277">
        <f>(G95-SUM(Assumptions!$D$19:$D$22))/Assumptions!$D$17*100</f>
        <v>316.47207533988035</v>
      </c>
      <c r="H104" s="278">
        <f>(H95-SUM(Assumptions!$D$19:$D$22))/Assumptions!$D$17*100</f>
        <v>323.74121971089357</v>
      </c>
      <c r="I104" s="277">
        <f>(I95-SUM(Assumptions!$D$19:$D$22))/Assumptions!$D$17*100</f>
        <v>331.54881922050043</v>
      </c>
      <c r="J104" s="279">
        <f>(J95-SUM(Assumptions!$D$19:$D$22))/Assumptions!$D$17*100</f>
        <v>339.95700330776918</v>
      </c>
      <c r="L104" s="28">
        <f>L105-$I$88</f>
        <v>7.4999999999999997E-2</v>
      </c>
      <c r="M104" s="62">
        <f>(M95-SUM(Assumptions!$D$19:$D$22))/Assumptions!$D$17*100</f>
        <v>371.14039177825606</v>
      </c>
      <c r="N104" s="63">
        <f>(N95-SUM(Assumptions!$D$19:$D$22))/Assumptions!$D$17*100</f>
        <v>387.4388924086806</v>
      </c>
      <c r="O104" s="67">
        <f>(O95-SUM(Assumptions!$D$19:$D$22))/Assumptions!$D$17*100</f>
        <v>403.73739303910509</v>
      </c>
      <c r="P104" s="63">
        <f>(P95-SUM(Assumptions!$D$19:$D$22))/Assumptions!$D$17*100</f>
        <v>420.03589366952963</v>
      </c>
      <c r="Q104" s="64">
        <f>(Q95-SUM(Assumptions!$D$19:$D$22))/Assumptions!$D$17*100</f>
        <v>436.33439429995411</v>
      </c>
    </row>
    <row r="105" spans="4:20">
      <c r="E105" s="28">
        <f>E106-$I$88</f>
        <v>0.08</v>
      </c>
      <c r="F105" s="280">
        <f>(F96-SUM(Assumptions!$D$19:$D$22))/Assumptions!$D$17*100</f>
        <v>286.36872242663952</v>
      </c>
      <c r="G105" s="281">
        <f>(G96-SUM(Assumptions!$D$19:$D$22))/Assumptions!$D$17*100</f>
        <v>292.07548796970269</v>
      </c>
      <c r="H105" s="278">
        <f>(H96-SUM(Assumptions!$D$19:$D$22))/Assumptions!$D$17*100</f>
        <v>298.16270454897005</v>
      </c>
      <c r="I105" s="281">
        <f>(I96-SUM(Assumptions!$D$19:$D$22))/Assumptions!$D$17*100</f>
        <v>304.6697291681869</v>
      </c>
      <c r="J105" s="282">
        <f>(J96-SUM(Assumptions!$D$19:$D$22))/Assumptions!$D$17*100</f>
        <v>311.64154126020492</v>
      </c>
      <c r="L105" s="28">
        <f>L106-$I$88</f>
        <v>0.08</v>
      </c>
      <c r="M105" s="65">
        <f>(M96-SUM(Assumptions!$D$19:$D$22))/Assumptions!$D$17*100</f>
        <v>357.04097809556265</v>
      </c>
      <c r="N105" s="66">
        <f>(N96-SUM(Assumptions!$D$19:$D$22))/Assumptions!$D$17*100</f>
        <v>372.67281562379696</v>
      </c>
      <c r="O105" s="67">
        <f>(O96-SUM(Assumptions!$D$19:$D$22))/Assumptions!$D$17*100</f>
        <v>388.30465315203116</v>
      </c>
      <c r="P105" s="66">
        <f>(P96-SUM(Assumptions!$D$19:$D$22))/Assumptions!$D$17*100</f>
        <v>403.93649068026542</v>
      </c>
      <c r="Q105" s="68">
        <f>(Q96-SUM(Assumptions!$D$19:$D$22))/Assumptions!$D$17*100</f>
        <v>419.56832820849968</v>
      </c>
    </row>
    <row r="106" spans="4:20">
      <c r="E106" s="159">
        <f>$F$88</f>
        <v>8.5000000000000006E-2</v>
      </c>
      <c r="F106" s="280">
        <f>(F97-SUM(Assumptions!$D$19:$D$22))/Assumptions!$D$17*100</f>
        <v>265.81682166986525</v>
      </c>
      <c r="G106" s="278">
        <f>(G97-SUM(Assumptions!$D$19:$D$22))/Assumptions!$D$17*100</f>
        <v>270.65692910034494</v>
      </c>
      <c r="H106" s="281">
        <f>(H97-SUM(Assumptions!$D$19:$D$22))/Assumptions!$D$17*100</f>
        <v>275.79954324522964</v>
      </c>
      <c r="I106" s="278">
        <f>(I97-SUM(Assumptions!$D$19:$D$22))/Assumptions!$D$17*100</f>
        <v>281.27393894784882</v>
      </c>
      <c r="J106" s="282">
        <f>(J97-SUM(Assumptions!$D$19:$D$22))/Assumptions!$D$17*100</f>
        <v>287.11329436397602</v>
      </c>
      <c r="L106" s="159">
        <f>$M$88</f>
        <v>8.5000000000000006E-2</v>
      </c>
      <c r="M106" s="65">
        <f>(M97-SUM(Assumptions!$D$19:$D$22))/Assumptions!$D$17*100</f>
        <v>343.5362140856862</v>
      </c>
      <c r="N106" s="67">
        <f>(N97-SUM(Assumptions!$D$19:$D$22))/Assumptions!$D$17*100</f>
        <v>358.53154962958763</v>
      </c>
      <c r="O106" s="66">
        <f>(O97-SUM(Assumptions!$D$19:$D$22))/Assumptions!$D$17*100</f>
        <v>373.52688517348912</v>
      </c>
      <c r="P106" s="67">
        <f>(P97-SUM(Assumptions!$D$19:$D$22))/Assumptions!$D$17*100</f>
        <v>388.52222071739061</v>
      </c>
      <c r="Q106" s="68">
        <f>(Q97-SUM(Assumptions!$D$19:$D$22))/Assumptions!$D$17*100</f>
        <v>403.51755626129204</v>
      </c>
    </row>
    <row r="107" spans="4:20">
      <c r="E107" s="134">
        <f>E106+$I$88</f>
        <v>9.0000000000000011E-2</v>
      </c>
      <c r="F107" s="280">
        <f>(F98-SUM(Assumptions!$D$19:$D$22))/Assumptions!$D$17*100</f>
        <v>247.56980717783424</v>
      </c>
      <c r="G107" s="281">
        <f>(G98-SUM(Assumptions!$D$19:$D$22))/Assumptions!$D$17*100</f>
        <v>251.70510197781053</v>
      </c>
      <c r="H107" s="278">
        <f>(H98-SUM(Assumptions!$D$19:$D$22))/Assumptions!$D$17*100</f>
        <v>256.08364941307946</v>
      </c>
      <c r="I107" s="281">
        <f>(I98-SUM(Assumptions!$D$19:$D$22))/Assumptions!$D$17*100</f>
        <v>260.72756335957695</v>
      </c>
      <c r="J107" s="282">
        <f>(J98-SUM(Assumptions!$D$19:$D$22))/Assumptions!$D$17*100</f>
        <v>265.66172192773041</v>
      </c>
      <c r="L107" s="134">
        <f>L106+$I$88</f>
        <v>9.0000000000000011E-2</v>
      </c>
      <c r="M107" s="65">
        <f>(M98-SUM(Assumptions!$D$19:$D$22))/Assumptions!$D$17*100</f>
        <v>330.59761861076186</v>
      </c>
      <c r="N107" s="66">
        <f>(N98-SUM(Assumptions!$D$19:$D$22))/Assumptions!$D$17*100</f>
        <v>344.98511906709581</v>
      </c>
      <c r="O107" s="67">
        <f>(O98-SUM(Assumptions!$D$19:$D$22))/Assumptions!$D$17*100</f>
        <v>359.37261952342988</v>
      </c>
      <c r="P107" s="66">
        <f>(P98-SUM(Assumptions!$D$19:$D$22))/Assumptions!$D$17*100</f>
        <v>373.76011997976389</v>
      </c>
      <c r="Q107" s="68">
        <f>(Q98-SUM(Assumptions!$D$19:$D$22))/Assumptions!$D$17*100</f>
        <v>388.14762043609784</v>
      </c>
    </row>
    <row r="108" spans="4:20">
      <c r="E108" s="135">
        <f>E107+$I$88</f>
        <v>9.5000000000000015E-2</v>
      </c>
      <c r="F108" s="283">
        <f>(F99-SUM(Assumptions!$D$19:$D$22))/Assumptions!$D$17*100</f>
        <v>231.26295896604162</v>
      </c>
      <c r="G108" s="284">
        <f>(G99-SUM(Assumptions!$D$19:$D$22))/Assumptions!$D$17*100</f>
        <v>234.81929760737984</v>
      </c>
      <c r="H108" s="284">
        <f>(H99-SUM(Assumptions!$D$19:$D$22))/Assumptions!$D$17*100</f>
        <v>238.57321061768127</v>
      </c>
      <c r="I108" s="284">
        <f>(I99-SUM(Assumptions!$D$19:$D$22))/Assumptions!$D$17*100</f>
        <v>242.54163294285704</v>
      </c>
      <c r="J108" s="285">
        <f>(J99-SUM(Assumptions!$D$19:$D$22))/Assumptions!$D$17*100</f>
        <v>246.74349187539613</v>
      </c>
      <c r="L108" s="135">
        <f>L107+$I$88</f>
        <v>9.5000000000000015E-2</v>
      </c>
      <c r="M108" s="69">
        <f>(M99-SUM(Assumptions!$D$19:$D$22))/Assumptions!$D$17*100</f>
        <v>318.1982152134787</v>
      </c>
      <c r="N108" s="70">
        <f>(N99-SUM(Assumptions!$D$19:$D$22))/Assumptions!$D$17*100</f>
        <v>332.00513365003621</v>
      </c>
      <c r="O108" s="70">
        <f>(O99-SUM(Assumptions!$D$19:$D$22))/Assumptions!$D$17*100</f>
        <v>345.81205208659367</v>
      </c>
      <c r="P108" s="70">
        <f>(P99-SUM(Assumptions!$D$19:$D$22))/Assumptions!$D$17*100</f>
        <v>359.61897052315118</v>
      </c>
      <c r="Q108" s="71">
        <f>(Q99-SUM(Assumptions!$D$19:$D$22))/Assumptions!$D$17*100</f>
        <v>373.42588895970863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75.356085796370493</v>
      </c>
      <c r="K112" s="121">
        <f t="shared" si="56"/>
        <v>97.939970389950702</v>
      </c>
      <c r="L112" s="121">
        <f t="shared" si="56"/>
        <v>108.97667722814352</v>
      </c>
      <c r="M112" s="121">
        <f t="shared" si="56"/>
        <v>111.75656134732664</v>
      </c>
      <c r="N112" s="121">
        <f t="shared" ca="1" si="56"/>
        <v>114.32941948111497</v>
      </c>
      <c r="O112" s="121">
        <f t="shared" ca="1" si="56"/>
        <v>116.73115502293999</v>
      </c>
      <c r="P112" s="121">
        <f t="shared" ca="1" si="56"/>
        <v>118.94816039033064</v>
      </c>
      <c r="Q112" s="121">
        <f t="shared" ca="1" si="56"/>
        <v>120.96763181923723</v>
      </c>
      <c r="R112" s="121">
        <f t="shared" ca="1" si="56"/>
        <v>122.77769095071135</v>
      </c>
      <c r="S112" s="121">
        <f t="shared" ca="1" si="56"/>
        <v>124.36749988535817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6.8505532542154995E-2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8.973801127872949E-2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47.195257615808735</v>
      </c>
      <c r="L114" s="122">
        <f t="shared" si="59"/>
        <v>51.829543587564167</v>
      </c>
      <c r="M114" s="122">
        <f t="shared" si="59"/>
        <v>54.799912142159194</v>
      </c>
      <c r="N114" s="122">
        <f t="shared" ca="1" si="59"/>
        <v>53.583260118465994</v>
      </c>
      <c r="O114" s="122">
        <f t="shared" ca="1" si="59"/>
        <v>52.366608094772801</v>
      </c>
      <c r="P114" s="122">
        <f t="shared" ca="1" si="59"/>
        <v>51.149956071079615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0.94390515231617467</v>
      </c>
      <c r="L115" s="123">
        <f t="shared" si="60"/>
        <v>1.0365908717512833</v>
      </c>
      <c r="M115" s="123">
        <f t="shared" si="60"/>
        <v>1.0959982428431838</v>
      </c>
      <c r="N115" s="123">
        <f t="shared" ca="1" si="60"/>
        <v>1.0716652023693198</v>
      </c>
      <c r="O115" s="123">
        <f t="shared" ca="1" si="60"/>
        <v>1.0473321618954561</v>
      </c>
      <c r="P115" s="123">
        <f t="shared" ca="1" si="60"/>
        <v>1.0229991214215923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34.90079227302148</v>
      </c>
      <c r="K116" s="121">
        <f t="shared" si="61"/>
        <v>50.744712774141966</v>
      </c>
      <c r="L116" s="121">
        <f t="shared" si="61"/>
        <v>57.147133640579348</v>
      </c>
      <c r="M116" s="121">
        <f t="shared" si="61"/>
        <v>56.956649205167444</v>
      </c>
      <c r="N116" s="121">
        <f t="shared" ca="1" si="61"/>
        <v>60.746159362648974</v>
      </c>
      <c r="O116" s="121">
        <f t="shared" ca="1" si="61"/>
        <v>64.364546928167186</v>
      </c>
      <c r="P116" s="121">
        <f t="shared" ca="1" si="61"/>
        <v>67.798204319251028</v>
      </c>
      <c r="Q116" s="121">
        <f t="shared" ca="1" si="61"/>
        <v>71.034327771850826</v>
      </c>
      <c r="R116" s="121">
        <f t="shared" ca="1" si="61"/>
        <v>74.061038927018146</v>
      </c>
      <c r="S116" s="121">
        <f t="shared" ca="1" si="61"/>
        <v>76.867499885358171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3.1727992975474073E-2</v>
      </c>
      <c r="K117" s="123">
        <f t="shared" si="62"/>
        <v>4.2785188776467004E-2</v>
      </c>
      <c r="L117" s="123">
        <f t="shared" si="62"/>
        <v>4.5081923444855891E-2</v>
      </c>
      <c r="M117" s="123">
        <f t="shared" si="62"/>
        <v>4.5067299580320089E-2</v>
      </c>
      <c r="N117" s="123">
        <f t="shared" ca="1" si="62"/>
        <v>4.7123306704629636E-2</v>
      </c>
      <c r="O117" s="123">
        <f t="shared" ca="1" si="62"/>
        <v>4.9047386544153013E-2</v>
      </c>
      <c r="P117" s="123">
        <f t="shared" ca="1" si="62"/>
        <v>5.0850313904158312E-2</v>
      </c>
      <c r="Q117" s="123">
        <f t="shared" ca="1" si="62"/>
        <v>5.2541899171554253E-2</v>
      </c>
      <c r="R117" s="123">
        <f t="shared" ca="1" si="62"/>
        <v>5.4131090877211782E-2</v>
      </c>
      <c r="S117" s="123">
        <f t="shared" ref="S117" ca="1" si="63">S116/S$24</f>
        <v>5.5626067871906319E-2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-5.933134686413652</v>
      </c>
      <c r="K118" s="122">
        <f t="shared" si="64"/>
        <v>-8.6266011716041344</v>
      </c>
      <c r="L118" s="122">
        <f t="shared" si="64"/>
        <v>-9.7150127188984907</v>
      </c>
      <c r="M118" s="122">
        <f t="shared" si="64"/>
        <v>-9.6826303648784666</v>
      </c>
      <c r="N118" s="122">
        <f t="shared" ca="1" si="64"/>
        <v>-10.326847091650327</v>
      </c>
      <c r="O118" s="122">
        <f t="shared" ca="1" si="64"/>
        <v>-10.941972977788422</v>
      </c>
      <c r="P118" s="122">
        <f t="shared" ca="1" si="64"/>
        <v>-11.525694734272676</v>
      </c>
      <c r="Q118" s="122">
        <f t="shared" ca="1" si="64"/>
        <v>-12.075835721214641</v>
      </c>
      <c r="R118" s="122">
        <f t="shared" ca="1" si="64"/>
        <v>-12.590376617593085</v>
      </c>
      <c r="S118" s="122">
        <f t="shared" ca="1" si="64"/>
        <v>-13.067474980510889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28.967657586607828</v>
      </c>
      <c r="K120" s="122">
        <f t="shared" si="66"/>
        <v>42.11811160253783</v>
      </c>
      <c r="L120" s="122">
        <f t="shared" si="66"/>
        <v>47.432120921680855</v>
      </c>
      <c r="M120" s="122">
        <f t="shared" si="66"/>
        <v>47.274018840288974</v>
      </c>
      <c r="N120" s="122">
        <f t="shared" ca="1" si="66"/>
        <v>50.419312270998645</v>
      </c>
      <c r="O120" s="122">
        <f t="shared" ca="1" si="66"/>
        <v>53.422573950378762</v>
      </c>
      <c r="P120" s="122">
        <f t="shared" ca="1" si="66"/>
        <v>56.272509584978351</v>
      </c>
      <c r="Q120" s="122">
        <f t="shared" ca="1" si="66"/>
        <v>58.958492050636181</v>
      </c>
      <c r="R120" s="122">
        <f t="shared" ca="1" si="66"/>
        <v>61.470662309425059</v>
      </c>
      <c r="S120" s="122">
        <f t="shared" ca="1" si="66"/>
        <v>63.800024904847284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47.195257615808735</v>
      </c>
      <c r="L121" s="122">
        <f t="shared" si="67"/>
        <v>51.829543587564167</v>
      </c>
      <c r="M121" s="122">
        <f t="shared" si="67"/>
        <v>54.799912142159194</v>
      </c>
      <c r="N121" s="122">
        <f t="shared" ca="1" si="67"/>
        <v>53.583260118465994</v>
      </c>
      <c r="O121" s="122">
        <f t="shared" ca="1" si="67"/>
        <v>52.366608094772801</v>
      </c>
      <c r="P121" s="122">
        <f t="shared" ca="1" si="67"/>
        <v>51.149956071079615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16.530436886125468</v>
      </c>
      <c r="K127" s="131">
        <f t="shared" si="72"/>
        <v>42.729543842171907</v>
      </c>
      <c r="L127" s="131">
        <f t="shared" si="72"/>
        <v>80.510335436232509</v>
      </c>
      <c r="M127" s="131">
        <f t="shared" si="72"/>
        <v>46.163749964637887</v>
      </c>
      <c r="N127" s="131">
        <f t="shared" ca="1" si="72"/>
        <v>49.002572389464632</v>
      </c>
      <c r="O127" s="131">
        <f t="shared" ca="1" si="72"/>
        <v>50.789182045151563</v>
      </c>
      <c r="P127" s="131">
        <f t="shared" ca="1" si="72"/>
        <v>52.422465656057966</v>
      </c>
      <c r="Q127" s="131">
        <f t="shared" ca="1" si="72"/>
        <v>53.891796098022581</v>
      </c>
      <c r="R127" s="131">
        <f t="shared" ca="1" si="72"/>
        <v>55.187314333118252</v>
      </c>
      <c r="S127" s="131">
        <f t="shared" ca="1" si="72"/>
        <v>56.300024904847277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zoomScaleNormal="100" workbookViewId="0">
      <selection activeCell="C3" sqref="C3"/>
    </sheetView>
  </sheetViews>
  <sheetFormatPr defaultColWidth="8.77734375" defaultRowHeight="13.2"/>
  <cols>
    <col min="1" max="2" width="2.6640625" style="171" customWidth="1"/>
    <col min="3" max="5" width="12" style="171" customWidth="1"/>
    <col min="6" max="7" width="9.109375" style="171"/>
    <col min="8" max="8" width="0.777343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777343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777343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777343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777343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777343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777343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777343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777343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777343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777343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777343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777343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777343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777343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777343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777343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777343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777343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777343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777343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777343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777343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777343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777343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777343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777343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777343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777343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777343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777343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777343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777343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777343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777343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777343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777343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777343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777343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777343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777343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777343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777343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777343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777343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777343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777343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777343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777343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777343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777343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777343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777343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777343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777343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777343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777343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777343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777343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777343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777343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777343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777343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777343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6.05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6.05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1186.0345653553109</v>
      </c>
      <c r="L9" s="222">
        <f>'DCF input'!L24</f>
        <v>1267.6285587167015</v>
      </c>
      <c r="M9" s="222">
        <f>'DCF input'!M24</f>
        <v>1263.8132245678012</v>
      </c>
      <c r="N9" s="222">
        <f>'DCF input'!N24</f>
        <v>1289.0894890591571</v>
      </c>
      <c r="O9" s="222">
        <f ca="1">'DCF input'!O24</f>
        <v>1312.2930998622219</v>
      </c>
      <c r="P9" s="222">
        <f ca="1">'DCF input'!P24</f>
        <v>1333.2897894600173</v>
      </c>
      <c r="Q9" s="222">
        <f ca="1">'DCF input'!Q24</f>
        <v>1351.9558465124576</v>
      </c>
      <c r="R9" s="222">
        <f ca="1">'DCF input'!R24</f>
        <v>1368.179316670607</v>
      </c>
      <c r="S9" s="222">
        <f ca="1">'DCF input'!S24</f>
        <v>1381.8611098373131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7.8213241232100827E-2</v>
      </c>
      <c r="L10" s="224">
        <f t="shared" si="10"/>
        <v>6.879562851268739E-2</v>
      </c>
      <c r="M10" s="224">
        <f t="shared" si="10"/>
        <v>-3.0098202842343547E-3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75.356085796370493</v>
      </c>
      <c r="K11" s="222">
        <f>'DCF input'!K27</f>
        <v>97.939970389950702</v>
      </c>
      <c r="L11" s="222">
        <f>'DCF input'!L27</f>
        <v>108.97667722814352</v>
      </c>
      <c r="M11" s="222">
        <f>'DCF input'!M27</f>
        <v>111.75656134732664</v>
      </c>
      <c r="N11" s="222">
        <f ca="1">'DCF input'!N27</f>
        <v>114.32941948111497</v>
      </c>
      <c r="O11" s="222">
        <f ca="1">'DCF input'!O27</f>
        <v>116.73115502293999</v>
      </c>
      <c r="P11" s="222">
        <f ca="1">'DCF input'!P27</f>
        <v>118.94816039033064</v>
      </c>
      <c r="Q11" s="222">
        <f ca="1">'DCF input'!Q27</f>
        <v>120.96763181923723</v>
      </c>
      <c r="R11" s="222">
        <f ca="1">'DCF input'!R27</f>
        <v>122.77769095071135</v>
      </c>
      <c r="S11" s="222">
        <f ca="1">'DCF input'!S27</f>
        <v>124.36749988535817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6.8505532542154995E-2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8.973801127872949E-2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-0.19959299838883438</v>
      </c>
      <c r="K13" s="224">
        <f t="shared" si="12"/>
        <v>0.29969556346924753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1.8992404957827835E-2</v>
      </c>
      <c r="Q13" s="224">
        <f t="shared" ca="1" si="12"/>
        <v>1.6977744105328263E-2</v>
      </c>
      <c r="R13" s="224">
        <f t="shared" ca="1" si="12"/>
        <v>1.4963169107740315E-2</v>
      </c>
      <c r="S13" s="224">
        <f t="shared" ca="1" si="12"/>
        <v>1.2948679213107495E-2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-47.195257615808735</v>
      </c>
      <c r="L14" s="226">
        <f>'DCF input'!L31</f>
        <v>-51.829543587564167</v>
      </c>
      <c r="M14" s="226">
        <f>'DCF input'!M31</f>
        <v>-54.799912142159194</v>
      </c>
      <c r="N14" s="226">
        <f ca="1">'DCF input'!N31</f>
        <v>-53.583260118465994</v>
      </c>
      <c r="O14" s="226">
        <f ca="1">'DCF input'!O31</f>
        <v>-52.366608094772801</v>
      </c>
      <c r="P14" s="226">
        <f ca="1">'DCF input'!P31</f>
        <v>-51.149956071079615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3.9792480754277201E-2</v>
      </c>
      <c r="L15" s="224">
        <f t="shared" si="13"/>
        <v>4.0887011602227082E-2</v>
      </c>
      <c r="M15" s="224">
        <f t="shared" si="13"/>
        <v>4.3360768092057009E-2</v>
      </c>
      <c r="N15" s="224">
        <f t="shared" ca="1" si="13"/>
        <v>4.1566749689017926E-2</v>
      </c>
      <c r="O15" s="224">
        <f t="shared" ca="1" si="13"/>
        <v>3.9904658570765014E-2</v>
      </c>
      <c r="P15" s="224">
        <f t="shared" ca="1" si="13"/>
        <v>3.8363719932030201E-2</v>
      </c>
      <c r="Q15" s="224">
        <f t="shared" ca="1" si="13"/>
        <v>3.6934123385904738E-2</v>
      </c>
      <c r="R15" s="224">
        <f t="shared" ca="1" si="13"/>
        <v>3.5606920401517715E-2</v>
      </c>
      <c r="S15" s="224">
        <f t="shared" ca="1" si="13"/>
        <v>3.4373932128093677E-2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0.94390515231617467</v>
      </c>
      <c r="L16" s="224">
        <f t="shared" ref="L16:S16" si="14">+L14/L21</f>
        <v>1.0365908717512833</v>
      </c>
      <c r="M16" s="224">
        <f t="shared" si="14"/>
        <v>1.0959982428431838</v>
      </c>
      <c r="N16" s="224">
        <f t="shared" ca="1" si="14"/>
        <v>1.0716652023693198</v>
      </c>
      <c r="O16" s="224">
        <f t="shared" ca="1" si="14"/>
        <v>1.0473321618954561</v>
      </c>
      <c r="P16" s="224">
        <f t="shared" ca="1" si="14"/>
        <v>1.0229991214215923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34.90079227302148</v>
      </c>
      <c r="K17" s="226">
        <f t="shared" si="15"/>
        <v>50.744712774141966</v>
      </c>
      <c r="L17" s="226">
        <f t="shared" si="15"/>
        <v>57.147133640579348</v>
      </c>
      <c r="M17" s="226">
        <f t="shared" si="15"/>
        <v>56.956649205167444</v>
      </c>
      <c r="N17" s="226">
        <f t="shared" ca="1" si="15"/>
        <v>60.746159362648974</v>
      </c>
      <c r="O17" s="226">
        <f t="shared" ca="1" si="15"/>
        <v>64.364546928167186</v>
      </c>
      <c r="P17" s="226">
        <f t="shared" ca="1" si="15"/>
        <v>67.798204319251028</v>
      </c>
      <c r="Q17" s="226">
        <f t="shared" ca="1" si="15"/>
        <v>71.034327771850826</v>
      </c>
      <c r="R17" s="226">
        <f t="shared" ca="1" si="15"/>
        <v>74.061038927018146</v>
      </c>
      <c r="S17" s="226">
        <f t="shared" ca="1" si="15"/>
        <v>76.867499885358171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3.1727992975474073E-2</v>
      </c>
      <c r="K18" s="224">
        <f t="shared" si="16"/>
        <v>4.2785188776467004E-2</v>
      </c>
      <c r="L18" s="224">
        <f t="shared" si="16"/>
        <v>4.5081923444855891E-2</v>
      </c>
      <c r="M18" s="224">
        <f t="shared" si="16"/>
        <v>4.5067299580320089E-2</v>
      </c>
      <c r="N18" s="224">
        <f t="shared" ca="1" si="16"/>
        <v>4.7123306704629636E-2</v>
      </c>
      <c r="O18" s="224">
        <f t="shared" ca="1" si="16"/>
        <v>4.9047386544153013E-2</v>
      </c>
      <c r="P18" s="224">
        <f t="shared" ca="1" si="16"/>
        <v>5.0850313904158312E-2</v>
      </c>
      <c r="Q18" s="224">
        <f t="shared" ca="1" si="16"/>
        <v>5.2541899171554253E-2</v>
      </c>
      <c r="R18" s="224">
        <f t="shared" ca="1" si="16"/>
        <v>5.4131090877211782E-2</v>
      </c>
      <c r="S18" s="224">
        <f t="shared" ca="1" si="16"/>
        <v>5.5626067871906319E-2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-5.933134686413652</v>
      </c>
      <c r="K19" s="226">
        <f t="shared" ref="K19:S19" si="17">-K20*K17</f>
        <v>-8.6266011716041344</v>
      </c>
      <c r="L19" s="226">
        <f t="shared" si="17"/>
        <v>-9.7150127188984907</v>
      </c>
      <c r="M19" s="226">
        <f t="shared" si="17"/>
        <v>-9.6826303648784666</v>
      </c>
      <c r="N19" s="226">
        <f t="shared" ca="1" si="17"/>
        <v>-10.326847091650327</v>
      </c>
      <c r="O19" s="226">
        <f t="shared" ca="1" si="17"/>
        <v>-10.941972977788422</v>
      </c>
      <c r="P19" s="226">
        <f t="shared" ca="1" si="17"/>
        <v>-11.525694734272676</v>
      </c>
      <c r="Q19" s="226">
        <f t="shared" ca="1" si="17"/>
        <v>-12.075835721214641</v>
      </c>
      <c r="R19" s="226">
        <f t="shared" ca="1" si="17"/>
        <v>-12.590376617593085</v>
      </c>
      <c r="S19" s="226">
        <f t="shared" ca="1" si="17"/>
        <v>-13.067474980510889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4.2157287367945349E-2</v>
      </c>
      <c r="L22" s="224">
        <f t="shared" si="19"/>
        <v>3.9443731096290603E-2</v>
      </c>
      <c r="M22" s="224">
        <f t="shared" si="19"/>
        <v>3.9562808038425934E-2</v>
      </c>
      <c r="N22" s="224">
        <f t="shared" si="19"/>
        <v>3.8787066704339151E-2</v>
      </c>
      <c r="O22" s="224">
        <f t="shared" ca="1" si="19"/>
        <v>3.8101244306816454E-2</v>
      </c>
      <c r="P22" s="224">
        <f t="shared" ca="1" si="19"/>
        <v>3.7501224711433523E-2</v>
      </c>
      <c r="Q22" s="224">
        <f t="shared" ca="1" si="19"/>
        <v>3.6983456322912743E-2</v>
      </c>
      <c r="R22" s="224">
        <f t="shared" ca="1" si="19"/>
        <v>3.6544917315131174E-2</v>
      </c>
      <c r="S22" s="224">
        <f t="shared" ca="1" si="19"/>
        <v>3.6183086450624923E-2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4.2157287367945353E-3</v>
      </c>
      <c r="L25" s="224">
        <f t="shared" si="20"/>
        <v>3.9443731096290603E-3</v>
      </c>
      <c r="M25" s="224">
        <f t="shared" si="20"/>
        <v>3.9562808038425927E-3</v>
      </c>
      <c r="N25" s="224">
        <f t="shared" si="20"/>
        <v>3.878706670433915E-3</v>
      </c>
      <c r="O25" s="224">
        <f t="shared" ca="1" si="20"/>
        <v>3.8101244306816455E-3</v>
      </c>
      <c r="P25" s="224">
        <f t="shared" ca="1" si="20"/>
        <v>3.750122471143352E-3</v>
      </c>
      <c r="Q25" s="224">
        <f t="shared" ca="1" si="20"/>
        <v>3.6983456322912745E-3</v>
      </c>
      <c r="R25" s="224">
        <f t="shared" ca="1" si="20"/>
        <v>3.6544917315131172E-3</v>
      </c>
      <c r="S25" s="224">
        <f t="shared" ca="1" si="20"/>
        <v>3.6183086450624923E-3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5.6935255010518142E-3</v>
      </c>
      <c r="L27" s="224">
        <f t="shared" si="21"/>
        <v>-1.9831088415811719E-2</v>
      </c>
      <c r="M27" s="224">
        <f t="shared" si="21"/>
        <v>3.8494933242315555E-3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16.530436886125468</v>
      </c>
      <c r="K28" s="222">
        <f t="shared" ref="K28:S28" si="22">K17+K19-K14+K21+K23+K24+K26</f>
        <v>42.729543842171907</v>
      </c>
      <c r="L28" s="222">
        <f t="shared" si="22"/>
        <v>80.510335436232509</v>
      </c>
      <c r="M28" s="222">
        <f t="shared" si="22"/>
        <v>46.163749964637887</v>
      </c>
      <c r="N28" s="222">
        <f t="shared" ca="1" si="22"/>
        <v>49.002572389464632</v>
      </c>
      <c r="O28" s="222">
        <f t="shared" ca="1" si="22"/>
        <v>50.789182045151563</v>
      </c>
      <c r="P28" s="222">
        <f t="shared" ca="1" si="22"/>
        <v>52.422465656057966</v>
      </c>
      <c r="Q28" s="222">
        <f t="shared" ca="1" si="22"/>
        <v>53.891796098022581</v>
      </c>
      <c r="R28" s="222">
        <f t="shared" ca="1" si="22"/>
        <v>55.187314333118252</v>
      </c>
      <c r="S28" s="222">
        <f t="shared" ca="1" si="22"/>
        <v>56.300024904847277</v>
      </c>
      <c r="T28" s="222">
        <f ca="1">S28*(1+'DCF input'!F9)/('DCF input'!F11-'DCF input'!F9)</f>
        <v>707.26906286714382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15.235425701498126</v>
      </c>
      <c r="K31" s="231">
        <f t="shared" ref="K31:S31" si="25">K30*K28</f>
        <v>36.296836919171703</v>
      </c>
      <c r="L31" s="231">
        <f t="shared" si="25"/>
        <v>63.032193620400946</v>
      </c>
      <c r="M31" s="231">
        <f t="shared" si="25"/>
        <v>33.31057483985834</v>
      </c>
      <c r="N31" s="231">
        <f t="shared" ca="1" si="25"/>
        <v>32.588936496973744</v>
      </c>
      <c r="O31" s="231">
        <f t="shared" ca="1" si="25"/>
        <v>31.130979789577204</v>
      </c>
      <c r="P31" s="231">
        <f t="shared" ca="1" si="25"/>
        <v>29.614832221586003</v>
      </c>
      <c r="Q31" s="231">
        <f t="shared" ca="1" si="25"/>
        <v>28.059811710824299</v>
      </c>
      <c r="R31" s="231">
        <f t="shared" ca="1" si="25"/>
        <v>26.483270483685367</v>
      </c>
      <c r="S31" s="231">
        <f t="shared" ca="1" si="25"/>
        <v>24.900679881627919</v>
      </c>
      <c r="T31" s="231">
        <f ca="1">T28*S30</f>
        <v>312.81479101295071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4" t="str">
        <f>"Value Based on "&amp;TEXT(K40,"#0.0%")&amp;" WACC &amp; "&amp;TEXT(N37,"#0.0%")&amp;" TGR"</f>
        <v>Value Based on 8.5% WACC &amp; 0.5% TGR</v>
      </c>
      <c r="D35" s="344"/>
      <c r="E35" s="344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5"/>
      <c r="D36" s="345"/>
      <c r="E36" s="345"/>
      <c r="F36" s="302" t="s">
        <v>143</v>
      </c>
      <c r="G36" s="180" t="s">
        <v>93</v>
      </c>
      <c r="H36" s="168"/>
      <c r="I36" s="39"/>
      <c r="J36" s="176"/>
      <c r="K36" s="191"/>
      <c r="L36" s="348" t="s">
        <v>94</v>
      </c>
      <c r="M36" s="348"/>
      <c r="N36" s="348"/>
      <c r="O36" s="348"/>
      <c r="P36" s="348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320.65354166520365</v>
      </c>
      <c r="G37" s="233">
        <f ca="1">F37/F$39</f>
        <v>0.50618716851962631</v>
      </c>
      <c r="H37" s="168"/>
      <c r="I37" s="39"/>
      <c r="J37" s="346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312.81479101295071</v>
      </c>
      <c r="G38" s="233">
        <f ca="1">F38/F$39</f>
        <v>0.49381283148037358</v>
      </c>
      <c r="H38" s="168"/>
      <c r="I38" s="39"/>
      <c r="J38" s="346"/>
      <c r="K38" s="245">
        <f>'DCF input'!E95</f>
        <v>7.4999999999999997E-2</v>
      </c>
      <c r="L38" s="246" t="str">
        <f>CONCATENATE(ROUND('DCF input'!F95,)," / ",ROUND('DCF input'!F104,0),"c")</f>
        <v>701 / 310c</v>
      </c>
      <c r="M38" s="247" t="str">
        <f>CONCATENATE(ROUND('DCF input'!G95,)," / ",ROUND('DCF input'!G104,0),"c")</f>
        <v>714 / 316c</v>
      </c>
      <c r="N38" s="247" t="str">
        <f>CONCATENATE(ROUND('DCF input'!H95,)," / ",ROUND('DCF input'!H104,0),"c")</f>
        <v>729 / 324c</v>
      </c>
      <c r="O38" s="247" t="str">
        <f>CONCATENATE(ROUND('DCF input'!I95,)," / ",ROUND('DCF input'!I104,0),"c")</f>
        <v>744 / 332c</v>
      </c>
      <c r="P38" s="247" t="str">
        <f>CONCATENATE(ROUND('DCF input'!J95,)," / ",ROUND('DCF input'!J104,0),"c")</f>
        <v>761 / 340c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633.46833267815441</v>
      </c>
      <c r="G39" s="235">
        <f ca="1">F39/F$39</f>
        <v>1</v>
      </c>
      <c r="H39" s="168"/>
      <c r="I39" s="39"/>
      <c r="J39" s="346"/>
      <c r="K39" s="245">
        <f>'DCF input'!E96</f>
        <v>0.08</v>
      </c>
      <c r="L39" s="247" t="str">
        <f>CONCATENATE(ROUND('DCF input'!F96,)," / ",ROUND('DCF input'!F105,0),"c")</f>
        <v>654 / 286c</v>
      </c>
      <c r="M39" s="248" t="str">
        <f>CONCATENATE(ROUND('DCF input'!G96,)," / ",ROUND('DCF input'!G105,0),"c")</f>
        <v>666 / 292c</v>
      </c>
      <c r="N39" s="248" t="str">
        <f>CONCATENATE(ROUND('DCF input'!H96,)," / ",ROUND('DCF input'!H105,0),"c")</f>
        <v>678 / 298c</v>
      </c>
      <c r="O39" s="248" t="str">
        <f>CONCATENATE(ROUND('DCF input'!I96,)," / ",ROUND('DCF input'!I105,0),"c")</f>
        <v>691 / 305c</v>
      </c>
      <c r="P39" s="247" t="str">
        <f>CONCATENATE(ROUND('DCF input'!J96,)," / ",ROUND('DCF input'!J105,0),"c")</f>
        <v>705 / 312c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6"/>
      <c r="K40" s="245">
        <f>'DCF input'!E97</f>
        <v>8.5000000000000006E-2</v>
      </c>
      <c r="L40" s="247" t="str">
        <f>CONCATENATE(ROUND('DCF input'!F97,)," / ",ROUND('DCF input'!F106,0),"c")</f>
        <v>614 / 266c</v>
      </c>
      <c r="M40" s="248" t="str">
        <f>CONCATENATE(ROUND('DCF input'!G97,)," / ",ROUND('DCF input'!G106,0),"c")</f>
        <v>623 / 271c</v>
      </c>
      <c r="N40" s="249" t="str">
        <f>CONCATENATE(ROUND('DCF input'!H97,)," / ",ROUND('DCF input'!H106,0),"c")</f>
        <v>633 / 276c</v>
      </c>
      <c r="O40" s="248" t="str">
        <f>CONCATENATE(ROUND('DCF input'!I97,)," / ",ROUND('DCF input'!I106,0),"c")</f>
        <v>644 / 281c</v>
      </c>
      <c r="P40" s="247" t="str">
        <f>CONCATENATE(ROUND('DCF input'!J97,)," / ",ROUND('DCF input'!J106,0),"c")</f>
        <v>656 / 287c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548.85151913856942</v>
      </c>
      <c r="G41" s="235"/>
      <c r="H41" s="168"/>
      <c r="I41" s="39"/>
      <c r="J41" s="346"/>
      <c r="K41" s="245">
        <f>'DCF input'!E98</f>
        <v>9.0000000000000011E-2</v>
      </c>
      <c r="L41" s="247" t="str">
        <f>CONCATENATE(ROUND('DCF input'!F98,)," / ",ROUND('DCF input'!F107,0),"c")</f>
        <v>577 / 248c</v>
      </c>
      <c r="M41" s="248" t="str">
        <f>CONCATENATE(ROUND('DCF input'!G98,)," / ",ROUND('DCF input'!G107,0),"c")</f>
        <v>586 / 252c</v>
      </c>
      <c r="N41" s="248" t="str">
        <f>CONCATENATE(ROUND('DCF input'!H98,)," / ",ROUND('DCF input'!H107,0),"c")</f>
        <v>594 / 256c</v>
      </c>
      <c r="O41" s="248" t="str">
        <f>CONCATENATE(ROUND('DCF input'!I98,)," / ",ROUND('DCF input'!I107,0),"c")</f>
        <v>603 / 261c</v>
      </c>
      <c r="P41" s="247" t="str">
        <f>CONCATENATE(ROUND('DCF input'!J98,)," / ",ROUND('DCF input'!J107,0),"c")</f>
        <v>613 / 266c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275.80478348671829</v>
      </c>
      <c r="G42" s="238"/>
      <c r="H42" s="168"/>
      <c r="I42" s="39"/>
      <c r="J42" s="347"/>
      <c r="K42" s="250">
        <f>'DCF input'!E99</f>
        <v>9.5000000000000015E-2</v>
      </c>
      <c r="L42" s="251" t="str">
        <f>CONCATENATE(ROUND('DCF input'!F99,)," / ",ROUND('DCF input'!F108,0),"c")</f>
        <v>545 / 231c</v>
      </c>
      <c r="M42" s="251" t="str">
        <f>CONCATENATE(ROUND('DCF input'!G99,)," / ",ROUND('DCF input'!G108,0),"c")</f>
        <v>552 / 235c</v>
      </c>
      <c r="N42" s="251" t="str">
        <f>CONCATENATE(ROUND('DCF input'!H99,)," / ",ROUND('DCF input'!H108,0),"c")</f>
        <v>559 / 239c</v>
      </c>
      <c r="O42" s="251" t="str">
        <f>CONCATENATE(ROUND('DCF input'!I99,)," / ",ROUND('DCF input'!I108,0),"c")</f>
        <v>567 / 243c</v>
      </c>
      <c r="P42" s="251" t="str">
        <f>CONCATENATE(ROUND('DCF input'!J99,)," / ",ROUND('DCF input'!J108,0),"c")</f>
        <v>576 / 247c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0.67154414234374715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6.05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Daksh Patel</cp:lastModifiedBy>
  <cp:lastPrinted>2019-02-04T16:32:05Z</cp:lastPrinted>
  <dcterms:created xsi:type="dcterms:W3CDTF">2010-12-03T17:25:22Z</dcterms:created>
  <dcterms:modified xsi:type="dcterms:W3CDTF">2025-08-08T05:49:05Z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