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ksh\Downloads\"/>
    </mc:Choice>
  </mc:AlternateContent>
  <xr:revisionPtr revIDLastSave="0" documentId="13_ncr:1_{A88AE721-D133-405A-B484-C8689AF8816B}" xr6:coauthVersionLast="47" xr6:coauthVersionMax="47" xr10:uidLastSave="{00000000-0000-0000-0000-000000000000}"/>
  <bookViews>
    <workbookView xWindow="-110" yWindow="-110" windowWidth="19420" windowHeight="10300" xr2:uid="{59D972FD-E610-46B1-9482-FB93A81733C3}"/>
  </bookViews>
  <sheets>
    <sheet name="Dashboard" sheetId="6" r:id="rId1"/>
    <sheet name="Equities" sheetId="4" r:id="rId2"/>
    <sheet name="Sheet5" sheetId="7" state="hidden" r:id="rId3"/>
  </sheets>
  <definedNames>
    <definedName name="_xlnm._FilterDatabase" localSheetId="1" hidden="1">Sheet5!$B$1:$B$20</definedName>
    <definedName name="_xlnm._FilterDatabase" localSheetId="2" hidden="1">Sheet5!$A$1:$B$20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4" i="4" l="1"/>
  <c r="V21" i="4"/>
  <c r="V20" i="4"/>
  <c r="W20" i="4" s="1"/>
  <c r="AC14" i="4"/>
  <c r="AC13" i="4"/>
  <c r="AC10" i="4"/>
  <c r="AC9" i="4"/>
  <c r="V16" i="4"/>
  <c r="V15" i="4"/>
  <c r="L20" i="4"/>
  <c r="AC7" i="4"/>
  <c r="AC6" i="4"/>
  <c r="AC5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K3" i="4"/>
  <c r="S3" i="4" s="1"/>
  <c r="K4" i="4"/>
  <c r="S4" i="4" s="1"/>
  <c r="V12" i="4" s="1"/>
  <c r="K5" i="4"/>
  <c r="S5" i="4" s="1"/>
  <c r="K6" i="4"/>
  <c r="S6" i="4" s="1"/>
  <c r="K7" i="4"/>
  <c r="S7" i="4" s="1"/>
  <c r="K8" i="4"/>
  <c r="S8" i="4" s="1"/>
  <c r="K9" i="4"/>
  <c r="S9" i="4" s="1"/>
  <c r="K10" i="4"/>
  <c r="S10" i="4" s="1"/>
  <c r="K11" i="4"/>
  <c r="S11" i="4" s="1"/>
  <c r="K12" i="4"/>
  <c r="S12" i="4" s="1"/>
  <c r="K13" i="4"/>
  <c r="S13" i="4" s="1"/>
  <c r="K14" i="4"/>
  <c r="S14" i="4" s="1"/>
  <c r="K15" i="4"/>
  <c r="S15" i="4" s="1"/>
  <c r="K16" i="4"/>
  <c r="S16" i="4" s="1"/>
  <c r="K17" i="4"/>
  <c r="S17" i="4" s="1"/>
  <c r="K18" i="4"/>
  <c r="S18" i="4" s="1"/>
  <c r="K19" i="4"/>
  <c r="S19" i="4" s="1"/>
  <c r="K20" i="4"/>
  <c r="S20" i="4" s="1"/>
  <c r="F20" i="4"/>
  <c r="O20" i="4"/>
  <c r="P20" i="4" s="1"/>
  <c r="Q20" i="4"/>
  <c r="I22" i="4"/>
  <c r="I23" i="4"/>
  <c r="I24" i="4"/>
  <c r="I25" i="4"/>
  <c r="I26" i="4"/>
  <c r="I27" i="4"/>
  <c r="I28" i="4"/>
  <c r="I29" i="4"/>
  <c r="I30" i="4"/>
  <c r="I31" i="4"/>
  <c r="I32" i="4"/>
  <c r="J22" i="4"/>
  <c r="J23" i="4"/>
  <c r="J24" i="4"/>
  <c r="J25" i="4"/>
  <c r="J26" i="4"/>
  <c r="J27" i="4"/>
  <c r="J28" i="4"/>
  <c r="J29" i="4"/>
  <c r="J30" i="4"/>
  <c r="J31" i="4"/>
  <c r="J3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" i="4"/>
  <c r="K2" i="4"/>
  <c r="S2" i="4" s="1"/>
  <c r="V11" i="4" s="1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" i="4"/>
  <c r="O2" i="4"/>
  <c r="P2" i="4" s="1"/>
  <c r="V9" i="4" s="1"/>
  <c r="O3" i="4"/>
  <c r="P3" i="4" s="1"/>
  <c r="O4" i="4"/>
  <c r="P4" i="4" s="1"/>
  <c r="O5" i="4"/>
  <c r="P5" i="4" s="1"/>
  <c r="O6" i="4"/>
  <c r="P6" i="4" s="1"/>
  <c r="O7" i="4"/>
  <c r="P7" i="4" s="1"/>
  <c r="O8" i="4"/>
  <c r="P8" i="4" s="1"/>
  <c r="O9" i="4"/>
  <c r="P9" i="4" s="1"/>
  <c r="O10" i="4"/>
  <c r="P10" i="4" s="1"/>
  <c r="O11" i="4"/>
  <c r="P11" i="4" s="1"/>
  <c r="O12" i="4"/>
  <c r="P12" i="4" s="1"/>
  <c r="O13" i="4"/>
  <c r="P13" i="4" s="1"/>
  <c r="O14" i="4"/>
  <c r="P14" i="4" s="1"/>
  <c r="O15" i="4"/>
  <c r="P15" i="4" s="1"/>
  <c r="O16" i="4"/>
  <c r="P16" i="4" s="1"/>
  <c r="O17" i="4"/>
  <c r="P17" i="4" s="1"/>
  <c r="O18" i="4"/>
  <c r="P18" i="4" s="1"/>
  <c r="O19" i="4"/>
  <c r="P19" i="4" s="1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V7" i="4" l="1"/>
  <c r="V8" i="4"/>
  <c r="V18" i="4"/>
  <c r="V6" i="4"/>
  <c r="V5" i="4"/>
  <c r="B20" i="7" l="1"/>
  <c r="B12" i="7"/>
  <c r="B4" i="7"/>
  <c r="B19" i="7"/>
  <c r="B11" i="7"/>
  <c r="B3" i="7"/>
  <c r="B15" i="7"/>
  <c r="B18" i="7"/>
  <c r="B10" i="7"/>
  <c r="B2" i="7"/>
  <c r="B17" i="7"/>
  <c r="B9" i="7"/>
  <c r="B7" i="7"/>
  <c r="B16" i="7"/>
  <c r="B8" i="7"/>
  <c r="B14" i="7"/>
  <c r="B6" i="7"/>
  <c r="B13" i="7"/>
  <c r="B5" i="7"/>
  <c r="AC11" i="4"/>
  <c r="M20" i="4"/>
  <c r="V13" i="4"/>
  <c r="W12" i="4" s="1"/>
  <c r="M4" i="4"/>
  <c r="M12" i="4"/>
  <c r="M2" i="4"/>
  <c r="M8" i="4"/>
  <c r="M16" i="4"/>
  <c r="M5" i="4"/>
  <c r="M13" i="4"/>
  <c r="M14" i="4"/>
  <c r="M15" i="4"/>
  <c r="M6" i="4"/>
  <c r="M7" i="4"/>
  <c r="M10" i="4"/>
  <c r="M11" i="4"/>
  <c r="M9" i="4"/>
  <c r="M18" i="4"/>
  <c r="M17" i="4"/>
  <c r="M19" i="4"/>
  <c r="M3" i="4"/>
</calcChain>
</file>

<file path=xl/sharedStrings.xml><?xml version="1.0" encoding="utf-8"?>
<sst xmlns="http://schemas.openxmlformats.org/spreadsheetml/2006/main" count="136" uniqueCount="79">
  <si>
    <t xml:space="preserve">Company </t>
  </si>
  <si>
    <t>Category</t>
  </si>
  <si>
    <t>Industry</t>
  </si>
  <si>
    <t xml:space="preserve">Invested </t>
  </si>
  <si>
    <t>Current Price</t>
  </si>
  <si>
    <t>shares</t>
  </si>
  <si>
    <t>Ashok Leyland</t>
  </si>
  <si>
    <t>avg. Price</t>
  </si>
  <si>
    <t>Siti Networks</t>
  </si>
  <si>
    <t>IRFC</t>
  </si>
  <si>
    <t>Manaksia</t>
  </si>
  <si>
    <t>Bank of India</t>
  </si>
  <si>
    <t>SH Kelkar</t>
  </si>
  <si>
    <t>WIPRO</t>
  </si>
  <si>
    <t>Reliance Power</t>
  </si>
  <si>
    <t>HDFC</t>
  </si>
  <si>
    <t>DCW</t>
  </si>
  <si>
    <t>Sterling and Wilson</t>
  </si>
  <si>
    <t>IREDA</t>
  </si>
  <si>
    <t xml:space="preserve">Lauras Labs </t>
  </si>
  <si>
    <t>IRB</t>
  </si>
  <si>
    <t>RVNL</t>
  </si>
  <si>
    <t>Exit Price</t>
  </si>
  <si>
    <t>NBCC</t>
  </si>
  <si>
    <t>BLS Services</t>
  </si>
  <si>
    <t>Current returns</t>
  </si>
  <si>
    <t>Total returns</t>
  </si>
  <si>
    <t>Machinery</t>
  </si>
  <si>
    <t>Banks</t>
  </si>
  <si>
    <t>Services</t>
  </si>
  <si>
    <t>Chemicals</t>
  </si>
  <si>
    <t>Construction</t>
  </si>
  <si>
    <t>Financial Services</t>
  </si>
  <si>
    <t>Metals and Mining</t>
  </si>
  <si>
    <t>Energy</t>
  </si>
  <si>
    <t>Media</t>
  </si>
  <si>
    <t>IT services</t>
  </si>
  <si>
    <t>Portfolio allocation</t>
  </si>
  <si>
    <t>Total Investment</t>
  </si>
  <si>
    <t>Comments</t>
  </si>
  <si>
    <t>Invested Amount</t>
  </si>
  <si>
    <t>Total Returns in Cash</t>
  </si>
  <si>
    <t>Small Cap</t>
  </si>
  <si>
    <t>Large Cap</t>
  </si>
  <si>
    <t>Mid Cap</t>
  </si>
  <si>
    <t>Mold-Tek Technologies</t>
  </si>
  <si>
    <t>Open Investment</t>
  </si>
  <si>
    <t>Total Open Investment</t>
  </si>
  <si>
    <t>Strong Long term Trend</t>
  </si>
  <si>
    <t>Price Action</t>
  </si>
  <si>
    <t>Fundamental</t>
  </si>
  <si>
    <t>Technical analysis</t>
  </si>
  <si>
    <t>Fundamental and Momentum</t>
  </si>
  <si>
    <t>Gamble and News</t>
  </si>
  <si>
    <t>Momentum</t>
  </si>
  <si>
    <t>Technical and Fundamental</t>
  </si>
  <si>
    <t>Range Bound Scalping</t>
  </si>
  <si>
    <t>Tata Motors</t>
  </si>
  <si>
    <t>Vehicles</t>
  </si>
  <si>
    <t>Fundamental and Technical</t>
  </si>
  <si>
    <t>Net Profit/Loss</t>
  </si>
  <si>
    <t>Total Profit</t>
  </si>
  <si>
    <t>Total Loss</t>
  </si>
  <si>
    <t>Open Orders</t>
  </si>
  <si>
    <t>Booked Orders</t>
  </si>
  <si>
    <t>Total Orders</t>
  </si>
  <si>
    <t>Outcome</t>
  </si>
  <si>
    <t>Profit</t>
  </si>
  <si>
    <t>Loss</t>
  </si>
  <si>
    <t>total</t>
  </si>
  <si>
    <t>Average P</t>
  </si>
  <si>
    <t>Average L</t>
  </si>
  <si>
    <t>Realized PNL</t>
  </si>
  <si>
    <t>Unrealised PNL</t>
  </si>
  <si>
    <t>Entry Date</t>
  </si>
  <si>
    <t>Exit Date</t>
  </si>
  <si>
    <t>Duration</t>
  </si>
  <si>
    <t>Average Duration</t>
  </si>
  <si>
    <t>Highest portfolio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</si>
</sst>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43" formatCode="_ * #,##0.00_ ;_ * \-#,##0.00_ ;_ * &quot;-&quot;??_ ;_ @_ "/>
    <numFmt numFmtId="174" formatCode="_ [$₹-4009]\ * #,##0.00_ ;_ [$₹-4009]\ * \-#,##0.00_ ;_ [$₹-4009]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0" fontId="0" fillId="0" borderId="0" xfId="0" applyNumberFormat="1"/>
    <xf numFmtId="14" fontId="0" fillId="0" borderId="0" xfId="0" applyNumberFormat="1"/>
    <xf numFmtId="0" fontId="0" fillId="0" borderId="2" xfId="0" applyBorder="1"/>
    <xf numFmtId="0" fontId="0" fillId="0" borderId="3" xfId="0" applyBorder="1"/>
    <xf numFmtId="9" fontId="0" fillId="0" borderId="0" xfId="3" applyFont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0" xfId="0" applyBorder="1"/>
    <xf numFmtId="10" fontId="0" fillId="0" borderId="0" xfId="3" applyNumberFormat="1" applyFont="1" applyAlignment="1">
      <alignment horizontal="left"/>
    </xf>
    <xf numFmtId="0" fontId="0" fillId="0" borderId="0" xfId="0" applyNumberFormat="1"/>
    <xf numFmtId="9" fontId="0" fillId="0" borderId="0" xfId="3" applyFont="1"/>
    <xf numFmtId="0" fontId="0" fillId="0" borderId="0" xfId="0" applyNumberFormat="1" applyBorder="1"/>
    <xf numFmtId="44" fontId="0" fillId="0" borderId="3" xfId="2" applyFont="1" applyBorder="1"/>
    <xf numFmtId="44" fontId="0" fillId="0" borderId="0" xfId="2" applyFont="1"/>
    <xf numFmtId="0" fontId="0" fillId="0" borderId="1" xfId="0" applyBorder="1"/>
    <xf numFmtId="14" fontId="0" fillId="0" borderId="5" xfId="0" applyNumberFormat="1" applyBorder="1"/>
    <xf numFmtId="10" fontId="0" fillId="0" borderId="0" xfId="3" applyNumberFormat="1" applyFont="1"/>
    <xf numFmtId="174" fontId="0" fillId="0" borderId="0" xfId="1" applyNumberFormat="1" applyFont="1"/>
    <xf numFmtId="4" fontId="0" fillId="0" borderId="0" xfId="3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1">
    <dxf>
      <font>
        <color theme="0"/>
      </font>
      <fill>
        <patternFill>
          <fgColor theme="0"/>
        </patternFill>
      </fill>
    </dxf>
    <dxf>
      <fill>
        <patternFill patternType="none">
          <bgColor auto="1"/>
        </patternFill>
      </fill>
    </dxf>
    <dxf>
      <font>
        <b/>
        <i val="0"/>
        <color theme="1"/>
      </font>
      <fill>
        <patternFill>
          <bgColor rgb="FF6EF07D"/>
        </patternFill>
      </fill>
    </dxf>
    <dxf>
      <font>
        <b/>
        <i val="0"/>
      </font>
      <fill>
        <patternFill>
          <bgColor rgb="FFFF6D6D"/>
        </patternFill>
      </fill>
    </dxf>
    <dxf>
      <font>
        <color theme="0"/>
      </font>
      <fill>
        <patternFill patternType="solid">
          <bgColor theme="0"/>
        </patternFill>
      </fill>
    </dxf>
    <dxf>
      <font>
        <color theme="0"/>
      </font>
      <fill>
        <patternFill>
          <fgColor theme="0"/>
        </patternFill>
      </fill>
    </dxf>
    <dxf>
      <numFmt numFmtId="0" formatCode="General"/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left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</dxfs>
  <tableStyles count="0" defaultTableStyle="TableStyleMedium2" defaultPivotStyle="PivotStyleLight16"/>
  <colors>
    <mruColors>
      <color rgb="FFFF6D6D"/>
      <color rgb="FF6EF0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 b="1">
                <a:solidFill>
                  <a:schemeClr val="tx1"/>
                </a:solidFill>
              </a:rPr>
              <a:t>Total</a:t>
            </a:r>
            <a:r>
              <a:rPr lang="en-US" sz="3000" b="1" baseline="0">
                <a:solidFill>
                  <a:schemeClr val="tx1"/>
                </a:solidFill>
              </a:rPr>
              <a:t> Shares per Company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Equities!$G$1</c:f>
              <c:strCache>
                <c:ptCount val="1"/>
                <c:pt idx="0">
                  <c:v>shares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Equities!$C$2:$C$32</c:f>
              <c:strCache>
                <c:ptCount val="19"/>
                <c:pt idx="0">
                  <c:v>Ashok Leyland</c:v>
                </c:pt>
                <c:pt idx="1">
                  <c:v>Bank of India</c:v>
                </c:pt>
                <c:pt idx="2">
                  <c:v>BLS Services</c:v>
                </c:pt>
                <c:pt idx="3">
                  <c:v>DCW</c:v>
                </c:pt>
                <c:pt idx="4">
                  <c:v>HDFC</c:v>
                </c:pt>
                <c:pt idx="5">
                  <c:v>IRB</c:v>
                </c:pt>
                <c:pt idx="6">
                  <c:v>IREDA</c:v>
                </c:pt>
                <c:pt idx="7">
                  <c:v>IRFC</c:v>
                </c:pt>
                <c:pt idx="8">
                  <c:v>Lauras Labs </c:v>
                </c:pt>
                <c:pt idx="9">
                  <c:v>Manaksia</c:v>
                </c:pt>
                <c:pt idx="10">
                  <c:v>Mold-Tek Technologies</c:v>
                </c:pt>
                <c:pt idx="11">
                  <c:v>NBCC</c:v>
                </c:pt>
                <c:pt idx="12">
                  <c:v>Reliance Power</c:v>
                </c:pt>
                <c:pt idx="13">
                  <c:v>RVNL</c:v>
                </c:pt>
                <c:pt idx="14">
                  <c:v>SH Kelkar</c:v>
                </c:pt>
                <c:pt idx="15">
                  <c:v>Siti Networks</c:v>
                </c:pt>
                <c:pt idx="16">
                  <c:v>Sterling and Wilson</c:v>
                </c:pt>
                <c:pt idx="17">
                  <c:v>WIPRO</c:v>
                </c:pt>
                <c:pt idx="18">
                  <c:v>Tata Motors</c:v>
                </c:pt>
              </c:strCache>
            </c:strRef>
          </c:cat>
          <c:val>
            <c:numRef>
              <c:f>Equities!$G$2:$G$32</c:f>
              <c:numCache>
                <c:formatCode>General</c:formatCode>
                <c:ptCount val="31"/>
                <c:pt idx="0">
                  <c:v>100</c:v>
                </c:pt>
                <c:pt idx="1">
                  <c:v>50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150</c:v>
                </c:pt>
                <c:pt idx="6">
                  <c:v>100</c:v>
                </c:pt>
                <c:pt idx="7">
                  <c:v>200</c:v>
                </c:pt>
                <c:pt idx="8">
                  <c:v>80</c:v>
                </c:pt>
                <c:pt idx="9">
                  <c:v>75</c:v>
                </c:pt>
                <c:pt idx="10">
                  <c:v>48</c:v>
                </c:pt>
                <c:pt idx="11">
                  <c:v>51</c:v>
                </c:pt>
                <c:pt idx="12">
                  <c:v>52</c:v>
                </c:pt>
                <c:pt idx="13">
                  <c:v>34</c:v>
                </c:pt>
                <c:pt idx="14">
                  <c:v>80</c:v>
                </c:pt>
                <c:pt idx="15">
                  <c:v>21</c:v>
                </c:pt>
                <c:pt idx="16">
                  <c:v>1</c:v>
                </c:pt>
                <c:pt idx="17">
                  <c:v>54</c:v>
                </c:pt>
                <c:pt idx="18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3-466D-996B-2B70172DC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523567"/>
        <c:axId val="1242711087"/>
      </c:barChart>
      <c:catAx>
        <c:axId val="76852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711087"/>
        <c:crosses val="autoZero"/>
        <c:auto val="1"/>
        <c:lblAlgn val="ctr"/>
        <c:lblOffset val="100"/>
        <c:noMultiLvlLbl val="0"/>
      </c:catAx>
      <c:valAx>
        <c:axId val="124271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2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411832895888014"/>
          <c:y val="0.16245370370370371"/>
          <c:w val="0.40287467191601051"/>
          <c:h val="0.67145778652668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A0-4381-B092-3E3A1000D3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A0-4381-B092-3E3A1000D3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A0-4381-B092-3E3A1000D3AF}"/>
              </c:ext>
            </c:extLst>
          </c:dPt>
          <c:dLbls>
            <c:dLbl>
              <c:idx val="0"/>
              <c:layout>
                <c:manualLayout>
                  <c:x val="3.0511623450649457E-2"/>
                  <c:y val="-2.885500471368860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A0-4381-B092-3E3A1000D3AF}"/>
                </c:ext>
              </c:extLst>
            </c:dLbl>
            <c:dLbl>
              <c:idx val="1"/>
              <c:layout>
                <c:manualLayout>
                  <c:x val="4.1105928831861364E-2"/>
                  <c:y val="2.976520546954734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A0-4381-B092-3E3A1000D3AF}"/>
                </c:ext>
              </c:extLst>
            </c:dLbl>
            <c:dLbl>
              <c:idx val="2"/>
              <c:layout>
                <c:manualLayout>
                  <c:x val="-3.1410899852765385E-2"/>
                  <c:y val="-2.8988489700798965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BA0-4381-B092-3E3A1000D3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Equities!$AB$5:$AB$7</c:f>
              <c:strCache>
                <c:ptCount val="3"/>
                <c:pt idx="0">
                  <c:v>Mid Cap</c:v>
                </c:pt>
                <c:pt idx="1">
                  <c:v>Small Cap</c:v>
                </c:pt>
                <c:pt idx="2">
                  <c:v>Large Cap</c:v>
                </c:pt>
              </c:strCache>
            </c:strRef>
          </c:cat>
          <c:val>
            <c:numRef>
              <c:f>Equities!$AC$5:$AC$7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A0-4381-B092-3E3A1000D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2DA-4F31-9634-D634942657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2DA-4F31-9634-D634942657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2DA-4F31-9634-D634942657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2DA-4F31-9634-D634942657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2DA-4F31-9634-D634942657DB}"/>
              </c:ext>
            </c:extLst>
          </c:dPt>
          <c:dLbls>
            <c:dLbl>
              <c:idx val="0"/>
              <c:layout>
                <c:manualLayout>
                  <c:x val="0.13808577165459998"/>
                  <c:y val="-1.75653437703747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2DA-4F31-9634-D634942657DB}"/>
                </c:ext>
              </c:extLst>
            </c:dLbl>
            <c:dLbl>
              <c:idx val="1"/>
              <c:layout>
                <c:manualLayout>
                  <c:x val="-0.12673625617613973"/>
                  <c:y val="-3.513068754074952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2DA-4F31-9634-D634942657DB}"/>
                </c:ext>
              </c:extLst>
            </c:dLbl>
            <c:dLbl>
              <c:idx val="2"/>
              <c:layout>
                <c:manualLayout>
                  <c:x val="-0.14186894348075343"/>
                  <c:y val="-3.51306875407495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2DA-4F31-9634-D634942657DB}"/>
                </c:ext>
              </c:extLst>
            </c:dLbl>
            <c:dLbl>
              <c:idx val="3"/>
              <c:layout>
                <c:manualLayout>
                  <c:x val="-0.14186894348075343"/>
                  <c:y val="-0.140522750162998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2DA-4F31-9634-D634942657DB}"/>
                </c:ext>
              </c:extLst>
            </c:dLbl>
            <c:dLbl>
              <c:idx val="4"/>
              <c:layout>
                <c:manualLayout>
                  <c:x val="1.1349515478460272E-2"/>
                  <c:y val="-0.15808809393337286"/>
                </c:manualLayout>
              </c:layout>
              <c:tx>
                <c:rich>
                  <a:bodyPr/>
                  <a:lstStyle/>
                  <a:p>
                    <a:fld id="{C270A007-115E-42B0-8D2F-7DE5E17704F1}" type="VALUE">
                      <a:rPr lang="en-US"/>
                      <a:pPr/>
                      <a:t>[VALUE]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E2DA-4F31-9634-D634942657DB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Equities!$U$5:$U$9</c:f>
              <c:strCache>
                <c:ptCount val="5"/>
                <c:pt idx="0">
                  <c:v>Total Investment</c:v>
                </c:pt>
                <c:pt idx="1">
                  <c:v>Total Open Investment</c:v>
                </c:pt>
                <c:pt idx="2">
                  <c:v>Net Profit/Loss</c:v>
                </c:pt>
                <c:pt idx="3">
                  <c:v>Total Profit</c:v>
                </c:pt>
                <c:pt idx="4">
                  <c:v>Total Loss</c:v>
                </c:pt>
              </c:strCache>
            </c:strRef>
          </c:cat>
          <c:val>
            <c:numRef>
              <c:f>Equities!$V$5:$V$9</c:f>
              <c:numCache>
                <c:formatCode>_("₹"* #,##0.00_);_("₹"* \(#,##0.00\);_("₹"* "-"??_);_(@_)</c:formatCode>
                <c:ptCount val="5"/>
                <c:pt idx="0">
                  <c:v>300779.58</c:v>
                </c:pt>
                <c:pt idx="1">
                  <c:v>174008.9</c:v>
                </c:pt>
                <c:pt idx="2">
                  <c:v>38367.47</c:v>
                </c:pt>
                <c:pt idx="3">
                  <c:v>58855.45</c:v>
                </c:pt>
                <c:pt idx="4">
                  <c:v>-20487.979999999996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2DA-4F31-9634-D634942657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 b="1">
                <a:solidFill>
                  <a:schemeClr val="tx1"/>
                </a:solidFill>
              </a:rPr>
              <a:t>Total returns</a:t>
            </a:r>
          </a:p>
        </c:rich>
      </c:tx>
      <c:layout>
        <c:manualLayout>
          <c:xMode val="edge"/>
          <c:yMode val="edge"/>
          <c:x val="0.37491322374389868"/>
          <c:y val="3.57988224058089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6811134171651812E-2"/>
          <c:y val="2.9770679970059166E-2"/>
          <c:w val="0.92957029594892526"/>
          <c:h val="0.9523542530512922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Equities!$K$1</c:f>
              <c:strCache>
                <c:ptCount val="1"/>
                <c:pt idx="0">
                  <c:v>Total returns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Equities!$C$2:$C$32</c:f>
              <c:strCache>
                <c:ptCount val="19"/>
                <c:pt idx="0">
                  <c:v>Ashok Leyland</c:v>
                </c:pt>
                <c:pt idx="1">
                  <c:v>Bank of India</c:v>
                </c:pt>
                <c:pt idx="2">
                  <c:v>BLS Services</c:v>
                </c:pt>
                <c:pt idx="3">
                  <c:v>DCW</c:v>
                </c:pt>
                <c:pt idx="4">
                  <c:v>HDFC</c:v>
                </c:pt>
                <c:pt idx="5">
                  <c:v>IRB</c:v>
                </c:pt>
                <c:pt idx="6">
                  <c:v>IREDA</c:v>
                </c:pt>
                <c:pt idx="7">
                  <c:v>IRFC</c:v>
                </c:pt>
                <c:pt idx="8">
                  <c:v>Lauras Labs </c:v>
                </c:pt>
                <c:pt idx="9">
                  <c:v>Manaksia</c:v>
                </c:pt>
                <c:pt idx="10">
                  <c:v>Mold-Tek Technologies</c:v>
                </c:pt>
                <c:pt idx="11">
                  <c:v>NBCC</c:v>
                </c:pt>
                <c:pt idx="12">
                  <c:v>Reliance Power</c:v>
                </c:pt>
                <c:pt idx="13">
                  <c:v>RVNL</c:v>
                </c:pt>
                <c:pt idx="14">
                  <c:v>SH Kelkar</c:v>
                </c:pt>
                <c:pt idx="15">
                  <c:v>Siti Networks</c:v>
                </c:pt>
                <c:pt idx="16">
                  <c:v>Sterling and Wilson</c:v>
                </c:pt>
                <c:pt idx="17">
                  <c:v>WIPRO</c:v>
                </c:pt>
                <c:pt idx="18">
                  <c:v>Tata Motors</c:v>
                </c:pt>
              </c:strCache>
            </c:strRef>
          </c:cat>
          <c:val>
            <c:numRef>
              <c:f>Equities!$K$2:$K$32</c:f>
              <c:numCache>
                <c:formatCode>0.00%</c:formatCode>
                <c:ptCount val="31"/>
                <c:pt idx="0">
                  <c:v>3.4090909090909088E-2</c:v>
                </c:pt>
                <c:pt idx="1">
                  <c:v>7.5524475524475609E-2</c:v>
                </c:pt>
                <c:pt idx="2">
                  <c:v>0.11393939393939401</c:v>
                </c:pt>
                <c:pt idx="3">
                  <c:v>0.10367647058823526</c:v>
                </c:pt>
                <c:pt idx="4">
                  <c:v>-6.4285714285714279E-2</c:v>
                </c:pt>
                <c:pt idx="5">
                  <c:v>0.13249999999999992</c:v>
                </c:pt>
                <c:pt idx="6">
                  <c:v>0.22666013232050966</c:v>
                </c:pt>
                <c:pt idx="7">
                  <c:v>0.56781609195402294</c:v>
                </c:pt>
                <c:pt idx="8">
                  <c:v>-0.282979797979798</c:v>
                </c:pt>
                <c:pt idx="9">
                  <c:v>-1.0542168674698623E-2</c:v>
                </c:pt>
                <c:pt idx="10">
                  <c:v>-7.7695167286244426E-3</c:v>
                </c:pt>
                <c:pt idx="11">
                  <c:v>0.18133333333333335</c:v>
                </c:pt>
                <c:pt idx="12">
                  <c:v>-6.4285714285714307E-2</c:v>
                </c:pt>
                <c:pt idx="13">
                  <c:v>0.16716417910447759</c:v>
                </c:pt>
                <c:pt idx="14">
                  <c:v>0.15634365634365627</c:v>
                </c:pt>
                <c:pt idx="15">
                  <c:v>0.34782608695652167</c:v>
                </c:pt>
                <c:pt idx="16">
                  <c:v>0.11172248803827745</c:v>
                </c:pt>
                <c:pt idx="17">
                  <c:v>-0.28882070164672174</c:v>
                </c:pt>
                <c:pt idx="18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9-4239-B386-1D55C3632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47770623"/>
        <c:axId val="1910001695"/>
        <c:axId val="900272383"/>
      </c:bar3DChart>
      <c:catAx>
        <c:axId val="18477706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001695"/>
        <c:crosses val="autoZero"/>
        <c:auto val="1"/>
        <c:lblAlgn val="ctr"/>
        <c:lblOffset val="100"/>
        <c:noMultiLvlLbl val="0"/>
      </c:catAx>
      <c:valAx>
        <c:axId val="191000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770623"/>
        <c:crosses val="autoZero"/>
        <c:crossBetween val="between"/>
      </c:valAx>
      <c:serAx>
        <c:axId val="900272383"/>
        <c:scaling>
          <c:orientation val="minMax"/>
        </c:scaling>
        <c:delete val="1"/>
        <c:axPos val="b"/>
        <c:majorTickMark val="out"/>
        <c:minorTickMark val="none"/>
        <c:tickLblPos val="nextTo"/>
        <c:crossAx val="1910001695"/>
        <c:crosses val="autoZero"/>
      </c:ser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Sheet5!$B$1</c:f>
              <c:strCache>
                <c:ptCount val="1"/>
                <c:pt idx="0">
                  <c:v>Portfolio allocation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98F-4E53-AAF8-0A95BF432A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98F-4E53-AAF8-0A95BF432A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98F-4E53-AAF8-0A95BF432A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98F-4E53-AAF8-0A95BF432A3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98F-4E53-AAF8-0A95BF432A3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98F-4E53-AAF8-0A95BF432A3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98F-4E53-AAF8-0A95BF432A3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98F-4E53-AAF8-0A95BF432A3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98F-4E53-AAF8-0A95BF432A3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98F-4E53-AAF8-0A95BF432A3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98F-4E53-AAF8-0A95BF432A34}"/>
              </c:ext>
            </c:extLst>
          </c:dPt>
          <c:dLbls>
            <c:dLbl>
              <c:idx val="0"/>
              <c:layout>
                <c:manualLayout>
                  <c:x val="-2.4381267851138734E-2"/>
                  <c:y val="-4.586508521953212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8F-4E53-AAF8-0A95BF432A34}"/>
                </c:ext>
              </c:extLst>
            </c:dLbl>
            <c:dLbl>
              <c:idx val="1"/>
              <c:layout>
                <c:manualLayout>
                  <c:x val="1.8983623964450944E-2"/>
                  <c:y val="-3.364082134094596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8F-4E53-AAF8-0A95BF432A34}"/>
                </c:ext>
              </c:extLst>
            </c:dLbl>
            <c:dLbl>
              <c:idx val="2"/>
              <c:layout>
                <c:manualLayout>
                  <c:x val="3.6629767041390225E-2"/>
                  <c:y val="-4.683485682431133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98F-4E53-AAF8-0A95BF432A34}"/>
                </c:ext>
              </c:extLst>
            </c:dLbl>
            <c:dLbl>
              <c:idx val="3"/>
              <c:layout>
                <c:manualLayout>
                  <c:x val="1.2870621223214624E-2"/>
                  <c:y val="-1.430835883505828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98F-4E53-AAF8-0A95BF432A34}"/>
                </c:ext>
              </c:extLst>
            </c:dLbl>
            <c:dLbl>
              <c:idx val="4"/>
              <c:layout>
                <c:manualLayout>
                  <c:x val="-7.9892537617725686E-3"/>
                  <c:y val="1.937727707479310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98F-4E53-AAF8-0A95BF432A34}"/>
                </c:ext>
              </c:extLst>
            </c:dLbl>
            <c:dLbl>
              <c:idx val="5"/>
              <c:layout>
                <c:manualLayout>
                  <c:x val="-9.3370549837680488E-3"/>
                  <c:y val="8.618569939519853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98F-4E53-AAF8-0A95BF432A34}"/>
                </c:ext>
              </c:extLst>
            </c:dLbl>
            <c:dLbl>
              <c:idx val="6"/>
              <c:layout>
                <c:manualLayout>
                  <c:x val="1.1854086129282158E-2"/>
                  <c:y val="1.21722034290340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98F-4E53-AAF8-0A95BF432A34}"/>
                </c:ext>
              </c:extLst>
            </c:dLbl>
            <c:dLbl>
              <c:idx val="7"/>
              <c:layout>
                <c:manualLayout>
                  <c:x val="-2.6594146027960865E-2"/>
                  <c:y val="2.569416863348413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98F-4E53-AAF8-0A95BF432A34}"/>
                </c:ext>
              </c:extLst>
            </c:dLbl>
            <c:dLbl>
              <c:idx val="8"/>
              <c:layout>
                <c:manualLayout>
                  <c:x val="-8.6642249522696127E-2"/>
                  <c:y val="-1.60121032905821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98F-4E53-AAF8-0A95BF432A34}"/>
                </c:ext>
              </c:extLst>
            </c:dLbl>
            <c:dLbl>
              <c:idx val="9"/>
              <c:layout>
                <c:manualLayout>
                  <c:x val="-2.2326549666535661E-2"/>
                  <c:y val="-6.501908331327579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98F-4E53-AAF8-0A95BF432A34}"/>
                </c:ext>
              </c:extLst>
            </c:dLbl>
            <c:dLbl>
              <c:idx val="10"/>
              <c:layout>
                <c:manualLayout>
                  <c:x val="-4.6069125473347253E-2"/>
                  <c:y val="-3.363207838939405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98F-4E53-AAF8-0A95BF432A34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Sheet5!$A$2:$A$20</c:f>
              <c:strCache>
                <c:ptCount val="11"/>
                <c:pt idx="0">
                  <c:v>Ashok Leyland</c:v>
                </c:pt>
                <c:pt idx="1">
                  <c:v>DCW</c:v>
                </c:pt>
                <c:pt idx="2">
                  <c:v>HDFC</c:v>
                </c:pt>
                <c:pt idx="3">
                  <c:v>Lauras Labs </c:v>
                </c:pt>
                <c:pt idx="4">
                  <c:v>Manaksia</c:v>
                </c:pt>
                <c:pt idx="5">
                  <c:v>Mold-Tek Technologies</c:v>
                </c:pt>
                <c:pt idx="6">
                  <c:v>Reliance Power</c:v>
                </c:pt>
                <c:pt idx="7">
                  <c:v>SH Kelkar</c:v>
                </c:pt>
                <c:pt idx="8">
                  <c:v>Sterling and Wilson</c:v>
                </c:pt>
                <c:pt idx="9">
                  <c:v>WIPRO</c:v>
                </c:pt>
                <c:pt idx="10">
                  <c:v>Tata Motors</c:v>
                </c:pt>
              </c:strCache>
            </c:strRef>
          </c:cat>
          <c:val>
            <c:numRef>
              <c:f>Sheet5!$B$2:$B$20</c:f>
              <c:numCache>
                <c:formatCode>0.00%</c:formatCode>
                <c:ptCount val="11"/>
                <c:pt idx="0">
                  <c:v>0.10114425181700476</c:v>
                </c:pt>
                <c:pt idx="1">
                  <c:v>7.8156921858594589E-3</c:v>
                </c:pt>
                <c:pt idx="2">
                  <c:v>0.32182261941774243</c:v>
                </c:pt>
                <c:pt idx="3">
                  <c:v>0.18205965327060858</c:v>
                </c:pt>
                <c:pt idx="4">
                  <c:v>5.7238451596441337E-2</c:v>
                </c:pt>
                <c:pt idx="5">
                  <c:v>7.4203101105748043E-2</c:v>
                </c:pt>
                <c:pt idx="6">
                  <c:v>8.3673881048613036E-3</c:v>
                </c:pt>
                <c:pt idx="7">
                  <c:v>9.2041269153474339E-2</c:v>
                </c:pt>
                <c:pt idx="8">
                  <c:v>3.6032639709807947E-3</c:v>
                </c:pt>
                <c:pt idx="9">
                  <c:v>0.151704309377279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98F-4E53-AAF8-0A95BF432A3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hyperlink" Target="#Equities!A1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17437</xdr:colOff>
      <xdr:row>7</xdr:row>
      <xdr:rowOff>63735</xdr:rowOff>
    </xdr:from>
    <xdr:to>
      <xdr:col>43</xdr:col>
      <xdr:colOff>0</xdr:colOff>
      <xdr:row>27</xdr:row>
      <xdr:rowOff>43296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762BD4-F01F-4F8D-A290-DDD8D60DB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545572</xdr:colOff>
      <xdr:row>33</xdr:row>
      <xdr:rowOff>117516</xdr:rowOff>
    </xdr:from>
    <xdr:to>
      <xdr:col>12</xdr:col>
      <xdr:colOff>516110</xdr:colOff>
      <xdr:row>53</xdr:row>
      <xdr:rowOff>37111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B39FD9-F44D-402A-B97D-BB5189B80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546600</xdr:colOff>
      <xdr:row>11</xdr:row>
      <xdr:rowOff>148797</xdr:rowOff>
    </xdr:from>
    <xdr:to>
      <xdr:col>12</xdr:col>
      <xdr:colOff>531091</xdr:colOff>
      <xdr:row>31</xdr:row>
      <xdr:rowOff>46797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68D00B-031A-41EC-91E7-0CE98B1F3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562841</xdr:colOff>
      <xdr:row>7</xdr:row>
      <xdr:rowOff>82261</xdr:rowOff>
    </xdr:from>
    <xdr:to>
      <xdr:col>30</xdr:col>
      <xdr:colOff>333375</xdr:colOff>
      <xdr:row>27</xdr:row>
      <xdr:rowOff>174624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18988F-C7A8-4E9E-BB3C-B33993999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284355</xdr:colOff>
      <xdr:row>30</xdr:row>
      <xdr:rowOff>15119</xdr:rowOff>
    </xdr:from>
    <xdr:to>
      <xdr:col>24</xdr:col>
      <xdr:colOff>589644</xdr:colOff>
      <xdr:row>36</xdr:row>
      <xdr:rowOff>170961</xdr:rowOff>
    </xdr:to>
    <xdr:sp macro="" textlink="Equities!AC11">
      <xdr:nvSpPr>
        <xdr:cNvPr id="10" name="TextBox 9">
          <a:extLst>
            <a:ext uri="{FF2B5EF4-FFF2-40B4-BE49-F238E27FC236}">
              <a16:creationId xmlns:a16="http://schemas.microsoft.com/office/drawing/2014/main" id="{97C05CE4-E6F9-814D-FADD-F36A14E0D353}"/>
            </a:ext>
          </a:extLst>
        </xdr:cNvPr>
        <xdr:cNvSpPr txBox="1"/>
      </xdr:nvSpPr>
      <xdr:spPr>
        <a:xfrm>
          <a:off x="11774831" y="5457976"/>
          <a:ext cx="3329099" cy="1244414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3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Total Trades</a:t>
          </a:r>
        </a:p>
        <a:p>
          <a:pPr algn="ctr"/>
          <a:fld id="{0D1DE5B7-3412-4548-B875-8456A7741AB6}" type="TxLink">
            <a:rPr lang="en-US" sz="3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19</a:t>
          </a:fld>
          <a:endParaRPr lang="en-IN" sz="3600" b="1"/>
        </a:p>
      </xdr:txBody>
    </xdr:sp>
    <xdr:clientData/>
  </xdr:twoCellAnchor>
  <xdr:twoCellAnchor>
    <xdr:from>
      <xdr:col>13</xdr:col>
      <xdr:colOff>337852</xdr:colOff>
      <xdr:row>38</xdr:row>
      <xdr:rowOff>40706</xdr:rowOff>
    </xdr:from>
    <xdr:to>
      <xdr:col>19</xdr:col>
      <xdr:colOff>120952</xdr:colOff>
      <xdr:row>45</xdr:row>
      <xdr:rowOff>45357</xdr:rowOff>
    </xdr:to>
    <xdr:sp macro="" textlink="Equities!AC9">
      <xdr:nvSpPr>
        <xdr:cNvPr id="12" name="TextBox 11">
          <a:extLst>
            <a:ext uri="{FF2B5EF4-FFF2-40B4-BE49-F238E27FC236}">
              <a16:creationId xmlns:a16="http://schemas.microsoft.com/office/drawing/2014/main" id="{07C76691-121B-CD8D-451F-78E80DEE7168}"/>
            </a:ext>
          </a:extLst>
        </xdr:cNvPr>
        <xdr:cNvSpPr txBox="1"/>
      </xdr:nvSpPr>
      <xdr:spPr>
        <a:xfrm>
          <a:off x="8199757" y="6934992"/>
          <a:ext cx="3411671" cy="1274651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3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Open Trades </a:t>
          </a:r>
        </a:p>
        <a:p>
          <a:pPr algn="ctr"/>
          <a:fld id="{0F4AA291-1C24-46B4-A3DD-007582B1C855}" type="TxLink">
            <a:rPr lang="en-US" sz="3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10</a:t>
          </a:fld>
          <a:endParaRPr lang="en-IN" sz="3600" b="1"/>
        </a:p>
      </xdr:txBody>
    </xdr:sp>
    <xdr:clientData/>
  </xdr:twoCellAnchor>
  <xdr:twoCellAnchor>
    <xdr:from>
      <xdr:col>19</xdr:col>
      <xdr:colOff>280865</xdr:colOff>
      <xdr:row>38</xdr:row>
      <xdr:rowOff>28493</xdr:rowOff>
    </xdr:from>
    <xdr:to>
      <xdr:col>25</xdr:col>
      <xdr:colOff>1</xdr:colOff>
      <xdr:row>45</xdr:row>
      <xdr:rowOff>45357</xdr:rowOff>
    </xdr:to>
    <xdr:sp macro="" textlink="Equities!AC10">
      <xdr:nvSpPr>
        <xdr:cNvPr id="13" name="TextBox 12">
          <a:extLst>
            <a:ext uri="{FF2B5EF4-FFF2-40B4-BE49-F238E27FC236}">
              <a16:creationId xmlns:a16="http://schemas.microsoft.com/office/drawing/2014/main" id="{3BAC03B6-AAA8-4F4E-8A1B-F226CE669DB0}"/>
            </a:ext>
          </a:extLst>
        </xdr:cNvPr>
        <xdr:cNvSpPr txBox="1"/>
      </xdr:nvSpPr>
      <xdr:spPr>
        <a:xfrm>
          <a:off x="11771341" y="6922779"/>
          <a:ext cx="3347708" cy="1286864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3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Closed Trades</a:t>
          </a:r>
        </a:p>
        <a:p>
          <a:pPr algn="ctr"/>
          <a:fld id="{81210142-F039-46F2-B1CA-166DEA6D7613}" type="TxLink">
            <a:rPr lang="en-US" sz="3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9</a:t>
          </a:fld>
          <a:endParaRPr lang="en-IN" sz="3600" b="1"/>
        </a:p>
      </xdr:txBody>
    </xdr:sp>
    <xdr:clientData/>
  </xdr:twoCellAnchor>
  <xdr:twoCellAnchor>
    <xdr:from>
      <xdr:col>1</xdr:col>
      <xdr:colOff>519546</xdr:colOff>
      <xdr:row>33</xdr:row>
      <xdr:rowOff>120952</xdr:rowOff>
    </xdr:from>
    <xdr:to>
      <xdr:col>12</xdr:col>
      <xdr:colOff>531091</xdr:colOff>
      <xdr:row>36</xdr:row>
      <xdr:rowOff>127000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1127484A-F426-507D-CC37-4FF11D81DEB2}"/>
            </a:ext>
          </a:extLst>
        </xdr:cNvPr>
        <xdr:cNvSpPr/>
      </xdr:nvSpPr>
      <xdr:spPr>
        <a:xfrm>
          <a:off x="1131455" y="6216952"/>
          <a:ext cx="6742545" cy="56023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3000" b="1">
              <a:solidFill>
                <a:sysClr val="windowText" lastClr="000000"/>
              </a:solidFill>
            </a:rPr>
            <a:t>Category</a:t>
          </a:r>
        </a:p>
      </xdr:txBody>
    </xdr:sp>
    <xdr:clientData/>
  </xdr:twoCellAnchor>
  <xdr:twoCellAnchor>
    <xdr:from>
      <xdr:col>1</xdr:col>
      <xdr:colOff>531092</xdr:colOff>
      <xdr:row>7</xdr:row>
      <xdr:rowOff>115454</xdr:rowOff>
    </xdr:from>
    <xdr:to>
      <xdr:col>12</xdr:col>
      <xdr:colOff>542637</xdr:colOff>
      <xdr:row>11</xdr:row>
      <xdr:rowOff>115455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5A1A2ED2-1752-B8EF-76D8-7FA6814EAF2F}"/>
            </a:ext>
          </a:extLst>
        </xdr:cNvPr>
        <xdr:cNvSpPr/>
      </xdr:nvSpPr>
      <xdr:spPr>
        <a:xfrm>
          <a:off x="1143001" y="1408545"/>
          <a:ext cx="6742545" cy="7389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3000" b="1">
              <a:solidFill>
                <a:sysClr val="windowText" lastClr="000000"/>
              </a:solidFill>
            </a:rPr>
            <a:t>Investments</a:t>
          </a:r>
          <a:r>
            <a:rPr lang="en-IN" sz="3000" b="1" baseline="0">
              <a:solidFill>
                <a:sysClr val="windowText" lastClr="000000"/>
              </a:solidFill>
            </a:rPr>
            <a:t> Overview</a:t>
          </a:r>
          <a:endParaRPr lang="en-IN" sz="3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30</xdr:col>
      <xdr:colOff>571500</xdr:colOff>
      <xdr:row>30</xdr:row>
      <xdr:rowOff>15875</xdr:rowOff>
    </xdr:from>
    <xdr:to>
      <xdr:col>42</xdr:col>
      <xdr:colOff>555625</xdr:colOff>
      <xdr:row>33</xdr:row>
      <xdr:rowOff>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5BCE1DF7-57FE-5594-0635-A7D19D43B296}"/>
            </a:ext>
          </a:extLst>
        </xdr:cNvPr>
        <xdr:cNvSpPr/>
      </xdr:nvSpPr>
      <xdr:spPr>
        <a:xfrm>
          <a:off x="18669000" y="5730875"/>
          <a:ext cx="7223125" cy="555625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3000" b="1">
              <a:solidFill>
                <a:sysClr val="windowText" lastClr="000000"/>
              </a:solidFill>
            </a:rPr>
            <a:t>Portfolio Allocation</a:t>
          </a:r>
        </a:p>
      </xdr:txBody>
    </xdr:sp>
    <xdr:clientData/>
  </xdr:twoCellAnchor>
  <xdr:twoCellAnchor>
    <xdr:from>
      <xdr:col>18</xdr:col>
      <xdr:colOff>550333</xdr:colOff>
      <xdr:row>47</xdr:row>
      <xdr:rowOff>141111</xdr:rowOff>
    </xdr:from>
    <xdr:to>
      <xdr:col>26</xdr:col>
      <xdr:colOff>211668</xdr:colOff>
      <xdr:row>51</xdr:row>
      <xdr:rowOff>56444</xdr:rowOff>
    </xdr:to>
    <xdr:sp macro="" textlink="">
      <xdr:nvSpPr>
        <xdr:cNvPr id="18" name="Rectangle 1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1523040-9B0A-7009-BC5C-D2D849FF9453}"/>
            </a:ext>
          </a:extLst>
        </xdr:cNvPr>
        <xdr:cNvSpPr/>
      </xdr:nvSpPr>
      <xdr:spPr>
        <a:xfrm>
          <a:off x="11472333" y="8763000"/>
          <a:ext cx="4515557" cy="649111"/>
        </a:xfrm>
        <a:prstGeom prst="rect">
          <a:avLst/>
        </a:prstGeom>
        <a:solidFill>
          <a:sysClr val="window" lastClr="FFFFFF"/>
        </a:solidFill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3000" b="1">
              <a:solidFill>
                <a:schemeClr val="accent1"/>
              </a:solidFill>
            </a:rPr>
            <a:t>Click here to View</a:t>
          </a:r>
          <a:r>
            <a:rPr lang="en-IN" sz="3000" b="1" baseline="0">
              <a:solidFill>
                <a:schemeClr val="accent1"/>
              </a:solidFill>
            </a:rPr>
            <a:t> Trades</a:t>
          </a:r>
          <a:endParaRPr lang="en-IN" sz="30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13</xdr:col>
      <xdr:colOff>347738</xdr:colOff>
      <xdr:row>30</xdr:row>
      <xdr:rowOff>0</xdr:rowOff>
    </xdr:from>
    <xdr:to>
      <xdr:col>19</xdr:col>
      <xdr:colOff>105834</xdr:colOff>
      <xdr:row>36</xdr:row>
      <xdr:rowOff>166308</xdr:rowOff>
    </xdr:to>
    <xdr:sp macro="" textlink="Equities!W12">
      <xdr:nvSpPr>
        <xdr:cNvPr id="20" name="TextBox 19">
          <a:extLst>
            <a:ext uri="{FF2B5EF4-FFF2-40B4-BE49-F238E27FC236}">
              <a16:creationId xmlns:a16="http://schemas.microsoft.com/office/drawing/2014/main" id="{F8A95975-9800-6696-DE53-3CD0985F9894}"/>
            </a:ext>
          </a:extLst>
        </xdr:cNvPr>
        <xdr:cNvSpPr txBox="1"/>
      </xdr:nvSpPr>
      <xdr:spPr>
        <a:xfrm>
          <a:off x="8209643" y="5442857"/>
          <a:ext cx="3386667" cy="125488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3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Win</a:t>
          </a:r>
          <a:r>
            <a:rPr lang="en-US" sz="36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  <a:r>
            <a:rPr lang="en-US" sz="3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Percentage </a:t>
          </a:r>
        </a:p>
        <a:p>
          <a:pPr algn="ctr"/>
          <a:fld id="{96B1E1F4-DAF7-426A-B0D7-323168178B40}" type="TxLink">
            <a:rPr lang="en-US" sz="3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68%</a:t>
          </a:fld>
          <a:endParaRPr lang="en-IN" sz="3600" b="1"/>
        </a:p>
      </xdr:txBody>
    </xdr:sp>
    <xdr:clientData/>
  </xdr:twoCellAnchor>
  <xdr:twoCellAnchor>
    <xdr:from>
      <xdr:col>25</xdr:col>
      <xdr:colOff>181428</xdr:colOff>
      <xdr:row>30</xdr:row>
      <xdr:rowOff>0</xdr:rowOff>
    </xdr:from>
    <xdr:to>
      <xdr:col>30</xdr:col>
      <xdr:colOff>347738</xdr:colOff>
      <xdr:row>36</xdr:row>
      <xdr:rowOff>166309</xdr:rowOff>
    </xdr:to>
    <xdr:sp macro="" textlink="Equities!V15">
      <xdr:nvSpPr>
        <xdr:cNvPr id="21" name="TextBox 20">
          <a:extLst>
            <a:ext uri="{FF2B5EF4-FFF2-40B4-BE49-F238E27FC236}">
              <a16:creationId xmlns:a16="http://schemas.microsoft.com/office/drawing/2014/main" id="{BA1950F4-7A47-0733-23F7-553588C34498}"/>
            </a:ext>
          </a:extLst>
        </xdr:cNvPr>
        <xdr:cNvSpPr txBox="1"/>
      </xdr:nvSpPr>
      <xdr:spPr>
        <a:xfrm>
          <a:off x="15300476" y="5442857"/>
          <a:ext cx="3190119" cy="1254881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3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Average</a:t>
          </a:r>
          <a:r>
            <a:rPr lang="en-US" sz="36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Profit</a:t>
          </a:r>
        </a:p>
        <a:p>
          <a:pPr algn="ctr"/>
          <a:fld id="{C97B5145-1957-43B6-A5EB-22E7DB9A21AB}" type="TxLink">
            <a:rPr lang="en-US" sz="3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4527.342308</a:t>
          </a:fld>
          <a:endParaRPr lang="en-IN" sz="3600" b="1"/>
        </a:p>
      </xdr:txBody>
    </xdr:sp>
    <xdr:clientData/>
  </xdr:twoCellAnchor>
  <xdr:twoCellAnchor>
    <xdr:from>
      <xdr:col>25</xdr:col>
      <xdr:colOff>211666</xdr:colOff>
      <xdr:row>38</xdr:row>
      <xdr:rowOff>45357</xdr:rowOff>
    </xdr:from>
    <xdr:to>
      <xdr:col>30</xdr:col>
      <xdr:colOff>377976</xdr:colOff>
      <xdr:row>45</xdr:row>
      <xdr:rowOff>30238</xdr:rowOff>
    </xdr:to>
    <xdr:sp macro="" textlink="Equities!V16">
      <xdr:nvSpPr>
        <xdr:cNvPr id="22" name="TextBox 21">
          <a:extLst>
            <a:ext uri="{FF2B5EF4-FFF2-40B4-BE49-F238E27FC236}">
              <a16:creationId xmlns:a16="http://schemas.microsoft.com/office/drawing/2014/main" id="{7A534936-763F-40AF-9668-BDEBC862D3A1}"/>
            </a:ext>
          </a:extLst>
        </xdr:cNvPr>
        <xdr:cNvSpPr txBox="1"/>
      </xdr:nvSpPr>
      <xdr:spPr>
        <a:xfrm>
          <a:off x="15330714" y="6939643"/>
          <a:ext cx="3190119" cy="1254881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3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Average Loss</a:t>
          </a:r>
        </a:p>
        <a:p>
          <a:pPr algn="ctr"/>
          <a:fld id="{03AC715E-901A-463C-8C1D-D07D6CA4B5D3}" type="TxLink">
            <a:rPr lang="en-US" sz="3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-3414.663333</a:t>
          </a:fld>
          <a:endParaRPr lang="en-IN" sz="3600" b="1"/>
        </a:p>
      </xdr:txBody>
    </xdr:sp>
    <xdr:clientData/>
  </xdr:twoCellAnchor>
  <xdr:twoCellAnchor>
    <xdr:from>
      <xdr:col>44</xdr:col>
      <xdr:colOff>22070</xdr:colOff>
      <xdr:row>7</xdr:row>
      <xdr:rowOff>156814</xdr:rowOff>
    </xdr:from>
    <xdr:to>
      <xdr:col>49</xdr:col>
      <xdr:colOff>439467</xdr:colOff>
      <xdr:row>15</xdr:row>
      <xdr:rowOff>141326</xdr:rowOff>
    </xdr:to>
    <xdr:sp macro="" textlink="Equities!AC13">
      <xdr:nvSpPr>
        <xdr:cNvPr id="23" name="TextBox 22">
          <a:extLst>
            <a:ext uri="{FF2B5EF4-FFF2-40B4-BE49-F238E27FC236}">
              <a16:creationId xmlns:a16="http://schemas.microsoft.com/office/drawing/2014/main" id="{E011782A-B37C-DF22-3F1C-0D99D96807C4}"/>
            </a:ext>
          </a:extLst>
        </xdr:cNvPr>
        <xdr:cNvSpPr txBox="1"/>
      </xdr:nvSpPr>
      <xdr:spPr>
        <a:xfrm>
          <a:off x="26565070" y="1490314"/>
          <a:ext cx="3433647" cy="1508512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3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Realised PNL</a:t>
          </a:r>
        </a:p>
        <a:p>
          <a:pPr algn="ctr"/>
          <a:fld id="{E1A61676-AE6C-4584-9DDB-003515F795CD}" type="TxLink">
            <a:rPr lang="en-US" sz="3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55540.4</a:t>
          </a:fld>
          <a:endParaRPr lang="en-IN" sz="3600" b="1"/>
        </a:p>
      </xdr:txBody>
    </xdr:sp>
    <xdr:clientData/>
  </xdr:twoCellAnchor>
  <xdr:twoCellAnchor>
    <xdr:from>
      <xdr:col>44</xdr:col>
      <xdr:colOff>6195</xdr:colOff>
      <xdr:row>18</xdr:row>
      <xdr:rowOff>44915</xdr:rowOff>
    </xdr:from>
    <xdr:to>
      <xdr:col>49</xdr:col>
      <xdr:colOff>423592</xdr:colOff>
      <xdr:row>26</xdr:row>
      <xdr:rowOff>29428</xdr:rowOff>
    </xdr:to>
    <xdr:sp macro="" textlink="Equities!AC14">
      <xdr:nvSpPr>
        <xdr:cNvPr id="24" name="TextBox 23">
          <a:extLst>
            <a:ext uri="{FF2B5EF4-FFF2-40B4-BE49-F238E27FC236}">
              <a16:creationId xmlns:a16="http://schemas.microsoft.com/office/drawing/2014/main" id="{13E9B551-688C-4A72-A136-14F8E0ACC8C2}"/>
            </a:ext>
          </a:extLst>
        </xdr:cNvPr>
        <xdr:cNvSpPr txBox="1"/>
      </xdr:nvSpPr>
      <xdr:spPr>
        <a:xfrm>
          <a:off x="26549195" y="3473915"/>
          <a:ext cx="3433647" cy="1508513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 i="0" u="none" strike="noStrike">
              <a:solidFill>
                <a:schemeClr val="tx1"/>
              </a:solidFill>
              <a:latin typeface="Calibri"/>
              <a:ea typeface="Calibri"/>
              <a:cs typeface="Calibri"/>
            </a:rPr>
            <a:t>Unrealized PNL</a:t>
          </a:r>
        </a:p>
        <a:p>
          <a:pPr algn="ctr"/>
          <a:fld id="{1D45634C-BE07-45D6-BC6D-D5355FAB84C1}" type="TxLink">
            <a:rPr lang="en-US" sz="3600" b="1" i="0" u="none" strike="noStrike">
              <a:solidFill>
                <a:schemeClr val="tx1"/>
              </a:solidFill>
              <a:latin typeface="Calibri"/>
              <a:ea typeface="Calibri"/>
              <a:cs typeface="Calibri"/>
            </a:rPr>
            <a:pPr algn="ctr"/>
            <a:t>-17172.93</a:t>
          </a:fld>
          <a:endParaRPr lang="en-IN" sz="3600" b="1">
            <a:solidFill>
              <a:schemeClr val="tx1"/>
            </a:solidFill>
          </a:endParaRPr>
        </a:p>
      </xdr:txBody>
    </xdr:sp>
    <xdr:clientData/>
  </xdr:twoCellAnchor>
  <xdr:twoCellAnchor>
    <xdr:from>
      <xdr:col>43</xdr:col>
      <xdr:colOff>545558</xdr:colOff>
      <xdr:row>28</xdr:row>
      <xdr:rowOff>75504</xdr:rowOff>
    </xdr:from>
    <xdr:to>
      <xdr:col>49</xdr:col>
      <xdr:colOff>571500</xdr:colOff>
      <xdr:row>36</xdr:row>
      <xdr:rowOff>111126</xdr:rowOff>
    </xdr:to>
    <xdr:sp macro="" textlink="Equities!V18">
      <xdr:nvSpPr>
        <xdr:cNvPr id="25" name="TextBox 24">
          <a:extLst>
            <a:ext uri="{FF2B5EF4-FFF2-40B4-BE49-F238E27FC236}">
              <a16:creationId xmlns:a16="http://schemas.microsoft.com/office/drawing/2014/main" id="{EC2B8822-A498-4F46-B094-318CB364B7B0}"/>
            </a:ext>
          </a:extLst>
        </xdr:cNvPr>
        <xdr:cNvSpPr txBox="1"/>
      </xdr:nvSpPr>
      <xdr:spPr>
        <a:xfrm>
          <a:off x="26485308" y="5409504"/>
          <a:ext cx="3645442" cy="1559622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3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Avg</a:t>
          </a:r>
          <a:r>
            <a:rPr lang="en-US" sz="36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  <a:r>
            <a:rPr lang="en-US" sz="3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Holding</a:t>
          </a:r>
          <a:r>
            <a:rPr lang="en-US" sz="36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Time</a:t>
          </a:r>
          <a:endParaRPr lang="en-US" sz="36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ctr"/>
          <a:fld id="{C8BD55CF-ED8D-4D0E-AB73-71C0700A1F10}" type="TxLink">
            <a:rPr lang="en-US" sz="3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24</a:t>
          </a:fld>
          <a:r>
            <a:rPr lang="en-US" sz="3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 Days</a:t>
          </a:r>
          <a:endParaRPr lang="en-IN" sz="3600" b="1"/>
        </a:p>
      </xdr:txBody>
    </xdr:sp>
    <xdr:clientData/>
  </xdr:twoCellAnchor>
  <xdr:twoCellAnchor>
    <xdr:from>
      <xdr:col>43</xdr:col>
      <xdr:colOff>341721</xdr:colOff>
      <xdr:row>38</xdr:row>
      <xdr:rowOff>55671</xdr:rowOff>
    </xdr:from>
    <xdr:to>
      <xdr:col>50</xdr:col>
      <xdr:colOff>238125</xdr:colOff>
      <xdr:row>52</xdr:row>
      <xdr:rowOff>63500</xdr:rowOff>
    </xdr:to>
    <xdr:sp macro="" textlink="Equities!V24">
      <xdr:nvSpPr>
        <xdr:cNvPr id="26" name="TextBox 25">
          <a:extLst>
            <a:ext uri="{FF2B5EF4-FFF2-40B4-BE49-F238E27FC236}">
              <a16:creationId xmlns:a16="http://schemas.microsoft.com/office/drawing/2014/main" id="{04BC2B0E-D8F9-4995-AE8D-82EAACAD9968}"/>
            </a:ext>
          </a:extLst>
        </xdr:cNvPr>
        <xdr:cNvSpPr txBox="1"/>
      </xdr:nvSpPr>
      <xdr:spPr>
        <a:xfrm>
          <a:off x="26281471" y="7294671"/>
          <a:ext cx="4119154" cy="2674829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3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Highest Portfolio</a:t>
          </a:r>
          <a:r>
            <a:rPr lang="en-US" sz="36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allocation </a:t>
          </a:r>
        </a:p>
        <a:p>
          <a:pPr algn="ctr"/>
          <a:fld id="{CA1D693E-305C-4433-B619-E9A115AB9C05}" type="TxLink">
            <a:rPr lang="en-US" sz="3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32.18% in Tata Motors</a:t>
          </a:fld>
          <a:endParaRPr lang="en-US" sz="3600" b="1"/>
        </a:p>
      </xdr:txBody>
    </xdr:sp>
    <xdr:clientData/>
  </xdr:twoCellAnchor>
  <xdr:twoCellAnchor>
    <xdr:from>
      <xdr:col>31</xdr:col>
      <xdr:colOff>-1</xdr:colOff>
      <xdr:row>33</xdr:row>
      <xdr:rowOff>24693</xdr:rowOff>
    </xdr:from>
    <xdr:to>
      <xdr:col>42</xdr:col>
      <xdr:colOff>550333</xdr:colOff>
      <xdr:row>53</xdr:row>
      <xdr:rowOff>127000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4595800-7F1C-432B-8864-79B31D054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206375</xdr:colOff>
      <xdr:row>1</xdr:row>
      <xdr:rowOff>31750</xdr:rowOff>
    </xdr:from>
    <xdr:to>
      <xdr:col>35</xdr:col>
      <xdr:colOff>225425</xdr:colOff>
      <xdr:row>5</xdr:row>
      <xdr:rowOff>31750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E57B85B0-C0B3-4B62-88AD-B0924A4F5F7C}"/>
            </a:ext>
          </a:extLst>
        </xdr:cNvPr>
        <xdr:cNvSpPr/>
      </xdr:nvSpPr>
      <xdr:spPr>
        <a:xfrm>
          <a:off x="13477875" y="222250"/>
          <a:ext cx="7861300" cy="76200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4000" b="1">
              <a:solidFill>
                <a:sysClr val="windowText" lastClr="000000"/>
              </a:solidFill>
            </a:rPr>
            <a:t>Trade Journal Dashboard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C74331-0CFC-4B8D-8245-3EA9289B65A0}" name="Table1" displayName="Table1" ref="A1:S20" totalsRowShown="0" headerRowBorderDxfId="19" tableBorderDxfId="20">
  <autoFilter ref="A1:S20" xr:uid="{59C74331-0CFC-4B8D-8245-3EA9289B65A0}"/>
  <sortState xmlns:xlrd2="http://schemas.microsoft.com/office/spreadsheetml/2017/richdata2" ref="C2:L19">
    <sortCondition ref="C1:C19"/>
  </sortState>
  <tableColumns count="19">
    <tableColumn id="17" xr3:uid="{CA8174C2-CDA7-487E-B568-6FC8FC6239A9}" name="Entry Date" dataDxfId="7"/>
    <tableColumn id="18" xr3:uid="{FFD143FF-9867-47C7-903A-FDB7CF31E3C9}" name="Exit Date" dataDxfId="8"/>
    <tableColumn id="1" xr3:uid="{01C7DE77-5B3A-4700-9F6D-573E275D136C}" name="Company "/>
    <tableColumn id="2" xr3:uid="{E1025AD8-AAB9-4EAC-B315-D141B2A69A88}" name="Category"/>
    <tableColumn id="3" xr3:uid="{93D4F740-FD0C-4D2D-BAA7-2A295A109595}" name="Industry"/>
    <tableColumn id="4" xr3:uid="{92DCF64F-1EAC-4BA9-ABA6-4A06BBC2438A}" name="Invested " dataDxfId="17">
      <calculatedColumnFormula>IF(ISBLANK(Table1[[#This Row],[Exit Price]]),"Open Order","Booked Order")</calculatedColumnFormula>
    </tableColumn>
    <tableColumn id="5" xr3:uid="{2AB457D6-1094-4EF8-BCEA-45F21D4329D5}" name="shares"/>
    <tableColumn id="6" xr3:uid="{814F6AD6-DB47-477C-BE69-F328E8296802}" name="avg. Price"/>
    <tableColumn id="7" xr3:uid="{24556426-D721-46A0-AC0B-F8DE6CF7CF41}" name="Exit Price"/>
    <tableColumn id="8" xr3:uid="{53026D06-C0A5-4266-8A41-5A9E8A541C2C}" name="Current Price"/>
    <tableColumn id="9" xr3:uid="{DFCF3E6A-FDFC-4299-B0BC-596827B4257E}" name="Total returns" dataDxfId="18" dataCellStyle="Percent">
      <calculatedColumnFormula>IF(ISNUMBER(I2), (I2-H2)/I2, (J2-H2)/J2)</calculatedColumnFormula>
    </tableColumn>
    <tableColumn id="10" xr3:uid="{C6136433-130C-47C7-9487-24D859ACF723}" name="Current returns" dataDxfId="14" dataCellStyle="Percent">
      <calculatedColumnFormula>IF(J2&lt;&gt;"",(J2-H2)/J2,"")</calculatedColumnFormula>
    </tableColumn>
    <tableColumn id="11" xr3:uid="{F04E5921-92B0-42DE-BFCB-ECEF3E5922AD}" name="Portfolio allocation" dataDxfId="13" dataCellStyle="Percent">
      <calculatedColumnFormula>IF(M2&lt;&gt;0, Table1[[#This Row],[Open Investment]]/$V$6, "Booked trade")</calculatedColumnFormula>
    </tableColumn>
    <tableColumn id="12" xr3:uid="{8D93F939-B960-47B0-8110-A36061A3995D}" name="Comments"/>
    <tableColumn id="13" xr3:uid="{A760001A-7EEB-4DF4-BEFB-D8E8F6036261}" name="Invested Amount" dataDxfId="16">
      <calculatedColumnFormula>Table1[[#This Row],[avg. Price]]*Table1[[#This Row],[shares]]</calculatedColumnFormula>
    </tableColumn>
    <tableColumn id="14" xr3:uid="{9D75EFAC-F023-48B8-B813-132FD077C284}" name="Total Returns in Cash" dataDxfId="15">
      <calculatedColumnFormula>(Table1[[#This Row],[Exit Price]]*Table1[[#This Row],[shares]])-Table1[[#This Row],[Invested Amount]]</calculatedColumnFormula>
    </tableColumn>
    <tableColumn id="15" xr3:uid="{3EF63FBB-C939-4275-95D4-590ADD213482}" name="Open Investment" dataDxfId="12">
      <calculatedColumnFormula>Table1[[#This Row],[shares]]*Table1[[#This Row],[Current Price]]</calculatedColumnFormula>
    </tableColumn>
    <tableColumn id="19" xr3:uid="{F0DB27DF-AFC6-4790-B690-8A5BF695A5E0}" name="Duration" dataDxfId="6">
      <calculatedColumnFormula>_xlfn.DAYS(Table1[[#This Row],[Exit Date]],Table1[[#This Row],[Entry Date]])</calculatedColumnFormula>
    </tableColumn>
    <tableColumn id="16" xr3:uid="{E5778536-2D62-4C9C-8AE5-178B45A3B4C4}" name="Outcome" dataDxfId="11">
      <calculatedColumnFormula>IF(Table1[[#This Row],[Total returns]]&gt;0,"PROFIT","LOSS")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A3C7EF-0567-4606-ABF6-7981CA4502F6}" name="Table2" displayName="Table2" ref="A1:B20" totalsRowShown="0" headerRowBorderDxfId="10">
  <autoFilter ref="A1:B20" xr:uid="{8DC56C81-E5C3-4ACE-B563-E7FA31F6897A}">
    <filterColumn colId="1">
      <filters>
        <filter val="0.24%"/>
        <filter val="0.53%"/>
        <filter val="0.57%"/>
        <filter val="10.28%"/>
        <filter val="12.34%"/>
        <filter val="21.81%"/>
        <filter val="3.88%"/>
        <filter val="32.24%"/>
        <filter val="5.03%"/>
        <filter val="6.24%"/>
        <filter val="6.85%"/>
      </filters>
    </filterColumn>
  </autoFilter>
  <tableColumns count="2">
    <tableColumn id="1" xr3:uid="{FE75B9A9-85CA-4050-AEFF-8B08F544FCC3}" name="Company "/>
    <tableColumn id="2" xr3:uid="{048C60DA-29C9-4CED-8A01-83422B99BAE3}" name="Portfolio allocation" dataDxfId="9" dataCellStyle="Percent">
      <calculatedColumnFormula>Table1[[#This Row],[Open Investment]]/Equities!$V$6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5">
    <wetp:webextensionref xmlns:r="http://schemas.openxmlformats.org/officeDocument/2006/relationships" r:id="rId1"/>
  </wetp:taskpane>
  <wetp:taskpane dockstate="right" visibility="0" width="525" row="6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E12DACE7-B3A1-454B-9C48-93066757DC3B}">
  <we:reference id="wa104379220" version="8.0.0.0" store="en-US" storeType="OMEX"/>
  <we:alternateReferences>
    <we:reference id="WA104379220" version="8.0.0.0" store="WA104379220" storeType="OMEX"/>
  </we:alternateReferences>
  <we:properties>
    <we:property name="Office.AutoShowTaskpaneWithDocument" value="true"/>
    <we:property name="lastCryptoCompare" value="0"/>
    <we:property name="lastIexCall" value="1706703014777"/>
    <we:property name="stocks" value="{&quot;EQHDFCBANK-IS&quot;:[&quot;EQHDFCBANK-IS&quot;,1434.55,0,1627272000000]}"/>
    <we:property name="stocksChange" value="{}"/>
    <we:property name="stocksOrder" value="[&quot;EQHDFCBANK-IS&quot;]"/>
    <we:property name="stocksSources" value="{&quot;EQHDFCBANK-IS&quot;:0}"/>
    <we:property name="updateIntervalIndex" value="2"/>
  </we:properties>
  <we:bindings>
    <we:binding id="EQHDFCBANK-IS" type="text" appref="{E8BCA0F2-AB8B-4B9B-82CF-8022D9AC7619}"/>
  </we:bindings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74F4AC40-AE04-49A0-A086-192088BDE007}">
  <we:reference id="wa200005477" version="1.0.0.0" store="en-US" storeType="OMEX"/>
  <we:alternateReferences>
    <we:reference id="WA200005477" version="1.0.0.0" store="WA200005477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_xldudf_MXLS_GETHISTORY</we:customFunctionIds>
        <we:customFunctionIds>_xldudf_MXLS_GETUSEFULLISTS</we:customFunctionIds>
        <we:customFunctionIds>_xldudf_MXLS_ONEYEARCLOSE</we:customFunctionIds>
        <we:customFunctionIds>_xldudf_MXLS_FINANCIALSTATEMENTS</we:customFunctionIds>
        <we:customFunctionIds>_xldudf_MXLS_DIVIDENDHISTORY</we:customFunctionIds>
        <we:customFunctionIds>_xldudf_MXLS_SPLITHISTORY</we:customFunctionIds>
        <we:customFunctionIds>_xldudf_MXLS_ANGELONEMAP</we:customFunctionIds>
        <we:customFunctionIds>_xldudf_MXLS_ANGELONELAST</we:customFunctionIds>
        <we:customFunctionIds>_xldudf_MXLS_ANGELONEVOLUME</we:customFunctionIds>
        <we:customFunctionIds>_xldudf_MXLS_ANGELONEOPEN</we:customFunctionIds>
        <we:customFunctionIds>_xldudf_MXLS_ANGELONELOW</we:customFunctionIds>
        <we:customFunctionIds>_xldudf_MXLS_ANGELONEHIGH</we:customFunctionIds>
        <we:customFunctionIds>_xldudf_MXLS_ANGELONEPREVIOUSCLOSE</we:customFunctionIds>
        <we:customFunctionIds>_xldudf_MXLS_ANGELONEBUYQUANTITY</we:customFunctionIds>
        <we:customFunctionIds>_xldudf_MXLS_ANGELONESELLQUANTITY</we:customFunctionIds>
        <we:customFunctionIds>_xldudf_MXLS_ANGELONE_GETHISTORY</we:customFunctionIds>
        <we:customFunctionIds>_xldudf_MXLS_KITEZERODHALAST</we:customFunctionIds>
        <we:customFunctionIds>_xldudf_MXLS_ZERODHALAST</we:customFunctionIds>
        <we:customFunctionIds>_xldudf_MXLS_ZERODHABUYQUANTITY</we:customFunctionIds>
        <we:customFunctionIds>_xldudf_MXLS_ZERODHASELLQUANTITY</we:customFunctionIds>
        <we:customFunctionIds>_xldudf_MXLS_ZERODHAVOLUME</we:customFunctionIds>
        <we:customFunctionIds>_xldudf_MXLS_ZERODHAOPEN</we:customFunctionIds>
        <we:customFunctionIds>_xldudf_MXLS_ZERODHAHIGH</we:customFunctionIds>
        <we:customFunctionIds>_xldudf_MXLS_ZERODHALOW</we:customFunctionIds>
        <we:customFunctionIds>_xldudf_MXLS_ZERODHAPREVIOUSCLOSE</we:customFunctionIds>
        <we:customFunctionIds>_xldudf_MXLS_ZERODHACHANGE</we:customFunctionIds>
        <we:customFunctionIds>_xldudf_MXLS_ZERODHALASTTRADETIME</we:customFunctionIds>
        <we:customFunctionIds>_xldudf_MXLS_ZERODHAOPENINTEREST</we:customFunctionIds>
        <we:customFunctionIds>_xldudf_MXLS_ZERODHAOPENINTERESTDAYLOW</we:customFunctionIds>
        <we:customFunctionIds>_xldudf_MXLS_ZERODHAOPENINTERESTDAYHIGH</we:customFunctionIds>
        <we:customFunctionIds>_xldudf_MXLS_KITEZERODHAMAP</we:customFunctionIds>
        <we:customFunctionIds>_xldudf_MXLS_QM_LIST</we:customFunctionIds>
        <we:customFunctionIds>_xldudf_MXLS_EXPIRATIONS</we:customFunctionIds>
        <we:customFunctionIds>_xldudf_MXLS_STRIKES</we:customFunctionIds>
        <we:customFunctionIds>_xldudf_MXLS_QM_GETHISTORY</we:customFunctionIds>
        <we:customFunctionIds>_xldudf_MXLS_QM_GETOPTIONCHAIN</we:customFunctionIds>
        <we:customFunctionIds>_xldudf_MXLS_QM_GETOPTIONCHAINATTHEMONEY</we:customFunctionIds>
        <we:customFunctionIds>_xldudf_MXLS_QM_GETOPTIONCHAININTHEMONEY</we:customFunctionIds>
        <we:customFunctionIds>_xldudf_MXLS_QM_GETOPTIONCHAINOUTOFTHEMONEY</we:customFunctionIds>
        <we:customFunctionIds>_xldudf_MXLS_QM_GETOPTIONCHAINMONTHLIES</we:customFunctionIds>
        <we:customFunctionIds>_xldudf_MXLS_QM_GETOPTIONCHAINWEEKLIES</we:customFunctionIds>
        <we:customFunctionIds>_xldudf_MXLS_QM_GETOPTIONCHAINQUARTERLIES</we:customFunctionIds>
        <we:customFunctionIds>_xldudf_MXLS_QM_GETOPTIONCHAINNEARTERM</we:customFunctionIds>
        <we:customFunctionIds>_xldudf_MXLS_QM_GETOPTIONCHAINACTIVE</we:customFunctionIds>
        <we:customFunctionIds>_xldudf_MXLS_QM_GETOPTIONEXPIREMINIMUM</we:customFunctionIds>
        <we:customFunctionIds>_xldudf_MXLS_QM_GETOPTIONEXPIREMAXIMUM</we:customFunctionIds>
        <we:customFunctionIds>_xldudf_MXLS_QM_GETOPTIONCHAINSTRUCTURED</we:customFunctionIds>
        <we:customFunctionIds>_xldudf_MXLS_QM_GETRECENTOPTIONSTATS</we:customFunctionIds>
        <we:customFunctionIds>_xldudf_MXLS_QM_GETOPTIONMARKETSTATS</we:customFunctionIds>
        <we:customFunctionIds>_xldudf_MXLS_TOPOPTIONSBYVOLUME</we:customFunctionIds>
        <we:customFunctionIds>_xldudf_MXLS_TOPOPTIONSBYOPENINTEREST</we:customFunctionIds>
        <we:customFunctionIds>_xldudf_MXLS_QM_GETOPTIONQUOTESANDGREEKS</we:customFunctionIds>
        <we:customFunctionIds>_xldudf_MXLS_QM_GETINTRADAYDATAFIVEMINUTES</we:customFunctionIds>
        <we:customFunctionIds>_xldudf_MXLS_QM_GETINTRADAYDATAONEMINUTES</we:customFunctionIds>
        <we:customFunctionIds>_xldudf_MXLS_QM_GETINTRADAYDATAFIFTEENMINUTES</we:customFunctionIds>
        <we:customFunctionIds>_xldudf_MXLS_QM_GETINTRADAYDATAONEHOUR</we:customFunctionIds>
        <we:customFunctionIds>_xldudf_MXLS_QM_GETINTRADAYDATAFOURHOUR</we:customFunctionIds>
        <we:customFunctionIds>_xldudf_MXLS_QM_LISTDYNAMIC</we:customFunctionIds>
        <we:customFunctionIds>_xldudf_MXLS_EXPIRATIONSDYNAMIC</we:customFunctionIds>
        <we:customFunctionIds>_xldudf_MXLS_STRIKESDYNAMIC</we:customFunctionIds>
        <we:customFunctionIds>_xldudf_MXLS_QM_GETHISTORYDYNAMIC</we:customFunctionIds>
        <we:customFunctionIds>_xldudf_MXLS_QM_GETOPTIONCHAINDYNAMIC</we:customFunctionIds>
        <we:customFunctionIds>_xldudf_MXLS_QM_GETOPTIONCHAINATTHEMONEYDYNAMIC</we:customFunctionIds>
        <we:customFunctionIds>_xldudf_MXLS_QM_GETOPTIONCHAININTHEMONEYDYNAMIC</we:customFunctionIds>
        <we:customFunctionIds>_xldudf_MXLS_QM_GETOPTIONCHAINOUTOFTHEMONEYDYNAMIC</we:customFunctionIds>
        <we:customFunctionIds>_xldudf_MXLS_QM_GETOPTIONCHAINMONTHLIESDYNAMIC</we:customFunctionIds>
        <we:customFunctionIds>_xldudf_MXLS_QM_GETOPTIONCHAINWEEKLIESDYNAMIC</we:customFunctionIds>
        <we:customFunctionIds>_xldudf_MXLS_QM_GETOPTIONCHAINQUARTERLIESDYNAMIC</we:customFunctionIds>
        <we:customFunctionIds>_xldudf_MXLS_QM_GETOPTIONCHAINNEARTERMDYNAMIC</we:customFunctionIds>
        <we:customFunctionIds>_xldudf_MXLS_QM_GETOPTIONCHAINACTIVEDYNAMIC</we:customFunctionIds>
        <we:customFunctionIds>_xldudf_MXLS_QM_GETOPTIONEXPIREMINIMUMDYNAMIC</we:customFunctionIds>
        <we:customFunctionIds>_xldudf_MXLS_QM_GETOPTIONEXPIREMAXIMUMDYNAMIC</we:customFunctionIds>
        <we:customFunctionIds>_xldudf_MXLS_QM_GETOPTIONCHAINSTRUCTUREDDYNAMIC</we:customFunctionIds>
        <we:customFunctionIds>_xldudf_MXLS_QM_GETRECENTOPTIONSTATSDYNAMIC</we:customFunctionIds>
        <we:customFunctionIds>_xldudf_MXLS_QM_GETOPTIONMARKETSTATSDYNAMIC</we:customFunctionIds>
        <we:customFunctionIds>_xldudf_MXLS_TOPOPTIONSBYVOLUMEDYNAMIC</we:customFunctionIds>
        <we:customFunctionIds>_xldudf_MXLS_TOPOPTIONSBYOPENINTERESTDYNAMIC</we:customFunctionIds>
        <we:customFunctionIds>_xldudf_MXLS_QM_GETOPTIONQUOTESANDGREEKSDYNAMIC</we:customFunctionIds>
        <we:customFunctionIds>_xldudf_MXLS_QM_GETINTRADAYDATAFIVEMINUTESDYNAMIC</we:customFunctionIds>
        <we:customFunctionIds>_xldudf_MXLS_QM_GETINTRADAYDATAONEMINUTESDYNAMIC</we:customFunctionIds>
        <we:customFunctionIds>_xldudf_MXLS_QM_GETINTRADAYDATAFIFTEENMINUTESDYNAMIC</we:customFunctionIds>
        <we:customFunctionIds>_xldudf_MXLS_QM_GETINTRADAYDATAONEHOURDYNAMIC</we:customFunctionIds>
        <we:customFunctionIds>_xldudf_MXLS_QM_GETINTRADAYDATAFOURHOURDYNAMIC</we:customFunctionIds>
        <we:customFunctionIds>_xldudf_MXLS_QM_VALUE</we:customFunctionIds>
        <we:customFunctionIds>_xldudf_MXLS_QM_LAST</we:customFunctionIds>
        <we:customFunctionIds>_xldudf_MXLS_QM_CHANGE</we:customFunctionIds>
        <we:customFunctionIds>_xldudf_MXLS_QM_CHANGEPERCENT</we:customFunctionIds>
        <we:customFunctionIds>_xldudf_MXLS_QM_OPEN</we:customFunctionIds>
        <we:customFunctionIds>_xldudf_MXLS_QM_HIGH</we:customFunctionIds>
        <we:customFunctionIds>_xldudf_MXLS_QM_LOW</we:customFunctionIds>
        <we:customFunctionIds>_xldudf_MXLS_QM_BID</we:customFunctionIds>
        <we:customFunctionIds>_xldudf_MXLS_QM_ASK</we:customFunctionIds>
        <we:customFunctionIds>_xldudf_MXLS_QM_BIDSIZE</we:customFunctionIds>
        <we:customFunctionIds>_xldudf_MXLS_QM_ASKSIZE</we:customFunctionIds>
        <we:customFunctionIds>_xldudf_MXLS_QM_RAWASKSIZE</we:customFunctionIds>
        <we:customFunctionIds>_xldudf_MXLS_QM_RAWBIDSIZE</we:customFunctionIds>
        <we:customFunctionIds>_xldudf_MXLS_QM_SHAREVOLUME</we:customFunctionIds>
        <we:customFunctionIds>_xldudf_MXLS_QM_TRADEVOLUME</we:customFunctionIds>
        <we:customFunctionIds>_xldudf_MXLS_QM_DATETIME</we:customFunctionIds>
        <we:customFunctionIds>_xldudf_MXLS_QM_PREVIOUSCLOSE</we:customFunctionIds>
        <we:customFunctionIds>_xldudf_MXLS_QM_MARKETCAP</we:customFunctionIds>
        <we:customFunctionIds>_xldudf_MXLS_QM_EPS</we:customFunctionIds>
        <we:customFunctionIds>_xldudf_MXLS_QM_SHARESOUTSTANDING</we:customFunctionIds>
        <we:customFunctionIds>_xldudf_MXLS_QM_PAYDATE</we:customFunctionIds>
        <we:customFunctionIds>_xldudf_MXLS_QM_CALLPUT</we:customFunctionIds>
        <we:customFunctionIds>_xldudf_MXLS_QM_EXPIRYDATE</we:customFunctionIds>
        <we:customFunctionIds>_xldudf_MXLS_QM_STRIKE</we:customFunctionIds>
        <we:customFunctionIds>_xldudf_MXLS_QM_OPENINTEREST</we:customFunctionIds>
        <we:customFunctionIds>_xldudf_MXLS_QM_CONTRACTHIGH</we:customFunctionIds>
        <we:customFunctionIds>_xldudf_MXLS_QM_CONTRACTLOW</we:customFunctionIds>
        <we:customFunctionIds>_xldudf_MXLS_MYSYMBOLS</we:customFunctionIds>
        <we:customFunctionIds>_xldudf_MXLS_ADDSYMBOLS</we:customFunctionIds>
        <we:customFunctionIds>_xldudf_MXLS_REMOVESYMBOLS</we:customFunctionIds>
        <we:customFunctionIds>_xldudf_MXLS_HF_REVENUE</we:customFunctionIds>
        <we:customFunctionIds>_xldudf_MXLS_HF_SELLING_GENERAL_AND_ADMINISTRATIVE_EXPENSE</we:customFunctionIds>
        <we:customFunctionIds>_xldudf_MXLS_HF_TOTAL_ASSETS</we:customFunctionIds>
        <we:customFunctionIds>_xldudf_MXLS_HF_COST_OF_REVENUE</we:customFunctionIds>
        <we:customFunctionIds>_xldudf_MXLS_HF_GROSS_PROFIT</we:customFunctionIds>
        <we:customFunctionIds>_xldudf_MXLS_HF_RANDD_EXPENSES</we:customFunctionIds>
        <we:customFunctionIds>_xldudf_MXLS_HF_SGNA</we:customFunctionIds>
        <we:customFunctionIds>_xldudf_MXLS_HF_EBIT</we:customFunctionIds>
        <we:customFunctionIds>_xldudf_MXLS_HF_EARNING_BEFORE_INTEREST_AND_TAXES_EBIT</we:customFunctionIds>
        <we:customFunctionIds>_xldudf_MXLS_HF_EBIT_USD</we:customFunctionIds>
        <we:customFunctionIds>_xldudf_MXLS_HF_INTEREST_EXPENSE</we:customFunctionIds>
        <we:customFunctionIds>_xldudf_MXLS_HF_EARNINGS_BEFORE_TAX</we:customFunctionIds>
        <we:customFunctionIds>_xldudf_MXLS_HF_INCOME_TAX_EXPENSE</we:customFunctionIds>
        <we:customFunctionIds>_xldudf_MXLS_HF_NET_INCOME</we:customFunctionIds>
        <we:customFunctionIds>_xldudf_MXLS_HF_PREFERRED_DIVIDENDS_INCOME_STATEMENT_IMPACT</we:customFunctionIds>
        <we:customFunctionIds>_xldudf_MXLS_HF_NET_INCOME_COMMON_STOCK</we:customFunctionIds>
        <we:customFunctionIds>_xldudf_MXLS_HF_NET_INCOME_COMMON_STOCK_USD</we:customFunctionIds>
        <we:customFunctionIds>_xldudf_MXLS_HF_NET_INCOME_FROM_DISCONTINUED_OPERATIONS</we:customFunctionIds>
        <we:customFunctionIds>_xldudf_MXLS_HF_EARNINGS_PER_BASIC_SHARE</we:customFunctionIds>
        <we:customFunctionIds>_xldudf_MXLS_HF_EARNINGS_PER_BASIC_SHARE_USD</we:customFunctionIds>
        <we:customFunctionIds>_xldudf_MXLS_HF_EARNINGS_PER_DILUTED_SHARE</we:customFunctionIds>
        <we:customFunctionIds>_xldudf_MXLS_HF_WEIGHTED_AVERAGE_SHARES</we:customFunctionIds>
        <we:customFunctionIds>_xldudf_MXLS_HF_WEIGHTED_AVERAGE_SHARES_DILUTED</we:customFunctionIds>
        <we:customFunctionIds>_xldudf_MXLS_HF_DIVIDENDS_PER_BASIC_COMMON_SHARE</we:customFunctionIds>
        <we:customFunctionIds>_xldudf_MXLS_HF_NET_CASH_FLOW_FROM_OPERATIONS</we:customFunctionIds>
        <we:customFunctionIds>_xldudf_MXLS_HF_DEPRECIATION_AMORTIZATION_AND_ACCRETION</we:customFunctionIds>
        <we:customFunctionIds>_xldudf_MXLS_HF_NET_CASH_FLOW_FROM_INVESTING</we:customFunctionIds>
        <we:customFunctionIds>_xldudf_MXLS_HF_CAPITAL_EXPENDITURE</we:customFunctionIds>
        <we:customFunctionIds>_xldudf_MXLS_HF_NET_CASH_FLOW_FROM_FINANCING</we:customFunctionIds>
        <we:customFunctionIds>_xldudf_MXLS_HF_ISSUANCE_REPAYMENT_OF_DEBT_SECURITIES</we:customFunctionIds>
        <we:customFunctionIds>_xldudf_MXLS_HF_ISSUANCE_PURCHASE_OF_EQUITY_SHARES</we:customFunctionIds>
        <we:customFunctionIds>_xldudf_MXLS_HF_PAYMENT_OF_DIVIDENDS_AND_OTHER_CASH_DISTRIBUTIONS</we:customFunctionIds>
        <we:customFunctionIds>_xldudf_MXLS_HF_EFFECT_OF_EXCHANGE_RATE_CHANGES_ON_CASH</we:customFunctionIds>
        <we:customFunctionIds>_xldudf_MXLS_HF_NET_CASH_FLOW_CHANGE_IN_CASH_AND_CASH_EQUIVALENTS</we:customFunctionIds>
        <we:customFunctionIds>_xldudf_MXLS_HF_CURRENT_ASSETS</we:customFunctionIds>
        <we:customFunctionIds>_xldudf_MXLS_HF_ASSETS_NON_CURRENT</we:customFunctionIds>
        <we:customFunctionIds>_xldudf_MXLS_HF_CASH_AND_EQUIVALENTS</we:customFunctionIds>
        <we:customFunctionIds>_xldudf_MXLS_HF_CASH_AND_EQUIVALENTS_USD</we:customFunctionIds>
        <we:customFunctionIds>_xldudf_MXLS_HF_TRADE_AND_NON_TRADE_RECEIVABLES</we:customFunctionIds>
        <we:customFunctionIds>_xldudf_MXLS_HF_GOODWILL_AND_INTANGIBLE_ASSETS</we:customFunctionIds>
        <we:customFunctionIds>_xldudf_MXLS_HF_INVENTORY</we:customFunctionIds>
        <we:customFunctionIds>_xldudf_MXLS_HF_TOTAL_LIABILITIES</we:customFunctionIds>
        <we:customFunctionIds>_xldudf_MXLS_HF_CURRENT_LIABILITIES</we:customFunctionIds>
        <we:customFunctionIds>_xldudf_MXLS_HF_LIABILITIES_NON_CURRENT</we:customFunctionIds>
        <we:customFunctionIds>_xldudf_MXLS_HF_TOTAL_DEBT</we:customFunctionIds>
        <we:customFunctionIds>_xldudf_MXLS_HF_TOTAL_DEBT_USD</we:customFunctionIds>
        <we:customFunctionIds>_xldudf_MXLS_HF_TRADE_AND_NON_TRADE_PAYABLES</we:customFunctionIds>
        <we:customFunctionIds>_xldudf_MXLS_HF_SHAREHOLDERS_EQUITY</we:customFunctionIds>
        <we:customFunctionIds>_xldudf_MXLS_HF_SHAREHOLDERS_EQUITY_USD</we:customFunctionIds>
        <we:customFunctionIds>_xldudf_MXLS_HF_ACCUMULATED_RETAINED_EARNINGS_DEFICIT</we:customFunctionIds>
        <we:customFunctionIds>_xldudf_MXLS_HF_INVESTMENTS</we:customFunctionIds>
        <we:customFunctionIds>_xldudf_MXLS_HF_INVESTMENTS_CURRENT</we:customFunctionIds>
        <we:customFunctionIds>_xldudf_MXLS_HF_INVESTMENTS_NONCURRENT</we:customFunctionIds>
        <we:customFunctionIds>_xldudf_MXLS_HF_ACCUMULATED_OTHER_COMPREHENSIVE_INCOME</we:customFunctionIds>
        <we:customFunctionIds>_xldudf_MXLS_HF_ASSET_TURNOVER</we:customFunctionIds>
        <we:customFunctionIds>_xldudf_MXLS_HF_AVERAGE_ASSETS</we:customFunctionIds>
        <we:customFunctionIds>_xldudf_MXLS_HF_BOOK_VALUE_PER_SHARE</we:customFunctionIds>
        <we:customFunctionIds>_xldudf_MXLS_HF_CURRENT_RATIO</we:customFunctionIds>
        <we:customFunctionIds>_xldudf_MXLS_HF_DEBT_TO_EQUITY_RATIO</we:customFunctionIds>
        <we:customFunctionIds>_xldudf_MXLS_HF_SHARE_DILUTION_RATIO</we:customFunctionIds>
        <we:customFunctionIds>_xldudf_MXLS_HF_DIVIDEND_YIELD</we:customFunctionIds>
        <we:customFunctionIds>_xldudf_MXLS_HF_EBITDA</we:customFunctionIds>
        <we:customFunctionIds>_xldudf_MXLS_HF_EBITDA_USD</we:customFunctionIds>
        <we:customFunctionIds>_xldudf_MXLS_HF_EBITDA_MARGIN</we:customFunctionIds>
        <we:customFunctionIds>_xldudf_MXLS_HF_EPS_DILUTED_GROWTH</we:customFunctionIds>
        <we:customFunctionIds>_xldudf_MXLS_HF_EPS_GROWTH</we:customFunctionIds>
        <we:customFunctionIds>_xldudf_MXLS_HF_AVERAGE_EQUITY</we:customFunctionIds>
        <we:customFunctionIds>_xldudf_MXLS_HF_ENTERPRISE_VALUE</we:customFunctionIds>
        <we:customFunctionIds>_xldudf_MXLS_HF_ENTERPRISE_VALUE_OVER_EBIT</we:customFunctionIds>
        <we:customFunctionIds>_xldudf_MXLS_HF_ENTERPRISE_VALUE_OVER_EBITDA</we:customFunctionIds>
        <we:customFunctionIds>_xldudf_MXLS_HF_FREE_CASH_FLOW</we:customFunctionIds>
        <we:customFunctionIds>_xldudf_MXLS_HF_FREE_CASH_FLOW_PER_SHARE</we:customFunctionIds>
        <we:customFunctionIds>_xldudf_MXLS_HF_FOREIGN_CURRENCY_TO_USD_EXCHANGE_RATE</we:customFunctionIds>
        <we:customFunctionIds>_xldudf_MXLS_HF_GROSS_MARGIN</we:customFunctionIds>
        <we:customFunctionIds>_xldudf_MXLS_HF_FINANCIAL_LEVERAGE</we:customFunctionIds>
        <we:customFunctionIds>_xldudf_MXLS_HF_INVESTED_CAPITAL</we:customFunctionIds>
        <we:customFunctionIds>_xldudf_MXLS_HF_INVESTED_CAPITAL_AVERAGE</we:customFunctionIds>
        <we:customFunctionIds>_xldudf_MXLS_HF_LEVERAGE_RATIO</we:customFunctionIds>
        <we:customFunctionIds>_xldudf_MXLS_HF_MARKET_CAPITALIZATION</we:customFunctionIds>
        <we:customFunctionIds>_xldudf_MXLS_HF_NCFO_GROWTH</we:customFunctionIds>
        <we:customFunctionIds>_xldudf_MXLS_HF_NET_INCOME_GROWTH</we:customFunctionIds>
        <we:customFunctionIds>_xldudf_MXLS_HF_PROFIT_MARGIN</we:customFunctionIds>
        <we:customFunctionIds>_xldudf_MXLS_HF_PRICE_EARNINGS_DAMODARAN_METHOD</we:customFunctionIds>
        <we:customFunctionIds>_xldudf_MXLS_HF_PRICE_TO_EARNINGS_RATIO</we:customFunctionIds>
        <we:customFunctionIds>_xldudf_MXLS_HF_PRICE_TO_SALES_RATIO</we:customFunctionIds>
        <we:customFunctionIds>_xldudf_MXLS_HF_PRICE_SALES_DAMODARAN_METHOD</we:customFunctionIds>
        <we:customFunctionIds>_xldudf_MXLS_HF_PRICE_TO_BOOK_VALUE</we:customFunctionIds>
        <we:customFunctionIds>_xldudf_MXLS_HF_REVENUE_GROWTH</we:customFunctionIds>
        <we:customFunctionIds>_xldudf_MXLS_HF_RETUN_ON_INVESTED_CAPITAL</we:customFunctionIds>
        <we:customFunctionIds>_xldudf_MXLS_HF_WEIGHTED_AVERAGE_SHARE_GROWTH</we:customFunctionIds>
        <we:customFunctionIds>_xldudf_MXLS_HF_SALES_PER_SHARE</we:customFunctionIds>
        <we:customFunctionIds>_xldudf_MXLS_HF_PAYOUT_RATIO</we:customFunctionIds>
        <we:customFunctionIds>_xldudf_MXLS_HF_RETURN_ON_AVERAGE_ASSETS</we:customFunctionIds>
        <we:customFunctionIds>_xldudf_MXLS_HF_RETURN_ON_AVERAGE_EQUITY</we:customFunctionIds>
        <we:customFunctionIds>_xldudf_MXLS_HF_RETURN_ON_SALES</we:customFunctionIds>
        <we:customFunctionIds>_xldudf_MXLS_HF_TANGIBLE_ASSET_VALUE</we:customFunctionIds>
        <we:customFunctionIds>_xldudf_MXLS_HF_TAX_EFFICIENCY</we:customFunctionIds>
        <we:customFunctionIds>_xldudf_MXLS_HF_TANGIBLE_ASSET_BOOK_VALUE_PER_SHARE</we:customFunctionIds>
        <we:customFunctionIds>_xldudf_MXLS_HF_WORKING_CAPITAL</we:customFunctionIds>
        <we:customFunctionIds>_xldudf_MXLS_HF_MATERIAL_CORPORATE_EVENTS</we:customFunctionIds>
        <we:customFunctionIds>_xldudf_MXLS_HF_FILING_DATE_TO_REPORT_PERIOD_MAPPING</we:customFunctionIds>
        <we:customFunctionIds>_xldudf_MXLS_HF_FILING_DATE_TO_REPORT_TYPE_MAPPING</we:customFunctionIds>
        <we:customFunctionIds>_xldudf_MXLS_HF_DATE_KEY</we:customFunctionIds>
        <we:customFunctionIds>_xldudf_MXLS_HF_LAST_UPDATED</we:customFunctionIds>
        <we:customFunctionIds>_xldudf_MXLS_HF_SHARE_FACTOR</we:customFunctionIds>
        <we:customFunctionIds>_xldudf_MXLS_HF_OPERATING_EXPENSES</we:customFunctionIds>
        <we:customFunctionIds>_xldudf_MXLS_HF_OPERATING_INCOME</we:customFunctionIds>
        <we:customFunctionIds>_xldudf_MXLS_HF_CONSOLIDATED_INCOME</we:customFunctionIds>
        <we:customFunctionIds>_xldudf_MXLS_HF_NET_INCOME_TO_NON_CONTROLLING_INTERESTS</we:customFunctionIds>
        <we:customFunctionIds>_xldudf_MXLS_HF_SHARE_BASED_COMPENSATION</we:customFunctionIds>
        <we:customFunctionIds>_xldudf_MXLS_HF_NET_CASH_FLOW_BUSINESS_ACQUISITIONS_AND_DISPOSALS</we:customFunctionIds>
        <we:customFunctionIds>_xldudf_MXLS_HF_NET_CASH_FLOW_INVESTMENT_ACQUISITIONS_AND_DISPOSALS</we:customFunctionIds>
        <we:customFunctionIds>_xldudf_MXLS_HF_DEBT_CURRENT</we:customFunctionIds>
        <we:customFunctionIds>_xldudf_MXLS_HF_DEBT_NON_CURRENT</we:customFunctionIds>
        <we:customFunctionIds>_xldudf_MXLS_HF_DEFERRED_REVENUE</we:customFunctionIds>
        <we:customFunctionIds>_xldudf_MXLS_HF_DEPOSIT_LIABILITIES</we:customFunctionIds>
        <we:customFunctionIds>_xldudf_MXLS_HF_PROPERTY_PLANT_EQUIPMENT_NET</we:customFunctionIds>
        <we:customFunctionIds>_xldudf_MXLS_HF_TAX_ASSETS</we:customFunctionIds>
        <we:customFunctionIds>_xldudf_MXLS_HF_TAX_LIABILITIES</we:customFunctionIds>
        <we:customFunctionIds>_xldudf_MXLS_HF_ADJUSTMENTS_TO_REVENUE</we:customFunctionIds>
        <we:customFunctionIds>_xldudf_MXLS_HF_COST_OF_SALES</we:customFunctionIds>
        <we:customFunctionIds>_xldudf_MXLS_HF_ADVERTISING</we:customFunctionIds>
        <we:customFunctionIds>_xldudf_MXLS_HF_DEPRECIATION</we:customFunctionIds>
        <we:customFunctionIds>_xldudf_MXLS_HF_DEPRECIATION_UNRECONCILED</we:customFunctionIds>
        <we:customFunctionIds>_xldudf_MXLS_HF_AMORTIZATION</we:customFunctionIds>
        <we:customFunctionIds>_xldudf_MXLS_HF_OPERATING_INCOME_AFTER_DEPRECIATION</we:customFunctionIds>
        <we:customFunctionIds>_xldudf_MXLS_HF_INTEREST_INCOME</we:customFunctionIds>
        <we:customFunctionIds>_xldudf_MXLS_HF_EARNINGS_FROM_EQUITY_INTEREST</we:customFunctionIds>
        <we:customFunctionIds>_xldudf_MXLS_HF_OTHER_INCOME_NET</we:customFunctionIds>
        <we:customFunctionIds>_xldudf_MXLS_HF_INCOME_ACQUIRED_IN_PROCESS_RANDD</we:customFunctionIds>
        <we:customFunctionIds>_xldudf_MXLS_HF_INCOME_RESTRUCTURING_AND_MANDA</we:customFunctionIds>
        <we:customFunctionIds>_xldudf_MXLS_HF_OTHER_SPECIAL_CHARGES</we:customFunctionIds>
        <we:customFunctionIds>_xldudf_MXLS_HF_SPECIAL_INCOME_CHARGES</we:customFunctionIds>
        <we:customFunctionIds>_xldudf_MXLS_HF_PRE_TAX_INCOME_EBT</we:customFunctionIds>
        <we:customFunctionIds>_xldudf_MXLS_HF_PREFERRED_SECURITIES_OF_SUBSIDIARY_TRUST</we:customFunctionIds>
        <we:customFunctionIds>_xldudf_MXLS_HF_NET_INCOME_FROM_CONTINUING_OPERATIONS</we:customFunctionIds>
        <we:customFunctionIds>_xldudf_MXLS_HF_NET_INCOME_FROM_TOTAL_OPERATIONS</we:customFunctionIds>
        <we:customFunctionIds>_xldudf_MXLS_HF_EXTRAORDINARY_INCOME_LOSSES</we:customFunctionIds>
        <we:customFunctionIds>_xldudf_MXLS_HF_INCOME_FROM_CUMULATIVE_EFFECT_OF_ACCOUNTING_CHG</we:customFunctionIds>
        <we:customFunctionIds>_xldudf_MXLS_HF_INCOME_FROM_TAX_LOSS_CARRY_FORWARD</we:customFunctionIds>
        <we:customFunctionIds>_xldudf_MXLS_HF_OTHER_GAINS_LOSSES</we:customFunctionIds>
        <we:customFunctionIds>_xldudf_MXLS_HF_NORMALIZED_INCOME</we:customFunctionIds>
        <we:customFunctionIds>_xldudf_MXLS_HF_EXCISE_TAXES</we:customFunctionIds>
        <we:customFunctionIds>_xldudf_MXLS_HF_BASIC_EPS_FROM_CONTINUING_OPERATIONS</we:customFunctionIds>
        <we:customFunctionIds>_xldudf_MXLS_HF_BASIC_EPS_FROM_DISCONTINUED_OPERATIONS</we:customFunctionIds>
        <we:customFunctionIds>_xldudf_MXLS_HF_BASIC_EPS_FROM_TOTAL_OPERATIONS</we:customFunctionIds>
        <we:customFunctionIds>_xldudf_MXLS_HF_BASIC_EPS_FROM_EXTRAORDINARY_INCOME</we:customFunctionIds>
        <we:customFunctionIds>_xldudf_MXLS_HF_BASIC_EPS_FROM_CUMULATIVE_EFFECT_OF_ACCOUNTING_CHG</we:customFunctionIds>
        <we:customFunctionIds>_xldudf_MXLS_HF_BASIC_EPS_FROM_TAX_LOSS_CARRY_FORWARD</we:customFunctionIds>
        <we:customFunctionIds>_xldudf_MXLS_HF_BASIC_EPS_FROM_OTHER_GAINS_LOSSES</we:customFunctionIds>
        <we:customFunctionIds>_xldudf_MXLS_HF_BASIC_NORMALIZED_NET_INCOME_SHARE</we:customFunctionIds>
        <we:customFunctionIds>_xldudf_MXLS_HF_DILUTED_EPS_FROM_CONTINUING_OPERATIONS</we:customFunctionIds>
        <we:customFunctionIds>_xldudf_MXLS_HF_DILUTED_EPS_FROM_DISCONTINUED_OPERATIONS</we:customFunctionIds>
        <we:customFunctionIds>_xldudf_MXLS_HF_DILUTED_EPS_FROM_TOTAL_OPERATIONS</we:customFunctionIds>
        <we:customFunctionIds>_xldudf_MXLS_HF_DILUTED_EPS_FROM_EXTRAORDINARY_INCOME</we:customFunctionIds>
        <we:customFunctionIds>_xldudf_MXLS_HF_DILUTED_EPS_FROM_CUMULATIVE_EFFECT_OF_ACCOUNTING_CHG</we:customFunctionIds>
        <we:customFunctionIds>_xldudf_MXLS_HF_DILUTED_EPS_FROM_TAX_LOSS_CARRY_FORWARD</we:customFunctionIds>
        <we:customFunctionIds>_xldudf_MXLS_HF_DILUTED_EPS_FROM_OTHER_GAINS_LOSSES</we:customFunctionIds>
        <we:customFunctionIds>_xldudf_MXLS_HF_DILUTED_EPS_TOTAL</we:customFunctionIds>
        <we:customFunctionIds>_xldudf_MXLS_HF_REVENUES_YEAR_TO_DATE</we:customFunctionIds>
        <we:customFunctionIds>_xldudf_MXLS_HF_DILUTED_EPS_FROM_TOTAL_OPERATIONS_YEAR_TO_DATE</we:customFunctionIds>
        <we:customFunctionIds>_xldudf_MXLS_HF_DIVIDENDS_PAID_PER_SHARE_YEAR_TO_DATE</we:customFunctionIds>
        <we:customFunctionIds>_xldudf_MXLS_HF_RESTRICTED_CASH</we:customFunctionIds>
        <we:customFunctionIds>_xldudf_MXLS_HF_ACCOUNTS_RECEIVABLE</we:customFunctionIds>
        <we:customFunctionIds>_xldudf_MXLS_HF_LOANS_RECEIVABLE</we:customFunctionIds>
        <we:customFunctionIds>_xldudf_MXLS_HF_OTHER_RECEIVABLE</we:customFunctionIds>
        <we:customFunctionIds>_xldudf_MXLS_HF_RAW_MATERIALS</we:customFunctionIds>
        <we:customFunctionIds>_xldudf_MXLS_HF_WORK_IN_PROGRESS</we:customFunctionIds>
        <we:customFunctionIds>_xldudf_MXLS_HF_PURCHASED_COMPONENTS</we:customFunctionIds>
        <we:customFunctionIds>_xldudf_MXLS_HF_FINISHED_GOODS</we:customFunctionIds>
        <we:customFunctionIds>_xldudf_MXLS_HF_OTHER_INVENTORIES</we:customFunctionIds>
        <we:customFunctionIds>_xldudf_MXLS_HF_INVENTORIES_ADJUSTMENTS_AND_ALLOWANCES</we:customFunctionIds>
        <we:customFunctionIds>_xldudf_MXLS_HF_PREPAID_EXPENSES</we:customFunctionIds>
        <we:customFunctionIds>_xldudf_MXLS_HF_OTHER_CURRENT_ASSETS</we:customFunctionIds>
        <we:customFunctionIds>_xldudf_MXLS_HF_LAND_AND_IMPROVEMENTS</we:customFunctionIds>
        <we:customFunctionIds>_xldudf_MXLS_HF_BUILDING_AND_IMPROVEMENTS</we:customFunctionIds>
        <we:customFunctionIds>_xldudf_MXLS_HF_MACHINERY_FURNITURE_AND_EQUIPMENT</we:customFunctionIds>
        <we:customFunctionIds>_xldudf_MXLS_HF_CONSTRUCTION_IN_PROGRESS</we:customFunctionIds>
        <we:customFunctionIds>_xldudf_MXLS_HF_OTHER_FIXED_ASSETS</we:customFunctionIds>
        <we:customFunctionIds>_xldudf_MXLS_HF_TOTAL_FIXED_ASSETS</we:customFunctionIds>
        <we:customFunctionIds>_xldudf_MXLS_HF_GROSS_FIXED_ASSETS_PLANT_PROPERTY_AND_EQUIPMENT</we:customFunctionIds>
        <we:customFunctionIds>_xldudf_MXLS_HF_ACCUMULATED_DEPRECIATION_AND_DEPLETION</we:customFunctionIds>
        <we:customFunctionIds>_xldudf_MXLS_HF_COST_IN_EXCESS</we:customFunctionIds>
        <we:customFunctionIds>_xldudf_MXLS_HF_NON_CURRENT_DEFERRED_INCOME_TAXES</we:customFunctionIds>
        <we:customFunctionIds>_xldudf_MXLS_HF_OTHER_NON_CURRENT_ASSETS</we:customFunctionIds>
        <we:customFunctionIds>_xldudf_MXLS_HF_INVENTORY_VALUATION_METHOD</we:customFunctionIds>
        <we:customFunctionIds>_xldudf_MXLS_HF_NOTES_PAYABLE</we:customFunctionIds>
        <we:customFunctionIds>_xldudf_MXLS_HF_SHORT_TERM_DEBT</we:customFunctionIds>
        <we:customFunctionIds>_xldudf_MXLS_HF_ACCRUED_EXPENSES</we:customFunctionIds>
        <we:customFunctionIds>_xldudf_MXLS_HF_ACCRUED_LIABILITIES</we:customFunctionIds>
        <we:customFunctionIds>_xldudf_MXLS_HF_CURRENT_DEFERRED_INCOME_TAXES</we:customFunctionIds>
        <we:customFunctionIds>_xldudf_MXLS_HF_LONG_TERM_DEBT</we:customFunctionIds>
        <we:customFunctionIds>_xldudf_MXLS_HF_CAPITAL_LEASE_OBLIGATIONS</we:customFunctionIds>
        <we:customFunctionIds>_xldudf_MXLS_HF_DEFERRED_INCOME_TAXES</we:customFunctionIds>
        <we:customFunctionIds>_xldudf_MXLS_HF_MINORITY_INTEREST</we:customFunctionIds>
        <we:customFunctionIds>_xldudf_MXLS_HF_PREFERRED_EQUITY_OUTSIDE_STOCK_EQUITY</we:customFunctionIds>
        <we:customFunctionIds>_xldudf_MXLS_HF_PREFERRED_STOCK_EQUITY</we:customFunctionIds>
        <we:customFunctionIds>_xldudf_MXLS_HF_COMMON_STOCK_EQUITY</we:customFunctionIds>
        <we:customFunctionIds>_xldudf_MXLS_HF_COMMON_PAR</we:customFunctionIds>
        <we:customFunctionIds>_xldudf_MXLS_HF_ADDITIONAL_PAID_IN_CAPITAL</we:customFunctionIds>
        <we:customFunctionIds>_xldudf_MXLS_HF_CUMULATIVE_TRANSLATION_ADJUSTMENT</we:customFunctionIds>
        <we:customFunctionIds>_xldudf_MXLS_HF_TREASURY_STOCK</we:customFunctionIds>
        <we:customFunctionIds>_xldudf_MXLS_HF_TOTAL_LIABILITIES_AND_STOCK_EQUITY</we:customFunctionIds>
        <we:customFunctionIds>_xldudf_MXLS_HF_CASH_FLOW</we:customFunctionIds>
        <we:customFunctionIds>_xldudf_MXLS_HF_SHARES_OUTSTANDING_COMMON_CLASS_ONLY</we:customFunctionIds>
        <we:customFunctionIds>_xldudf_MXLS_HF_PREFERRED_SHARES</we:customFunctionIds>
        <we:customFunctionIds>_xldudf_MXLS_HF_TOTAL_ORDINARY_SHARES</we:customFunctionIds>
        <we:customFunctionIds>_xldudf_MXLS_HF_TOTAL_COMMON_SHARES_OUTSTANDING</we:customFunctionIds>
        <we:customFunctionIds>_xldudf_MXLS_HF_TREASURY_SHARES</we:customFunctionIds>
        <we:customFunctionIds>_xldudf_MXLS_HF_NUMBER_OF_EMPLOYEES</we:customFunctionIds>
        <we:customFunctionIds>_xldudf_MXLS_HF_NUMBER_OF_PART_TIME_EMPLOYEES</we:customFunctionIds>
        <we:customFunctionIds>_xldudf_MXLS_HF_AMORTIZATION_OF_INTANGIBLES</we:customFunctionIds>
        <we:customFunctionIds>_xldudf_MXLS_HF_OPERATING_GAINS_LOSSES</we:customFunctionIds>
        <we:customFunctionIds>_xldudf_MXLS_HF_EXTRAORDINARY_GAINS_LOSSES</we:customFunctionIds>
        <we:customFunctionIds>_xldudf_MXLS_HF_INCREASE_DECREASE_IN_RECEIVABLES</we:customFunctionIds>
        <we:customFunctionIds>_xldudf_MXLS_HF_INCREASE_DECREASE_IN_INVENTORIES</we:customFunctionIds>
        <we:customFunctionIds>_xldudf_MXLS_HF_INCREASE_DECREASE_IN_PREPAID_EXPENSES</we:customFunctionIds>
        <we:customFunctionIds>_xldudf_MXLS_HF_INCREASE_DECREASE_IN_OTHER_CURRENT_ASSETS</we:customFunctionIds>
        <we:customFunctionIds>_xldudf_MXLS_HF_INCREASE_DECREASE_IN_PAYABLES</we:customFunctionIds>
        <we:customFunctionIds>_xldudf_MXLS_HF_INCREASE_DECREASE_IN_OTHER_CURRENT_LIABILITIES</we:customFunctionIds>
        <we:customFunctionIds>_xldudf_MXLS_HF_INCREASE_DECREASE_IN_OTHER_WORKING_CAPITAL</we:customFunctionIds>
        <we:customFunctionIds>_xldudf_MXLS_HF_OTHER_NON_CASH_ITEMS</we:customFunctionIds>
        <we:customFunctionIds>_xldudf_MXLS_HF_NET_CASH_FROM_CONTINUING_OPERATIONS</we:customFunctionIds>
        <we:customFunctionIds>_xldudf_MXLS_HF_NET_CASH_FROM_DISCONTINUED_OPERATIONS</we:customFunctionIds>
        <we:customFunctionIds>_xldudf_MXLS_HF_SALE_OF_PROPERTY_PLANT_EQUIPMENT</we:customFunctionIds>
        <we:customFunctionIds>_xldudf_MXLS_HF_SALE_OF_LONG_TERM_INVESTMENTS</we:customFunctionIds>
        <we:customFunctionIds>_xldudf_MXLS_HF_SALE_OF_SHORT_TERM_INVESTMENTS</we:customFunctionIds>
        <we:customFunctionIds>_xldudf_MXLS_HF_PURCHASE_OF_LONG_TERM_INVESTMENTS</we:customFunctionIds>
        <we:customFunctionIds>_xldudf_MXLS_HF_PURCHASE_OF_SHORT_TERM_INVESTMENTS</we:customFunctionIds>
        <we:customFunctionIds>_xldudf_MXLS_HF_OTHER_INVESTING_CHANGES_NET</we:customFunctionIds>
        <we:customFunctionIds>_xldudf_MXLS_HF_CASH_FROM_DISC__INVESTING_ACTIVITIES</we:customFunctionIds>
        <we:customFunctionIds>_xldudf_MXLS_HF_ISSUANCE_OF_DEBT</we:customFunctionIds>
        <we:customFunctionIds>_xldudf_MXLS_HF_ISSUANCE_OF_CAPITAL_STOCK</we:customFunctionIds>
        <we:customFunctionIds>_xldudf_MXLS_HF_REPURCHASE_OF_CAPITAL_STOCK</we:customFunctionIds>
        <we:customFunctionIds>_xldudf_MXLS_HF_OTHER_FINANCING_CHARGES_NET</we:customFunctionIds>
        <we:customFunctionIds>_xldudf_MXLS_HF_CASH_FROM_DISC__FINANCING_ACTIVITIES</we:customFunctionIds>
        <we:customFunctionIds>_xldudf_MXLS_HF_NET_CHANGE_IN_CASH_AND_CASH_EQUIVALENTS</we:customFunctionIds>
        <we:customFunctionIds>_xldudf_MXLS_HF_CASH_AT_BEGINNING_OF_PERIOD</we:customFunctionIds>
        <we:customFunctionIds>_xldudf_MXLS_HF_CASH_AT_END_OF_PERIOD</we:customFunctionIds>
        <we:customFunctionIds>_xldudf_MXLS_HF_FOREIGN_SALES</we:customFunctionIds>
        <we:customFunctionIds>_xldudf_MXLS_HF_DOMESTIC_SALES</we:customFunctionIds>
        <we:customFunctionIds>_xldudf_MXLS_HF_AUDITORS_NAME_AUD__NAME_AND_AUD__OP_</we:customFunctionIds>
        <we:customFunctionIds>_xldudf_MXLS_HF_AUDITORS_REPORT_AUD__NAME_AND_AUD__OP_</we:customFunctionIds>
        <we:customFunctionIds>_xldudf_MXLS_HF_CLOSE_PRICE_EARNINGS_RATIO</we:customFunctionIds>
        <we:customFunctionIds>_xldudf_MXLS_HF_HIGH_PRICE_EARNINGS_RATIO</we:customFunctionIds>
        <we:customFunctionIds>_xldudf_MXLS_HF_LOW_PRICE_EARNINGS_RATIO</we:customFunctionIds>
        <we:customFunctionIds>_xldudf_MXLS_HF_GROSS_PROFIT_MARGIN_PROFIT_MARGIN_AFTER_CGS</we:customFunctionIds>
        <we:customFunctionIds>_xldudf_MXLS_HF_PRE_TAX_PROFIT_MARGIN</we:customFunctionIds>
        <we:customFunctionIds>_xldudf_MXLS_HF_POST_TAX_PROFIT_MARGIN</we:customFunctionIds>
        <we:customFunctionIds>_xldudf_MXLS_HF_INTEREST_COVERAGE_FROM_CONTINUING_OPERATIONS</we:customFunctionIds>
        <we:customFunctionIds>_xldudf_MXLS_HF_INTEREST_AS_A_PERCENTAGE_OF_INVESTED_CAPITAL</we:customFunctionIds>
        <we:customFunctionIds>_xldudf_MXLS_HF_EFFECTIVE_TAX_RATE</we:customFunctionIds>
        <we:customFunctionIds>_xldudf_MXLS_HF_INCOME_PER_EMPLOYEE</we:customFunctionIds>
        <we:customFunctionIds>_xldudf_MXLS_HF_NORMALIZED_LOW_PRICE_EARNINGS_RATIO</we:customFunctionIds>
        <we:customFunctionIds>_xldudf_MXLS_HF_NORMALIZED_NET_PROFIT_MARGIN</we:customFunctionIds>
        <we:customFunctionIds>_xldudf_MXLS_HF_NORMALIZED_RETURN_ON_STOCK_EQUITY</we:customFunctionIds>
        <we:customFunctionIds>_xldudf_MXLS_HF_NORMALIZED_RETURN_ON_ASSETS</we:customFunctionIds>
        <we:customFunctionIds>_xldudf_MXLS_HF_NORMALIZED_RETURN_ON_INVESTED_CAPITAL</we:customFunctionIds>
        <we:customFunctionIds>_xldudf_MXLS_HF_NORMALIZED_INCOME_PER_EMPLOYEE</we:customFunctionIds>
        <we:customFunctionIds>_xldudf_MXLS_HF_QUICK_RATIO</we:customFunctionIds>
        <we:customFunctionIds>_xldudf_MXLS_HF_LONG_TERM_DEBT_TO_TOTAL_CAPITAL</we:customFunctionIds>
        <we:customFunctionIds>_xldudf_MXLS_HF_CASH_AS_A_PERCENTAGE_OF_REVENUE</we:customFunctionIds>
        <we:customFunctionIds>_xldudf_MXLS_HF_RECEIVABLES_AS_A_PERCENTAGE_OF_REVENUE</we:customFunctionIds>
        <we:customFunctionIds>_xldudf_MXLS_HF_SGANDA_EXPENSE_AS_PERCENTAGE_OF_REVENUE</we:customFunctionIds>
        <we:customFunctionIds>_xldudf_MXLS_HF_RANDD_EXPENSE_AS_PERCENTAGE_OF_REVENUE</we:customFunctionIds>
        <we:customFunctionIds>_xldudf_MXLS_HF_REVENUE_PER_DOLLAR_PLANT_NET</we:customFunctionIds>
        <we:customFunctionIds>_xldudf_MXLS_HF_REVENUE_PER_DOLLAR_COMMON_EQUITY</we:customFunctionIds>
        <we:customFunctionIds>_xldudf_MXLS_HF_REVENUE_PER_DOLLAR_INVESTED_CAPITAL</we:customFunctionIds>
        <we:customFunctionIds>_xldudf_MXLS_HF_RECEIVABLE_TURNOVER</we:customFunctionIds>
        <we:customFunctionIds>_xldudf_MXLS_HF_INVENTORY_TURNOVER</we:customFunctionIds>
        <we:customFunctionIds>_xldudf_MXLS_HF_SALES_PER_DOLLAR_RECEIVABLES</we:customFunctionIds>
        <we:customFunctionIds>_xldudf_MXLS_HF_SALES_PER_DOLLAR_INVENTORY</we:customFunctionIds>
        <we:customFunctionIds>_xldudf_MXLS_HF_REVENUE_TO_ASSETS</we:customFunctionIds>
        <we:customFunctionIds>_xldudf_MXLS_HF_NUMBER_OF_DAYS_COST_OF_GOODS_SOLD_IN_INVENTORY</we:customFunctionIds>
        <we:customFunctionIds>_xldudf_MXLS_HF_CURRENT_ASSETS_PER_SHARE</we:customFunctionIds>
        <we:customFunctionIds>_xldudf_MXLS_HF_TOTAL_ASSETS_PER_SHARE</we:customFunctionIds>
        <we:customFunctionIds>_xldudf_MXLS_HF_INTANGIBLES_AS_PERCENTAGE_BOOK_VALUE</we:customFunctionIds>
        <we:customFunctionIds>_xldudf_MXLS_HF_INVENTORY_AS_PERCENTAGE_REVENUE</we:customFunctionIds>
        <we:customFunctionIds>_xldudf_MXLS_HF_LONG_TERM_DEBT_PER_SHARE</we:customFunctionIds>
        <we:customFunctionIds>_xldudf_MXLS_HF_CURRENT_LIABILITIES_PER_SHARE</we:customFunctionIds>
        <we:customFunctionIds>_xldudf_MXLS_HF_CASH_PER_SHARE</we:customFunctionIds>
        <we:customFunctionIds>_xldudf_MXLS_HF_LONG_TERM_DEBT_TO_EQUITY_RATIO</we:customFunctionIds>
        <we:customFunctionIds>_xldudf_MXLS_HF_LONG_TERM_DEBT_AS_PERCENTAGE_OF_INVESTED_CAPITAL</we:customFunctionIds>
        <we:customFunctionIds>_xldudf_MXLS_HF_LONG_TERM_DEBT_AS_PERCENTAGE_OF_TOTAL_LIABILITIES</we:customFunctionIds>
        <we:customFunctionIds>_xldudf_MXLS_HF_TOTAL_LIABILITIES_AS_A_PERCENTAGE_OF_TOTAL_ASSETS</we:customFunctionIds>
        <we:customFunctionIds>_xldudf_MXLS_HF_WORKING_CAPITAL_AS_A_PERCENTAGE_OF_EQUITY</we:customFunctionIds>
        <we:customFunctionIds>_xldudf_MXLS_HF_PRICE_TO_TANGIBLE_BOOK_RATIO</we:customFunctionIds>
        <we:customFunctionIds>_xldudf_MXLS_HF_WORKING_CAPITAL_AS_PERCENTAGE_OF_PRICE</we:customFunctionIds>
        <we:customFunctionIds>_xldudf_MXLS_HF_WORKING_CAPITAL_PER_SHARE</we:customFunctionIds>
        <we:customFunctionIds>_xldudf_MXLS_HF_CASH_FLOW_PER_SHARE</we:customFunctionIds>
        <we:customFunctionIds>_xldudf_MXLS_HF_PRICE_CASH_FLOW_RATIO</we:customFunctionIds>
        <we:customFunctionIds>_xldudf_MXLS_HF_PRICE_FREE_CASH_FLOW_RATIO</we:customFunctionIds>
        <we:customFunctionIds>_xldudf_MXLS_HF_SALES_PER_EMPLOYEE</we:customFunctionIds>
        <we:customFunctionIds>_xldudf_MXLS_HF_SALES_INDICATOR</we:customFunctionIds>
        <we:customFunctionIds>_xldudf_MXLS_HF_EARNINGS_INDICATOR</we:customFunctionIds>
        <we:customFunctionIds>_xldudf_MXLS_HF_EARNINGS_PER_SHARE_INDICATOR</we:customFunctionIds>
        <we:customFunctionIds>_xldudf_MXLS_HF_PRICE_INDICATOR</we:customFunctionIds>
        <we:customFunctionIds>_xldudf_MXLS_HF_PRICE_BOOK_INDICATOR</we:customFunctionIds>
        <we:customFunctionIds>_xldudf_MXLS_HF_PRICE_SALES_INDICATOR</we:customFunctionIds>
        <we:customFunctionIds>_xldudf_MXLS_HF_PRICE_CASH_INDICATOR</we:customFunctionIds>
        <we:customFunctionIds>_xldudf_MXLS_HF_PRICE_FREE_CASH_INDICATOR</we:customFunctionIds>
        <we:customFunctionIds>_xldudf_MXLS_HF_DEBT_EQUITY_INDICATOR</we:customFunctionIds>
        <we:customFunctionIds>_xldudf_MXLS_HF_CURRENCY_RATE_INDICATOR</we:customFunctionIds>
        <we:customFunctionIds>_xldudf_MXLS_HF_GROSS_PROFIT_INDICATOR</we:customFunctionIds>
        <we:customFunctionIds>_xldudf_MXLS_HF_PRE_TAX_PROFIT_INDICATOR</we:customFunctionIds>
        <we:customFunctionIds>_xldudf_MXLS_HF_POST_TAX_PROFIT_INDICATOR</we:customFunctionIds>
        <we:customFunctionIds>_xldudf_MXLS_HF_NET_PROFIT_INDICATOR</we:customFunctionIds>
        <we:customFunctionIds>_xldudf_MXLS_HF_RETURN_EQUITY_INDICATOR</we:customFunctionIds>
        <we:customFunctionIds>_xldudf_MXLS_HF_LEVEL_RATE_INDICATOR</we:customFunctionIds>
        <we:customFunctionIds>_xldudf_MXLS_HF_RESEARCH_AND_DEVELOPMENT_EXPENSE_AS_PERCENTAGE_OF_REVENUE</we:customFunctionIds>
        <we:customFunctionIds>_xldudf_MXLS_HF_REVENUE_USD</we:customFunctionIds>
        <we:customFunctionIds>_xldudf_MXLS_HF_REPORT_PERIOD</we:customFunctionIds>
        <we:customFunctionIds>_xldudf_MXLS_HF_SHARE_PRICE_ADJUSTED_CLOSE</we:customFunctionIds>
        <we:customFunctionIds>_xldudf_MXLS_HF_SHARES_BASIC</we:customFunctionIds>
        <we:customFunctionIds>_xldudf_MXLS_HF_ASSET_TURN_OVER_INDICATOR</we:customFunctionIds>
        <we:customFunctionIds>_xldudf_MXLS_LOG</we:customFunctionIds>
        <we:customFunctionIds>_xldudf_MXLS_SYMBOLVALID</we:customFunctionIds>
        <we:customFunctionIds>_xldudf_MXLS_CHANGEINPERCENT</we:customFunctionIds>
        <we:customFunctionIds>_xldudf_MXLS_BENEISHMSCORE</we:customFunctionIds>
        <we:customFunctionIds>_xldudf_MXLS_ALTMANZSCORE</we:customFunctionIds>
        <we:customFunctionIds>_xldudf_MXLS_PITRIOSKIFSCORE</we:customFunctionIds>
        <we:customFunctionIds>_xldudf_MXLS_RANKVALUE</we:customFunctionIds>
        <we:customFunctionIds>_xldudf_MXLS_RANKOVERALL</we:customFunctionIds>
        <we:customFunctionIds>_xldudf_MXLS_ASK</we:customFunctionIds>
        <we:customFunctionIds>_xldudf_MXLS_OPENPRICE</we:customFunctionIds>
        <we:customFunctionIds>_xldudf_MXLS_LAST</we:customFunctionIds>
        <we:customFunctionIds>_xldudf_MXLS_BID</we:customFunctionIds>
        <we:customFunctionIds>_xldudf_MXLS_CHANGE_PERCENTCHANGE</we:customFunctionIds>
        <we:customFunctionIds>_xldudf_MXLS_CHANGE</we:customFunctionIds>
        <we:customFunctionIds>_xldudf_MXLS_NAME</we:customFunctionIds>
        <we:customFunctionIds>_xldudf_MXLS_PREVIOUSCLOSE</we:customFunctionIds>
        <we:customFunctionIds>_xldudf_MXLS_VOLUME</we:customFunctionIds>
        <we:customFunctionIds>_xldudf_MXLS_DAYSHIGH</we:customFunctionIds>
        <we:customFunctionIds>_xldudf_MXLS_DAYSLOW</we:customFunctionIds>
        <we:customFunctionIds>_xldudf_MXLS_SECTOR</we:customFunctionIds>
        <we:customFunctionIds>_xldudf_MXLS_INDUSTRY</we:customFunctionIds>
        <we:customFunctionIds>_xldudf_MXLS_AVERAGEDAILYVOLUME</we:customFunctionIds>
        <we:customFunctionIds>_xldudf_MXLS_DIVIDENDPERSHARE</we:customFunctionIds>
        <we:customFunctionIds>_xldudf_MXLS_EARNINGSPERSHARE</we:customFunctionIds>
        <we:customFunctionIds>_xldudf_MXLS_EARNINGS_DATE</we:customFunctionIds>
        <we:customFunctionIds>_xldudf_MXLS_BETA</we:customFunctionIds>
        <we:customFunctionIds>_xldudf_MXLS_EBITDA</we:customFunctionIds>
        <we:customFunctionIds>_xldudf_MXLS_PRICEPERSALES</we:customFunctionIds>
        <we:customFunctionIds>_xldudf_MXLS_PRICEPERBOOK</we:customFunctionIds>
        <we:customFunctionIds>_xldudf_MXLS_CASHFLOWPERSHARE</we:customFunctionIds>
        <we:customFunctionIds>_xldudf_MXLS_PERATIO</we:customFunctionIds>
        <we:customFunctionIds>_xldudf_MXLS_PEGRATIO</we:customFunctionIds>
        <we:customFunctionIds>_xldudf_MXLS_SHARES_OUTSTANDING</we:customFunctionIds>
        <we:customFunctionIds>_xldudf_MXLS_CURRENT_RATIO</we:customFunctionIds>
        <we:customFunctionIds>_xldudf_MXLS_EBITDA_MARGINS</we:customFunctionIds>
        <we:customFunctionIds>_xldudf_MXLS_QUICK_RATIO</we:customFunctionIds>
        <we:customFunctionIds>_xldudf_MXLS_ENTERPRISEVALUE</we:customFunctionIds>
        <we:customFunctionIds>_xldudf_MXLS_RETURNONASSETSLTM</we:customFunctionIds>
        <we:customFunctionIds>_xldudf_MXLS_RETURNONINVESTEDCAPITALONEYEAR</we:customFunctionIds>
        <we:customFunctionIds>_xldudf_MXLS_SHAREPERCENTHELDBYINSTITUTIONS</we:customFunctionIds>
        <we:customFunctionIds>_xldudf_MXLS_PROFITMARGIN</we:customFunctionIds>
        <we:customFunctionIds>_xldudf_MXLS_PRICETOCASHFLOW</we:customFunctionIds>
        <we:customFunctionIds>_xldudf_MXLS_FORWARDANNUALDIVIDENDYIELD</we:customFunctionIds>
        <we:customFunctionIds>_xldudf_MXLS_RETURNONEQUITY</we:customFunctionIds>
        <we:customFunctionIds>_xldudf_MXLS_RETURNONCAPITALLTM</we:customFunctionIds>
        <we:customFunctionIds>_xldudf_MXLS_INTERESTCOVERAGE</we:customFunctionIds>
        <we:customFunctionIds>_xldudf_MXLS_GROSSMARGIN</we:customFunctionIds>
        <we:customFunctionIds>_xldudf_MXLS_BOOKVALUEPERSHARE</we:customFunctionIds>
        <we:customFunctionIds>_xldudf_MXLS_REVENUE</we:customFunctionIds>
        <we:customFunctionIds>_xldudf_MXLS_STOCKRETURNSEVENDAYS</we:customFunctionIds>
        <we:customFunctionIds>_xldudf_MXLS_STOCKRETURNFIFTEENDAYS</we:customFunctionIds>
        <we:customFunctionIds>_xldudf_MXLS_STOCKRETURNTHIRTYDAYS</we:customFunctionIds>
        <we:customFunctionIds>_xldudf_MXLS_STOCKRETURNTHREEMONTHS</we:customFunctionIds>
        <we:customFunctionIds>_xldudf_MXLS_STOCKRETURNSIXMONTHS</we:customFunctionIds>
        <we:customFunctionIds>_xldudf_MXLS_STOCKRETURNONEYEAR</we:customFunctionIds>
        <we:customFunctionIds>_xldudf_MXLS_STOCKRETURNTHREEYEARS</we:customFunctionIds>
        <we:customFunctionIds>_xldudf_MXLS_STOCKRETURNFIVEYEARS</we:customFunctionIds>
        <we:customFunctionIds>_xldudf_MXLS_STOCKRETURNYTD</we:customFunctionIds>
        <we:customFunctionIds>_xldudf_MXLS_STOCKRETURNMTD</we:customFunctionIds>
        <we:customFunctionIds>_xldudf_MXLS_STOCKRETURNQTD</we:customFunctionIds>
        <we:customFunctionIds>_xldudf_MXLS_STOCKRETURNWTD</we:customFunctionIds>
        <we:customFunctionIds>_xldudf_MXLS_VOLUMEAVERAGESEVENDAYS</we:customFunctionIds>
        <we:customFunctionIds>_xldudf_MXLS_VOLUMEAVERAGEFIFTEENDAYS</we:customFunctionIds>
        <we:customFunctionIds>_xldudf_MXLS_VOLUMEAVERAGETHIRTYDAYS</we:customFunctionIds>
        <we:customFunctionIds>_xldudf_MXLS_VOLUMEAVERAGETHREEMONTHS</we:customFunctionIds>
        <we:customFunctionIds>_xldudf_MXLS_VOLUMEAVERAGESIXMONTHS</we:customFunctionIds>
        <we:customFunctionIds>_xldudf_MXLS_VOLUMEAVERAGEONEYEAR</we:customFunctionIds>
        <we:customFunctionIds>_xldudf_MXLS_VOLUMEAVERAGETHREEYEARS</we:customFunctionIds>
        <we:customFunctionIds>_xldudf_MXLS_FIFTYTWO_WEEKLOW</we:customFunctionIds>
        <we:customFunctionIds>_xldudf_MXLS_FIFTYTWO_WEEKHIGH</we:customFunctionIds>
        <we:customFunctionIds>_xldudf_MXLS_EX_DIVIDENDDATE</we:customFunctionIds>
        <we:customFunctionIds>_xldudf_MXLS_DIVIDENDPAYDATE</we:customFunctionIds>
        <we:customFunctionIds>_xldudf_MXLS_DIVIDENDYIELD</we:customFunctionIds>
        <we:customFunctionIds>_xldudf_MXLS_FORWARDANNUALDIVIDENDRATE</we:customFunctionIds>
        <we:customFunctionIds>_xldudf_MXLS_DIVIDENDPAYOUTRATIO</we:customFunctionIds>
        <we:customFunctionIds>_xldudf_MXLS_EPSESTIMATECURRENTYEAR</we:customFunctionIds>
        <we:customFunctionIds>_xldudf_MXLS_EPSESTIMATENEXTYEAR</we:customFunctionIds>
        <we:customFunctionIds>_xldudf_MXLS_EPSESTIMATENEXTQUARTER</we:customFunctionIds>
        <we:customFunctionIds>_xldudf_MXLS_EPSESTIMATECURRENTQUARTER</we:customFunctionIds>
        <we:customFunctionIds>_xldudf_MXLS_EARNINGSESTIMATES_TARGETPRICEHISTORY_MEANTARGETPRICEESTIMATE_CURRENTTARGET</we:customFunctionIds>
        <we:customFunctionIds>_xldudf_MXLS_EARNINGSESTIMATES_TARGETPRICEHISTORY_DATEMOSTRECENTESTIMATE_CURRENTTARGET</we:customFunctionIds>
        <we:customFunctionIds>_xldudf_MXLS_EARNINGSESTIMATES_TARGETPRICEHISTORY_DATEMOSTRECENTESTIMATE_WEEKS2AGO</we:customFunctionIds>
        <we:customFunctionIds>_xldudf_MXLS_EARNINGSESTIMATES_TARGETPRICEHISTORY_DATEMOSTRECENTESTIMATE_WEEKS1AGO</we:customFunctionIds>
        <we:customFunctionIds>_xldudf_MXLS_EARNINGSESTIMATES_TARGETPRICEHISTORY_DATEMOSTRECENTESTIMATE_WEEKS3AGO</we:customFunctionIds>
        <we:customFunctionIds>_xldudf_MXLS_EARNINGSESTIMATES_CONSENSUSEPSGROWTHRATE_NEXT5YEAR</we:customFunctionIds>
        <we:customFunctionIds>_xldudf_MXLS_STANDARDDEVIATIONONCLOSEPRICE</we:customFunctionIds>
        <we:customFunctionIds>_xldudf_MXLS_CHANGEPERCENTWTD</we:customFunctionIds>
        <we:customFunctionIds>_xldudf_MXLS_CHANGEPERCENTMTD</we:customFunctionIds>
        <we:customFunctionIds>_xldudf_MXLS_CHANGEPERCENTYTD</we:customFunctionIds>
        <we:customFunctionIds>_xldudf_MXLS_CHANGEPERCENTQTD</we:customFunctionIds>
        <we:customFunctionIds>_xldudf_MXLS_EXCELSERIALDATETODATE</we:customFunctionIds>
        <we:customFunctionIds>_xldudf_MXLS_TECHNICALINDICATOR</we:customFunctionIds>
        <we:customFunctionIds>_xldudf_MXLS_STOCKVOLATILITYSEVENDAYS</we:customFunctionIds>
        <we:customFunctionIds>_xldudf_MXLS_STOCKVOLATILITYFIFTEENDAYS</we:customFunctionIds>
        <we:customFunctionIds>_xldudf_MXLS_STOCKVOLATILITYTHIRTYDAYS</we:customFunctionIds>
        <we:customFunctionIds>_xldudf_MXLS_STOCKVOLATILITYTHREEMONTHS</we:customFunctionIds>
        <we:customFunctionIds>_xldudf_MXLS_STOCKVOLATILITYSIXMONTHS</we:customFunctionIds>
        <we:customFunctionIds>_xldudf_MXLS_STOCKVOLATILITYNINEMONTHS</we:customFunctionIds>
        <we:customFunctionIds>_xldudf_MXLS_STOCKVOLATILITYONEYEAR</we:customFunctionIds>
        <we:customFunctionIds>_xldudf_MXLS_STOCKVOLATILITYTWOYEARS</we:customFunctionIds>
        <we:customFunctionIds>_xldudf_MXLS_STOCKVOLATILITYTHREEYEARS</we:customFunctionIds>
        <we:customFunctionIds>_xldudf_MXLS_STOCKVOLATILITYFIVEYEARS</we:customFunctionIds>
        <we:customFunctionIds>_xldudf_MXLS_OPEN_HISTORICAL</we:customFunctionIds>
        <we:customFunctionIds>_xldudf_MXLS_HIGH_HISTORICAL</we:customFunctionIds>
        <we:customFunctionIds>_xldudf_MXLS_LOW_HISTORICAL</we:customFunctionIds>
        <we:customFunctionIds>_xldudf_MXLS_CLOSE_HISTORICAL</we:customFunctionIds>
        <we:customFunctionIds>_xldudf_MXLS_ADJUSTED_CLOSE_HISTORICAL</we:customFunctionIds>
        <we:customFunctionIds>_xldudf_MXLS_VOLUME_HISTORICAL</we:customFunctionIds>
        <we:customFunctionIds>_xldudf_MXLS_BID_HISTORICAL</we:customFunctionIds>
        <we:customFunctionIds>_xldudf_MXLS_ASK_HISTORICAL</we:customFunctionIds>
        <we:customFunctionIds>_xldudf_MXLS_BID_SIZE_HISTORICAL</we:customFunctionIds>
        <we:customFunctionIds>_xldudf_MXLS_ASK_SIZE_HISTORICAL</we:customFunctionIds>
        <we:customFunctionIds>_xldudf_MXLS_X_DAY_HIGH</we:customFunctionIds>
        <we:customFunctionIds>_xldudf_MXLS_X_DAY_LOW</we:customFunctionIds>
        <we:customFunctionIds>_xldudf_MXLS_X_WEEK_HIGH</we:customFunctionIds>
        <we:customFunctionIds>_xldudf_MXLS_X_WEEK_LOW</we:customFunctionIds>
        <we:customFunctionIds>_xldudf_MXLS_VOLUMEAVERAGECUSTOMDATES</we:customFunctionIds>
        <we:customFunctionIds>_xldudf_MXLS_RELATIVESTRENGTHINDEX</we:customFunctionIds>
        <we:customFunctionIds>_xldudf_MXLS_SIMPLEMOVINGAVERAGE</we:customFunctionIds>
        <we:customFunctionIds>_xldudf_MXLS_EXPONENTIALMOVINGAVERAGE</we:customFunctionIds>
        <we:customFunctionIds>_xldudf_MXLS_AVERAGETRUERANGE</we:customFunctionIds>
        <we:customFunctionIds>_xldudf_MXLS_MOMENTUM</we:customFunctionIds>
        <we:customFunctionIds>_xldudf_MXLS_OPTIONSYMBOL</we:customFunctionIds>
        <we:customFunctionIds>_xldudf_MXLS_IMPLIEDVOLATILITY</we:customFunctionIds>
        <we:customFunctionIds>_xldudf_MXLS_DELTA</we:customFunctionIds>
        <we:customFunctionIds>_xldudf_MXLS_THETA</we:customFunctionIds>
        <we:customFunctionIds>_xldudf_MXLS_GAMMA</we:customFunctionIds>
        <we:customFunctionIds>_xldudf_MXLS_VEGA</we:customFunctionIds>
        <we:customFunctionIds>_xldudf_MXLS_EXPIRATIONNEXT</we:customFunctionIds>
        <we:customFunctionIds>_xldudf_MXLS_STRIKENEXT</we:customFunctionIds>
        <we:customFunctionIds>_xldudf_MXLS_IMPLIEDVOLATILITYPCT1M</we:customFunctionIds>
        <we:customFunctionIds>_xldudf_MXLS_IVPERCENTILE1YEAR</we:customFunctionIds>
        <we:customFunctionIds>_xldudf_MXLS_IVRANK1YEAR</we:customFunctionIds>
        <we:customFunctionIds>_xldudf_MXLS_MARKETCAPITALIZATION</we:customFunctionIds>
        <we:customFunctionIds>_xldudf_MXLS_DIVIDENDBETWEENTWODATES</we:customFunctionIds>
        <we:customFunctionIds>_xldudf_MXLS_OPT_VOLUMEOPTIONSAVERAGE</we:customFunctionIds>
        <we:customFunctionIds>_xldudf_MXLS_OPT_TOTALVOLUMEOPTIONS</we:customFunctionIds>
        <we:customFunctionIds>_xldudf_MXLS_OPT_TOTALOPENINTERESTOPTIONS</we:customFunctionIds>
        <we:customFunctionIds>_xldudf_MXLS_OPT_VOL_OI</we:customFunctionIds>
        <we:customFunctionIds>_xldudf_MXLS_OPT_VOL_OI_AVG</we:customFunctionIds>
        <we:customFunctionIds>_xldudf_MXLS_OPT_VOL_OI_HISTORICAL</we:customFunctionIds>
        <we:customFunctionIds>_xldudf_MXLS_OPT_PUTCALLVOLRATIO</we:customFunctionIds>
        <we:customFunctionIds>_xldudf_MXLS_OPT_PUTCALLVOLRATIOHISTORICAL</we:customFunctionIds>
        <we:customFunctionIds>_xldudf_MXLS_OPT_PUTCALLOIRATIO</we:customFunctionIds>
        <we:customFunctionIds>_xldudf_MXLS_OPT_PUTCALLOIRATIOHISTORICAL</we:customFunctionIds>
        <we:customFunctionIds>_xldudf_MXLS_OPT_DELTAHISTORICAL</we:customFunctionIds>
        <we:customFunctionIds>_xldudf_MXLS_OPT_GAMMAHISTORICAL</we:customFunctionIds>
        <we:customFunctionIds>_xldudf_MXLS_OPT_RHOHISTORICAL</we:customFunctionIds>
        <we:customFunctionIds>_xldudf_MXLS_OPT_IMPLIEDVOLATILITYHISTORICAL</we:customFunctionIds>
        <we:customFunctionIds>_xldudf_MXLS_OPT_THETAHISTORICAL</we:customFunctionIds>
        <we:customFunctionIds>_xldudf_MXLS_OPT_VEGAHISTORICAL</we:customFunctionIds>
        <we:customFunctionIds>_xldudf_MXLS_OPT_DELTA</we:customFunctionIds>
        <we:customFunctionIds>_xldudf_MXLS_OPT_GAMMA</we:customFunctionIds>
        <we:customFunctionIds>_xldudf_MXLS_OPT_VEGA</we:customFunctionIds>
        <we:customFunctionIds>_xldudf_MXLS_OPT_THETA</we:customFunctionIds>
        <we:customFunctionIds>_xldudf_MXLS_OPT_RHO</we:customFunctionIds>
        <we:customFunctionIds>_xldudf_MXLS_OPT_IMPLIEDVOLATILITY</we:customFunctionIds>
        <we:customFunctionIds>_xldudf_MXLS_STOCKCHART</we:customFunctionIds>
        <we:customFunctionIds>_xldudf_MXLS_STREAM_ACCUMULATEDPRICE</we:customFunctionIds>
        <we:customFunctionIds>_xldudf_MXLS_STREAM_ACCUMULATEDTRADEVALUE</we:customFunctionIds>
        <we:customFunctionIds>_xldudf_MXLS_STREAM_ACCUMULATEDVOLUME</we:customFunctionIds>
        <we:customFunctionIds>_xldudf_MXLS_STREAM_CHANGE</we:customFunctionIds>
        <we:customFunctionIds>_xldudf_MXLS_STREAM_CLOSE</we:customFunctionIds>
        <we:customFunctionIds>_xldudf_MXLS_STREAM_HIGH</we:customFunctionIds>
        <we:customFunctionIds>_xldudf_MXLS_STREAM_LAST</we:customFunctionIds>
        <we:customFunctionIds>_xldudf_MXLS_STREAM_LASTTRADESIZE</we:customFunctionIds>
        <we:customFunctionIds>_xldudf_MXLS_STREAM_LASTTRADETIME</we:customFunctionIds>
        <we:customFunctionIds>_xldudf_MXLS_STREAM_LOW</we:customFunctionIds>
        <we:customFunctionIds>_xldudf_MXLS_STREAM_OPEN</we:customFunctionIds>
        <we:customFunctionIds>_xldudf_MXLS_STREAM_PERCENTAGECHANGE</we:customFunctionIds>
        <we:customFunctionIds>_xldudf_MXLS_STREAM_PREVIOUSCLOSE</we:customFunctionIds>
        <we:customFunctionIds>_xldudf_MXLS_STREAM_TRADECOUNT</we:customFunctionIds>
        <we:customFunctionIds>_xldudf_MXLS_STREAM_TWAP</we:customFunctionIds>
        <we:customFunctionIds>_xldudf_MXLS_STREAM_VWAP</we:customFunctionIds>
        <we:customFunctionIds>_xldudf_MXLS_STREAM_PREMARKETTRADETIME</we:customFunctionIds>
        <we:customFunctionIds>_xldudf_MXLS_STREAM_PREMARKETLAST</we:customFunctionIds>
        <we:customFunctionIds>_xldudf_MXLS_STREAM_PREMARKETVOLUME</we:customFunctionIds>
        <we:customFunctionIds>_xldudf_MXLS_STREAM_PREMARKETCHANGE</we:customFunctionIds>
        <we:customFunctionIds>_xldudf_MXLS_STREAM_PREMARKETPERCENTCHANGE</we:customFunctionIds>
        <we:customFunctionIds>_xldudf_MXLS_STREAM_POSTMARKETLASTTRADETIME</we:customFunctionIds>
        <we:customFunctionIds>_xldudf_MXLS_STREAM_POSTMARKETLAST</we:customFunctionIds>
        <we:customFunctionIds>_xldudf_MXLS_STREAM_POSTMARKETVOLUME</we:customFunctionIds>
        <we:customFunctionIds>_xldudf_MXLS_STREAM_POSTMARKETCHANGE</we:customFunctionIds>
        <we:customFunctionIds>_xldudf_MXLS_STREAM_POSTMARKETPERCENTCHANGE</we:customFunctionIds>
        <we:customFunctionIds>_xldudf_MXLS_STREAM_LASTTRADEEXCODE</we:customFunctionIds>
        <we:customFunctionIds>_xldudf_MXLS_STREAM_ASKPRICE</we:customFunctionIds>
        <we:customFunctionIds>_xldudf_MXLS_STREAM_ASKSIZE</we:customFunctionIds>
        <we:customFunctionIds>_xldudf_MXLS_STREAM_BIDPRICE</we:customFunctionIds>
        <we:customFunctionIds>_xldudf_MXLS_STREAM_BIDSIZE</we:customFunctionIds>
        <we:customFunctionIds>_xldudf_MXLS_STREAM_EXCODE</we:customFunctionIds>
        <we:customFunctionIds>_xldudf_MXLS_STREAM_INSTRUMENTTYPE</we:customFunctionIds>
        <we:customFunctionIds>_xldudf_MXLS_STREAM_CURRENCYID</we:customFunctionIds>
        <we:customFunctionIds>_xldudf_MXLS_STREAM_TRADEVALUE</we:customFunctionIds>
        <we:customFunctionIds>_xldudf_MXLS_STREAM_VOLUME</we:customFunctionIds>
        <we:customFunctionIds>_xldudf_MXLS_STREAM_DELTA</we:customFunctionIds>
        <we:customFunctionIds>_xldudf_MXLS_STREAM_GAMMA</we:customFunctionIds>
        <we:customFunctionIds>_xldudf_MXLS_STREAM_VEGA</we:customFunctionIds>
        <we:customFunctionIds>_xldudf_MXLS_STREAM_RHO</we:customFunctionIds>
        <we:customFunctionIds>_xldudf_MXLS_STREAM_THETA</we:customFunctionIds>
        <we:customFunctionIds>_xldudf_MXLS_STREAM_IMPLIEDVOLATILITY</we:customFunctionIds>
        <we:customFunctionIds>_xldudf_MXLS_STREAM_IMPLIEDVOLATILITYCHANGE</we:customFunctionIds>
        <we:customFunctionIds>_xldudf_MXLS_STREAM_BIDIMPLIEDVOLATILITY</we:customFunctionIds>
        <we:customFunctionIds>_xldudf_MXLS_STREAM_ASKIMPLIEDVOLATILITY</we:customFunctionIds>
        <we:customFunctionIds>_xldudf_MXLS_STREAM_MARK</we:customFunctionIds>
        <we:customFunctionIds>_xldudf_MXLS_STREAM_INTRINSICVALUE</we:customFunctionIds>
        <we:customFunctionIds>_xldudf_MXLS_STREAM_EXTRINSICVALUE</we:customFunctionIds>
        <we:customFunctionIds>_xldudf_MXLS_STREAM_PREVIOUSMARK</we:customFunctionIds>
        <we:customFunctionIds>_xldudf_MXLS_STREAM_MARKCHANGE</we:customFunctionIds>
        <we:customFunctionIds>_xldudf_MXLS_STREAM_MARKCHANGEPERCENT</we:customFunctionIds>
        <we:customFunctionIds>_xldudf_MXLS_STREAM_OPENINTEREST</we:customFunctionIds>
        <we:customFunctionIds>_xldudf_MXLS_QM_STREAM_ACCUMULATEDPRICE</we:customFunctionIds>
        <we:customFunctionIds>_xldudf_MXLS_QM_STREAM_ACCUMULATEDTRADEVALUE</we:customFunctionIds>
        <we:customFunctionIds>_xldudf_MXLS_QM_STREAM_ACCUMULATEDVOLUME</we:customFunctionIds>
        <we:customFunctionIds>_xldudf_MXLS_QM_STREAM_CHANGE</we:customFunctionIds>
        <we:customFunctionIds>_xldudf_MXLS_QM_STREAM_CLOSE</we:customFunctionIds>
        <we:customFunctionIds>_xldudf_MXLS_QM_STREAM_HIGH</we:customFunctionIds>
        <we:customFunctionIds>_xldudf_MXLS_QM_STREAM_LAST</we:customFunctionIds>
        <we:customFunctionIds>_xldudf_MXLS_QM_STREAM_LASTTRADESIZE</we:customFunctionIds>
        <we:customFunctionIds>_xldudf_MXLS_QM_STREAM_LASTTRADETIME</we:customFunctionIds>
        <we:customFunctionIds>_xldudf_MXLS_QM_STREAM_LOW</we:customFunctionIds>
        <we:customFunctionIds>_xldudf_MXLS_QM_STREAM_OPEN</we:customFunctionIds>
        <we:customFunctionIds>_xldudf_MXLS_QM_STREAM_PERCENTAGECHANGE</we:customFunctionIds>
        <we:customFunctionIds>_xldudf_MXLS_QM_STREAM_PREVIOUSCLOSE</we:customFunctionIds>
        <we:customFunctionIds>_xldudf_MXLS_QM_STREAM_TRADECOUNT</we:customFunctionIds>
        <we:customFunctionIds>_xldudf_MXLS_QM_STREAM_TWAP</we:customFunctionIds>
        <we:customFunctionIds>_xldudf_MXLS_QM_STREAM_VWAP</we:customFunctionIds>
        <we:customFunctionIds>_xldudf_MXLS_QM_STREAM_PREMARKETTRADETIME</we:customFunctionIds>
        <we:customFunctionIds>_xldudf_MXLS_QM_STREAM_PREMARKETLAST</we:customFunctionIds>
        <we:customFunctionIds>_xldudf_MXLS_QM_STREAM_PREMARKETVOLUME</we:customFunctionIds>
        <we:customFunctionIds>_xldudf_MXLS_QM_STREAM_PREMARKETCHANGE</we:customFunctionIds>
        <we:customFunctionIds>_xldudf_MXLS_QM_STREAM_PREMARKETPERCENTCHANGE</we:customFunctionIds>
        <we:customFunctionIds>_xldudf_MXLS_QM_STREAM_POSTMARKETLASTTRADETIME</we:customFunctionIds>
        <we:customFunctionIds>_xldudf_MXLS_QM_STREAM_POSTMARKETLAST</we:customFunctionIds>
        <we:customFunctionIds>_xldudf_MXLS_QM_STREAM_POSTMARKETVOLUME</we:customFunctionIds>
        <we:customFunctionIds>_xldudf_MXLS_QM_STREAM_POSTMARKETCHANGE</we:customFunctionIds>
        <we:customFunctionIds>_xldudf_MXLS_QM_STREAM_POSTMARKETPERCENTCHANGE</we:customFunctionIds>
        <we:customFunctionIds>_xldudf_MXLS_QM_STREAM_LASTTRADEEXCODE</we:customFunctionIds>
        <we:customFunctionIds>_xldudf_MXLS_QM_STREAM_ASK</we:customFunctionIds>
        <we:customFunctionIds>_xldudf_MXLS_QM_STREAM_ASKSIZE</we:customFunctionIds>
        <we:customFunctionIds>_xldudf_MXLS_QM_STREAM_BID</we:customFunctionIds>
        <we:customFunctionIds>_xldudf_MXLS_QM_STREAM_BIDSIZE</we:customFunctionIds>
        <we:customFunctionIds>_xldudf_MXLS_QM_STREAM_EXCODE</we:customFunctionIds>
        <we:customFunctionIds>_xldudf_MXLS_QM_STREAM_INSTRUMENTTYPE</we:customFunctionIds>
        <we:customFunctionIds>_xldudf_MXLS_QM_STREAM_CURRENCYID</we:customFunctionIds>
        <we:customFunctionIds>_xldudf_MXLS_QM_STREAM_TRADEVALUE</we:customFunctionIds>
        <we:customFunctionIds>_xldudf_MXLS_QM_STREAM_VOLUME</we:customFunctionIds>
        <we:customFunctionIds>_xldudf_MXLS_QM_STREAM_DELTA</we:customFunctionIds>
        <we:customFunctionIds>_xldudf_MXLS_QM_STREAM_GAMMA</we:customFunctionIds>
        <we:customFunctionIds>_xldudf_MXLS_QM_STREAM_VEGA</we:customFunctionIds>
        <we:customFunctionIds>_xldudf_MXLS_QM_STREAM_RHO</we:customFunctionIds>
        <we:customFunctionIds>_xldudf_MXLS_QM_STREAM_THETA</we:customFunctionIds>
        <we:customFunctionIds>_xldudf_MXLS_QM_STREAM_IMPLIEDVOLATILITY</we:customFunctionIds>
        <we:customFunctionIds>_xldudf_MXLS_QM_STREAM_IMPLIEDVOLATILITYCHANGE</we:customFunctionIds>
        <we:customFunctionIds>_xldudf_MXLS_QM_STREAM_BIDIMPLIEDVOLATILITY</we:customFunctionIds>
        <we:customFunctionIds>_xldudf_MXLS_QM_STREAM_ASKIMPLIEDVOLATILITY</we:customFunctionIds>
        <we:customFunctionIds>_xldudf_MXLS_QM_STREAM_MARK</we:customFunctionIds>
        <we:customFunctionIds>_xldudf_MXLS_QM_STREAM_INTRINSICVALUE</we:customFunctionIds>
        <we:customFunctionIds>_xldudf_MXLS_QM_STREAM_EXTRINSICVALUE</we:customFunctionIds>
        <we:customFunctionIds>_xldudf_MXLS_QM_STREAM_PREVIOUSMARK</we:customFunctionIds>
        <we:customFunctionIds>_xldudf_MXLS_QM_STREAM_MARKCHANGE</we:customFunctionIds>
        <we:customFunctionIds>_xldudf_MXLS_QM_STREAM_MARKCHANGEPERCENT</we:customFunctionIds>
        <we:customFunctionIds>_xldudf_MXLS_QM_STREAM_OPENINTEREST</we:customFunctionIds>
        <we:customFunctionIds>_xldudf_MXLS_OPT_UNUSUALOPTIONVOLSCANEOD</we:customFunctionIds>
        <we:customFunctionIds>_xldudf_MXLS_OPT_UNUSUALOPTIONOISCANEOD</we:customFunctionIds>
        <we:customFunctionIds>_xldudf_MXLS_OPT_UNUSUALOPTIONVOLOISCANEOD</we:customFunctionIds>
        <we:customFunctionIds>_xldudf_MXLS_OPT_UNUSUALSTOCKOPTIONSACTIVITY</we:customFunctionIds>
        <we:customFunctionIds>_xldudf_MXLS_OPT_OPTIONSCHANGEINOILEADERS</we:customFunctionIds>
        <we:customFunctionIds>_xldudf_MXLS_OPT_OPTIONSCHANGEINVOLUMELEADERS</we:customFunctionIds>
        <we:customFunctionIds>_xldudf_MXLS_OPT_OPTIONSVOLUMELEADERS</we:customFunctionIds>
        <we:customFunctionIds>_xldudf_MXLS_OPT_OPTIONSOILEADERS</we:customFunctionIds>
        <we:customFunctionIds>_xldudf_MXLS_PORTFOLIOEFFICIENTFRONTIERCHART</we:customFunctionIds>
        <we:customFunctionIds>_xldudf_MXLS_SORTINORATIO</we:customFunctionIds>
        <we:customFunctionIds>_xldudf_MXLS_SHARPERATIO</we:customFunctionIds>
        <we:customFunctionIds>_xldudf_MXLS_MEANRETURNS</we:customFunctionIds>
        <we:customFunctionIds>_xldudf_MXLS_VALUEATRISK</we:customFunctionIds>
        <we:customFunctionIds>_xldudf_MXLS_PORTFOLIOBETA</we:customFunctionIds>
        <we:customFunctionIds>_xldudf_MXLS_POSITIVEPERIODS</we:customFunctionIds>
        <we:customFunctionIds>_xldudf_MXLS_MAXIMUMDRAWDOWNS</we:customFunctionIds>
        <we:customFunctionIds>_xldudf_MXLS_CAGR</we:customFunctionIds>
        <we:customFunctionIds>_xldudf_MXLS_WEALTHINDEX</we:customFunctionIds>
        <we:customFunctionIds>_xldudf_MXLS_PORTFOLIOEFFICIENTFRONTIERDATA</we:customFunctionIds>
        <we:customFunctionIds>_xldudf_MXLS_DRAWDOWNS</we:customFunctionIds>
        <we:customFunctionIds>_xldudf_MXLS_MONTHLYRETURNS</we:customFunctionIds>
        <we:customFunctionIds>_xldudf_MXLS_AIPORTFOLIOOPTIMIZE</we:customFunctionIds>
        <we:customFunctionIds>_xldudf_MXLS_AIPORTFOLIOPREDICTRETURNS</we:customFunctionIds>
        <we:customFunctionIds>_xldudf_MXLS_TREYNORRATIO</we:customFunctionIds>
        <we:customFunctionIds>_xldudf_MXLS_SKEWNESS</we:customFunctionIds>
        <we:customFunctionIds>_xldudf_MXLS_KURTOSIS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EF15F-3B10-4074-8E07-57CDC042DA59}">
  <dimension ref="AF1:AF2"/>
  <sheetViews>
    <sheetView showGridLines="0" tabSelected="1" zoomScale="40" zoomScaleNormal="40" workbookViewId="0">
      <selection activeCell="S6" sqref="S6"/>
    </sheetView>
  </sheetViews>
  <sheetFormatPr defaultRowHeight="14.5" x14ac:dyDescent="0.35"/>
  <sheetData>
    <row r="1" spans="32:32" ht="15" thickBot="1" x14ac:dyDescent="0.4"/>
    <row r="2" spans="32:32" ht="15" thickBot="1" x14ac:dyDescent="0.4">
      <c r="AF2" s="15"/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E8BCA0F2-AB8B-4B9B-82CF-8022D9AC7619}">
          <xm:f>#REF!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F843B-6D8F-4C8D-B68A-27A4545F9608}">
  <dimension ref="A1:AC32"/>
  <sheetViews>
    <sheetView topLeftCell="N1" zoomScale="77" workbookViewId="0">
      <selection activeCell="Y17" sqref="Y17"/>
    </sheetView>
  </sheetViews>
  <sheetFormatPr defaultRowHeight="14.5" x14ac:dyDescent="0.35"/>
  <cols>
    <col min="1" max="1" width="12.08984375" style="2" bestFit="1" customWidth="1"/>
    <col min="2" max="2" width="11.7265625" style="2" bestFit="1" customWidth="1"/>
    <col min="3" max="3" width="16.36328125" bestFit="1" customWidth="1"/>
    <col min="4" max="4" width="12.453125" bestFit="1" customWidth="1"/>
    <col min="5" max="5" width="16.6328125" bestFit="1" customWidth="1"/>
    <col min="6" max="6" width="14.453125" customWidth="1"/>
    <col min="7" max="7" width="12" bestFit="1" customWidth="1"/>
    <col min="8" max="8" width="15.36328125" bestFit="1" customWidth="1"/>
    <col min="9" max="9" width="19.453125" bestFit="1" customWidth="1"/>
    <col min="10" max="10" width="17.26953125" bestFit="1" customWidth="1"/>
    <col min="11" max="11" width="20.08984375" bestFit="1" customWidth="1"/>
    <col min="12" max="12" width="30.6328125" bestFit="1" customWidth="1"/>
    <col min="13" max="13" width="19.08984375" bestFit="1" customWidth="1"/>
    <col min="14" max="14" width="22.36328125" bestFit="1" customWidth="1"/>
    <col min="15" max="15" width="19" bestFit="1" customWidth="1"/>
    <col min="16" max="16" width="12" bestFit="1" customWidth="1"/>
    <col min="17" max="17" width="14.90625" bestFit="1" customWidth="1"/>
    <col min="18" max="18" width="20" bestFit="1" customWidth="1"/>
    <col min="19" max="19" width="13" bestFit="1" customWidth="1"/>
    <col min="21" max="21" width="24.08984375" customWidth="1"/>
    <col min="22" max="22" width="13.36328125" customWidth="1"/>
    <col min="23" max="23" width="10" customWidth="1"/>
    <col min="24" max="24" width="8.7265625" customWidth="1"/>
    <col min="25" max="25" width="13.36328125" customWidth="1"/>
    <col min="26" max="27" width="8.7265625" customWidth="1"/>
    <col min="28" max="28" width="10.54296875" customWidth="1"/>
    <col min="29" max="29" width="16.08984375" customWidth="1"/>
    <col min="30" max="30" width="8.7265625" customWidth="1"/>
  </cols>
  <sheetData>
    <row r="1" spans="1:29" ht="15" thickBot="1" x14ac:dyDescent="0.4">
      <c r="A1" s="16" t="s">
        <v>74</v>
      </c>
      <c r="B1" s="16" t="s">
        <v>75</v>
      </c>
      <c r="C1" s="6" t="s">
        <v>0</v>
      </c>
      <c r="D1" s="7" t="s">
        <v>1</v>
      </c>
      <c r="E1" s="7" t="s">
        <v>2</v>
      </c>
      <c r="F1" s="7" t="s">
        <v>3</v>
      </c>
      <c r="G1" s="7" t="s">
        <v>5</v>
      </c>
      <c r="H1" s="7" t="s">
        <v>7</v>
      </c>
      <c r="I1" s="7" t="s">
        <v>22</v>
      </c>
      <c r="J1" s="7" t="s">
        <v>4</v>
      </c>
      <c r="K1" s="7" t="s">
        <v>26</v>
      </c>
      <c r="L1" s="7" t="s">
        <v>25</v>
      </c>
      <c r="M1" s="7" t="s">
        <v>37</v>
      </c>
      <c r="N1" s="4" t="s">
        <v>39</v>
      </c>
      <c r="O1" s="7" t="s">
        <v>40</v>
      </c>
      <c r="P1" s="7" t="s">
        <v>41</v>
      </c>
      <c r="Q1" s="7" t="s">
        <v>46</v>
      </c>
      <c r="R1" s="7" t="s">
        <v>76</v>
      </c>
      <c r="S1" s="7" t="s">
        <v>66</v>
      </c>
    </row>
    <row r="2" spans="1:29" x14ac:dyDescent="0.35">
      <c r="A2" s="2">
        <v>45306</v>
      </c>
      <c r="B2" s="2">
        <v>45330</v>
      </c>
      <c r="C2" t="s">
        <v>6</v>
      </c>
      <c r="D2" t="s">
        <v>44</v>
      </c>
      <c r="E2" t="s">
        <v>27</v>
      </c>
      <c r="F2" t="str">
        <f>IF(ISBLANK(Table1[[#This Row],[Exit Price]]),"Open Order","Booked Order")</f>
        <v>Open Order</v>
      </c>
      <c r="G2">
        <v>100</v>
      </c>
      <c r="H2">
        <v>170</v>
      </c>
      <c r="J2">
        <v>176</v>
      </c>
      <c r="K2" s="9">
        <f>IF(ISNUMBER(I2), (I2-H2)/I2, (J2-H2)/J2)</f>
        <v>3.4090909090909088E-2</v>
      </c>
      <c r="L2" s="9">
        <f>IF(J2&lt;&gt;"",(J2-H2)/J2,"Booked")</f>
        <v>3.4090909090909088E-2</v>
      </c>
      <c r="M2" s="9">
        <f>Table1[[#This Row],[Open Investment]]/$V$6</f>
        <v>0.10114425181700476</v>
      </c>
      <c r="N2" t="s">
        <v>48</v>
      </c>
      <c r="O2">
        <f>Table1[[#This Row],[avg. Price]]*Table1[[#This Row],[shares]]</f>
        <v>17000</v>
      </c>
      <c r="P2">
        <f>IF(Table1[[#This Row],[Exit Price]]*Table1[[#This Row],[shares]]-Table1[[#This Row],[Invested Amount]]&lt;0,Table1[[#This Row],[Current Price]]*Table1[[#This Row],[shares]]-Table1[[#This Row],[Invested Amount]],Table1[[#This Row],[Exit Price]]*Table1[[#This Row],[shares]]-Table1[[#This Row],[Invested Amount]])</f>
        <v>600</v>
      </c>
      <c r="Q2" s="10">
        <f>Table1[[#This Row],[shares]]*Table1[[#This Row],[Current Price]]</f>
        <v>17600</v>
      </c>
      <c r="R2" s="10">
        <f>_xlfn.DAYS(Table1[[#This Row],[Exit Date]],Table1[[#This Row],[Entry Date]])</f>
        <v>24</v>
      </c>
      <c r="S2" s="10" t="str">
        <f>IF(Table1[[#This Row],[Total returns]]&gt;0,"PROFIT","LOSS")</f>
        <v>PROFIT</v>
      </c>
    </row>
    <row r="3" spans="1:29" x14ac:dyDescent="0.35">
      <c r="A3" s="2">
        <v>45307</v>
      </c>
      <c r="B3" s="2">
        <v>45331</v>
      </c>
      <c r="C3" t="s">
        <v>11</v>
      </c>
      <c r="D3" t="s">
        <v>43</v>
      </c>
      <c r="E3" t="s">
        <v>28</v>
      </c>
      <c r="F3" t="str">
        <f>IF(ISBLANK(Table1[[#This Row],[Exit Price]]),"Open Order","Booked Order")</f>
        <v>Booked Order</v>
      </c>
      <c r="G3">
        <v>50</v>
      </c>
      <c r="H3">
        <v>132.19999999999999</v>
      </c>
      <c r="I3">
        <v>143</v>
      </c>
      <c r="K3" s="9">
        <f>IF(ISNUMBER(I3), (I3-H3)/I3, (J3-H3)/J3)</f>
        <v>7.5524475524475609E-2</v>
      </c>
      <c r="L3" s="9" t="str">
        <f>IF(J3&lt;&gt;"",(J3-H3)/J3,"Booked")</f>
        <v>Booked</v>
      </c>
      <c r="M3" s="9">
        <f>Table1[[#This Row],[Open Investment]]/$V$6</f>
        <v>0</v>
      </c>
      <c r="N3" t="s">
        <v>49</v>
      </c>
      <c r="O3">
        <f>Table1[[#This Row],[avg. Price]]*Table1[[#This Row],[shares]]</f>
        <v>6609.9999999999991</v>
      </c>
      <c r="P3">
        <f>IF(Table1[[#This Row],[Exit Price]]*Table1[[#This Row],[shares]]-Table1[[#This Row],[Invested Amount]]&lt;0,Table1[[#This Row],[Current Price]]*Table1[[#This Row],[shares]]-Table1[[#This Row],[Invested Amount]],Table1[[#This Row],[Exit Price]]*Table1[[#This Row],[shares]]-Table1[[#This Row],[Invested Amount]])</f>
        <v>540.00000000000091</v>
      </c>
      <c r="Q3" s="10">
        <f>Table1[[#This Row],[shares]]*Table1[[#This Row],[Current Price]]</f>
        <v>0</v>
      </c>
      <c r="R3" s="10">
        <f>_xlfn.DAYS(Table1[[#This Row],[Exit Date]],Table1[[#This Row],[Entry Date]])</f>
        <v>24</v>
      </c>
      <c r="S3" s="10" t="str">
        <f>IF(Table1[[#This Row],[Total returns]]&gt;0,"PROFIT","LOSS")</f>
        <v>PROFIT</v>
      </c>
    </row>
    <row r="4" spans="1:29" ht="15" thickBot="1" x14ac:dyDescent="0.4">
      <c r="A4" s="2">
        <v>45308</v>
      </c>
      <c r="B4" s="2">
        <v>45332</v>
      </c>
      <c r="C4" t="s">
        <v>24</v>
      </c>
      <c r="D4" t="s">
        <v>44</v>
      </c>
      <c r="E4" t="s">
        <v>29</v>
      </c>
      <c r="F4" t="str">
        <f>IF(ISBLANK(Table1[[#This Row],[Exit Price]]),"Open Order","Booked Order")</f>
        <v>Booked Order</v>
      </c>
      <c r="G4">
        <v>10</v>
      </c>
      <c r="H4">
        <v>292.39999999999998</v>
      </c>
      <c r="I4">
        <v>330</v>
      </c>
      <c r="K4" s="9">
        <f>IF(ISNUMBER(I4), (I4-H4)/I4, (J4-H4)/J4)</f>
        <v>0.11393939393939401</v>
      </c>
      <c r="L4" s="9" t="str">
        <f>IF(J4&lt;&gt;"",(J4-H4)/J4,"Booked")</f>
        <v>Booked</v>
      </c>
      <c r="M4" s="9">
        <f>Table1[[#This Row],[Open Investment]]/$V$6</f>
        <v>0</v>
      </c>
      <c r="N4" t="s">
        <v>50</v>
      </c>
      <c r="O4">
        <f>Table1[[#This Row],[avg. Price]]*Table1[[#This Row],[shares]]</f>
        <v>2924</v>
      </c>
      <c r="P4">
        <f>IF(Table1[[#This Row],[Exit Price]]*Table1[[#This Row],[shares]]-Table1[[#This Row],[Invested Amount]]&lt;0,Table1[[#This Row],[Current Price]]*Table1[[#This Row],[shares]]-Table1[[#This Row],[Invested Amount]],Table1[[#This Row],[Exit Price]]*Table1[[#This Row],[shares]]-Table1[[#This Row],[Invested Amount]])</f>
        <v>376</v>
      </c>
      <c r="Q4" s="10">
        <f>Table1[[#This Row],[shares]]*Table1[[#This Row],[Current Price]]</f>
        <v>0</v>
      </c>
      <c r="R4" s="10">
        <f>_xlfn.DAYS(Table1[[#This Row],[Exit Date]],Table1[[#This Row],[Entry Date]])</f>
        <v>24</v>
      </c>
      <c r="S4" s="10" t="str">
        <f>IF(Table1[[#This Row],[Total returns]]&gt;0,"PROFIT","LOSS")</f>
        <v>PROFIT</v>
      </c>
    </row>
    <row r="5" spans="1:29" ht="15" thickBot="1" x14ac:dyDescent="0.4">
      <c r="A5" s="2">
        <v>45309</v>
      </c>
      <c r="B5" s="2">
        <v>45333</v>
      </c>
      <c r="C5" t="s">
        <v>16</v>
      </c>
      <c r="D5" t="s">
        <v>42</v>
      </c>
      <c r="E5" t="s">
        <v>30</v>
      </c>
      <c r="F5" t="str">
        <f>IF(ISBLANK(Table1[[#This Row],[Exit Price]]),"Open Order","Booked Order")</f>
        <v>Open Order</v>
      </c>
      <c r="G5">
        <v>20</v>
      </c>
      <c r="H5">
        <v>60.95</v>
      </c>
      <c r="J5">
        <v>68</v>
      </c>
      <c r="K5" s="9">
        <f>IF(ISNUMBER(I5), (I5-H5)/I5, (J5-H5)/J5)</f>
        <v>0.10367647058823526</v>
      </c>
      <c r="L5" s="9">
        <f>IF(J5&lt;&gt;"",(J5-H5)/J5,"Booked")</f>
        <v>0.10367647058823526</v>
      </c>
      <c r="M5" s="9">
        <f>Table1[[#This Row],[Open Investment]]/$V$6</f>
        <v>7.8156921858594589E-3</v>
      </c>
      <c r="N5" t="s">
        <v>51</v>
      </c>
      <c r="O5">
        <f>Table1[[#This Row],[avg. Price]]*Table1[[#This Row],[shares]]</f>
        <v>1219</v>
      </c>
      <c r="P5">
        <f>IF(Table1[[#This Row],[Exit Price]]*Table1[[#This Row],[shares]]-Table1[[#This Row],[Invested Amount]]&lt;0,Table1[[#This Row],[Current Price]]*Table1[[#This Row],[shares]]-Table1[[#This Row],[Invested Amount]],Table1[[#This Row],[Exit Price]]*Table1[[#This Row],[shares]]-Table1[[#This Row],[Invested Amount]])</f>
        <v>141</v>
      </c>
      <c r="Q5" s="10">
        <f>Table1[[#This Row],[shares]]*Table1[[#This Row],[Current Price]]</f>
        <v>1360</v>
      </c>
      <c r="R5" s="10">
        <f>_xlfn.DAYS(Table1[[#This Row],[Exit Date]],Table1[[#This Row],[Entry Date]])</f>
        <v>24</v>
      </c>
      <c r="S5" s="10" t="str">
        <f>IF(Table1[[#This Row],[Total returns]]&gt;0,"PROFIT","LOSS")</f>
        <v>PROFIT</v>
      </c>
      <c r="U5" s="3" t="s">
        <v>38</v>
      </c>
      <c r="V5" s="13">
        <f>SUM(Table1[Invested Amount])</f>
        <v>300779.58</v>
      </c>
      <c r="AB5" t="s">
        <v>44</v>
      </c>
      <c r="AC5">
        <f>COUNTIF(D:D,"Mid Cap")</f>
        <v>5</v>
      </c>
    </row>
    <row r="6" spans="1:29" ht="15" thickBot="1" x14ac:dyDescent="0.4">
      <c r="A6" s="2">
        <v>45310</v>
      </c>
      <c r="B6" s="2">
        <v>45334</v>
      </c>
      <c r="C6" t="s">
        <v>15</v>
      </c>
      <c r="D6" t="s">
        <v>43</v>
      </c>
      <c r="E6" t="s">
        <v>28</v>
      </c>
      <c r="F6" t="str">
        <f>IF(ISBLANK(Table1[[#This Row],[Exit Price]]),"Open Order","Booked Order")</f>
        <v>Open Order</v>
      </c>
      <c r="G6">
        <v>40</v>
      </c>
      <c r="H6">
        <v>1490</v>
      </c>
      <c r="J6">
        <v>1400</v>
      </c>
      <c r="K6" s="9">
        <f>IF(ISNUMBER(I6), (I6-H6)/I6, (J6-H6)/J6)</f>
        <v>-6.4285714285714279E-2</v>
      </c>
      <c r="L6" s="9">
        <f>IF(J6&lt;&gt;"",(J6-H6)/J6,"Booked")</f>
        <v>-6.4285714285714279E-2</v>
      </c>
      <c r="M6" s="9">
        <f>Table1[[#This Row],[Open Investment]]/$V$6</f>
        <v>0.32182261941774243</v>
      </c>
      <c r="N6" t="s">
        <v>50</v>
      </c>
      <c r="O6">
        <f>Table1[[#This Row],[avg. Price]]*Table1[[#This Row],[shares]]</f>
        <v>59600</v>
      </c>
      <c r="P6">
        <f>IF(Table1[[#This Row],[Exit Price]]*Table1[[#This Row],[shares]]-Table1[[#This Row],[Invested Amount]]&lt;0,Table1[[#This Row],[Current Price]]*Table1[[#This Row],[shares]]-Table1[[#This Row],[Invested Amount]],Table1[[#This Row],[Exit Price]]*Table1[[#This Row],[shares]]-Table1[[#This Row],[Invested Amount]])</f>
        <v>-3600</v>
      </c>
      <c r="Q6" s="10">
        <f>Table1[[#This Row],[shares]]*Table1[[#This Row],[Current Price]]</f>
        <v>56000</v>
      </c>
      <c r="R6" s="10">
        <f>_xlfn.DAYS(Table1[[#This Row],[Exit Date]],Table1[[#This Row],[Entry Date]])</f>
        <v>24</v>
      </c>
      <c r="S6" s="10" t="str">
        <f>IF(Table1[[#This Row],[Total returns]]&gt;0,"PROFIT","LOSS")</f>
        <v>LOSS</v>
      </c>
      <c r="U6" s="3" t="s">
        <v>47</v>
      </c>
      <c r="V6" s="13">
        <f>SUM(Table1[Open Investment])</f>
        <v>174008.9</v>
      </c>
      <c r="AB6" t="s">
        <v>42</v>
      </c>
      <c r="AC6">
        <f>COUNTIF(D:D,"Small Cap")</f>
        <v>5</v>
      </c>
    </row>
    <row r="7" spans="1:29" ht="15" thickBot="1" x14ac:dyDescent="0.4">
      <c r="A7" s="2">
        <v>45311</v>
      </c>
      <c r="B7" s="2">
        <v>45335</v>
      </c>
      <c r="C7" t="s">
        <v>20</v>
      </c>
      <c r="D7" t="s">
        <v>43</v>
      </c>
      <c r="E7" t="s">
        <v>31</v>
      </c>
      <c r="F7" t="str">
        <f>IF(ISBLANK(Table1[[#This Row],[Exit Price]]),"Open Order","Booked Order")</f>
        <v>Booked Order</v>
      </c>
      <c r="G7">
        <v>150</v>
      </c>
      <c r="H7">
        <v>34.700000000000003</v>
      </c>
      <c r="I7">
        <v>40</v>
      </c>
      <c r="K7" s="9">
        <f>IF(ISNUMBER(I7), (I7-H7)/I7, (J7-H7)/J7)</f>
        <v>0.13249999999999992</v>
      </c>
      <c r="L7" s="9" t="str">
        <f>IF(J7&lt;&gt;"",(J7-H7)/J7,"Booked")</f>
        <v>Booked</v>
      </c>
      <c r="M7" s="9">
        <f>Table1[[#This Row],[Open Investment]]/$V$6</f>
        <v>0</v>
      </c>
      <c r="N7" t="s">
        <v>49</v>
      </c>
      <c r="O7">
        <f>Table1[[#This Row],[avg. Price]]*Table1[[#This Row],[shares]]</f>
        <v>5205</v>
      </c>
      <c r="P7">
        <f>IF(Table1[[#This Row],[Exit Price]]*Table1[[#This Row],[shares]]-Table1[[#This Row],[Invested Amount]]&lt;0,Table1[[#This Row],[Current Price]]*Table1[[#This Row],[shares]]-Table1[[#This Row],[Invested Amount]],Table1[[#This Row],[Exit Price]]*Table1[[#This Row],[shares]]-Table1[[#This Row],[Invested Amount]])</f>
        <v>795</v>
      </c>
      <c r="Q7" s="10">
        <f>Table1[[#This Row],[shares]]*Table1[[#This Row],[Current Price]]</f>
        <v>0</v>
      </c>
      <c r="R7" s="10">
        <f>_xlfn.DAYS(Table1[[#This Row],[Exit Date]],Table1[[#This Row],[Entry Date]])</f>
        <v>24</v>
      </c>
      <c r="S7" s="10" t="str">
        <f>IF(Table1[[#This Row],[Total returns]]&gt;0,"PROFIT","LOSS")</f>
        <v>PROFIT</v>
      </c>
      <c r="U7" s="3" t="s">
        <v>60</v>
      </c>
      <c r="V7" s="13">
        <f>SUM(P:P)</f>
        <v>38367.47</v>
      </c>
      <c r="AB7" t="s">
        <v>43</v>
      </c>
      <c r="AC7">
        <f>COUNTIF(D:D,"Large Cap")</f>
        <v>9</v>
      </c>
    </row>
    <row r="8" spans="1:29" ht="15" thickBot="1" x14ac:dyDescent="0.4">
      <c r="A8" s="2">
        <v>45312</v>
      </c>
      <c r="B8" s="2">
        <v>45336</v>
      </c>
      <c r="C8" t="s">
        <v>18</v>
      </c>
      <c r="D8" t="s">
        <v>43</v>
      </c>
      <c r="E8" t="s">
        <v>32</v>
      </c>
      <c r="F8" t="str">
        <f>IF(ISBLANK(Table1[[#This Row],[Exit Price]]),"Open Order","Booked Order")</f>
        <v>Booked Order</v>
      </c>
      <c r="G8">
        <v>100</v>
      </c>
      <c r="H8">
        <v>157.80000000000001</v>
      </c>
      <c r="I8">
        <v>204.05</v>
      </c>
      <c r="K8" s="9">
        <f>IF(ISNUMBER(I8), (I8-H8)/I8, (J8-H8)/J8)</f>
        <v>0.22666013232050966</v>
      </c>
      <c r="L8" s="9" t="str">
        <f>IF(J8&lt;&gt;"",(J8-H8)/J8,"Booked")</f>
        <v>Booked</v>
      </c>
      <c r="M8" s="9">
        <f>Table1[[#This Row],[Open Investment]]/$V$6</f>
        <v>0</v>
      </c>
      <c r="N8" t="s">
        <v>52</v>
      </c>
      <c r="O8">
        <f>Table1[[#This Row],[avg. Price]]*Table1[[#This Row],[shares]]</f>
        <v>15780.000000000002</v>
      </c>
      <c r="P8">
        <f>IF(Table1[[#This Row],[Exit Price]]*Table1[[#This Row],[shares]]-Table1[[#This Row],[Invested Amount]]&lt;0,Table1[[#This Row],[Current Price]]*Table1[[#This Row],[shares]]-Table1[[#This Row],[Invested Amount]],Table1[[#This Row],[Exit Price]]*Table1[[#This Row],[shares]]-Table1[[#This Row],[Invested Amount]])</f>
        <v>4624.9999999999982</v>
      </c>
      <c r="Q8" s="10">
        <f>Table1[[#This Row],[shares]]*Table1[[#This Row],[Current Price]]</f>
        <v>0</v>
      </c>
      <c r="R8" s="10">
        <f>_xlfn.DAYS(Table1[[#This Row],[Exit Date]],Table1[[#This Row],[Entry Date]])</f>
        <v>24</v>
      </c>
      <c r="S8" s="10" t="str">
        <f>IF(Table1[[#This Row],[Total returns]]&gt;0,"PROFIT","LOSS")</f>
        <v>PROFIT</v>
      </c>
      <c r="U8" s="3" t="s">
        <v>61</v>
      </c>
      <c r="V8" s="13">
        <f>SUMIF(P:P,"&gt;0",P:P)</f>
        <v>58855.45</v>
      </c>
    </row>
    <row r="9" spans="1:29" ht="15" thickBot="1" x14ac:dyDescent="0.4">
      <c r="A9" s="2">
        <v>45313</v>
      </c>
      <c r="B9" s="2">
        <v>45337</v>
      </c>
      <c r="C9" t="s">
        <v>9</v>
      </c>
      <c r="D9" t="s">
        <v>43</v>
      </c>
      <c r="E9" t="s">
        <v>32</v>
      </c>
      <c r="F9" t="str">
        <f>IF(ISBLANK(Table1[[#This Row],[Exit Price]]),"Open Order","Booked Order")</f>
        <v>Booked Order</v>
      </c>
      <c r="G9">
        <v>200</v>
      </c>
      <c r="H9">
        <v>75.2</v>
      </c>
      <c r="I9">
        <v>174</v>
      </c>
      <c r="K9" s="9">
        <f>IF(ISNUMBER(I9), (I9-H9)/I9, (J9-H9)/J9)</f>
        <v>0.56781609195402294</v>
      </c>
      <c r="L9" s="9" t="str">
        <f>IF(J9&lt;&gt;"",(J9-H9)/J9,"Booked")</f>
        <v>Booked</v>
      </c>
      <c r="M9" s="9">
        <f>Table1[[#This Row],[Open Investment]]/$V$6</f>
        <v>0</v>
      </c>
      <c r="N9" t="s">
        <v>51</v>
      </c>
      <c r="O9">
        <f>Table1[[#This Row],[avg. Price]]*Table1[[#This Row],[shares]]</f>
        <v>15040</v>
      </c>
      <c r="P9">
        <f>IF(Table1[[#This Row],[Exit Price]]*Table1[[#This Row],[shares]]-Table1[[#This Row],[Invested Amount]]&lt;0,Table1[[#This Row],[Current Price]]*Table1[[#This Row],[shares]]-Table1[[#This Row],[Invested Amount]],Table1[[#This Row],[Exit Price]]*Table1[[#This Row],[shares]]-Table1[[#This Row],[Invested Amount]])</f>
        <v>19760</v>
      </c>
      <c r="Q9" s="10">
        <f>Table1[[#This Row],[shares]]*Table1[[#This Row],[Current Price]]</f>
        <v>0</v>
      </c>
      <c r="R9" s="10">
        <f>_xlfn.DAYS(Table1[[#This Row],[Exit Date]],Table1[[#This Row],[Entry Date]])</f>
        <v>24</v>
      </c>
      <c r="S9" s="10" t="str">
        <f>IF(Table1[[#This Row],[Total returns]]&gt;0,"PROFIT","LOSS")</f>
        <v>PROFIT</v>
      </c>
      <c r="U9" s="3" t="s">
        <v>62</v>
      </c>
      <c r="V9" s="13">
        <f>SUMIF(P:P,"&lt;0",P:P)</f>
        <v>-20487.979999999996</v>
      </c>
      <c r="AB9" t="s">
        <v>63</v>
      </c>
      <c r="AC9">
        <f>COUNTIF(F:F,"Open Order")</f>
        <v>10</v>
      </c>
    </row>
    <row r="10" spans="1:29" x14ac:dyDescent="0.35">
      <c r="A10" s="2">
        <v>45314</v>
      </c>
      <c r="B10" s="2">
        <v>45338</v>
      </c>
      <c r="C10" t="s">
        <v>19</v>
      </c>
      <c r="D10" t="s">
        <v>44</v>
      </c>
      <c r="E10" t="s">
        <v>30</v>
      </c>
      <c r="F10" t="str">
        <f>IF(ISBLANK(Table1[[#This Row],[Exit Price]]),"Open Order","Booked Order")</f>
        <v>Open Order</v>
      </c>
      <c r="G10">
        <v>80</v>
      </c>
      <c r="H10">
        <v>508.06</v>
      </c>
      <c r="J10">
        <v>396</v>
      </c>
      <c r="K10" s="9">
        <f>IF(ISNUMBER(I10), (I10-H10)/I10, (J10-H10)/J10)</f>
        <v>-0.282979797979798</v>
      </c>
      <c r="L10" s="9">
        <f>IF(J10&lt;&gt;"",(J10-H10)/J10,"Booked")</f>
        <v>-0.282979797979798</v>
      </c>
      <c r="M10" s="9">
        <f>Table1[[#This Row],[Open Investment]]/$V$6</f>
        <v>0.18205965327060858</v>
      </c>
      <c r="N10" t="s">
        <v>50</v>
      </c>
      <c r="O10">
        <f>Table1[[#This Row],[avg. Price]]*Table1[[#This Row],[shares]]</f>
        <v>40644.800000000003</v>
      </c>
      <c r="P10">
        <f>IF(Table1[[#This Row],[Exit Price]]*Table1[[#This Row],[shares]]-Table1[[#This Row],[Invested Amount]]&lt;0,Table1[[#This Row],[Current Price]]*Table1[[#This Row],[shares]]-Table1[[#This Row],[Invested Amount]],Table1[[#This Row],[Exit Price]]*Table1[[#This Row],[shares]]-Table1[[#This Row],[Invested Amount]])</f>
        <v>-8964.8000000000029</v>
      </c>
      <c r="Q10" s="10">
        <f>Table1[[#This Row],[shares]]*Table1[[#This Row],[Current Price]]</f>
        <v>31680</v>
      </c>
      <c r="R10" s="10">
        <f>_xlfn.DAYS(Table1[[#This Row],[Exit Date]],Table1[[#This Row],[Entry Date]])</f>
        <v>24</v>
      </c>
      <c r="S10" s="10" t="str">
        <f>IF(Table1[[#This Row],[Total returns]]&gt;0,"PROFIT","LOSS")</f>
        <v>LOSS</v>
      </c>
      <c r="V10" s="14"/>
      <c r="AB10" t="s">
        <v>64</v>
      </c>
      <c r="AC10">
        <f>COUNTIF(F:F,"Booked Order")</f>
        <v>9</v>
      </c>
    </row>
    <row r="11" spans="1:29" x14ac:dyDescent="0.35">
      <c r="A11" s="2">
        <v>45315</v>
      </c>
      <c r="B11" s="2">
        <v>45339</v>
      </c>
      <c r="C11" t="s">
        <v>10</v>
      </c>
      <c r="D11" t="s">
        <v>42</v>
      </c>
      <c r="E11" t="s">
        <v>33</v>
      </c>
      <c r="F11" t="str">
        <f>IF(ISBLANK(Table1[[#This Row],[Exit Price]]),"Open Order","Booked Order")</f>
        <v>Open Order</v>
      </c>
      <c r="G11">
        <v>75</v>
      </c>
      <c r="H11">
        <v>134.19999999999999</v>
      </c>
      <c r="J11">
        <v>132.80000000000001</v>
      </c>
      <c r="K11" s="9">
        <f>IF(ISNUMBER(I11), (I11-H11)/I11, (J11-H11)/J11)</f>
        <v>-1.0542168674698623E-2</v>
      </c>
      <c r="L11" s="9">
        <f>IF(J11&lt;&gt;"",(J11-H11)/J11,"Booked")</f>
        <v>-1.0542168674698623E-2</v>
      </c>
      <c r="M11" s="9">
        <f>Table1[[#This Row],[Open Investment]]/$V$6</f>
        <v>5.7238451596441337E-2</v>
      </c>
      <c r="N11" t="s">
        <v>51</v>
      </c>
      <c r="O11">
        <f>Table1[[#This Row],[avg. Price]]*Table1[[#This Row],[shares]]</f>
        <v>10065</v>
      </c>
      <c r="P11">
        <f>IF(Table1[[#This Row],[Exit Price]]*Table1[[#This Row],[shares]]-Table1[[#This Row],[Invested Amount]]&lt;0,Table1[[#This Row],[Current Price]]*Table1[[#This Row],[shares]]-Table1[[#This Row],[Invested Amount]],Table1[[#This Row],[Exit Price]]*Table1[[#This Row],[shares]]-Table1[[#This Row],[Invested Amount]])</f>
        <v>-105</v>
      </c>
      <c r="Q11" s="10">
        <f>Table1[[#This Row],[shares]]*Table1[[#This Row],[Current Price]]</f>
        <v>9960</v>
      </c>
      <c r="R11" s="10">
        <f>_xlfn.DAYS(Table1[[#This Row],[Exit Date]],Table1[[#This Row],[Entry Date]])</f>
        <v>24</v>
      </c>
      <c r="S11" s="10" t="str">
        <f>IF(Table1[[#This Row],[Total returns]]&gt;0,"PROFIT","LOSS")</f>
        <v>LOSS</v>
      </c>
      <c r="U11" t="s">
        <v>67</v>
      </c>
      <c r="V11">
        <f>COUNTIF(S:S,"Profit")</f>
        <v>13</v>
      </c>
      <c r="AB11" t="s">
        <v>65</v>
      </c>
      <c r="AC11">
        <f>AC9+AC10</f>
        <v>19</v>
      </c>
    </row>
    <row r="12" spans="1:29" x14ac:dyDescent="0.35">
      <c r="A12" s="2">
        <v>45316</v>
      </c>
      <c r="B12" s="2">
        <v>45340</v>
      </c>
      <c r="C12" t="s">
        <v>45</v>
      </c>
      <c r="D12" t="s">
        <v>42</v>
      </c>
      <c r="E12" t="s">
        <v>31</v>
      </c>
      <c r="F12" t="str">
        <f>IF(ISBLANK(Table1[[#This Row],[Exit Price]]),"Open Order","Booked Order")</f>
        <v>Open Order</v>
      </c>
      <c r="G12">
        <v>48</v>
      </c>
      <c r="H12">
        <v>271.08999999999997</v>
      </c>
      <c r="J12">
        <v>269</v>
      </c>
      <c r="K12" s="9">
        <f>IF(ISNUMBER(I12), (I12-H12)/I12, (J12-H12)/J12)</f>
        <v>-7.7695167286244426E-3</v>
      </c>
      <c r="L12" s="9">
        <f>IF(J12&lt;&gt;"",(J12-H12)/J12,"Booked")</f>
        <v>-7.7695167286244426E-3</v>
      </c>
      <c r="M12" s="9">
        <f>Table1[[#This Row],[Open Investment]]/$V$6</f>
        <v>7.4203101105748043E-2</v>
      </c>
      <c r="N12" t="s">
        <v>50</v>
      </c>
      <c r="O12">
        <f>Table1[[#This Row],[avg. Price]]*Table1[[#This Row],[shares]]</f>
        <v>13012.32</v>
      </c>
      <c r="P12">
        <f>IF(Table1[[#This Row],[Exit Price]]*Table1[[#This Row],[shares]]-Table1[[#This Row],[Invested Amount]]&lt;0,Table1[[#This Row],[Current Price]]*Table1[[#This Row],[shares]]-Table1[[#This Row],[Invested Amount]],Table1[[#This Row],[Exit Price]]*Table1[[#This Row],[shares]]-Table1[[#This Row],[Invested Amount]])</f>
        <v>-100.31999999999971</v>
      </c>
      <c r="Q12" s="10">
        <f>Table1[[#This Row],[shares]]*Table1[[#This Row],[Current Price]]</f>
        <v>12912</v>
      </c>
      <c r="R12" s="10">
        <f>_xlfn.DAYS(Table1[[#This Row],[Exit Date]],Table1[[#This Row],[Entry Date]])</f>
        <v>24</v>
      </c>
      <c r="S12" s="10" t="str">
        <f>IF(Table1[[#This Row],[Total returns]]&gt;0,"PROFIT","LOSS")</f>
        <v>LOSS</v>
      </c>
      <c r="U12" t="s">
        <v>68</v>
      </c>
      <c r="V12">
        <f>COUNTIF(S:S,"loss")</f>
        <v>6</v>
      </c>
      <c r="W12" s="11">
        <f>V11/V13</f>
        <v>0.68421052631578949</v>
      </c>
    </row>
    <row r="13" spans="1:29" x14ac:dyDescent="0.35">
      <c r="A13" s="2">
        <v>45317</v>
      </c>
      <c r="B13" s="2">
        <v>45341</v>
      </c>
      <c r="C13" t="s">
        <v>23</v>
      </c>
      <c r="D13" t="s">
        <v>43</v>
      </c>
      <c r="E13" t="s">
        <v>31</v>
      </c>
      <c r="F13" t="str">
        <f>IF(ISBLANK(Table1[[#This Row],[Exit Price]]),"Open Order","Booked Order")</f>
        <v>Booked Order</v>
      </c>
      <c r="G13">
        <v>51</v>
      </c>
      <c r="H13">
        <v>61.4</v>
      </c>
      <c r="I13">
        <v>75</v>
      </c>
      <c r="K13" s="9">
        <f>IF(ISNUMBER(I13), (I13-H13)/I13, (J13-H13)/J13)</f>
        <v>0.18133333333333335</v>
      </c>
      <c r="L13" s="9" t="str">
        <f>IF(J13&lt;&gt;"",(J13-H13)/J13,"Booked")</f>
        <v>Booked</v>
      </c>
      <c r="M13" s="9">
        <f>Table1[[#This Row],[Open Investment]]/$V$6</f>
        <v>0</v>
      </c>
      <c r="N13" t="s">
        <v>49</v>
      </c>
      <c r="O13">
        <f>Table1[[#This Row],[avg. Price]]*Table1[[#This Row],[shares]]</f>
        <v>3131.4</v>
      </c>
      <c r="P13">
        <f>IF(Table1[[#This Row],[Exit Price]]*Table1[[#This Row],[shares]]-Table1[[#This Row],[Invested Amount]]&lt;0,Table1[[#This Row],[Current Price]]*Table1[[#This Row],[shares]]-Table1[[#This Row],[Invested Amount]],Table1[[#This Row],[Exit Price]]*Table1[[#This Row],[shares]]-Table1[[#This Row],[Invested Amount]])</f>
        <v>693.59999999999991</v>
      </c>
      <c r="Q13" s="10">
        <f>Table1[[#This Row],[shares]]*Table1[[#This Row],[Current Price]]</f>
        <v>0</v>
      </c>
      <c r="R13" s="10">
        <f>_xlfn.DAYS(Table1[[#This Row],[Exit Date]],Table1[[#This Row],[Entry Date]])</f>
        <v>24</v>
      </c>
      <c r="S13" s="10" t="str">
        <f>IF(Table1[[#This Row],[Total returns]]&gt;0,"PROFIT","LOSS")</f>
        <v>PROFIT</v>
      </c>
      <c r="U13" t="s">
        <v>69</v>
      </c>
      <c r="V13">
        <f>SUM(V11:V12)</f>
        <v>19</v>
      </c>
      <c r="AB13" t="s">
        <v>72</v>
      </c>
      <c r="AC13">
        <f>SUMIF(F:F,F3,P:P)</f>
        <v>55540.4</v>
      </c>
    </row>
    <row r="14" spans="1:29" x14ac:dyDescent="0.35">
      <c r="A14" s="2">
        <v>45318</v>
      </c>
      <c r="B14" s="2">
        <v>45342</v>
      </c>
      <c r="C14" t="s">
        <v>14</v>
      </c>
      <c r="D14" t="s">
        <v>44</v>
      </c>
      <c r="E14" t="s">
        <v>34</v>
      </c>
      <c r="F14" t="str">
        <f>IF(ISBLANK(Table1[[#This Row],[Exit Price]]),"Open Order","Booked Order")</f>
        <v>Open Order</v>
      </c>
      <c r="G14">
        <v>52</v>
      </c>
      <c r="H14">
        <v>29.8</v>
      </c>
      <c r="J14">
        <v>28</v>
      </c>
      <c r="K14" s="9">
        <f>IF(ISNUMBER(I14), (I14-H14)/I14, (J14-H14)/J14)</f>
        <v>-6.4285714285714307E-2</v>
      </c>
      <c r="L14" s="9">
        <f>IF(J14&lt;&gt;"",(J14-H14)/J14,"Booked")</f>
        <v>-6.4285714285714307E-2</v>
      </c>
      <c r="M14" s="9">
        <f>Table1[[#This Row],[Open Investment]]/$V$6</f>
        <v>8.3673881048613036E-3</v>
      </c>
      <c r="N14" t="s">
        <v>53</v>
      </c>
      <c r="O14">
        <f>Table1[[#This Row],[avg. Price]]*Table1[[#This Row],[shares]]</f>
        <v>1549.6000000000001</v>
      </c>
      <c r="P14">
        <f>IF(Table1[[#This Row],[Exit Price]]*Table1[[#This Row],[shares]]-Table1[[#This Row],[Invested Amount]]&lt;0,Table1[[#This Row],[Current Price]]*Table1[[#This Row],[shares]]-Table1[[#This Row],[Invested Amount]],Table1[[#This Row],[Exit Price]]*Table1[[#This Row],[shares]]-Table1[[#This Row],[Invested Amount]])</f>
        <v>-93.600000000000136</v>
      </c>
      <c r="Q14" s="10">
        <f>Table1[[#This Row],[shares]]*Table1[[#This Row],[Current Price]]</f>
        <v>1456</v>
      </c>
      <c r="R14" s="10">
        <f>_xlfn.DAYS(Table1[[#This Row],[Exit Date]],Table1[[#This Row],[Entry Date]])</f>
        <v>24</v>
      </c>
      <c r="S14" s="10" t="str">
        <f>IF(Table1[[#This Row],[Total returns]]&gt;0,"PROFIT","LOSS")</f>
        <v>LOSS</v>
      </c>
      <c r="AB14" t="s">
        <v>73</v>
      </c>
      <c r="AC14">
        <f>SUMIF(F:F,F2,P:P)</f>
        <v>-17172.93</v>
      </c>
    </row>
    <row r="15" spans="1:29" x14ac:dyDescent="0.35">
      <c r="A15" s="2">
        <v>45319</v>
      </c>
      <c r="B15" s="2">
        <v>45343</v>
      </c>
      <c r="C15" t="s">
        <v>21</v>
      </c>
      <c r="D15" t="s">
        <v>43</v>
      </c>
      <c r="E15" t="s">
        <v>31</v>
      </c>
      <c r="F15" t="str">
        <f>IF(ISBLANK(Table1[[#This Row],[Exit Price]]),"Open Order","Booked Order")</f>
        <v>Booked Order</v>
      </c>
      <c r="G15">
        <v>34</v>
      </c>
      <c r="H15">
        <v>167.4</v>
      </c>
      <c r="I15">
        <v>201</v>
      </c>
      <c r="K15" s="9">
        <f>IF(ISNUMBER(I15), (I15-H15)/I15, (J15-H15)/J15)</f>
        <v>0.16716417910447759</v>
      </c>
      <c r="L15" s="9" t="str">
        <f>IF(J15&lt;&gt;"",(J15-H15)/J15,"Booked")</f>
        <v>Booked</v>
      </c>
      <c r="M15" s="9">
        <f>Table1[[#This Row],[Open Investment]]/$V$6</f>
        <v>0</v>
      </c>
      <c r="N15" t="s">
        <v>54</v>
      </c>
      <c r="O15">
        <f>Table1[[#This Row],[avg. Price]]*Table1[[#This Row],[shares]]</f>
        <v>5691.6</v>
      </c>
      <c r="P15">
        <f>IF(Table1[[#This Row],[Exit Price]]*Table1[[#This Row],[shares]]-Table1[[#This Row],[Invested Amount]]&lt;0,Table1[[#This Row],[Current Price]]*Table1[[#This Row],[shares]]-Table1[[#This Row],[Invested Amount]],Table1[[#This Row],[Exit Price]]*Table1[[#This Row],[shares]]-Table1[[#This Row],[Invested Amount]])</f>
        <v>1142.3999999999996</v>
      </c>
      <c r="Q15" s="10">
        <f>Table1[[#This Row],[shares]]*Table1[[#This Row],[Current Price]]</f>
        <v>0</v>
      </c>
      <c r="R15" s="10">
        <f>_xlfn.DAYS(Table1[[#This Row],[Exit Date]],Table1[[#This Row],[Entry Date]])</f>
        <v>24</v>
      </c>
      <c r="S15" s="10" t="str">
        <f>IF(Table1[[#This Row],[Total returns]]&gt;0,"PROFIT","LOSS")</f>
        <v>PROFIT</v>
      </c>
      <c r="U15" t="s">
        <v>70</v>
      </c>
      <c r="V15">
        <f>AVERAGEIF(P:P,"&gt;0",P:P)</f>
        <v>4527.3423076923073</v>
      </c>
    </row>
    <row r="16" spans="1:29" x14ac:dyDescent="0.35">
      <c r="A16" s="2">
        <v>45320</v>
      </c>
      <c r="B16" s="2">
        <v>45344</v>
      </c>
      <c r="C16" t="s">
        <v>12</v>
      </c>
      <c r="D16" t="s">
        <v>42</v>
      </c>
      <c r="E16" t="s">
        <v>30</v>
      </c>
      <c r="F16" t="str">
        <f>IF(ISBLANK(Table1[[#This Row],[Exit Price]]),"Open Order","Booked Order")</f>
        <v>Open Order</v>
      </c>
      <c r="G16">
        <v>80</v>
      </c>
      <c r="H16">
        <v>168.9</v>
      </c>
      <c r="J16">
        <v>200.2</v>
      </c>
      <c r="K16" s="9">
        <f>IF(ISNUMBER(I16), (I16-H16)/I16, (J16-H16)/J16)</f>
        <v>0.15634365634365627</v>
      </c>
      <c r="L16" s="9">
        <f>IF(J16&lt;&gt;"",(J16-H16)/J16,"Booked")</f>
        <v>0.15634365634365627</v>
      </c>
      <c r="M16" s="9">
        <f>Table1[[#This Row],[Open Investment]]/$V$6</f>
        <v>9.2041269153474339E-2</v>
      </c>
      <c r="N16" t="s">
        <v>55</v>
      </c>
      <c r="O16">
        <f>Table1[[#This Row],[avg. Price]]*Table1[[#This Row],[shares]]</f>
        <v>13512</v>
      </c>
      <c r="P16">
        <f>IF(Table1[[#This Row],[Exit Price]]*Table1[[#This Row],[shares]]-Table1[[#This Row],[Invested Amount]]&lt;0,Table1[[#This Row],[Current Price]]*Table1[[#This Row],[shares]]-Table1[[#This Row],[Invested Amount]],Table1[[#This Row],[Exit Price]]*Table1[[#This Row],[shares]]-Table1[[#This Row],[Invested Amount]])</f>
        <v>2504</v>
      </c>
      <c r="Q16" s="10">
        <f>Table1[[#This Row],[shares]]*Table1[[#This Row],[Current Price]]</f>
        <v>16016</v>
      </c>
      <c r="R16" s="10">
        <f>_xlfn.DAYS(Table1[[#This Row],[Exit Date]],Table1[[#This Row],[Entry Date]])</f>
        <v>24</v>
      </c>
      <c r="S16" s="10" t="str">
        <f>IF(Table1[[#This Row],[Total returns]]&gt;0,"PROFIT","LOSS")</f>
        <v>PROFIT</v>
      </c>
      <c r="U16" t="s">
        <v>71</v>
      </c>
      <c r="V16">
        <f>AVERAGEIF(P:P,"&lt;0",P:P)</f>
        <v>-3414.6633333333325</v>
      </c>
    </row>
    <row r="17" spans="1:23" x14ac:dyDescent="0.35">
      <c r="A17" s="2">
        <v>45321</v>
      </c>
      <c r="B17" s="2">
        <v>45345</v>
      </c>
      <c r="C17" t="s">
        <v>8</v>
      </c>
      <c r="D17" t="s">
        <v>42</v>
      </c>
      <c r="E17" t="s">
        <v>35</v>
      </c>
      <c r="F17" t="str">
        <f>IF(ISBLANK(Table1[[#This Row],[Exit Price]]),"Open Order","Booked Order")</f>
        <v>Booked Order</v>
      </c>
      <c r="G17">
        <v>21</v>
      </c>
      <c r="H17">
        <v>0.75</v>
      </c>
      <c r="I17">
        <v>1.1499999999999999</v>
      </c>
      <c r="K17" s="9">
        <f>IF(ISNUMBER(I17), (I17-H17)/I17, (J17-H17)/J17)</f>
        <v>0.34782608695652167</v>
      </c>
      <c r="L17" s="9" t="str">
        <f>IF(J17&lt;&gt;"",(J17-H17)/J17,"Booked")</f>
        <v>Booked</v>
      </c>
      <c r="M17" s="9">
        <f>Table1[[#This Row],[Open Investment]]/$V$6</f>
        <v>0</v>
      </c>
      <c r="N17" t="s">
        <v>56</v>
      </c>
      <c r="O17">
        <f>Table1[[#This Row],[avg. Price]]*Table1[[#This Row],[shares]]</f>
        <v>15.75</v>
      </c>
      <c r="P17">
        <f>IF(Table1[[#This Row],[Exit Price]]*Table1[[#This Row],[shares]]-Table1[[#This Row],[Invested Amount]]&lt;0,Table1[[#This Row],[Current Price]]*Table1[[#This Row],[shares]]-Table1[[#This Row],[Invested Amount]],Table1[[#This Row],[Exit Price]]*Table1[[#This Row],[shares]]-Table1[[#This Row],[Invested Amount]])</f>
        <v>8.3999999999999986</v>
      </c>
      <c r="Q17" s="10">
        <f>Table1[[#This Row],[shares]]*Table1[[#This Row],[Current Price]]</f>
        <v>0</v>
      </c>
      <c r="R17" s="10">
        <f>_xlfn.DAYS(Table1[[#This Row],[Exit Date]],Table1[[#This Row],[Entry Date]])</f>
        <v>24</v>
      </c>
      <c r="S17" s="10" t="str">
        <f>IF(Table1[[#This Row],[Total returns]]&gt;0,"PROFIT","LOSS")</f>
        <v>PROFIT</v>
      </c>
    </row>
    <row r="18" spans="1:23" x14ac:dyDescent="0.35">
      <c r="A18" s="2">
        <v>45322</v>
      </c>
      <c r="B18" s="2">
        <v>45346</v>
      </c>
      <c r="C18" t="s">
        <v>17</v>
      </c>
      <c r="D18" t="s">
        <v>44</v>
      </c>
      <c r="E18" t="s">
        <v>31</v>
      </c>
      <c r="F18" t="str">
        <f>IF(ISBLANK(Table1[[#This Row],[Exit Price]]),"Open Order","Booked Order")</f>
        <v>Open Order</v>
      </c>
      <c r="G18">
        <v>1</v>
      </c>
      <c r="H18">
        <v>556.95000000000005</v>
      </c>
      <c r="J18">
        <v>627</v>
      </c>
      <c r="K18" s="9">
        <f>IF(ISNUMBER(I18), (I18-H18)/I18, (J18-H18)/J18)</f>
        <v>0.11172248803827745</v>
      </c>
      <c r="L18" s="9">
        <f>IF(J18&lt;&gt;"",(J18-H18)/J18,"Booked")</f>
        <v>0.11172248803827745</v>
      </c>
      <c r="M18" s="9">
        <f>Table1[[#This Row],[Open Investment]]/$V$6</f>
        <v>3.6032639709807947E-3</v>
      </c>
      <c r="N18" t="s">
        <v>50</v>
      </c>
      <c r="O18">
        <f>Table1[[#This Row],[avg. Price]]*Table1[[#This Row],[shares]]</f>
        <v>556.95000000000005</v>
      </c>
      <c r="P18">
        <f>IF(Table1[[#This Row],[Exit Price]]*Table1[[#This Row],[shares]]-Table1[[#This Row],[Invested Amount]]&lt;0,Table1[[#This Row],[Current Price]]*Table1[[#This Row],[shares]]-Table1[[#This Row],[Invested Amount]],Table1[[#This Row],[Exit Price]]*Table1[[#This Row],[shares]]-Table1[[#This Row],[Invested Amount]])</f>
        <v>70.049999999999955</v>
      </c>
      <c r="Q18" s="10">
        <f>Table1[[#This Row],[shares]]*Table1[[#This Row],[Current Price]]</f>
        <v>627</v>
      </c>
      <c r="R18" s="10">
        <f>_xlfn.DAYS(Table1[[#This Row],[Exit Date]],Table1[[#This Row],[Entry Date]])</f>
        <v>24</v>
      </c>
      <c r="S18" s="10" t="str">
        <f>IF(Table1[[#This Row],[Total returns]]&gt;0,"PROFIT","LOSS")</f>
        <v>PROFIT</v>
      </c>
      <c r="U18" t="s">
        <v>77</v>
      </c>
      <c r="V18">
        <f>AVERAGEIF(F:F,F3,R:R)</f>
        <v>24</v>
      </c>
    </row>
    <row r="19" spans="1:23" x14ac:dyDescent="0.35">
      <c r="A19" s="2">
        <v>45323</v>
      </c>
      <c r="B19" s="2">
        <v>45347</v>
      </c>
      <c r="C19" t="s">
        <v>13</v>
      </c>
      <c r="D19" t="s">
        <v>43</v>
      </c>
      <c r="E19" t="s">
        <v>36</v>
      </c>
      <c r="F19" t="str">
        <f>IF(ISBLANK(Table1[[#This Row],[Exit Price]]),"Open Order","Booked Order")</f>
        <v>Open Order</v>
      </c>
      <c r="G19">
        <v>54</v>
      </c>
      <c r="H19">
        <v>630.04</v>
      </c>
      <c r="J19">
        <v>488.85</v>
      </c>
      <c r="K19" s="9">
        <f>IF(ISNUMBER(I19), (I19-H19)/I19, (J19-H19)/J19)</f>
        <v>-0.28882070164672174</v>
      </c>
      <c r="L19" s="9">
        <f>IF(J19&lt;&gt;"",(J19-H19)/J19,"Booked")</f>
        <v>-0.28882070164672174</v>
      </c>
      <c r="M19" s="9">
        <f>Table1[[#This Row],[Open Investment]]/$V$6</f>
        <v>0.151704309377279</v>
      </c>
      <c r="N19" t="s">
        <v>50</v>
      </c>
      <c r="O19">
        <f>Table1[[#This Row],[avg. Price]]*Table1[[#This Row],[shares]]</f>
        <v>34022.159999999996</v>
      </c>
      <c r="P19">
        <f>IF(Table1[[#This Row],[Exit Price]]*Table1[[#This Row],[shares]]-Table1[[#This Row],[Invested Amount]]&lt;0,Table1[[#This Row],[Current Price]]*Table1[[#This Row],[shares]]-Table1[[#This Row],[Invested Amount]],Table1[[#This Row],[Exit Price]]*Table1[[#This Row],[shares]]-Table1[[#This Row],[Invested Amount]])</f>
        <v>-7624.2599999999948</v>
      </c>
      <c r="Q19" s="10">
        <f>Table1[[#This Row],[shares]]*Table1[[#This Row],[Current Price]]</f>
        <v>26397.9</v>
      </c>
      <c r="R19" s="10">
        <f>_xlfn.DAYS(Table1[[#This Row],[Exit Date]],Table1[[#This Row],[Entry Date]])</f>
        <v>24</v>
      </c>
      <c r="S19" s="10" t="str">
        <f>IF(Table1[[#This Row],[Total returns]]&gt;0,"PROFIT","LOSS")</f>
        <v>LOSS</v>
      </c>
    </row>
    <row r="20" spans="1:23" x14ac:dyDescent="0.35">
      <c r="A20" s="2">
        <v>45324</v>
      </c>
      <c r="B20" s="2">
        <v>45348</v>
      </c>
      <c r="C20" t="s">
        <v>57</v>
      </c>
      <c r="D20" t="s">
        <v>43</v>
      </c>
      <c r="E20" t="s">
        <v>58</v>
      </c>
      <c r="F20" s="10" t="str">
        <f>IF(ISBLANK(Table1[[#This Row],[Exit Price]]),"Open Order","Booked Order")</f>
        <v>Booked Order</v>
      </c>
      <c r="G20">
        <v>92</v>
      </c>
      <c r="H20">
        <v>600</v>
      </c>
      <c r="I20">
        <v>900</v>
      </c>
      <c r="K20" s="9">
        <f>IF(ISNUMBER(#REF!), (#REF!-H20)/#REF!, (I20-H20)/I20)</f>
        <v>0.33333333333333331</v>
      </c>
      <c r="L20" s="9" t="str">
        <f>IF(J20&lt;&gt;"",(J20-H20)/J20,"Booked")</f>
        <v>Booked</v>
      </c>
      <c r="M20" s="9">
        <f>Table1[[#This Row],[Open Investment]]/$V$6</f>
        <v>0</v>
      </c>
      <c r="N20" t="s">
        <v>59</v>
      </c>
      <c r="O20" s="10">
        <f>Table1[[#This Row],[avg. Price]]*Table1[[#This Row],[shares]]</f>
        <v>55200</v>
      </c>
      <c r="P20">
        <f>IF(Table1[[#This Row],[Exit Price]]*Table1[[#This Row],[shares]]-Table1[[#This Row],[Invested Amount]]&lt;0,Table1[[#This Row],[Current Price]]*Table1[[#This Row],[shares]]-Table1[[#This Row],[Invested Amount]],Table1[[#This Row],[Exit Price]]*Table1[[#This Row],[shares]]-Table1[[#This Row],[Invested Amount]])</f>
        <v>27600</v>
      </c>
      <c r="Q20" s="10">
        <f>Table1[[#This Row],[shares]]*Table1[[#This Row],[Current Price]]</f>
        <v>0</v>
      </c>
      <c r="R20" s="10">
        <f>_xlfn.DAYS(Table1[[#This Row],[Exit Date]],Table1[[#This Row],[Entry Date]])</f>
        <v>24</v>
      </c>
      <c r="S20" s="10" t="str">
        <f>IF(Table1[[#This Row],[Total returns]]&gt;0,"PROFIT","LOSS")</f>
        <v>PROFIT</v>
      </c>
      <c r="U20" t="s">
        <v>78</v>
      </c>
      <c r="V20" s="18">
        <f>MAX(O:O)</f>
        <v>59600</v>
      </c>
      <c r="W20" t="str">
        <f>VLOOKUP($V$20,Table1[#All],3,TRUE)</f>
        <v>Tata Motors</v>
      </c>
    </row>
    <row r="21" spans="1:23" x14ac:dyDescent="0.35">
      <c r="D21" s="12"/>
      <c r="E21" s="8"/>
      <c r="I21" s="5"/>
      <c r="J21" s="5"/>
      <c r="K21" s="5"/>
      <c r="M21" s="10"/>
      <c r="N21" s="10"/>
      <c r="O21" s="10"/>
      <c r="V21" s="17">
        <f>MAX(M:M)</f>
        <v>0.32182261941774243</v>
      </c>
    </row>
    <row r="22" spans="1:23" x14ac:dyDescent="0.35">
      <c r="D22" s="10"/>
      <c r="I22" s="5" t="str">
        <f>IF(G22&lt;&gt;"",(G22-F22)/G22,"")</f>
        <v/>
      </c>
      <c r="J22" s="5" t="str">
        <f>IF(H22&lt;&gt;"",(H22-F22)/H22,"")</f>
        <v/>
      </c>
      <c r="K22" s="5"/>
      <c r="M22" s="10"/>
      <c r="N22" s="10"/>
      <c r="O22" s="10"/>
      <c r="V22" s="1"/>
    </row>
    <row r="23" spans="1:23" x14ac:dyDescent="0.35">
      <c r="D23" s="10"/>
      <c r="I23" s="5" t="str">
        <f>IF(G23&lt;&gt;"",(G23-F23)/G23,"")</f>
        <v/>
      </c>
      <c r="J23" s="5" t="str">
        <f>IF(H23&lt;&gt;"",(H23-F23)/H23,"")</f>
        <v/>
      </c>
      <c r="K23" s="5"/>
      <c r="M23" s="10"/>
      <c r="N23" s="10"/>
      <c r="O23" s="10"/>
    </row>
    <row r="24" spans="1:23" x14ac:dyDescent="0.35">
      <c r="D24" s="10"/>
      <c r="I24" s="5" t="str">
        <f>IF(G24&lt;&gt;"",(G24-F24)/G24,"")</f>
        <v/>
      </c>
      <c r="J24" s="5" t="str">
        <f>IF(H24&lt;&gt;"",(H24-F24)/H24,"")</f>
        <v/>
      </c>
      <c r="K24" s="5"/>
      <c r="M24" s="10"/>
      <c r="N24" s="10"/>
      <c r="O24" s="10"/>
      <c r="V24" s="19" t="str">
        <f>ROUND((V21*100),2)&amp;"%" &amp; " in " &amp;W20</f>
        <v>32.18% in Tata Motors</v>
      </c>
    </row>
    <row r="25" spans="1:23" x14ac:dyDescent="0.35">
      <c r="D25" s="10"/>
      <c r="I25" s="5" t="str">
        <f>IF(G25&lt;&gt;"",(G25-F25)/G25,"")</f>
        <v/>
      </c>
      <c r="J25" s="5" t="str">
        <f>IF(H25&lt;&gt;"",(H25-F25)/H25,"")</f>
        <v/>
      </c>
      <c r="K25" s="5"/>
      <c r="M25" s="10"/>
      <c r="N25" s="10"/>
      <c r="O25" s="10"/>
    </row>
    <row r="26" spans="1:23" x14ac:dyDescent="0.35">
      <c r="D26" s="10"/>
      <c r="I26" s="5" t="str">
        <f>IF(G26&lt;&gt;"",(G26-F26)/G26,"")</f>
        <v/>
      </c>
      <c r="J26" s="5" t="str">
        <f>IF(H26&lt;&gt;"",(H26-F26)/H26,"")</f>
        <v/>
      </c>
      <c r="K26" s="5"/>
      <c r="M26" s="10"/>
      <c r="N26" s="10"/>
      <c r="O26" s="10"/>
    </row>
    <row r="27" spans="1:23" x14ac:dyDescent="0.35">
      <c r="D27" s="10"/>
      <c r="I27" s="5" t="str">
        <f>IF(G27&lt;&gt;"",(G27-F27)/G27,"")</f>
        <v/>
      </c>
      <c r="J27" s="5" t="str">
        <f>IF(H27&lt;&gt;"",(H27-F27)/H27,"")</f>
        <v/>
      </c>
      <c r="K27" s="5"/>
      <c r="M27" s="10"/>
      <c r="N27" s="10"/>
      <c r="O27" s="10"/>
    </row>
    <row r="28" spans="1:23" x14ac:dyDescent="0.35">
      <c r="D28" s="10"/>
      <c r="I28" s="5" t="str">
        <f>IF(G28&lt;&gt;"",(G28-F28)/G28,"")</f>
        <v/>
      </c>
      <c r="J28" s="5" t="str">
        <f>IF(H28&lt;&gt;"",(H28-F28)/H28,"")</f>
        <v/>
      </c>
      <c r="K28" s="5"/>
      <c r="M28" s="10"/>
      <c r="N28" s="10"/>
      <c r="O28" s="10"/>
    </row>
    <row r="29" spans="1:23" x14ac:dyDescent="0.35">
      <c r="D29" s="10"/>
      <c r="I29" s="5" t="str">
        <f>IF(G29&lt;&gt;"",(G29-F29)/G29,"")</f>
        <v/>
      </c>
      <c r="J29" s="5" t="str">
        <f>IF(H29&lt;&gt;"",(H29-F29)/H29,"")</f>
        <v/>
      </c>
      <c r="K29" s="5"/>
      <c r="M29" s="10"/>
      <c r="N29" s="10"/>
      <c r="O29" s="10"/>
    </row>
    <row r="30" spans="1:23" x14ac:dyDescent="0.35">
      <c r="D30" s="10"/>
      <c r="I30" s="5" t="str">
        <f>IF(G30&lt;&gt;"",(G30-F30)/G30,"")</f>
        <v/>
      </c>
      <c r="J30" s="5" t="str">
        <f>IF(H30&lt;&gt;"",(H30-F30)/H30,"")</f>
        <v/>
      </c>
      <c r="K30" s="5"/>
      <c r="M30" s="10"/>
      <c r="N30" s="10"/>
      <c r="O30" s="10"/>
    </row>
    <row r="31" spans="1:23" x14ac:dyDescent="0.35">
      <c r="D31" s="10"/>
      <c r="I31" s="5" t="str">
        <f>IF(G31&lt;&gt;"",(G31-F31)/G31,"")</f>
        <v/>
      </c>
      <c r="J31" s="5" t="str">
        <f>IF(H31&lt;&gt;"",(H31-F31)/H31,"")</f>
        <v/>
      </c>
      <c r="K31" s="5"/>
      <c r="M31" s="10"/>
      <c r="N31" s="10"/>
      <c r="O31" s="10"/>
    </row>
    <row r="32" spans="1:23" x14ac:dyDescent="0.35">
      <c r="D32" s="10"/>
      <c r="I32" s="5" t="str">
        <f>IF(G32&lt;&gt;"",(G32-F32)/G32,"")</f>
        <v/>
      </c>
      <c r="J32" s="5" t="str">
        <f>IF(H32&lt;&gt;"",(H32-F32)/H32,"")</f>
        <v/>
      </c>
      <c r="K32" s="5"/>
      <c r="M32" s="10"/>
      <c r="N32" s="10"/>
      <c r="O32" s="10"/>
    </row>
  </sheetData>
  <conditionalFormatting sqref="K20:M20">
    <cfRule type="containsBlanks" dxfId="5" priority="17">
      <formula>LEN(TRIM(K20))=0</formula>
    </cfRule>
  </conditionalFormatting>
  <conditionalFormatting sqref="K2:L20">
    <cfRule type="containsBlanks" dxfId="4" priority="5">
      <formula>LEN(TRIM(K2))=0</formula>
    </cfRule>
    <cfRule type="cellIs" dxfId="3" priority="6" operator="lessThan">
      <formula>-0.0001</formula>
    </cfRule>
    <cfRule type="cellIs" dxfId="2" priority="7" operator="greaterThan">
      <formula>0.0001</formula>
    </cfRule>
  </conditionalFormatting>
  <conditionalFormatting sqref="M2:M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:J1048576 L1:L20">
    <cfRule type="containsText" dxfId="1" priority="3" operator="containsText" text="Booked">
      <formula>NOT(ISERROR(SEARCH("Booked",J1)))</formula>
    </cfRule>
  </conditionalFormatting>
  <dataValidations disablePrompts="1" count="1">
    <dataValidation type="list" allowBlank="1" showInputMessage="1" showErrorMessage="1" sqref="B21:B1048576 D2:D20" xr:uid="{E6F48C7D-04D1-48AC-93F0-A3DB1D3CFB37}">
      <formula1>$AB$5:$AB$7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56C81-E5C3-4ACE-B563-E7FA31F6897A}">
  <dimension ref="A1:B32"/>
  <sheetViews>
    <sheetView topLeftCell="A5" workbookViewId="0">
      <selection activeCell="K28" sqref="K28"/>
    </sheetView>
  </sheetViews>
  <sheetFormatPr defaultRowHeight="14.5" x14ac:dyDescent="0.35"/>
  <cols>
    <col min="1" max="1" width="20.1796875" bestFit="1" customWidth="1"/>
    <col min="2" max="2" width="20.08984375" bestFit="1" customWidth="1"/>
  </cols>
  <sheetData>
    <row r="1" spans="1:2" ht="15" thickBot="1" x14ac:dyDescent="0.4">
      <c r="A1" s="6" t="s">
        <v>0</v>
      </c>
      <c r="B1" s="7" t="s">
        <v>37</v>
      </c>
    </row>
    <row r="2" spans="1:2" x14ac:dyDescent="0.35">
      <c r="A2" t="s">
        <v>6</v>
      </c>
      <c r="B2" s="9">
        <f>Table1[[#This Row],[Open Investment]]/Equities!$V$6</f>
        <v>0.10114425181700476</v>
      </c>
    </row>
    <row r="3" spans="1:2" hidden="1" x14ac:dyDescent="0.35">
      <c r="A3" t="s">
        <v>11</v>
      </c>
      <c r="B3" s="9">
        <f>Table1[[#This Row],[Open Investment]]/Equities!$V$6</f>
        <v>0</v>
      </c>
    </row>
    <row r="4" spans="1:2" hidden="1" x14ac:dyDescent="0.35">
      <c r="A4" t="s">
        <v>24</v>
      </c>
      <c r="B4" s="9">
        <f>Table1[[#This Row],[Open Investment]]/Equities!$V$6</f>
        <v>0</v>
      </c>
    </row>
    <row r="5" spans="1:2" x14ac:dyDescent="0.35">
      <c r="A5" t="s">
        <v>16</v>
      </c>
      <c r="B5" s="9">
        <f>Table1[[#This Row],[Open Investment]]/Equities!$V$6</f>
        <v>7.8156921858594589E-3</v>
      </c>
    </row>
    <row r="6" spans="1:2" x14ac:dyDescent="0.35">
      <c r="A6" t="s">
        <v>15</v>
      </c>
      <c r="B6" s="9">
        <f>Table1[[#This Row],[Open Investment]]/Equities!$V$6</f>
        <v>0.32182261941774243</v>
      </c>
    </row>
    <row r="7" spans="1:2" hidden="1" x14ac:dyDescent="0.35">
      <c r="A7" t="s">
        <v>20</v>
      </c>
      <c r="B7" s="9">
        <f>Table1[[#This Row],[Open Investment]]/Equities!$V$6</f>
        <v>0</v>
      </c>
    </row>
    <row r="8" spans="1:2" hidden="1" x14ac:dyDescent="0.35">
      <c r="A8" t="s">
        <v>18</v>
      </c>
      <c r="B8" s="9">
        <f>Table1[[#This Row],[Open Investment]]/Equities!$V$6</f>
        <v>0</v>
      </c>
    </row>
    <row r="9" spans="1:2" hidden="1" x14ac:dyDescent="0.35">
      <c r="A9" t="s">
        <v>9</v>
      </c>
      <c r="B9" s="9">
        <f>Table1[[#This Row],[Open Investment]]/Equities!$V$6</f>
        <v>0</v>
      </c>
    </row>
    <row r="10" spans="1:2" x14ac:dyDescent="0.35">
      <c r="A10" t="s">
        <v>19</v>
      </c>
      <c r="B10" s="9">
        <f>Table1[[#This Row],[Open Investment]]/Equities!$V$6</f>
        <v>0.18205965327060858</v>
      </c>
    </row>
    <row r="11" spans="1:2" x14ac:dyDescent="0.35">
      <c r="A11" t="s">
        <v>10</v>
      </c>
      <c r="B11" s="9">
        <f>Table1[[#This Row],[Open Investment]]/Equities!$V$6</f>
        <v>5.7238451596441337E-2</v>
      </c>
    </row>
    <row r="12" spans="1:2" x14ac:dyDescent="0.35">
      <c r="A12" t="s">
        <v>45</v>
      </c>
      <c r="B12" s="9">
        <f>Table1[[#This Row],[Open Investment]]/Equities!$V$6</f>
        <v>7.4203101105748043E-2</v>
      </c>
    </row>
    <row r="13" spans="1:2" hidden="1" x14ac:dyDescent="0.35">
      <c r="A13" t="s">
        <v>23</v>
      </c>
      <c r="B13" s="9">
        <f>Table1[[#This Row],[Open Investment]]/Equities!$V$6</f>
        <v>0</v>
      </c>
    </row>
    <row r="14" spans="1:2" x14ac:dyDescent="0.35">
      <c r="A14" t="s">
        <v>14</v>
      </c>
      <c r="B14" s="9">
        <f>Table1[[#This Row],[Open Investment]]/Equities!$V$6</f>
        <v>8.3673881048613036E-3</v>
      </c>
    </row>
    <row r="15" spans="1:2" hidden="1" x14ac:dyDescent="0.35">
      <c r="A15" t="s">
        <v>21</v>
      </c>
      <c r="B15" s="9">
        <f>Table1[[#This Row],[Open Investment]]/Equities!$V$6</f>
        <v>0</v>
      </c>
    </row>
    <row r="16" spans="1:2" x14ac:dyDescent="0.35">
      <c r="A16" t="s">
        <v>12</v>
      </c>
      <c r="B16" s="9">
        <f>Table1[[#This Row],[Open Investment]]/Equities!$V$6</f>
        <v>9.2041269153474339E-2</v>
      </c>
    </row>
    <row r="17" spans="1:2" hidden="1" x14ac:dyDescent="0.35">
      <c r="A17" t="s">
        <v>8</v>
      </c>
      <c r="B17" s="9">
        <f>Table1[[#This Row],[Open Investment]]/Equities!$V$6</f>
        <v>0</v>
      </c>
    </row>
    <row r="18" spans="1:2" x14ac:dyDescent="0.35">
      <c r="A18" t="s">
        <v>17</v>
      </c>
      <c r="B18" s="9">
        <f>Table1[[#This Row],[Open Investment]]/Equities!$V$6</f>
        <v>3.6032639709807947E-3</v>
      </c>
    </row>
    <row r="19" spans="1:2" x14ac:dyDescent="0.35">
      <c r="A19" t="s">
        <v>13</v>
      </c>
      <c r="B19" s="9">
        <f>Table1[[#This Row],[Open Investment]]/Equities!$V$6</f>
        <v>0.151704309377279</v>
      </c>
    </row>
    <row r="20" spans="1:2" x14ac:dyDescent="0.35">
      <c r="A20" t="s">
        <v>57</v>
      </c>
      <c r="B20" s="9">
        <f>Table1[[#This Row],[Open Investment]]/Equities!$V$6</f>
        <v>0</v>
      </c>
    </row>
    <row r="21" spans="1:2" x14ac:dyDescent="0.35">
      <c r="B21" s="5"/>
    </row>
    <row r="22" spans="1:2" x14ac:dyDescent="0.35">
      <c r="B22" s="5"/>
    </row>
    <row r="23" spans="1:2" x14ac:dyDescent="0.35">
      <c r="B23" s="5"/>
    </row>
    <row r="24" spans="1:2" x14ac:dyDescent="0.35">
      <c r="B24" s="5"/>
    </row>
    <row r="25" spans="1:2" x14ac:dyDescent="0.35">
      <c r="B25" s="5"/>
    </row>
    <row r="26" spans="1:2" x14ac:dyDescent="0.35">
      <c r="B26" s="5"/>
    </row>
    <row r="27" spans="1:2" x14ac:dyDescent="0.35">
      <c r="B27" s="5"/>
    </row>
    <row r="28" spans="1:2" x14ac:dyDescent="0.35">
      <c r="B28" s="5"/>
    </row>
    <row r="29" spans="1:2" x14ac:dyDescent="0.35">
      <c r="B29" s="5"/>
    </row>
    <row r="30" spans="1:2" x14ac:dyDescent="0.35">
      <c r="B30" s="5"/>
    </row>
    <row r="31" spans="1:2" x14ac:dyDescent="0.35">
      <c r="B31" s="5"/>
    </row>
    <row r="32" spans="1:2" x14ac:dyDescent="0.35">
      <c r="B32" s="5"/>
    </row>
  </sheetData>
  <conditionalFormatting sqref="B20">
    <cfRule type="containsBlanks" dxfId="0" priority="2">
      <formula>LEN(TRIM(B20))=0</formula>
    </cfRule>
  </conditionalFormatting>
  <conditionalFormatting sqref="B2:B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Equities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Daksh Rawal</dc:creator>
  <cp:lastModifiedBy>Daksh Rawal</cp:lastModifiedBy>
  <dcterms:created xsi:type="dcterms:W3CDTF">2024-01-31T11:31:32Z</dcterms:created>
  <dcterms:modified xsi:type="dcterms:W3CDTF">2024-02-10T09:13:10Z</dcterms:modified>
</cp:coreProperties>
</file>