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mirsad\Desktop\"/>
    </mc:Choice>
  </mc:AlternateContent>
  <xr:revisionPtr revIDLastSave="0" documentId="13_ncr:1_{6785A105-D218-4384-A27B-F69890633D7A}" xr6:coauthVersionLast="34" xr6:coauthVersionMax="34" xr10:uidLastSave="{00000000-0000-0000-0000-000000000000}"/>
  <bookViews>
    <workbookView xWindow="0" yWindow="0" windowWidth="9735" windowHeight="5955" activeTab="4" xr2:uid="{00000000-000D-0000-FFFF-FFFF00000000}"/>
  </bookViews>
  <sheets>
    <sheet name="Info" sheetId="3" r:id="rId1"/>
    <sheet name="Podaci" sheetId="5" r:id="rId2"/>
    <sheet name="Zad1" sheetId="2" r:id="rId3"/>
    <sheet name="Zad2" sheetId="4" r:id="rId4"/>
    <sheet name="Zad3" sheetId="1" r:id="rId5"/>
    <sheet name="Zad4" sheetId="7" r:id="rId6"/>
  </sheets>
  <calcPr calcId="179017"/>
  <pivotCaches>
    <pivotCache cacheId="13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1" i="7" l="1"/>
  <c r="M51" i="7"/>
  <c r="K51" i="7"/>
  <c r="J51" i="7"/>
  <c r="D48" i="7" a="1"/>
  <c r="D48" i="7" s="1"/>
  <c r="D11" i="7" a="1"/>
  <c r="E11" i="7" s="1"/>
  <c r="S36" i="1"/>
  <c r="E38" i="1"/>
  <c r="D38" i="1"/>
  <c r="E37" i="1"/>
  <c r="E39" i="1" s="1"/>
  <c r="D37" i="1"/>
  <c r="L32" i="1"/>
  <c r="I32" i="1"/>
  <c r="T17" i="1"/>
  <c r="F19" i="1"/>
  <c r="F20" i="1"/>
  <c r="F18" i="1"/>
  <c r="E19" i="1"/>
  <c r="E20" i="1"/>
  <c r="E18" i="1"/>
  <c r="O51" i="4"/>
  <c r="P51" i="4"/>
  <c r="G52" i="7" l="1"/>
  <c r="H51" i="7"/>
  <c r="D51" i="7"/>
  <c r="E50" i="7"/>
  <c r="F49" i="7"/>
  <c r="G48" i="7"/>
  <c r="F52" i="7"/>
  <c r="G51" i="7"/>
  <c r="H50" i="7"/>
  <c r="D50" i="7"/>
  <c r="E49" i="7"/>
  <c r="F48" i="7"/>
  <c r="E52" i="7"/>
  <c r="F51" i="7"/>
  <c r="G50" i="7"/>
  <c r="H49" i="7"/>
  <c r="D49" i="7"/>
  <c r="E48" i="7"/>
  <c r="H52" i="7"/>
  <c r="D52" i="7"/>
  <c r="E51" i="7"/>
  <c r="F50" i="7"/>
  <c r="G49" i="7"/>
  <c r="H48" i="7"/>
  <c r="E21" i="1"/>
  <c r="E34" i="7"/>
  <c r="F21" i="1"/>
  <c r="D39" i="1"/>
  <c r="F15" i="7"/>
  <c r="G14" i="7"/>
  <c r="H13" i="7"/>
  <c r="D13" i="7"/>
  <c r="E12" i="7"/>
  <c r="F11" i="7"/>
  <c r="H15" i="7"/>
  <c r="D15" i="7"/>
  <c r="E14" i="7"/>
  <c r="F13" i="7"/>
  <c r="G12" i="7"/>
  <c r="H11" i="7"/>
  <c r="D11" i="7"/>
  <c r="G15" i="7"/>
  <c r="H14" i="7"/>
  <c r="D14" i="7"/>
  <c r="G39" i="7" s="1"/>
  <c r="E13" i="7"/>
  <c r="F12" i="7"/>
  <c r="G11" i="7"/>
  <c r="G34" i="7" s="1"/>
  <c r="E15" i="7"/>
  <c r="F14" i="7"/>
  <c r="G13" i="7"/>
  <c r="H12" i="7"/>
  <c r="D12" i="7"/>
  <c r="G19" i="1"/>
  <c r="G20" i="1"/>
  <c r="G18" i="1"/>
  <c r="F37" i="1"/>
  <c r="F39" i="1" s="1"/>
  <c r="F38" i="1"/>
  <c r="J38" i="1" l="1"/>
  <c r="D34" i="7"/>
  <c r="D30" i="7"/>
  <c r="D41" i="7"/>
  <c r="D40" i="7"/>
  <c r="D17" i="7"/>
  <c r="O17" i="7" s="1"/>
  <c r="J37" i="1"/>
  <c r="J39" i="1" s="1"/>
  <c r="M17" i="7"/>
  <c r="H34" i="7"/>
  <c r="I38" i="1"/>
  <c r="I37" i="1"/>
  <c r="F34" i="7"/>
  <c r="G21" i="1"/>
  <c r="K19" i="1" s="1"/>
  <c r="P19" i="1" s="1"/>
  <c r="K17" i="7"/>
  <c r="O38" i="1"/>
  <c r="K18" i="1"/>
  <c r="P18" i="1" s="1"/>
  <c r="J20" i="1"/>
  <c r="J19" i="1" l="1"/>
  <c r="Q17" i="7"/>
  <c r="D39" i="7"/>
  <c r="I39" i="1"/>
  <c r="K39" i="1" s="1"/>
  <c r="N37" i="1"/>
  <c r="J18" i="1"/>
  <c r="S17" i="7"/>
  <c r="K20" i="1"/>
  <c r="P20" i="1" s="1"/>
  <c r="P21" i="1" s="1"/>
  <c r="L19" i="1"/>
  <c r="O19" i="1"/>
  <c r="Q19" i="1" s="1"/>
  <c r="L18" i="1"/>
  <c r="O18" i="1"/>
  <c r="J21" i="1"/>
  <c r="O37" i="1"/>
  <c r="O39" i="1" s="1"/>
  <c r="K37" i="1"/>
  <c r="O20" i="1"/>
  <c r="K38" i="1"/>
  <c r="N38" i="1"/>
  <c r="P38" i="1" s="1"/>
  <c r="Q20" i="1" l="1"/>
  <c r="K21" i="1"/>
  <c r="L20" i="1"/>
  <c r="N39" i="1"/>
  <c r="P37" i="1"/>
  <c r="P39" i="1" s="1"/>
  <c r="Q18" i="1"/>
  <c r="Q21" i="1" s="1"/>
  <c r="T16" i="1" s="1"/>
  <c r="O21" i="1"/>
  <c r="L21" i="1"/>
  <c r="N38" i="4" l="1"/>
  <c r="M37" i="4"/>
  <c r="I39" i="4"/>
  <c r="I40" i="4"/>
  <c r="I38" i="4"/>
  <c r="N29" i="4"/>
  <c r="M28" i="4"/>
  <c r="I32" i="4"/>
  <c r="I30" i="4"/>
  <c r="I31" i="4"/>
  <c r="I29" i="4"/>
  <c r="O18" i="4"/>
  <c r="O17" i="4"/>
  <c r="G23" i="4"/>
  <c r="E22" i="4"/>
  <c r="E21" i="4"/>
  <c r="I16" i="4"/>
  <c r="I14" i="4"/>
  <c r="I15" i="4"/>
  <c r="I13" i="4"/>
  <c r="E20" i="4"/>
  <c r="H16" i="4"/>
  <c r="F16" i="4"/>
  <c r="H14" i="4"/>
  <c r="H15" i="4"/>
  <c r="H13" i="4"/>
  <c r="G14" i="4"/>
  <c r="G15" i="4"/>
  <c r="G13" i="4"/>
  <c r="R7" i="4" a="1"/>
  <c r="R7" i="4" s="1"/>
  <c r="F9" i="4"/>
  <c r="R64" i="2"/>
  <c r="Q64" i="2"/>
  <c r="K62" i="2"/>
  <c r="K61" i="2"/>
  <c r="K60" i="2"/>
  <c r="F55" i="2"/>
  <c r="L55" i="2" s="1"/>
  <c r="J61" i="2" l="1"/>
  <c r="J62" i="2"/>
  <c r="J60" i="2"/>
  <c r="I41" i="4"/>
  <c r="R9" i="4"/>
  <c r="R8" i="4"/>
  <c r="E14" i="3"/>
  <c r="F13" i="3"/>
  <c r="G13" i="3" l="1"/>
  <c r="D14" i="3" l="1"/>
  <c r="C14" i="3"/>
  <c r="B14" i="3"/>
  <c r="F14" i="3" l="1"/>
  <c r="G14" i="3" s="1"/>
  <c r="S35" i="1"/>
</calcChain>
</file>

<file path=xl/sharedStrings.xml><?xml version="1.0" encoding="utf-8"?>
<sst xmlns="http://schemas.openxmlformats.org/spreadsheetml/2006/main" count="278" uniqueCount="164">
  <si>
    <t>a.</t>
  </si>
  <si>
    <t>b.</t>
  </si>
  <si>
    <t>c.</t>
  </si>
  <si>
    <t>Zadatak 2</t>
  </si>
  <si>
    <t>Zadatak 1</t>
  </si>
  <si>
    <t>Zadatak 3</t>
  </si>
  <si>
    <t>DETALJNO OBRAZLAŽUĆI POSTUPAK I REZULTATE:</t>
  </si>
  <si>
    <t>Ispit iz predmeta PRIMJENJENA STATISTIKA</t>
  </si>
  <si>
    <t>Datum ispita:</t>
  </si>
  <si>
    <t>Podaci o studentu:</t>
  </si>
  <si>
    <t>Index</t>
  </si>
  <si>
    <t>Prezime</t>
  </si>
  <si>
    <t>Ime</t>
  </si>
  <si>
    <t xml:space="preserve">Zadatak 1 </t>
  </si>
  <si>
    <t>Max</t>
  </si>
  <si>
    <t>Bodova</t>
  </si>
  <si>
    <t>Ukupno</t>
  </si>
  <si>
    <t>Ocjena</t>
  </si>
  <si>
    <r>
      <t xml:space="preserve">KORISTITI PODATKE IZ </t>
    </r>
    <r>
      <rPr>
        <b/>
        <sz val="11"/>
        <color rgb="FFFF0000"/>
        <rFont val="Calibri"/>
        <family val="2"/>
        <scheme val="minor"/>
      </rPr>
      <t>TABELE 2</t>
    </r>
    <r>
      <rPr>
        <b/>
        <sz val="11"/>
        <color theme="1"/>
        <rFont val="Calibri"/>
        <family val="2"/>
        <scheme val="minor"/>
      </rPr>
      <t xml:space="preserve"> SA RADNOG LISTA PODACI, </t>
    </r>
    <r>
      <rPr>
        <b/>
        <sz val="11"/>
        <color rgb="FFFF0000"/>
        <rFont val="Calibri"/>
        <family val="2"/>
        <scheme val="minor"/>
      </rPr>
      <t>NE KOPIRAJUĆI IH</t>
    </r>
    <r>
      <rPr>
        <b/>
        <sz val="11"/>
        <color theme="1"/>
        <rFont val="Calibri"/>
        <family val="2"/>
        <scheme val="minor"/>
      </rPr>
      <t xml:space="preserve"> NA OVAJ RADNI LIST!</t>
    </r>
  </si>
  <si>
    <t>Zadatak 4</t>
  </si>
  <si>
    <r>
      <t xml:space="preserve">KORISTITI PODATKE SA RADNOG LISTA PODACI, </t>
    </r>
    <r>
      <rPr>
        <b/>
        <sz val="11"/>
        <color rgb="FFFF0000"/>
        <rFont val="Calibri"/>
        <family val="2"/>
        <scheme val="minor"/>
      </rPr>
      <t>NE KOPIRAJUĆI</t>
    </r>
    <r>
      <rPr>
        <b/>
        <sz val="11"/>
        <color theme="1"/>
        <rFont val="Calibri"/>
        <family val="2"/>
        <scheme val="minor"/>
      </rPr>
      <t xml:space="preserve"> IH NA OVAJ RADNI LIST!</t>
    </r>
  </si>
  <si>
    <t>Na radnom listu PivTab napraviti slijedeće pivot tabele:</t>
  </si>
  <si>
    <r>
      <t xml:space="preserve">KORISTITI PODATKE </t>
    </r>
    <r>
      <rPr>
        <b/>
        <sz val="11"/>
        <color theme="1"/>
        <rFont val="Calibri"/>
        <family val="2"/>
        <scheme val="minor"/>
      </rPr>
      <t>SA RADNOG LISTA PODACI, NE KOPIRAJUĆI IH NA OVAJ RADNI LIST!</t>
    </r>
  </si>
  <si>
    <r>
      <t xml:space="preserve">KORISTITI PODATKE SA RADNOG LISTA PODACI, </t>
    </r>
    <r>
      <rPr>
        <b/>
        <sz val="11"/>
        <color rgb="FFFF0000"/>
        <rFont val="Calibri"/>
        <family val="2"/>
        <scheme val="minor"/>
      </rPr>
      <t>NE KOPIRAJUĆI IH</t>
    </r>
    <r>
      <rPr>
        <b/>
        <sz val="11"/>
        <color theme="1"/>
        <rFont val="Calibri"/>
        <family val="2"/>
        <scheme val="minor"/>
      </rPr>
      <t xml:space="preserve"> NA OVAJ RADNI LIST!</t>
    </r>
  </si>
  <si>
    <t>Testirati hipoteze:</t>
  </si>
  <si>
    <t>RBr</t>
  </si>
  <si>
    <t>X1</t>
  </si>
  <si>
    <t>X2</t>
  </si>
  <si>
    <t>X3</t>
  </si>
  <si>
    <t>X4</t>
  </si>
  <si>
    <t>X5</t>
  </si>
  <si>
    <t>Na ovom radnom listu odrediti koje vrijednosti promjenjive X4 odgovaraju granicama 1. tercila za X5.</t>
  </si>
  <si>
    <t>Podjeliti promjenjive X2 i X5 u 3 razreda: do 80, 81 do 150 i 150 i više, a promjenjivu X3 u 2 razreda: do 500 i 501 i više i dalje smatrati da se nove promjenjive zovu XC2, XC3 i XC5.</t>
  </si>
  <si>
    <t xml:space="preserve">XC2 prema XC3 po prosječnoj vrijednosti X1 </t>
  </si>
  <si>
    <t>XC2 prema XC3 i XC5 (tabela kontigencije)</t>
  </si>
  <si>
    <t>Na osnovu 2. a. Izračunati koeficijente asimetrije i spljoštenosti za XC5.</t>
  </si>
  <si>
    <r>
      <t xml:space="preserve">Na osnovu 2. a. na ovom radnom listu napraviti histogram frekvencija sa pripadajućim sredinama </t>
    </r>
    <r>
      <rPr>
        <sz val="11"/>
        <color theme="1"/>
        <rFont val="Calibri"/>
        <family val="2"/>
      </rPr>
      <t>± 1 stdev za XC5</t>
    </r>
    <r>
      <rPr>
        <sz val="11"/>
        <color theme="1"/>
        <rFont val="Calibri"/>
        <family val="2"/>
        <scheme val="minor"/>
      </rPr>
      <t>.</t>
    </r>
  </si>
  <si>
    <t>X1 i X4 su nezavisne.</t>
  </si>
  <si>
    <t>Podjeliti promjenjive X2 i X5 u 3 razreda: do 80, 81 do 150 i 150 i više, a promjenjivu X3 u 2 razreda: do 500 i 501 i više i dalje smatrati da se nove promjenjive zovu XC2, XC3 i XC5. (bodovi se računaju u trećem zadatku)</t>
  </si>
  <si>
    <r>
      <t xml:space="preserve">Testirati pouzdanost parametara i regresije. </t>
    </r>
    <r>
      <rPr>
        <sz val="11"/>
        <color rgb="FFFF0000"/>
        <rFont val="Calibri"/>
        <family val="2"/>
        <scheme val="minor"/>
      </rPr>
      <t>Detaljno obrazložiti dobijene rezultate.</t>
    </r>
  </si>
  <si>
    <t>MOLIM NE PISATI NIŠTA NA OVOM LISTU OSIM PODATAKA O STUDENTU.</t>
  </si>
  <si>
    <t>Vrijednosti promjenjive XC3 zavise od vrijednosti promjenjive XC5. Napraviti tabelu kontigencije.</t>
  </si>
  <si>
    <r>
      <t xml:space="preserve">Primjenom funkcije LINEST odrediti zavisnost X1=f(X2,X3,X4,X5), obrazložiti marginalne doprinose i zapisati jednačinu populacije. </t>
    </r>
    <r>
      <rPr>
        <sz val="11"/>
        <color rgb="FFFF0000"/>
        <rFont val="Calibri"/>
        <family val="2"/>
        <scheme val="minor"/>
      </rPr>
      <t>Detaljno obrazložiti dobijene rezultate.</t>
    </r>
  </si>
  <si>
    <t>Na ovom radnom listu izračunati prostu (za X5) i razrednu sredinu (XC5), razrednu standardnu devijaciju, koeficijent varijacije i 99%-tni interval povjerenja u sredinu uzorka.</t>
  </si>
  <si>
    <t>Postaviti hipoteze i detaljno obrazložiti rezonovanje.</t>
  </si>
  <si>
    <t>21.6.2018.</t>
  </si>
  <si>
    <t>Studenti koji rade drugi parcijalni rade zadatke 2-4.</t>
  </si>
  <si>
    <r>
      <t>Da li je jača zavisnost pod a. Ili X1=f(X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2,X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3,X4,X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5)? </t>
    </r>
    <r>
      <rPr>
        <sz val="11"/>
        <color rgb="FFFF0000"/>
        <rFont val="Calibri"/>
        <family val="2"/>
        <scheme val="minor"/>
      </rPr>
      <t>Detaljno obrazložiti odgovor.</t>
    </r>
  </si>
  <si>
    <t>XC2</t>
  </si>
  <si>
    <t>XC5</t>
  </si>
  <si>
    <t>XC3</t>
  </si>
  <si>
    <t>Sum of XC2</t>
  </si>
  <si>
    <t>Row Labels</t>
  </si>
  <si>
    <t>Grand Total</t>
  </si>
  <si>
    <t>Column Labels</t>
  </si>
  <si>
    <t>Count of XC2</t>
  </si>
  <si>
    <t>B2</t>
  </si>
  <si>
    <t>B1</t>
  </si>
  <si>
    <t>C</t>
  </si>
  <si>
    <t>a</t>
  </si>
  <si>
    <t>Ukunpo elemenata</t>
  </si>
  <si>
    <t>Broj elemenata u tercili</t>
  </si>
  <si>
    <t xml:space="preserve">Rb. </t>
  </si>
  <si>
    <t>Granica</t>
  </si>
  <si>
    <t>RB. Granice</t>
  </si>
  <si>
    <t>U X5 u svakom tercilu imamo 17.67 elemenata.  Granica prvog tercila je 90.01. Iz toga slijedi da sve vrijednosti iz X4 koje su manje od 90.01 pripadaju prvom tercilu od X5</t>
  </si>
  <si>
    <t>1 Tercil</t>
  </si>
  <si>
    <t>Donja</t>
  </si>
  <si>
    <t>Gornja</t>
  </si>
  <si>
    <t>Min za X4</t>
  </si>
  <si>
    <t>Max za X4</t>
  </si>
  <si>
    <t>Vidimo da sve vrijednsoti X4 pripadaju prvo tercilu X5</t>
  </si>
  <si>
    <t>Prosta sredina X5</t>
  </si>
  <si>
    <t>Razred</t>
  </si>
  <si>
    <t>Gornja G</t>
  </si>
  <si>
    <t>DonjaG</t>
  </si>
  <si>
    <t>Fi</t>
  </si>
  <si>
    <t>Xsr</t>
  </si>
  <si>
    <t>FI</t>
  </si>
  <si>
    <t>FI*Xsr</t>
  </si>
  <si>
    <t>µ=</t>
  </si>
  <si>
    <r>
      <t>(xsr-</t>
    </r>
    <r>
      <rPr>
        <sz val="11"/>
        <color theme="1"/>
        <rFont val="Calibri"/>
        <family val="2"/>
      </rPr>
      <t>µ)^2*fi</t>
    </r>
  </si>
  <si>
    <t>var</t>
  </si>
  <si>
    <t>st.dev</t>
  </si>
  <si>
    <t xml:space="preserve">interval (𝜇 − 𝜎,𝜇 + 𝜎) obuhvata 68.26% elemenata uzorka, </t>
  </si>
  <si>
    <t xml:space="preserve">interval (𝜇 − 2𝜎,𝜇 + 2𝜎) obuhvata 95.44% elemenata uzorka, </t>
  </si>
  <si>
    <t xml:space="preserve">interval (𝜇 − 3𝜎,𝜇 + 3𝜎) obuhvata 99.73% elemenata uzorka </t>
  </si>
  <si>
    <t>koeficjent varijacije</t>
  </si>
  <si>
    <t>gornja granica</t>
  </si>
  <si>
    <t>donja</t>
  </si>
  <si>
    <t>donja granica</t>
  </si>
  <si>
    <t xml:space="preserve">Na osnovu koeficjenat vidimo da imamo prosjecnu varijaciju </t>
  </si>
  <si>
    <t>b</t>
  </si>
  <si>
    <t>(xsr-µ)^3*fi</t>
  </si>
  <si>
    <t>m3</t>
  </si>
  <si>
    <t>koeficjent asimetrije</t>
  </si>
  <si>
    <t>c</t>
  </si>
  <si>
    <t>(xsr-µ)^4*fi</t>
  </si>
  <si>
    <t>m4</t>
  </si>
  <si>
    <t>koeficjent splostenosti</t>
  </si>
  <si>
    <t>gornja</t>
  </si>
  <si>
    <t>Tumačenje rezultata:</t>
  </si>
  <si>
    <t>Koeficijent asimetrije iznosi 0.74(po apsolutnoj vrijednosti je vec od 0.1), pa se</t>
  </si>
  <si>
    <r>
      <t xml:space="preserve">smatra da je asimetrija </t>
    </r>
    <r>
      <rPr>
        <b/>
        <sz val="11"/>
        <rFont val="Calibri"/>
        <family val="2"/>
        <charset val="238"/>
        <scheme val="minor"/>
      </rPr>
      <t>nezanemariva,</t>
    </r>
    <r>
      <rPr>
        <sz val="11"/>
        <rFont val="Calibri"/>
        <family val="2"/>
        <scheme val="minor"/>
      </rPr>
      <t xml:space="preserve"> a skup distribuiran približno </t>
    </r>
    <r>
      <rPr>
        <b/>
        <sz val="11"/>
        <rFont val="Calibri"/>
        <family val="2"/>
        <charset val="238"/>
        <scheme val="minor"/>
      </rPr>
      <t>normalno.</t>
    </r>
  </si>
  <si>
    <r>
      <t xml:space="preserve">Koeficijent spljoštenosti iznosi 2.466083297, što je manje od 3, pa je distribucija </t>
    </r>
    <r>
      <rPr>
        <b/>
        <sz val="11"/>
        <rFont val="Calibri"/>
        <family val="2"/>
        <charset val="238"/>
        <scheme val="minor"/>
      </rPr>
      <t>spljoštena.</t>
    </r>
  </si>
  <si>
    <t>Uradeno  na podaci sheet</t>
  </si>
  <si>
    <t>H0: predpostavljamo da su vrijednosti XC3 I XC5 nezavisne</t>
  </si>
  <si>
    <t>Empirijske</t>
  </si>
  <si>
    <t>Ocekivane</t>
  </si>
  <si>
    <t>Hi kvadrat</t>
  </si>
  <si>
    <t>Hi emp</t>
  </si>
  <si>
    <t>Hi kr</t>
  </si>
  <si>
    <t>Posto smo dobili da je hi kriticno manje od hi empirijskog  , na nivou povjerljivosti od 5%, datu hipotezu ne mozemo prihvatiti</t>
  </si>
  <si>
    <t>H0: predpostavljamo da su vrijednosti X1 I X4 nezavisne</t>
  </si>
  <si>
    <t>Dijelimo X1 I X4 u grupe po average</t>
  </si>
  <si>
    <t xml:space="preserve">X1 avg </t>
  </si>
  <si>
    <t>X4 avg</t>
  </si>
  <si>
    <t>do 9</t>
  </si>
  <si>
    <t>od 9</t>
  </si>
  <si>
    <t>Posto smo dobili da je hi kriticno vece od hi empirijskog  , na nivou povjerljivosti od 5%, datu hipotezu mozemo prihvatiti</t>
  </si>
  <si>
    <t>R2,st dev</t>
  </si>
  <si>
    <t>F,v</t>
  </si>
  <si>
    <t>b4,b3,b2,b1,a</t>
  </si>
  <si>
    <t>sb4,sb3,sb2,sb1,sa</t>
  </si>
  <si>
    <t xml:space="preserve">X1 = </t>
  </si>
  <si>
    <t>X2*b1</t>
  </si>
  <si>
    <t>+</t>
  </si>
  <si>
    <t>X4*b3</t>
  </si>
  <si>
    <t>X3*b2</t>
  </si>
  <si>
    <t>X5*b4</t>
  </si>
  <si>
    <t>X2*0.007</t>
  </si>
  <si>
    <t>X3*0.0006</t>
  </si>
  <si>
    <t>-</t>
  </si>
  <si>
    <t>X4*-0.33</t>
  </si>
  <si>
    <t>X5*0.009</t>
  </si>
  <si>
    <t>Jednacina uzorka</t>
  </si>
  <si>
    <t>±</t>
  </si>
  <si>
    <t>T tab(0.05,48)</t>
  </si>
  <si>
    <t>X4*0.33</t>
  </si>
  <si>
    <t>Jednacina populacije</t>
  </si>
  <si>
    <t>Ukoliko se poveca X2 za jednu mjernu jedinicu, po uslovom da sve ostale ostanu fiksne,onda ce se X1 povecati za 0,007 mjernih jedinica</t>
  </si>
  <si>
    <t>Ukoliko se poveca X3 za jednu mjernu jedinicu, po uslovom da sve ostale ostanu fiksne,onda ce se X1 povecati za 0,0006 mjernih jedinica</t>
  </si>
  <si>
    <t>Ukoliko se poveca X4 za jednu mjernu jedinicu, po uslovom da sve ostale ostanu fiksne,onda ce se X1 umanjiti za 0,33 mjernih jedinica</t>
  </si>
  <si>
    <t>Ukoliko se poveca X5 za jednu mjernu jedinicu, po uslovom da sve ostale ostanu fiksne,onda ce se X1 umanjiti za 0.009 mjernih jedinica</t>
  </si>
  <si>
    <t>tb2</t>
  </si>
  <si>
    <t>tb1</t>
  </si>
  <si>
    <t>ta</t>
  </si>
  <si>
    <t>tb4</t>
  </si>
  <si>
    <t>tb3</t>
  </si>
  <si>
    <t>Parametar a je pouzdan zato sto je njegova empiriska vrijednost veca od kriticne  na nivou povjerljivosti od 5%</t>
  </si>
  <si>
    <t>Parametri b4,b3,b2,b1 su nepouzdani zato sto su njihove empiriske vrijednosti manje od kriticne  na nivou povjerljivosti od 5%</t>
  </si>
  <si>
    <t>F kr</t>
  </si>
  <si>
    <t>df1</t>
  </si>
  <si>
    <t>df2</t>
  </si>
  <si>
    <t>F emp</t>
  </si>
  <si>
    <t>Regresija je nepouzdana zato sto, na nivou povjerljivosti od 5%, smo dobili empirisku vrijednost manju od kriticne</t>
  </si>
  <si>
    <t>R2a</t>
  </si>
  <si>
    <t>R2b</t>
  </si>
  <si>
    <t>Kako bi provjerili koja od regresija je pouzdanija mozemo provjeriti koeficjent determinacije I pouzdanost regresije</t>
  </si>
  <si>
    <t>Fa</t>
  </si>
  <si>
    <t>Fb</t>
  </si>
  <si>
    <t xml:space="preserve">Iz podataka vidimo da je jaca  I pozudanija korelacija pod a nego pod c </t>
  </si>
  <si>
    <t xml:space="preserve">URADENO NA LISTU PODACI </t>
  </si>
  <si>
    <t>Kolone X2 X5 I X3 su posebno izdvojene te sortirane rastucim redoslijedom. Pored svake vrijednosti je stavljeno 1 2 ili 3 za X2 I X5 ovisi o datom kriteriju , a 1 I 2 za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</si>
</sst>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7" fillId="3" borderId="0" xfId="1"/>
    <xf numFmtId="0" fontId="8" fillId="0" borderId="3" xfId="0" applyFont="1" applyFill="1" applyBorder="1"/>
    <xf numFmtId="0" fontId="9" fillId="0" borderId="4" xfId="0" applyFont="1" applyFill="1" applyBorder="1"/>
    <xf numFmtId="0" fontId="0" fillId="0" borderId="5" xfId="0" applyFill="1" applyBorder="1"/>
    <xf numFmtId="0" fontId="10" fillId="0" borderId="6" xfId="0" applyFont="1" applyFill="1" applyBorder="1"/>
    <xf numFmtId="0" fontId="10" fillId="0" borderId="0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10" xfId="0" applyFont="1" applyFill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1" fontId="0" fillId="0" borderId="11" xfId="0" applyNumberForma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0" fillId="0" borderId="0" xfId="0" quotePrefix="1"/>
  </cellXfs>
  <cellStyles count="2">
    <cellStyle name="Good" xfId="1" builtinId="26"/>
    <cellStyle name="Normal" xfId="0" builtinId="0"/>
  </cellStyles>
  <dxfs count="2">
    <dxf>
      <numFmt numFmtId="2" formatCode="0.0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Zad2!$R$7:$R$9</c:f>
              <c:numCache>
                <c:formatCode>General</c:formatCode>
                <c:ptCount val="3"/>
                <c:pt idx="0">
                  <c:v>14</c:v>
                </c:pt>
                <c:pt idx="1">
                  <c:v>28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8-486B-9074-BD6909A25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265832"/>
        <c:axId val="462267800"/>
      </c:barChart>
      <c:catAx>
        <c:axId val="462265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67800"/>
        <c:crosses val="autoZero"/>
        <c:auto val="1"/>
        <c:lblAlgn val="ctr"/>
        <c:lblOffset val="100"/>
        <c:noMultiLvlLbl val="0"/>
      </c:catAx>
      <c:valAx>
        <c:axId val="4622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6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45</xdr:row>
      <xdr:rowOff>23812</xdr:rowOff>
    </xdr:from>
    <xdr:to>
      <xdr:col>10</xdr:col>
      <xdr:colOff>447675</xdr:colOff>
      <xdr:row>59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F9351A-E49F-4B28-B6DE-861D337C5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47</xdr:row>
      <xdr:rowOff>104775</xdr:rowOff>
    </xdr:from>
    <xdr:to>
      <xdr:col>9</xdr:col>
      <xdr:colOff>419100</xdr:colOff>
      <xdr:row>58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5D756E7-D0C9-4CF1-92E4-2940D8FD0AAE}"/>
            </a:ext>
          </a:extLst>
        </xdr:cNvPr>
        <xdr:cNvCxnSpPr/>
      </xdr:nvCxnSpPr>
      <xdr:spPr>
        <a:xfrm>
          <a:off x="5267325" y="9058275"/>
          <a:ext cx="9525" cy="200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352424</xdr:colOff>
      <xdr:row>49</xdr:row>
      <xdr:rowOff>85725</xdr:rowOff>
    </xdr:from>
    <xdr:to>
      <xdr:col>10</xdr:col>
      <xdr:colOff>590550</xdr:colOff>
      <xdr:row>52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6B18579-E8E9-4C58-9F69-E109B0075B0A}"/>
            </a:ext>
          </a:extLst>
        </xdr:cNvPr>
        <xdr:cNvSpPr txBox="1"/>
      </xdr:nvSpPr>
      <xdr:spPr>
        <a:xfrm>
          <a:off x="5210174" y="9420225"/>
          <a:ext cx="847726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µ+stdev 178.0159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219075</xdr:colOff>
      <xdr:row>46</xdr:row>
      <xdr:rowOff>0</xdr:rowOff>
    </xdr:from>
    <xdr:to>
      <xdr:col>4</xdr:col>
      <xdr:colOff>228600</xdr:colOff>
      <xdr:row>58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E13C8B0-8817-4346-A971-98D809D9D305}"/>
            </a:ext>
          </a:extLst>
        </xdr:cNvPr>
        <xdr:cNvCxnSpPr/>
      </xdr:nvCxnSpPr>
      <xdr:spPr>
        <a:xfrm>
          <a:off x="2076450" y="8763000"/>
          <a:ext cx="9525" cy="2295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48</xdr:row>
      <xdr:rowOff>66675</xdr:rowOff>
    </xdr:from>
    <xdr:to>
      <xdr:col>5</xdr:col>
      <xdr:colOff>419100</xdr:colOff>
      <xdr:row>51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FF4683-D593-4B83-88DD-FC01DC2ECFAA}"/>
            </a:ext>
          </a:extLst>
        </xdr:cNvPr>
        <xdr:cNvSpPr txBox="1"/>
      </xdr:nvSpPr>
      <xdr:spPr>
        <a:xfrm>
          <a:off x="1828800" y="9210675"/>
          <a:ext cx="9429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µ-stdev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65.60674</a:t>
          </a:r>
          <a:r>
            <a:rPr lang="en-US"/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sad" refreshedDate="43277.532382754631" createdVersion="6" refreshedVersion="6" minRefreshableVersion="3" recordCount="53" xr:uid="{D268FA4B-0911-4940-9A0B-D3BB8588176B}">
  <cacheSource type="worksheet">
    <worksheetSource ref="I1:O54" sheet="Podaci"/>
  </cacheSource>
  <cacheFields count="7">
    <cacheField name="X1" numFmtId="0">
      <sharedItems containsSemiMixedTypes="0" containsString="0" containsNumber="1" minValue="3.5999999049999998" maxValue="12.80000019" count="38">
        <n v="8"/>
        <n v="9.3000001910000005"/>
        <n v="7.5"/>
        <n v="8.8999996190000008"/>
        <n v="10.19999981"/>
        <n v="8.3000001910000005"/>
        <n v="8.8000001910000005"/>
        <n v="10.69999981"/>
        <n v="11.69999981"/>
        <n v="8.5"/>
        <n v="8.1999998089999995"/>
        <n v="7.9000000950000002"/>
        <n v="10.30000019"/>
        <n v="7.4000000950000002"/>
        <n v="9.6000003809999992"/>
        <n v="10.600000380000001"/>
        <n v="9.6999998089999995"/>
        <n v="11.600000380000001"/>
        <n v="8.1000003809999992"/>
        <n v="9.8000001910000005"/>
        <n v="9.3999996190000008"/>
        <n v="11.19999981"/>
        <n v="9.1000003809999992"/>
        <n v="10.5"/>
        <n v="11.899999619999999"/>
        <n v="8.3999996190000008"/>
        <n v="5"/>
        <n v="10.80000019"/>
        <n v="10.100000380000001"/>
        <n v="10.899999619999999"/>
        <n v="9.1999998089999995"/>
        <n v="7.3000001909999996"/>
        <n v="3.5999999049999998"/>
        <n v="9"/>
        <n v="10"/>
        <n v="11.30000019"/>
        <n v="12.80000019"/>
        <n v="6.6999998090000004"/>
      </sharedItems>
    </cacheField>
    <cacheField name="X2" numFmtId="0">
      <sharedItems containsSemiMixedTypes="0" containsString="0" containsNumber="1" containsInteger="1" minValue="60" maxValue="238"/>
    </cacheField>
    <cacheField name="XC2" numFmtId="0">
      <sharedItems containsSemiMixedTypes="0" containsString="0" containsNumber="1" containsInteger="1" minValue="1" maxValue="3" count="3">
        <n v="1"/>
        <n v="2"/>
        <n v="3"/>
      </sharedItems>
    </cacheField>
    <cacheField name="X5" numFmtId="0">
      <sharedItems containsSemiMixedTypes="0" containsString="0" containsNumber="1" containsInteger="1" minValue="35" maxValue="292"/>
    </cacheField>
    <cacheField name="XC5" numFmtId="0">
      <sharedItems containsSemiMixedTypes="0" containsString="0" containsNumber="1" containsInteger="1" minValue="1" maxValue="3"/>
    </cacheField>
    <cacheField name="X3" numFmtId="0">
      <sharedItems containsSemiMixedTypes="0" containsString="0" containsNumber="1" containsInteger="1" minValue="190" maxValue="1792"/>
    </cacheField>
    <cacheField name="XC3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sad" refreshedDate="43277.534866435184" createdVersion="6" refreshedVersion="6" minRefreshableVersion="3" recordCount="53" xr:uid="{293DD66C-E2CB-481D-956A-AA162A8CF27A}">
  <cacheSource type="worksheet">
    <worksheetSource ref="J1:O54" sheet="Podaci"/>
  </cacheSource>
  <cacheFields count="6">
    <cacheField name="X2" numFmtId="0">
      <sharedItems containsSemiMixedTypes="0" containsString="0" containsNumber="1" containsInteger="1" minValue="60" maxValue="238"/>
    </cacheField>
    <cacheField name="XC2" numFmtId="0">
      <sharedItems containsSemiMixedTypes="0" containsString="0" containsNumber="1" containsInteger="1" minValue="1" maxValue="3"/>
    </cacheField>
    <cacheField name="X5" numFmtId="0">
      <sharedItems containsSemiMixedTypes="0" containsString="0" containsNumber="1" containsInteger="1" minValue="35" maxValue="292"/>
    </cacheField>
    <cacheField name="XC5" numFmtId="0">
      <sharedItems containsSemiMixedTypes="0" containsString="0" containsNumber="1" containsInteger="1" minValue="1" maxValue="3" count="3">
        <n v="1"/>
        <n v="2"/>
        <n v="3"/>
      </sharedItems>
    </cacheField>
    <cacheField name="X3" numFmtId="0">
      <sharedItems containsSemiMixedTypes="0" containsString="0" containsNumber="1" containsInteger="1" minValue="190" maxValue="1792"/>
    </cacheField>
    <cacheField name="XC3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60"/>
    <x v="0"/>
    <n v="35"/>
    <n v="1"/>
    <n v="190"/>
    <x v="0"/>
  </r>
  <r>
    <x v="1"/>
    <n v="68"/>
    <x v="0"/>
    <n v="40"/>
    <n v="1"/>
    <n v="205"/>
    <x v="0"/>
  </r>
  <r>
    <x v="2"/>
    <n v="68"/>
    <x v="0"/>
    <n v="50"/>
    <n v="1"/>
    <n v="257"/>
    <x v="0"/>
  </r>
  <r>
    <x v="3"/>
    <n v="70"/>
    <x v="0"/>
    <n v="52"/>
    <n v="1"/>
    <n v="284"/>
    <x v="0"/>
  </r>
  <r>
    <x v="4"/>
    <n v="71"/>
    <x v="0"/>
    <n v="57"/>
    <n v="1"/>
    <n v="284"/>
    <x v="0"/>
  </r>
  <r>
    <x v="5"/>
    <n v="74"/>
    <x v="0"/>
    <n v="57"/>
    <n v="1"/>
    <n v="288"/>
    <x v="0"/>
  </r>
  <r>
    <x v="6"/>
    <n v="75"/>
    <x v="0"/>
    <n v="57"/>
    <n v="1"/>
    <n v="316"/>
    <x v="0"/>
  </r>
  <r>
    <x v="6"/>
    <n v="77"/>
    <x v="0"/>
    <n v="60"/>
    <n v="1"/>
    <n v="329"/>
    <x v="0"/>
  </r>
  <r>
    <x v="7"/>
    <n v="78"/>
    <x v="0"/>
    <n v="69"/>
    <n v="1"/>
    <n v="345"/>
    <x v="0"/>
  </r>
  <r>
    <x v="8"/>
    <n v="78"/>
    <x v="0"/>
    <n v="71"/>
    <n v="1"/>
    <n v="345"/>
    <x v="0"/>
  </r>
  <r>
    <x v="9"/>
    <n v="80"/>
    <x v="0"/>
    <n v="77"/>
    <n v="1"/>
    <n v="345"/>
    <x v="0"/>
  </r>
  <r>
    <x v="5"/>
    <n v="82"/>
    <x v="1"/>
    <n v="78"/>
    <n v="1"/>
    <n v="347"/>
    <x v="0"/>
  </r>
  <r>
    <x v="10"/>
    <n v="82"/>
    <x v="1"/>
    <n v="80"/>
    <n v="1"/>
    <n v="348"/>
    <x v="0"/>
  </r>
  <r>
    <x v="11"/>
    <n v="82"/>
    <x v="1"/>
    <n v="80"/>
    <n v="1"/>
    <n v="353"/>
    <x v="0"/>
  </r>
  <r>
    <x v="12"/>
    <n v="83"/>
    <x v="1"/>
    <n v="86"/>
    <n v="2"/>
    <n v="354"/>
    <x v="0"/>
  </r>
  <r>
    <x v="13"/>
    <n v="84"/>
    <x v="1"/>
    <n v="86"/>
    <n v="2"/>
    <n v="362"/>
    <x v="0"/>
  </r>
  <r>
    <x v="14"/>
    <n v="89"/>
    <x v="1"/>
    <n v="88"/>
    <n v="2"/>
    <n v="366"/>
    <x v="0"/>
  </r>
  <r>
    <x v="1"/>
    <n v="94"/>
    <x v="1"/>
    <n v="91"/>
    <n v="2"/>
    <n v="370"/>
    <x v="0"/>
  </r>
  <r>
    <x v="15"/>
    <n v="96"/>
    <x v="1"/>
    <n v="92"/>
    <n v="2"/>
    <n v="383"/>
    <x v="0"/>
  </r>
  <r>
    <x v="16"/>
    <n v="96"/>
    <x v="1"/>
    <n v="93"/>
    <n v="2"/>
    <n v="388"/>
    <x v="0"/>
  </r>
  <r>
    <x v="17"/>
    <n v="97"/>
    <x v="1"/>
    <n v="94"/>
    <n v="2"/>
    <n v="430"/>
    <x v="0"/>
  </r>
  <r>
    <x v="18"/>
    <n v="109"/>
    <x v="1"/>
    <n v="95"/>
    <n v="2"/>
    <n v="433"/>
    <x v="0"/>
  </r>
  <r>
    <x v="19"/>
    <n v="111"/>
    <x v="1"/>
    <n v="95"/>
    <n v="2"/>
    <n v="452"/>
    <x v="0"/>
  </r>
  <r>
    <x v="13"/>
    <n v="111"/>
    <x v="1"/>
    <n v="97"/>
    <n v="2"/>
    <n v="463"/>
    <x v="0"/>
  </r>
  <r>
    <x v="20"/>
    <n v="112"/>
    <x v="1"/>
    <n v="101"/>
    <n v="2"/>
    <n v="477"/>
    <x v="0"/>
  </r>
  <r>
    <x v="21"/>
    <n v="112"/>
    <x v="1"/>
    <n v="102"/>
    <n v="2"/>
    <n v="499"/>
    <x v="0"/>
  </r>
  <r>
    <x v="22"/>
    <n v="114"/>
    <x v="1"/>
    <n v="103"/>
    <n v="2"/>
    <n v="525"/>
    <x v="1"/>
  </r>
  <r>
    <x v="23"/>
    <n v="116"/>
    <x v="1"/>
    <n v="106"/>
    <n v="2"/>
    <n v="540"/>
    <x v="1"/>
  </r>
  <r>
    <x v="24"/>
    <n v="118"/>
    <x v="1"/>
    <n v="106"/>
    <n v="2"/>
    <n v="540"/>
    <x v="1"/>
  </r>
  <r>
    <x v="25"/>
    <n v="118"/>
    <x v="1"/>
    <n v="108"/>
    <n v="2"/>
    <n v="544"/>
    <x v="1"/>
  </r>
  <r>
    <x v="26"/>
    <n v="119"/>
    <x v="1"/>
    <n v="108"/>
    <n v="2"/>
    <n v="603"/>
    <x v="1"/>
  </r>
  <r>
    <x v="19"/>
    <n v="119"/>
    <x v="1"/>
    <n v="109"/>
    <n v="2"/>
    <n v="631"/>
    <x v="1"/>
  </r>
  <r>
    <x v="19"/>
    <n v="121"/>
    <x v="1"/>
    <n v="110"/>
    <n v="2"/>
    <n v="634"/>
    <x v="1"/>
  </r>
  <r>
    <x v="27"/>
    <n v="125"/>
    <x v="1"/>
    <n v="111"/>
    <n v="2"/>
    <n v="636"/>
    <x v="1"/>
  </r>
  <r>
    <x v="28"/>
    <n v="125"/>
    <x v="1"/>
    <n v="113"/>
    <n v="2"/>
    <n v="648"/>
    <x v="1"/>
  </r>
  <r>
    <x v="29"/>
    <n v="129"/>
    <x v="1"/>
    <n v="117"/>
    <n v="2"/>
    <n v="668"/>
    <x v="1"/>
  </r>
  <r>
    <x v="30"/>
    <n v="130"/>
    <x v="1"/>
    <n v="124"/>
    <n v="2"/>
    <n v="669"/>
    <x v="1"/>
  </r>
  <r>
    <x v="5"/>
    <n v="130"/>
    <x v="1"/>
    <n v="126"/>
    <n v="2"/>
    <n v="671"/>
    <x v="1"/>
  </r>
  <r>
    <x v="31"/>
    <n v="131"/>
    <x v="1"/>
    <n v="127"/>
    <n v="2"/>
    <n v="680"/>
    <x v="1"/>
  </r>
  <r>
    <x v="20"/>
    <n v="134"/>
    <x v="1"/>
    <n v="129"/>
    <n v="2"/>
    <n v="686"/>
    <x v="1"/>
  </r>
  <r>
    <x v="20"/>
    <n v="140"/>
    <x v="1"/>
    <n v="134"/>
    <n v="2"/>
    <n v="688"/>
    <x v="1"/>
  </r>
  <r>
    <x v="19"/>
    <n v="142"/>
    <x v="1"/>
    <n v="144"/>
    <n v="2"/>
    <n v="718"/>
    <x v="1"/>
  </r>
  <r>
    <x v="32"/>
    <n v="145"/>
    <x v="1"/>
    <n v="150"/>
    <n v="3"/>
    <n v="728"/>
    <x v="1"/>
  </r>
  <r>
    <x v="25"/>
    <n v="149"/>
    <x v="1"/>
    <n v="152"/>
    <n v="3"/>
    <n v="739"/>
    <x v="1"/>
  </r>
  <r>
    <x v="27"/>
    <n v="153"/>
    <x v="2"/>
    <n v="158"/>
    <n v="3"/>
    <n v="822"/>
    <x v="1"/>
  </r>
  <r>
    <x v="28"/>
    <n v="154"/>
    <x v="2"/>
    <n v="162"/>
    <n v="3"/>
    <n v="867"/>
    <x v="1"/>
  </r>
  <r>
    <x v="33"/>
    <n v="161"/>
    <x v="2"/>
    <n v="162"/>
    <n v="3"/>
    <n v="870"/>
    <x v="1"/>
  </r>
  <r>
    <x v="34"/>
    <n v="168"/>
    <x v="2"/>
    <n v="177"/>
    <n v="3"/>
    <n v="925"/>
    <x v="1"/>
  </r>
  <r>
    <x v="35"/>
    <n v="176"/>
    <x v="2"/>
    <n v="179"/>
    <n v="3"/>
    <n v="969"/>
    <x v="1"/>
  </r>
  <r>
    <x v="35"/>
    <n v="180"/>
    <x v="2"/>
    <n v="182"/>
    <n v="3"/>
    <n v="1264"/>
    <x v="1"/>
  </r>
  <r>
    <x v="36"/>
    <n v="183"/>
    <x v="2"/>
    <n v="186"/>
    <n v="3"/>
    <n v="1357"/>
    <x v="1"/>
  </r>
  <r>
    <x v="34"/>
    <n v="196"/>
    <x v="2"/>
    <n v="206"/>
    <n v="3"/>
    <n v="1632"/>
    <x v="1"/>
  </r>
  <r>
    <x v="37"/>
    <n v="238"/>
    <x v="2"/>
    <n v="292"/>
    <n v="3"/>
    <n v="179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n v="60"/>
    <n v="1"/>
    <n v="35"/>
    <x v="0"/>
    <n v="190"/>
    <x v="0"/>
  </r>
  <r>
    <n v="68"/>
    <n v="1"/>
    <n v="40"/>
    <x v="0"/>
    <n v="205"/>
    <x v="0"/>
  </r>
  <r>
    <n v="68"/>
    <n v="1"/>
    <n v="50"/>
    <x v="0"/>
    <n v="257"/>
    <x v="0"/>
  </r>
  <r>
    <n v="70"/>
    <n v="1"/>
    <n v="52"/>
    <x v="0"/>
    <n v="284"/>
    <x v="0"/>
  </r>
  <r>
    <n v="71"/>
    <n v="1"/>
    <n v="57"/>
    <x v="0"/>
    <n v="284"/>
    <x v="0"/>
  </r>
  <r>
    <n v="74"/>
    <n v="1"/>
    <n v="57"/>
    <x v="0"/>
    <n v="288"/>
    <x v="0"/>
  </r>
  <r>
    <n v="75"/>
    <n v="1"/>
    <n v="57"/>
    <x v="0"/>
    <n v="316"/>
    <x v="0"/>
  </r>
  <r>
    <n v="77"/>
    <n v="1"/>
    <n v="60"/>
    <x v="0"/>
    <n v="329"/>
    <x v="0"/>
  </r>
  <r>
    <n v="78"/>
    <n v="1"/>
    <n v="69"/>
    <x v="0"/>
    <n v="345"/>
    <x v="0"/>
  </r>
  <r>
    <n v="78"/>
    <n v="1"/>
    <n v="71"/>
    <x v="0"/>
    <n v="345"/>
    <x v="0"/>
  </r>
  <r>
    <n v="80"/>
    <n v="1"/>
    <n v="77"/>
    <x v="0"/>
    <n v="345"/>
    <x v="0"/>
  </r>
  <r>
    <n v="82"/>
    <n v="2"/>
    <n v="78"/>
    <x v="0"/>
    <n v="347"/>
    <x v="0"/>
  </r>
  <r>
    <n v="82"/>
    <n v="2"/>
    <n v="80"/>
    <x v="0"/>
    <n v="348"/>
    <x v="0"/>
  </r>
  <r>
    <n v="82"/>
    <n v="2"/>
    <n v="80"/>
    <x v="0"/>
    <n v="353"/>
    <x v="0"/>
  </r>
  <r>
    <n v="83"/>
    <n v="2"/>
    <n v="86"/>
    <x v="1"/>
    <n v="354"/>
    <x v="0"/>
  </r>
  <r>
    <n v="84"/>
    <n v="2"/>
    <n v="86"/>
    <x v="1"/>
    <n v="362"/>
    <x v="0"/>
  </r>
  <r>
    <n v="89"/>
    <n v="2"/>
    <n v="88"/>
    <x v="1"/>
    <n v="366"/>
    <x v="0"/>
  </r>
  <r>
    <n v="94"/>
    <n v="2"/>
    <n v="91"/>
    <x v="1"/>
    <n v="370"/>
    <x v="0"/>
  </r>
  <r>
    <n v="96"/>
    <n v="2"/>
    <n v="92"/>
    <x v="1"/>
    <n v="383"/>
    <x v="0"/>
  </r>
  <r>
    <n v="96"/>
    <n v="2"/>
    <n v="93"/>
    <x v="1"/>
    <n v="388"/>
    <x v="0"/>
  </r>
  <r>
    <n v="97"/>
    <n v="2"/>
    <n v="94"/>
    <x v="1"/>
    <n v="430"/>
    <x v="0"/>
  </r>
  <r>
    <n v="109"/>
    <n v="2"/>
    <n v="95"/>
    <x v="1"/>
    <n v="433"/>
    <x v="0"/>
  </r>
  <r>
    <n v="111"/>
    <n v="2"/>
    <n v="95"/>
    <x v="1"/>
    <n v="452"/>
    <x v="0"/>
  </r>
  <r>
    <n v="111"/>
    <n v="2"/>
    <n v="97"/>
    <x v="1"/>
    <n v="463"/>
    <x v="0"/>
  </r>
  <r>
    <n v="112"/>
    <n v="2"/>
    <n v="101"/>
    <x v="1"/>
    <n v="477"/>
    <x v="0"/>
  </r>
  <r>
    <n v="112"/>
    <n v="2"/>
    <n v="102"/>
    <x v="1"/>
    <n v="499"/>
    <x v="0"/>
  </r>
  <r>
    <n v="114"/>
    <n v="2"/>
    <n v="103"/>
    <x v="1"/>
    <n v="525"/>
    <x v="1"/>
  </r>
  <r>
    <n v="116"/>
    <n v="2"/>
    <n v="106"/>
    <x v="1"/>
    <n v="540"/>
    <x v="1"/>
  </r>
  <r>
    <n v="118"/>
    <n v="2"/>
    <n v="106"/>
    <x v="1"/>
    <n v="540"/>
    <x v="1"/>
  </r>
  <r>
    <n v="118"/>
    <n v="2"/>
    <n v="108"/>
    <x v="1"/>
    <n v="544"/>
    <x v="1"/>
  </r>
  <r>
    <n v="119"/>
    <n v="2"/>
    <n v="108"/>
    <x v="1"/>
    <n v="603"/>
    <x v="1"/>
  </r>
  <r>
    <n v="119"/>
    <n v="2"/>
    <n v="109"/>
    <x v="1"/>
    <n v="631"/>
    <x v="1"/>
  </r>
  <r>
    <n v="121"/>
    <n v="2"/>
    <n v="110"/>
    <x v="1"/>
    <n v="634"/>
    <x v="1"/>
  </r>
  <r>
    <n v="125"/>
    <n v="2"/>
    <n v="111"/>
    <x v="1"/>
    <n v="636"/>
    <x v="1"/>
  </r>
  <r>
    <n v="125"/>
    <n v="2"/>
    <n v="113"/>
    <x v="1"/>
    <n v="648"/>
    <x v="1"/>
  </r>
  <r>
    <n v="129"/>
    <n v="2"/>
    <n v="117"/>
    <x v="1"/>
    <n v="668"/>
    <x v="1"/>
  </r>
  <r>
    <n v="130"/>
    <n v="2"/>
    <n v="124"/>
    <x v="1"/>
    <n v="669"/>
    <x v="1"/>
  </r>
  <r>
    <n v="130"/>
    <n v="2"/>
    <n v="126"/>
    <x v="1"/>
    <n v="671"/>
    <x v="1"/>
  </r>
  <r>
    <n v="131"/>
    <n v="2"/>
    <n v="127"/>
    <x v="1"/>
    <n v="680"/>
    <x v="1"/>
  </r>
  <r>
    <n v="134"/>
    <n v="2"/>
    <n v="129"/>
    <x v="1"/>
    <n v="686"/>
    <x v="1"/>
  </r>
  <r>
    <n v="140"/>
    <n v="2"/>
    <n v="134"/>
    <x v="1"/>
    <n v="688"/>
    <x v="1"/>
  </r>
  <r>
    <n v="142"/>
    <n v="2"/>
    <n v="144"/>
    <x v="1"/>
    <n v="718"/>
    <x v="1"/>
  </r>
  <r>
    <n v="145"/>
    <n v="2"/>
    <n v="150"/>
    <x v="2"/>
    <n v="728"/>
    <x v="1"/>
  </r>
  <r>
    <n v="149"/>
    <n v="2"/>
    <n v="152"/>
    <x v="2"/>
    <n v="739"/>
    <x v="1"/>
  </r>
  <r>
    <n v="153"/>
    <n v="3"/>
    <n v="158"/>
    <x v="2"/>
    <n v="822"/>
    <x v="1"/>
  </r>
  <r>
    <n v="154"/>
    <n v="3"/>
    <n v="162"/>
    <x v="2"/>
    <n v="867"/>
    <x v="1"/>
  </r>
  <r>
    <n v="161"/>
    <n v="3"/>
    <n v="162"/>
    <x v="2"/>
    <n v="870"/>
    <x v="1"/>
  </r>
  <r>
    <n v="168"/>
    <n v="3"/>
    <n v="177"/>
    <x v="2"/>
    <n v="925"/>
    <x v="1"/>
  </r>
  <r>
    <n v="176"/>
    <n v="3"/>
    <n v="179"/>
    <x v="2"/>
    <n v="969"/>
    <x v="1"/>
  </r>
  <r>
    <n v="180"/>
    <n v="3"/>
    <n v="182"/>
    <x v="2"/>
    <n v="1264"/>
    <x v="1"/>
  </r>
  <r>
    <n v="183"/>
    <n v="3"/>
    <n v="186"/>
    <x v="2"/>
    <n v="1357"/>
    <x v="1"/>
  </r>
  <r>
    <n v="196"/>
    <n v="3"/>
    <n v="206"/>
    <x v="2"/>
    <n v="1632"/>
    <x v="1"/>
  </r>
  <r>
    <n v="238"/>
    <n v="3"/>
    <n v="292"/>
    <x v="2"/>
    <n v="179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7EC16-14DF-4CC3-9959-C693E5290916}" name="PivotTable3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0:O14" firstHeaderRow="1" firstDataRow="2" firstDataCol="1"/>
  <pivotFields count="6">
    <pivotField showAll="0"/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XC2" fld="1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6F476C-0652-4D42-BF7A-7CB6B86E65F9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0:F50" firstHeaderRow="1" firstDataRow="2" firstDataCol="1"/>
  <pivotFields count="7">
    <pivotField axis="axisRow" showAll="0">
      <items count="39">
        <item x="32"/>
        <item x="26"/>
        <item x="37"/>
        <item x="31"/>
        <item x="13"/>
        <item x="2"/>
        <item x="11"/>
        <item x="0"/>
        <item x="18"/>
        <item x="10"/>
        <item x="5"/>
        <item x="25"/>
        <item x="9"/>
        <item x="6"/>
        <item x="3"/>
        <item x="33"/>
        <item x="22"/>
        <item x="30"/>
        <item x="1"/>
        <item x="20"/>
        <item x="14"/>
        <item x="16"/>
        <item x="19"/>
        <item x="34"/>
        <item x="28"/>
        <item x="4"/>
        <item x="12"/>
        <item x="23"/>
        <item x="15"/>
        <item x="7"/>
        <item x="27"/>
        <item x="29"/>
        <item x="21"/>
        <item x="35"/>
        <item x="17"/>
        <item x="8"/>
        <item x="24"/>
        <item x="36"/>
        <item t="default"/>
      </items>
    </pivotField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XC2" fld="2" baseField="0" baseItem="0"/>
  </dataFields>
  <formats count="2">
    <format dxfId="0">
      <pivotArea outline="0" collapsedLevelsAreSubtotals="1" fieldPosition="0"/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8" sqref="C8"/>
    </sheetView>
  </sheetViews>
  <sheetFormatPr defaultRowHeight="15" x14ac:dyDescent="0.25"/>
  <sheetData>
    <row r="1" spans="1:7" x14ac:dyDescent="0.25">
      <c r="A1" s="2" t="s">
        <v>7</v>
      </c>
      <c r="B1" s="2"/>
      <c r="C1" s="2"/>
    </row>
    <row r="2" spans="1:7" x14ac:dyDescent="0.25">
      <c r="A2" s="2"/>
      <c r="B2" s="2"/>
      <c r="C2" s="2"/>
    </row>
    <row r="3" spans="1:7" x14ac:dyDescent="0.25">
      <c r="A3" s="2" t="s">
        <v>8</v>
      </c>
      <c r="B3" s="2"/>
      <c r="C3" s="2"/>
    </row>
    <row r="4" spans="1:7" x14ac:dyDescent="0.25">
      <c r="A4" s="2" t="s">
        <v>45</v>
      </c>
      <c r="B4" s="2"/>
      <c r="C4" s="2"/>
    </row>
    <row r="5" spans="1:7" x14ac:dyDescent="0.25">
      <c r="A5" s="2"/>
      <c r="B5" s="2"/>
      <c r="C5" s="2"/>
    </row>
    <row r="6" spans="1:7" x14ac:dyDescent="0.25">
      <c r="A6" s="2" t="s">
        <v>9</v>
      </c>
      <c r="B6" s="2"/>
      <c r="C6" s="2"/>
    </row>
    <row r="7" spans="1:7" x14ac:dyDescent="0.25">
      <c r="A7" s="13" t="s">
        <v>10</v>
      </c>
      <c r="B7" s="13" t="s">
        <v>11</v>
      </c>
      <c r="C7" s="13" t="s">
        <v>12</v>
      </c>
    </row>
    <row r="8" spans="1:7" x14ac:dyDescent="0.25">
      <c r="A8" s="5"/>
      <c r="B8" s="6"/>
      <c r="C8" s="6"/>
    </row>
    <row r="10" spans="1:7" x14ac:dyDescent="0.25">
      <c r="A10" t="s">
        <v>46</v>
      </c>
    </row>
    <row r="12" spans="1:7" x14ac:dyDescent="0.25">
      <c r="A12" s="5"/>
      <c r="B12" s="4" t="s">
        <v>13</v>
      </c>
      <c r="C12" s="4" t="s">
        <v>3</v>
      </c>
      <c r="D12" s="4" t="s">
        <v>5</v>
      </c>
      <c r="E12" s="4" t="s">
        <v>19</v>
      </c>
      <c r="F12" s="4" t="s">
        <v>16</v>
      </c>
      <c r="G12" s="4" t="s">
        <v>17</v>
      </c>
    </row>
    <row r="13" spans="1:7" x14ac:dyDescent="0.25">
      <c r="A13" s="5" t="s">
        <v>14</v>
      </c>
      <c r="B13" s="4">
        <v>20</v>
      </c>
      <c r="C13" s="4">
        <v>30</v>
      </c>
      <c r="D13" s="4">
        <v>25</v>
      </c>
      <c r="E13" s="4">
        <v>25</v>
      </c>
      <c r="F13" s="4">
        <f>SUM(B13:E13)</f>
        <v>100</v>
      </c>
      <c r="G13" s="4">
        <f>ROUND(F13/10,0)</f>
        <v>10</v>
      </c>
    </row>
    <row r="14" spans="1:7" x14ac:dyDescent="0.25">
      <c r="A14" s="5" t="s">
        <v>15</v>
      </c>
      <c r="B14" s="4">
        <f>Zad1!A2</f>
        <v>0</v>
      </c>
      <c r="C14" s="4">
        <f>Zad2!A2</f>
        <v>0</v>
      </c>
      <c r="D14" s="4">
        <f>Zad3!A2</f>
        <v>0</v>
      </c>
      <c r="E14" s="4">
        <f>Zad4!A2</f>
        <v>0</v>
      </c>
      <c r="F14" s="4">
        <f>SUM(B14:E14)</f>
        <v>0</v>
      </c>
      <c r="G14" s="4">
        <f>ROUND(F14/10,0)</f>
        <v>0</v>
      </c>
    </row>
    <row r="16" spans="1:7" x14ac:dyDescent="0.25">
      <c r="A16" s="7" t="s">
        <v>40</v>
      </c>
    </row>
    <row r="17" spans="1:1" x14ac:dyDescent="0.25">
      <c r="A17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4"/>
  <sheetViews>
    <sheetView topLeftCell="A26" workbookViewId="0">
      <selection activeCell="Q14" sqref="Q14"/>
    </sheetView>
  </sheetViews>
  <sheetFormatPr defaultColWidth="9.140625" defaultRowHeight="15" x14ac:dyDescent="0.25"/>
  <cols>
    <col min="1" max="6" width="5.5703125" style="12" customWidth="1"/>
    <col min="7" max="9" width="9.140625" style="11" customWidth="1"/>
    <col min="10" max="10" width="5.5703125" style="12" customWidth="1"/>
    <col min="12" max="12" width="5.5703125" style="12" customWidth="1"/>
    <col min="13" max="13" width="9.140625" style="11"/>
    <col min="14" max="14" width="5.5703125" style="12" customWidth="1"/>
    <col min="15" max="15" width="9.140625" style="11"/>
    <col min="18" max="18" width="9.140625" style="11"/>
    <col min="19" max="19" width="5.5703125" style="12" customWidth="1"/>
    <col min="20" max="16384" width="9.140625" style="11"/>
  </cols>
  <sheetData>
    <row r="1" spans="1:20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I1" s="12" t="s">
        <v>26</v>
      </c>
      <c r="J1" s="12" t="s">
        <v>27</v>
      </c>
      <c r="K1" t="s">
        <v>48</v>
      </c>
      <c r="L1" s="12" t="s">
        <v>30</v>
      </c>
      <c r="M1" s="11" t="s">
        <v>49</v>
      </c>
      <c r="N1" s="12" t="s">
        <v>28</v>
      </c>
      <c r="O1" s="11" t="s">
        <v>50</v>
      </c>
      <c r="Q1" t="s">
        <v>48</v>
      </c>
      <c r="R1" s="11" t="s">
        <v>50</v>
      </c>
      <c r="S1" s="12" t="s">
        <v>29</v>
      </c>
      <c r="T1" s="11" t="s">
        <v>49</v>
      </c>
    </row>
    <row r="2" spans="1:20" x14ac:dyDescent="0.25">
      <c r="A2" s="12">
        <v>1</v>
      </c>
      <c r="B2" s="12">
        <v>8</v>
      </c>
      <c r="C2" s="12">
        <v>78</v>
      </c>
      <c r="D2" s="12">
        <v>284</v>
      </c>
      <c r="E2" s="12">
        <v>9.1000003809999992</v>
      </c>
      <c r="F2" s="12">
        <v>109</v>
      </c>
      <c r="I2" s="12">
        <v>8</v>
      </c>
      <c r="J2" s="12">
        <v>60</v>
      </c>
      <c r="K2">
        <v>1</v>
      </c>
      <c r="L2" s="12">
        <v>35</v>
      </c>
      <c r="M2" s="11">
        <v>1</v>
      </c>
      <c r="N2" s="12">
        <v>190</v>
      </c>
      <c r="O2" s="11">
        <v>1</v>
      </c>
      <c r="Q2">
        <v>1</v>
      </c>
      <c r="R2" s="11">
        <v>1</v>
      </c>
      <c r="S2" s="12">
        <v>9.1000003809999992</v>
      </c>
      <c r="T2" s="11">
        <v>1</v>
      </c>
    </row>
    <row r="3" spans="1:20" x14ac:dyDescent="0.25">
      <c r="A3" s="12">
        <v>2</v>
      </c>
      <c r="B3" s="12">
        <v>9.3000001910000005</v>
      </c>
      <c r="C3" s="12">
        <v>68</v>
      </c>
      <c r="D3" s="12">
        <v>433</v>
      </c>
      <c r="E3" s="12">
        <v>8.6999998089999995</v>
      </c>
      <c r="F3" s="12">
        <v>144</v>
      </c>
      <c r="I3" s="12">
        <v>9.3000001910000005</v>
      </c>
      <c r="J3" s="12">
        <v>68</v>
      </c>
      <c r="K3">
        <v>1</v>
      </c>
      <c r="L3" s="12">
        <v>40</v>
      </c>
      <c r="M3" s="11">
        <v>1</v>
      </c>
      <c r="N3" s="12">
        <v>205</v>
      </c>
      <c r="O3" s="11">
        <v>1</v>
      </c>
      <c r="Q3">
        <v>1</v>
      </c>
      <c r="R3" s="11">
        <v>1</v>
      </c>
      <c r="S3" s="12">
        <v>8.6999998089999995</v>
      </c>
      <c r="T3" s="11">
        <v>1</v>
      </c>
    </row>
    <row r="4" spans="1:20" x14ac:dyDescent="0.25">
      <c r="A4" s="12">
        <v>3</v>
      </c>
      <c r="B4" s="12">
        <v>7.5</v>
      </c>
      <c r="C4" s="12">
        <v>70</v>
      </c>
      <c r="D4" s="12">
        <v>739</v>
      </c>
      <c r="E4" s="12">
        <v>7.1999998090000004</v>
      </c>
      <c r="F4" s="12">
        <v>113</v>
      </c>
      <c r="I4" s="12">
        <v>7.5</v>
      </c>
      <c r="J4" s="12">
        <v>68</v>
      </c>
      <c r="K4">
        <v>1</v>
      </c>
      <c r="L4" s="12">
        <v>50</v>
      </c>
      <c r="M4" s="11">
        <v>1</v>
      </c>
      <c r="N4" s="12">
        <v>257</v>
      </c>
      <c r="O4" s="11">
        <v>1</v>
      </c>
      <c r="Q4">
        <v>1</v>
      </c>
      <c r="R4" s="11">
        <v>1</v>
      </c>
      <c r="S4" s="12">
        <v>7.1999998090000004</v>
      </c>
      <c r="T4" s="11">
        <v>1</v>
      </c>
    </row>
    <row r="5" spans="1:20" x14ac:dyDescent="0.25">
      <c r="A5" s="12">
        <v>4</v>
      </c>
      <c r="B5" s="12">
        <v>8.8999996190000008</v>
      </c>
      <c r="C5" s="12">
        <v>96</v>
      </c>
      <c r="D5" s="12">
        <v>1792</v>
      </c>
      <c r="E5" s="12">
        <v>8.8999996190000008</v>
      </c>
      <c r="F5" s="12">
        <v>97</v>
      </c>
      <c r="I5" s="12">
        <v>8.8999996190000008</v>
      </c>
      <c r="J5" s="12">
        <v>70</v>
      </c>
      <c r="K5">
        <v>1</v>
      </c>
      <c r="L5" s="12">
        <v>52</v>
      </c>
      <c r="M5" s="11">
        <v>1</v>
      </c>
      <c r="N5" s="12">
        <v>284</v>
      </c>
      <c r="O5" s="11">
        <v>1</v>
      </c>
      <c r="Q5">
        <v>1</v>
      </c>
      <c r="R5" s="11">
        <v>1</v>
      </c>
      <c r="S5" s="12">
        <v>8.8999996190000008</v>
      </c>
      <c r="T5" s="11">
        <v>1</v>
      </c>
    </row>
    <row r="6" spans="1:20" x14ac:dyDescent="0.25">
      <c r="A6" s="12">
        <v>5</v>
      </c>
      <c r="B6" s="12">
        <v>10.19999981</v>
      </c>
      <c r="C6" s="12">
        <v>74</v>
      </c>
      <c r="D6" s="12">
        <v>477</v>
      </c>
      <c r="E6" s="12">
        <v>8.3000001910000005</v>
      </c>
      <c r="F6" s="12">
        <v>206</v>
      </c>
      <c r="I6" s="12">
        <v>10.19999981</v>
      </c>
      <c r="J6" s="12">
        <v>71</v>
      </c>
      <c r="K6">
        <v>1</v>
      </c>
      <c r="L6" s="12">
        <v>57</v>
      </c>
      <c r="M6" s="11">
        <v>1</v>
      </c>
      <c r="N6" s="12">
        <v>284</v>
      </c>
      <c r="O6" s="11">
        <v>1</v>
      </c>
      <c r="Q6">
        <v>1</v>
      </c>
      <c r="R6" s="11">
        <v>1</v>
      </c>
      <c r="S6" s="12">
        <v>8.3000001910000005</v>
      </c>
      <c r="T6" s="11">
        <v>1</v>
      </c>
    </row>
    <row r="7" spans="1:20" x14ac:dyDescent="0.25">
      <c r="A7" s="12">
        <v>6</v>
      </c>
      <c r="B7" s="12">
        <v>8.3000001910000005</v>
      </c>
      <c r="C7" s="12">
        <v>111</v>
      </c>
      <c r="D7" s="12">
        <v>362</v>
      </c>
      <c r="E7" s="12">
        <v>10.899999619999999</v>
      </c>
      <c r="F7" s="12">
        <v>124</v>
      </c>
      <c r="I7" s="12">
        <v>8.3000001910000005</v>
      </c>
      <c r="J7" s="12">
        <v>74</v>
      </c>
      <c r="K7">
        <v>1</v>
      </c>
      <c r="L7" s="12">
        <v>57</v>
      </c>
      <c r="M7" s="11">
        <v>1</v>
      </c>
      <c r="N7" s="12">
        <v>288</v>
      </c>
      <c r="O7" s="11">
        <v>1</v>
      </c>
      <c r="Q7">
        <v>1</v>
      </c>
      <c r="R7" s="11">
        <v>1</v>
      </c>
      <c r="S7" s="12">
        <v>10.899999619999999</v>
      </c>
      <c r="T7" s="11">
        <v>1</v>
      </c>
    </row>
    <row r="8" spans="1:20" x14ac:dyDescent="0.25">
      <c r="A8" s="12">
        <v>7</v>
      </c>
      <c r="B8" s="12">
        <v>8.8000001910000005</v>
      </c>
      <c r="C8" s="12">
        <v>77</v>
      </c>
      <c r="D8" s="12">
        <v>671</v>
      </c>
      <c r="E8" s="12">
        <v>10</v>
      </c>
      <c r="F8" s="12">
        <v>152</v>
      </c>
      <c r="I8" s="12">
        <v>8.8000001910000005</v>
      </c>
      <c r="J8" s="12">
        <v>75</v>
      </c>
      <c r="K8">
        <v>1</v>
      </c>
      <c r="L8" s="12">
        <v>57</v>
      </c>
      <c r="M8" s="11">
        <v>1</v>
      </c>
      <c r="N8" s="12">
        <v>316</v>
      </c>
      <c r="O8" s="11">
        <v>1</v>
      </c>
      <c r="Q8">
        <v>1</v>
      </c>
      <c r="R8" s="11">
        <v>1</v>
      </c>
      <c r="S8" s="12">
        <v>10</v>
      </c>
      <c r="T8" s="11">
        <v>1</v>
      </c>
    </row>
    <row r="9" spans="1:20" x14ac:dyDescent="0.25">
      <c r="A9" s="12">
        <v>8</v>
      </c>
      <c r="B9" s="12">
        <v>8.8000001910000005</v>
      </c>
      <c r="C9" s="12">
        <v>168</v>
      </c>
      <c r="D9" s="12">
        <v>636</v>
      </c>
      <c r="E9" s="12">
        <v>9.1000003809999992</v>
      </c>
      <c r="F9" s="12">
        <v>162</v>
      </c>
      <c r="I9" s="12">
        <v>8.8000001910000005</v>
      </c>
      <c r="J9" s="12">
        <v>77</v>
      </c>
      <c r="K9">
        <v>1</v>
      </c>
      <c r="L9" s="12">
        <v>60</v>
      </c>
      <c r="M9" s="11">
        <v>1</v>
      </c>
      <c r="N9" s="12">
        <v>329</v>
      </c>
      <c r="O9" s="11">
        <v>1</v>
      </c>
      <c r="Q9">
        <v>1</v>
      </c>
      <c r="R9" s="11">
        <v>1</v>
      </c>
      <c r="S9" s="12">
        <v>9.1000003809999992</v>
      </c>
      <c r="T9" s="11">
        <v>1</v>
      </c>
    </row>
    <row r="10" spans="1:20" x14ac:dyDescent="0.25">
      <c r="A10" s="12">
        <v>9</v>
      </c>
      <c r="B10" s="12">
        <v>10.69999981</v>
      </c>
      <c r="C10" s="12">
        <v>82</v>
      </c>
      <c r="D10" s="12">
        <v>329</v>
      </c>
      <c r="E10" s="12">
        <v>8.6999998089999995</v>
      </c>
      <c r="F10" s="12">
        <v>150</v>
      </c>
      <c r="I10" s="12">
        <v>10.69999981</v>
      </c>
      <c r="J10" s="12">
        <v>78</v>
      </c>
      <c r="K10">
        <v>1</v>
      </c>
      <c r="L10" s="12">
        <v>69</v>
      </c>
      <c r="M10" s="11">
        <v>1</v>
      </c>
      <c r="N10" s="12">
        <v>345</v>
      </c>
      <c r="O10" s="11">
        <v>1</v>
      </c>
      <c r="Q10">
        <v>1</v>
      </c>
      <c r="R10" s="11">
        <v>1</v>
      </c>
      <c r="S10" s="12">
        <v>8.6999998089999995</v>
      </c>
      <c r="T10" s="11">
        <v>1</v>
      </c>
    </row>
    <row r="11" spans="1:20" x14ac:dyDescent="0.25">
      <c r="A11" s="12">
        <v>10</v>
      </c>
      <c r="B11" s="12">
        <v>11.69999981</v>
      </c>
      <c r="C11" s="12">
        <v>89</v>
      </c>
      <c r="D11" s="12">
        <v>634</v>
      </c>
      <c r="E11" s="12">
        <v>7.5999999049999998</v>
      </c>
      <c r="F11" s="12">
        <v>134</v>
      </c>
      <c r="I11" s="12">
        <v>11.69999981</v>
      </c>
      <c r="J11" s="12">
        <v>78</v>
      </c>
      <c r="K11">
        <v>1</v>
      </c>
      <c r="L11" s="12">
        <v>71</v>
      </c>
      <c r="M11" s="11">
        <v>1</v>
      </c>
      <c r="N11" s="12">
        <v>345</v>
      </c>
      <c r="O11" s="11">
        <v>1</v>
      </c>
      <c r="Q11">
        <v>1</v>
      </c>
      <c r="R11" s="11">
        <v>1</v>
      </c>
      <c r="S11" s="12">
        <v>7.5999999049999998</v>
      </c>
      <c r="T11" s="11">
        <v>1</v>
      </c>
    </row>
    <row r="12" spans="1:20" x14ac:dyDescent="0.25">
      <c r="A12" s="12">
        <v>11</v>
      </c>
      <c r="B12" s="12">
        <v>8.5</v>
      </c>
      <c r="C12" s="12">
        <v>149</v>
      </c>
      <c r="D12" s="12">
        <v>631</v>
      </c>
      <c r="E12" s="12">
        <v>10.80000019</v>
      </c>
      <c r="F12" s="12">
        <v>292</v>
      </c>
      <c r="I12" s="12">
        <v>8.5</v>
      </c>
      <c r="J12" s="12">
        <v>80</v>
      </c>
      <c r="K12">
        <v>1</v>
      </c>
      <c r="L12" s="12">
        <v>77</v>
      </c>
      <c r="M12" s="11">
        <v>1</v>
      </c>
      <c r="N12" s="12">
        <v>345</v>
      </c>
      <c r="O12" s="11">
        <v>1</v>
      </c>
      <c r="Q12">
        <v>1</v>
      </c>
      <c r="R12" s="11">
        <v>1</v>
      </c>
      <c r="S12" s="12">
        <v>10.80000019</v>
      </c>
      <c r="T12" s="11">
        <v>1</v>
      </c>
    </row>
    <row r="13" spans="1:20" x14ac:dyDescent="0.25">
      <c r="A13" s="12">
        <v>12</v>
      </c>
      <c r="B13" s="12">
        <v>8.3000001910000005</v>
      </c>
      <c r="C13" s="12">
        <v>60</v>
      </c>
      <c r="D13" s="12">
        <v>257</v>
      </c>
      <c r="E13" s="12">
        <v>9.5</v>
      </c>
      <c r="F13" s="12">
        <v>108</v>
      </c>
      <c r="I13" s="12">
        <v>8.3000001910000005</v>
      </c>
      <c r="J13" s="12">
        <v>82</v>
      </c>
      <c r="K13">
        <v>2</v>
      </c>
      <c r="L13" s="12">
        <v>78</v>
      </c>
      <c r="M13" s="11">
        <v>1</v>
      </c>
      <c r="N13" s="12">
        <v>347</v>
      </c>
      <c r="O13" s="11">
        <v>1</v>
      </c>
      <c r="Q13">
        <v>2</v>
      </c>
      <c r="R13" s="11">
        <v>1</v>
      </c>
      <c r="S13" s="12">
        <v>9.5</v>
      </c>
      <c r="T13" s="11">
        <v>1</v>
      </c>
    </row>
    <row r="14" spans="1:20" x14ac:dyDescent="0.25">
      <c r="A14" s="12">
        <v>13</v>
      </c>
      <c r="B14" s="12">
        <v>8.1999998089999995</v>
      </c>
      <c r="C14" s="12">
        <v>96</v>
      </c>
      <c r="D14" s="12">
        <v>284</v>
      </c>
      <c r="E14" s="12">
        <v>8.8000001910000005</v>
      </c>
      <c r="F14" s="12">
        <v>111</v>
      </c>
      <c r="I14" s="12">
        <v>8.1999998089999995</v>
      </c>
      <c r="J14" s="12">
        <v>82</v>
      </c>
      <c r="K14">
        <v>2</v>
      </c>
      <c r="L14" s="12">
        <v>80</v>
      </c>
      <c r="M14" s="11">
        <v>1</v>
      </c>
      <c r="N14" s="12">
        <v>348</v>
      </c>
      <c r="O14" s="11">
        <v>1</v>
      </c>
      <c r="Q14">
        <v>2</v>
      </c>
      <c r="R14" s="11">
        <v>1</v>
      </c>
      <c r="S14" s="12">
        <v>8.8000001910000005</v>
      </c>
      <c r="T14" s="11">
        <v>1</v>
      </c>
    </row>
    <row r="15" spans="1:20" x14ac:dyDescent="0.25">
      <c r="A15" s="12">
        <v>14</v>
      </c>
      <c r="B15" s="12">
        <v>7.9000000950000002</v>
      </c>
      <c r="C15" s="12">
        <v>83</v>
      </c>
      <c r="D15" s="12">
        <v>603</v>
      </c>
      <c r="E15" s="12">
        <v>9.5</v>
      </c>
      <c r="F15" s="12">
        <v>182</v>
      </c>
      <c r="I15" s="12">
        <v>7.9000000950000002</v>
      </c>
      <c r="J15" s="12">
        <v>82</v>
      </c>
      <c r="K15">
        <v>2</v>
      </c>
      <c r="L15" s="12">
        <v>80</v>
      </c>
      <c r="M15" s="11">
        <v>1</v>
      </c>
      <c r="N15" s="12">
        <v>353</v>
      </c>
      <c r="O15" s="11">
        <v>1</v>
      </c>
      <c r="Q15">
        <v>2</v>
      </c>
      <c r="R15" s="11">
        <v>1</v>
      </c>
      <c r="S15" s="12">
        <v>9.5</v>
      </c>
      <c r="T15" s="11">
        <v>1</v>
      </c>
    </row>
    <row r="16" spans="1:20" x14ac:dyDescent="0.25">
      <c r="A16" s="12">
        <v>15</v>
      </c>
      <c r="B16" s="12">
        <v>10.30000019</v>
      </c>
      <c r="C16" s="12">
        <v>130</v>
      </c>
      <c r="D16" s="12">
        <v>686</v>
      </c>
      <c r="E16" s="12">
        <v>8.6999998089999995</v>
      </c>
      <c r="F16" s="12">
        <v>129</v>
      </c>
      <c r="I16" s="12">
        <v>10.30000019</v>
      </c>
      <c r="J16" s="12">
        <v>83</v>
      </c>
      <c r="K16">
        <v>2</v>
      </c>
      <c r="L16" s="12">
        <v>86</v>
      </c>
      <c r="M16" s="11">
        <v>2</v>
      </c>
      <c r="N16" s="12">
        <v>354</v>
      </c>
      <c r="O16" s="11">
        <v>1</v>
      </c>
      <c r="Q16">
        <v>2</v>
      </c>
      <c r="R16" s="11">
        <v>1</v>
      </c>
      <c r="S16" s="12">
        <v>8.6999998089999995</v>
      </c>
      <c r="T16" s="11">
        <v>2</v>
      </c>
    </row>
    <row r="17" spans="1:20" x14ac:dyDescent="0.25">
      <c r="A17" s="12">
        <v>16</v>
      </c>
      <c r="B17" s="12">
        <v>7.4000000950000002</v>
      </c>
      <c r="C17" s="12">
        <v>145</v>
      </c>
      <c r="D17" s="12">
        <v>345</v>
      </c>
      <c r="E17" s="12">
        <v>11.19999981</v>
      </c>
      <c r="F17" s="12">
        <v>158</v>
      </c>
      <c r="I17" s="12">
        <v>7.4000000950000002</v>
      </c>
      <c r="J17" s="12">
        <v>84</v>
      </c>
      <c r="K17">
        <v>2</v>
      </c>
      <c r="L17" s="12">
        <v>86</v>
      </c>
      <c r="M17" s="11">
        <v>2</v>
      </c>
      <c r="N17" s="12">
        <v>362</v>
      </c>
      <c r="O17" s="11">
        <v>1</v>
      </c>
      <c r="Q17">
        <v>2</v>
      </c>
      <c r="R17" s="11">
        <v>1</v>
      </c>
      <c r="S17" s="12">
        <v>11.19999981</v>
      </c>
      <c r="T17" s="11">
        <v>2</v>
      </c>
    </row>
    <row r="18" spans="1:20" x14ac:dyDescent="0.25">
      <c r="A18" s="12">
        <v>17</v>
      </c>
      <c r="B18" s="12">
        <v>9.6000003809999992</v>
      </c>
      <c r="C18" s="12">
        <v>112</v>
      </c>
      <c r="D18" s="12">
        <v>1357</v>
      </c>
      <c r="E18" s="12">
        <v>9.6999998089999995</v>
      </c>
      <c r="F18" s="12">
        <v>186</v>
      </c>
      <c r="I18" s="12">
        <v>9.6000003809999992</v>
      </c>
      <c r="J18" s="12">
        <v>89</v>
      </c>
      <c r="K18">
        <v>2</v>
      </c>
      <c r="L18" s="12">
        <v>88</v>
      </c>
      <c r="M18" s="11">
        <v>2</v>
      </c>
      <c r="N18" s="12">
        <v>366</v>
      </c>
      <c r="O18" s="11">
        <v>1</v>
      </c>
      <c r="Q18">
        <v>2</v>
      </c>
      <c r="R18" s="11">
        <v>1</v>
      </c>
      <c r="S18" s="12">
        <v>9.6999998089999995</v>
      </c>
      <c r="T18" s="11">
        <v>2</v>
      </c>
    </row>
    <row r="19" spans="1:20" x14ac:dyDescent="0.25">
      <c r="A19" s="12">
        <v>18</v>
      </c>
      <c r="B19" s="12">
        <v>9.3000001910000005</v>
      </c>
      <c r="C19" s="12">
        <v>131</v>
      </c>
      <c r="D19" s="12">
        <v>544</v>
      </c>
      <c r="E19" s="12">
        <v>9.6000003809999992</v>
      </c>
      <c r="F19" s="12">
        <v>177</v>
      </c>
      <c r="I19" s="12">
        <v>9.3000001910000005</v>
      </c>
      <c r="J19" s="12">
        <v>94</v>
      </c>
      <c r="K19">
        <v>2</v>
      </c>
      <c r="L19" s="12">
        <v>91</v>
      </c>
      <c r="M19" s="11">
        <v>2</v>
      </c>
      <c r="N19" s="12">
        <v>370</v>
      </c>
      <c r="O19" s="11">
        <v>1</v>
      </c>
      <c r="Q19">
        <v>2</v>
      </c>
      <c r="R19" s="11">
        <v>1</v>
      </c>
      <c r="S19" s="12">
        <v>9.6000003809999992</v>
      </c>
      <c r="T19" s="11">
        <v>2</v>
      </c>
    </row>
    <row r="20" spans="1:20" x14ac:dyDescent="0.25">
      <c r="A20" s="12">
        <v>19</v>
      </c>
      <c r="B20" s="12">
        <v>10.600000380000001</v>
      </c>
      <c r="C20" s="12">
        <v>80</v>
      </c>
      <c r="D20" s="12">
        <v>205</v>
      </c>
      <c r="E20" s="12">
        <v>9.1000003809999992</v>
      </c>
      <c r="F20" s="12">
        <v>127</v>
      </c>
      <c r="I20" s="12">
        <v>10.600000380000001</v>
      </c>
      <c r="J20" s="12">
        <v>96</v>
      </c>
      <c r="K20">
        <v>2</v>
      </c>
      <c r="L20" s="12">
        <v>92</v>
      </c>
      <c r="M20" s="11">
        <v>2</v>
      </c>
      <c r="N20" s="12">
        <v>383</v>
      </c>
      <c r="O20" s="11">
        <v>1</v>
      </c>
      <c r="Q20">
        <v>2</v>
      </c>
      <c r="R20" s="11">
        <v>1</v>
      </c>
      <c r="S20" s="12">
        <v>9.1000003809999992</v>
      </c>
      <c r="T20" s="11">
        <v>2</v>
      </c>
    </row>
    <row r="21" spans="1:20" x14ac:dyDescent="0.25">
      <c r="A21" s="12">
        <v>20</v>
      </c>
      <c r="B21" s="12">
        <v>9.6999998089999995</v>
      </c>
      <c r="C21" s="12">
        <v>130</v>
      </c>
      <c r="D21" s="12">
        <v>1264</v>
      </c>
      <c r="E21" s="12">
        <v>9.1999998089999995</v>
      </c>
      <c r="F21" s="12">
        <v>179</v>
      </c>
      <c r="I21" s="12">
        <v>9.6999998089999995</v>
      </c>
      <c r="J21" s="12">
        <v>96</v>
      </c>
      <c r="K21">
        <v>2</v>
      </c>
      <c r="L21" s="12">
        <v>93</v>
      </c>
      <c r="M21" s="11">
        <v>2</v>
      </c>
      <c r="N21" s="12">
        <v>388</v>
      </c>
      <c r="O21" s="11">
        <v>1</v>
      </c>
      <c r="Q21">
        <v>2</v>
      </c>
      <c r="R21" s="11">
        <v>1</v>
      </c>
      <c r="S21" s="12">
        <v>9.1999998089999995</v>
      </c>
      <c r="T21" s="11">
        <v>2</v>
      </c>
    </row>
    <row r="22" spans="1:20" x14ac:dyDescent="0.25">
      <c r="A22" s="12">
        <v>21</v>
      </c>
      <c r="B22" s="12">
        <v>11.600000380000001</v>
      </c>
      <c r="C22" s="12">
        <v>140</v>
      </c>
      <c r="D22" s="12">
        <v>688</v>
      </c>
      <c r="E22" s="12">
        <v>8.3000001910000005</v>
      </c>
      <c r="F22" s="12">
        <v>80</v>
      </c>
      <c r="I22" s="12">
        <v>11.600000380000001</v>
      </c>
      <c r="J22" s="12">
        <v>97</v>
      </c>
      <c r="K22">
        <v>2</v>
      </c>
      <c r="L22" s="12">
        <v>94</v>
      </c>
      <c r="M22" s="11">
        <v>2</v>
      </c>
      <c r="N22" s="12">
        <v>430</v>
      </c>
      <c r="O22" s="11">
        <v>1</v>
      </c>
      <c r="Q22">
        <v>2</v>
      </c>
      <c r="R22" s="11">
        <v>1</v>
      </c>
      <c r="S22" s="12">
        <v>8.3000001910000005</v>
      </c>
      <c r="T22" s="11">
        <v>2</v>
      </c>
    </row>
    <row r="23" spans="1:20" x14ac:dyDescent="0.25">
      <c r="A23" s="12">
        <v>22</v>
      </c>
      <c r="B23" s="12">
        <v>8.1000003809999992</v>
      </c>
      <c r="C23" s="12">
        <v>154</v>
      </c>
      <c r="D23" s="12">
        <v>354</v>
      </c>
      <c r="E23" s="12">
        <v>8.3999996190000008</v>
      </c>
      <c r="F23" s="12">
        <v>103</v>
      </c>
      <c r="I23" s="12">
        <v>8.1000003809999992</v>
      </c>
      <c r="J23" s="12">
        <v>109</v>
      </c>
      <c r="K23">
        <v>2</v>
      </c>
      <c r="L23" s="12">
        <v>95</v>
      </c>
      <c r="M23" s="11">
        <v>2</v>
      </c>
      <c r="N23" s="12">
        <v>433</v>
      </c>
      <c r="O23" s="11">
        <v>1</v>
      </c>
      <c r="Q23">
        <v>2</v>
      </c>
      <c r="R23" s="11">
        <v>1</v>
      </c>
      <c r="S23" s="12">
        <v>8.3999996190000008</v>
      </c>
      <c r="T23" s="11">
        <v>2</v>
      </c>
    </row>
    <row r="24" spans="1:20" x14ac:dyDescent="0.25">
      <c r="A24" s="12">
        <v>23</v>
      </c>
      <c r="B24" s="12">
        <v>9.8000001910000005</v>
      </c>
      <c r="C24" s="12">
        <v>118</v>
      </c>
      <c r="D24" s="12">
        <v>1632</v>
      </c>
      <c r="E24" s="12">
        <v>9.3999996190000008</v>
      </c>
      <c r="F24" s="12">
        <v>101</v>
      </c>
      <c r="I24" s="12">
        <v>9.8000001910000005</v>
      </c>
      <c r="J24" s="12">
        <v>111</v>
      </c>
      <c r="K24">
        <v>2</v>
      </c>
      <c r="L24" s="12">
        <v>95</v>
      </c>
      <c r="M24" s="11">
        <v>2</v>
      </c>
      <c r="N24" s="12">
        <v>452</v>
      </c>
      <c r="O24" s="11">
        <v>1</v>
      </c>
      <c r="Q24">
        <v>2</v>
      </c>
      <c r="R24" s="11">
        <v>1</v>
      </c>
      <c r="S24" s="12">
        <v>9.3999996190000008</v>
      </c>
      <c r="T24" s="11">
        <v>2</v>
      </c>
    </row>
    <row r="25" spans="1:20" x14ac:dyDescent="0.25">
      <c r="A25" s="12">
        <v>24</v>
      </c>
      <c r="B25" s="12">
        <v>7.4000000950000002</v>
      </c>
      <c r="C25" s="12">
        <v>94</v>
      </c>
      <c r="D25" s="12">
        <v>348</v>
      </c>
      <c r="E25" s="12">
        <v>9.8000001910000005</v>
      </c>
      <c r="F25" s="12">
        <v>117</v>
      </c>
      <c r="I25" s="12">
        <v>7.4000000950000002</v>
      </c>
      <c r="J25" s="12">
        <v>111</v>
      </c>
      <c r="K25">
        <v>2</v>
      </c>
      <c r="L25" s="12">
        <v>97</v>
      </c>
      <c r="M25" s="11">
        <v>2</v>
      </c>
      <c r="N25" s="12">
        <v>463</v>
      </c>
      <c r="O25" s="11">
        <v>1</v>
      </c>
      <c r="Q25">
        <v>2</v>
      </c>
      <c r="R25" s="11">
        <v>1</v>
      </c>
      <c r="S25" s="12">
        <v>9.8000001910000005</v>
      </c>
      <c r="T25" s="11">
        <v>2</v>
      </c>
    </row>
    <row r="26" spans="1:20" x14ac:dyDescent="0.25">
      <c r="A26" s="12">
        <v>25</v>
      </c>
      <c r="B26" s="12">
        <v>9.3999996190000008</v>
      </c>
      <c r="C26" s="12">
        <v>119</v>
      </c>
      <c r="D26" s="12">
        <v>370</v>
      </c>
      <c r="E26" s="12">
        <v>10.399999619999999</v>
      </c>
      <c r="F26" s="12">
        <v>88</v>
      </c>
      <c r="I26" s="12">
        <v>9.3999996190000008</v>
      </c>
      <c r="J26" s="12">
        <v>112</v>
      </c>
      <c r="K26">
        <v>2</v>
      </c>
      <c r="L26" s="12">
        <v>101</v>
      </c>
      <c r="M26" s="11">
        <v>2</v>
      </c>
      <c r="N26" s="12">
        <v>477</v>
      </c>
      <c r="O26" s="11">
        <v>1</v>
      </c>
      <c r="Q26">
        <v>2</v>
      </c>
      <c r="R26" s="11">
        <v>1</v>
      </c>
      <c r="S26" s="12">
        <v>10.399999619999999</v>
      </c>
      <c r="T26" s="11">
        <v>2</v>
      </c>
    </row>
    <row r="27" spans="1:20" x14ac:dyDescent="0.25">
      <c r="A27" s="12">
        <v>26</v>
      </c>
      <c r="B27" s="12">
        <v>11.19999981</v>
      </c>
      <c r="C27" s="12">
        <v>153</v>
      </c>
      <c r="D27" s="12">
        <v>648</v>
      </c>
      <c r="E27" s="12">
        <v>9.8999996190000008</v>
      </c>
      <c r="F27" s="12">
        <v>78</v>
      </c>
      <c r="I27" s="12">
        <v>11.19999981</v>
      </c>
      <c r="J27" s="12">
        <v>112</v>
      </c>
      <c r="K27">
        <v>2</v>
      </c>
      <c r="L27" s="12">
        <v>102</v>
      </c>
      <c r="M27" s="11">
        <v>2</v>
      </c>
      <c r="N27" s="12">
        <v>499</v>
      </c>
      <c r="O27" s="11">
        <v>1</v>
      </c>
      <c r="Q27">
        <v>2</v>
      </c>
      <c r="R27" s="11">
        <v>1</v>
      </c>
      <c r="S27" s="12">
        <v>9.8999996190000008</v>
      </c>
      <c r="T27" s="11">
        <v>2</v>
      </c>
    </row>
    <row r="28" spans="1:20" x14ac:dyDescent="0.25">
      <c r="A28" s="12">
        <v>27</v>
      </c>
      <c r="B28" s="12">
        <v>9.1000003809999992</v>
      </c>
      <c r="C28" s="12">
        <v>116</v>
      </c>
      <c r="D28" s="12">
        <v>366</v>
      </c>
      <c r="E28" s="12">
        <v>9.1999998089999995</v>
      </c>
      <c r="F28" s="12">
        <v>102</v>
      </c>
      <c r="I28" s="12">
        <v>9.1000003809999992</v>
      </c>
      <c r="J28" s="12">
        <v>114</v>
      </c>
      <c r="K28">
        <v>2</v>
      </c>
      <c r="L28" s="12">
        <v>103</v>
      </c>
      <c r="M28" s="11">
        <v>2</v>
      </c>
      <c r="N28" s="12">
        <v>525</v>
      </c>
      <c r="O28" s="11">
        <v>2</v>
      </c>
      <c r="Q28">
        <v>2</v>
      </c>
      <c r="R28" s="11">
        <v>2</v>
      </c>
      <c r="S28" s="12">
        <v>9.1999998089999995</v>
      </c>
      <c r="T28" s="11">
        <v>2</v>
      </c>
    </row>
    <row r="29" spans="1:20" x14ac:dyDescent="0.25">
      <c r="A29" s="12">
        <v>28</v>
      </c>
      <c r="B29" s="12">
        <v>10.5</v>
      </c>
      <c r="C29" s="12">
        <v>97</v>
      </c>
      <c r="D29" s="12">
        <v>540</v>
      </c>
      <c r="E29" s="12">
        <v>10.30000019</v>
      </c>
      <c r="F29" s="12">
        <v>95</v>
      </c>
      <c r="I29" s="12">
        <v>10.5</v>
      </c>
      <c r="J29" s="12">
        <v>116</v>
      </c>
      <c r="K29">
        <v>2</v>
      </c>
      <c r="L29" s="12">
        <v>106</v>
      </c>
      <c r="M29" s="11">
        <v>2</v>
      </c>
      <c r="N29" s="12">
        <v>540</v>
      </c>
      <c r="O29" s="11">
        <v>2</v>
      </c>
      <c r="Q29">
        <v>2</v>
      </c>
      <c r="R29" s="11">
        <v>2</v>
      </c>
      <c r="S29" s="12">
        <v>10.30000019</v>
      </c>
      <c r="T29" s="11">
        <v>2</v>
      </c>
    </row>
    <row r="30" spans="1:20" x14ac:dyDescent="0.25">
      <c r="A30" s="12">
        <v>29</v>
      </c>
      <c r="B30" s="12">
        <v>11.899999619999999</v>
      </c>
      <c r="C30" s="12">
        <v>176</v>
      </c>
      <c r="D30" s="12">
        <v>680</v>
      </c>
      <c r="E30" s="12">
        <v>8.8999996190000008</v>
      </c>
      <c r="F30" s="12">
        <v>80</v>
      </c>
      <c r="I30" s="12">
        <v>11.899999619999999</v>
      </c>
      <c r="J30" s="12">
        <v>118</v>
      </c>
      <c r="K30">
        <v>2</v>
      </c>
      <c r="L30" s="12">
        <v>106</v>
      </c>
      <c r="M30" s="11">
        <v>2</v>
      </c>
      <c r="N30" s="12">
        <v>540</v>
      </c>
      <c r="O30" s="11">
        <v>2</v>
      </c>
      <c r="Q30">
        <v>2</v>
      </c>
      <c r="R30" s="11">
        <v>2</v>
      </c>
      <c r="S30" s="12">
        <v>8.8999996190000008</v>
      </c>
      <c r="T30" s="11">
        <v>2</v>
      </c>
    </row>
    <row r="31" spans="1:20" x14ac:dyDescent="0.25">
      <c r="A31" s="12">
        <v>30</v>
      </c>
      <c r="B31" s="12">
        <v>8.3999996190000008</v>
      </c>
      <c r="C31" s="12">
        <v>75</v>
      </c>
      <c r="D31" s="12">
        <v>345</v>
      </c>
      <c r="E31" s="12">
        <v>9.6000003809999992</v>
      </c>
      <c r="F31" s="12">
        <v>92</v>
      </c>
      <c r="I31" s="12">
        <v>8.3999996190000008</v>
      </c>
      <c r="J31" s="12">
        <v>118</v>
      </c>
      <c r="K31">
        <v>2</v>
      </c>
      <c r="L31" s="12">
        <v>108</v>
      </c>
      <c r="M31" s="11">
        <v>2</v>
      </c>
      <c r="N31" s="12">
        <v>544</v>
      </c>
      <c r="O31" s="11">
        <v>2</v>
      </c>
      <c r="Q31">
        <v>2</v>
      </c>
      <c r="R31" s="11">
        <v>2</v>
      </c>
      <c r="S31" s="12">
        <v>9.6000003809999992</v>
      </c>
      <c r="T31" s="11">
        <v>2</v>
      </c>
    </row>
    <row r="32" spans="1:20" x14ac:dyDescent="0.25">
      <c r="A32" s="12">
        <v>31</v>
      </c>
      <c r="B32" s="12">
        <v>5</v>
      </c>
      <c r="C32" s="12">
        <v>134</v>
      </c>
      <c r="D32" s="12">
        <v>525</v>
      </c>
      <c r="E32" s="12">
        <v>10.30000019</v>
      </c>
      <c r="F32" s="12">
        <v>126</v>
      </c>
      <c r="I32" s="12">
        <v>5</v>
      </c>
      <c r="J32" s="12">
        <v>119</v>
      </c>
      <c r="K32">
        <v>2</v>
      </c>
      <c r="L32" s="12">
        <v>108</v>
      </c>
      <c r="M32" s="11">
        <v>2</v>
      </c>
      <c r="N32" s="12">
        <v>603</v>
      </c>
      <c r="O32" s="11">
        <v>2</v>
      </c>
      <c r="Q32">
        <v>2</v>
      </c>
      <c r="R32" s="11">
        <v>2</v>
      </c>
      <c r="S32" s="12">
        <v>10.30000019</v>
      </c>
      <c r="T32" s="11">
        <v>2</v>
      </c>
    </row>
    <row r="33" spans="1:20" x14ac:dyDescent="0.25">
      <c r="A33" s="12">
        <v>32</v>
      </c>
      <c r="B33" s="12">
        <v>9.8000001910000005</v>
      </c>
      <c r="C33" s="12">
        <v>161</v>
      </c>
      <c r="D33" s="12">
        <v>870</v>
      </c>
      <c r="E33" s="12">
        <v>10.399999619999999</v>
      </c>
      <c r="F33" s="12">
        <v>108</v>
      </c>
      <c r="I33" s="12">
        <v>9.8000001910000005</v>
      </c>
      <c r="J33" s="12">
        <v>119</v>
      </c>
      <c r="K33">
        <v>2</v>
      </c>
      <c r="L33" s="12">
        <v>109</v>
      </c>
      <c r="M33" s="11">
        <v>2</v>
      </c>
      <c r="N33" s="12">
        <v>631</v>
      </c>
      <c r="O33" s="11">
        <v>2</v>
      </c>
      <c r="Q33">
        <v>2</v>
      </c>
      <c r="R33" s="11">
        <v>2</v>
      </c>
      <c r="S33" s="12">
        <v>10.399999619999999</v>
      </c>
      <c r="T33" s="11">
        <v>2</v>
      </c>
    </row>
    <row r="34" spans="1:20" x14ac:dyDescent="0.25">
      <c r="A34" s="12">
        <v>33</v>
      </c>
      <c r="B34" s="12">
        <v>9.8000001910000005</v>
      </c>
      <c r="C34" s="12">
        <v>111</v>
      </c>
      <c r="D34" s="12">
        <v>669</v>
      </c>
      <c r="E34" s="12">
        <v>9.6999998089999995</v>
      </c>
      <c r="F34" s="12">
        <v>77</v>
      </c>
      <c r="I34" s="12">
        <v>9.8000001910000005</v>
      </c>
      <c r="J34" s="12">
        <v>121</v>
      </c>
      <c r="K34">
        <v>2</v>
      </c>
      <c r="L34" s="12">
        <v>110</v>
      </c>
      <c r="M34" s="11">
        <v>2</v>
      </c>
      <c r="N34" s="12">
        <v>634</v>
      </c>
      <c r="O34" s="11">
        <v>2</v>
      </c>
      <c r="Q34">
        <v>2</v>
      </c>
      <c r="R34" s="11">
        <v>2</v>
      </c>
      <c r="S34" s="12">
        <v>9.6999998089999995</v>
      </c>
      <c r="T34" s="11">
        <v>2</v>
      </c>
    </row>
    <row r="35" spans="1:20" x14ac:dyDescent="0.25">
      <c r="A35" s="12">
        <v>34</v>
      </c>
      <c r="B35" s="12">
        <v>10.80000019</v>
      </c>
      <c r="C35" s="12">
        <v>114</v>
      </c>
      <c r="D35" s="12">
        <v>452</v>
      </c>
      <c r="E35" s="12">
        <v>9.6000003809999992</v>
      </c>
      <c r="F35" s="12">
        <v>60</v>
      </c>
      <c r="I35" s="12">
        <v>10.80000019</v>
      </c>
      <c r="J35" s="12">
        <v>125</v>
      </c>
      <c r="K35">
        <v>2</v>
      </c>
      <c r="L35" s="12">
        <v>111</v>
      </c>
      <c r="M35" s="11">
        <v>2</v>
      </c>
      <c r="N35" s="12">
        <v>636</v>
      </c>
      <c r="O35" s="11">
        <v>2</v>
      </c>
      <c r="Q35">
        <v>2</v>
      </c>
      <c r="R35" s="11">
        <v>2</v>
      </c>
      <c r="S35" s="12">
        <v>9.6000003809999992</v>
      </c>
      <c r="T35" s="11">
        <v>2</v>
      </c>
    </row>
    <row r="36" spans="1:20" x14ac:dyDescent="0.25">
      <c r="A36" s="12">
        <v>35</v>
      </c>
      <c r="B36" s="12">
        <v>10.100000380000001</v>
      </c>
      <c r="C36" s="12">
        <v>142</v>
      </c>
      <c r="D36" s="12">
        <v>430</v>
      </c>
      <c r="E36" s="12">
        <v>10.69999981</v>
      </c>
      <c r="F36" s="12">
        <v>71</v>
      </c>
      <c r="I36" s="12">
        <v>10.100000380000001</v>
      </c>
      <c r="J36" s="12">
        <v>125</v>
      </c>
      <c r="K36">
        <v>2</v>
      </c>
      <c r="L36" s="12">
        <v>113</v>
      </c>
      <c r="M36" s="11">
        <v>2</v>
      </c>
      <c r="N36" s="12">
        <v>648</v>
      </c>
      <c r="O36" s="11">
        <v>2</v>
      </c>
      <c r="Q36">
        <v>2</v>
      </c>
      <c r="R36" s="11">
        <v>2</v>
      </c>
      <c r="S36" s="12">
        <v>10.69999981</v>
      </c>
      <c r="T36" s="11">
        <v>2</v>
      </c>
    </row>
    <row r="37" spans="1:20" x14ac:dyDescent="0.25">
      <c r="A37" s="12">
        <v>36</v>
      </c>
      <c r="B37" s="12">
        <v>10.899999619999999</v>
      </c>
      <c r="C37" s="12">
        <v>238</v>
      </c>
      <c r="D37" s="12">
        <v>822</v>
      </c>
      <c r="E37" s="12">
        <v>10.30000019</v>
      </c>
      <c r="F37" s="12">
        <v>86</v>
      </c>
      <c r="I37" s="12">
        <v>10.899999619999999</v>
      </c>
      <c r="J37" s="12">
        <v>129</v>
      </c>
      <c r="K37">
        <v>2</v>
      </c>
      <c r="L37" s="12">
        <v>117</v>
      </c>
      <c r="M37" s="11">
        <v>2</v>
      </c>
      <c r="N37" s="12">
        <v>668</v>
      </c>
      <c r="O37" s="11">
        <v>2</v>
      </c>
      <c r="Q37">
        <v>2</v>
      </c>
      <c r="R37" s="11">
        <v>2</v>
      </c>
      <c r="S37" s="12">
        <v>10.30000019</v>
      </c>
      <c r="T37" s="11">
        <v>2</v>
      </c>
    </row>
    <row r="38" spans="1:20" x14ac:dyDescent="0.25">
      <c r="A38" s="12">
        <v>37</v>
      </c>
      <c r="B38" s="12">
        <v>9.1999998089999995</v>
      </c>
      <c r="C38" s="12">
        <v>78</v>
      </c>
      <c r="D38" s="12">
        <v>190</v>
      </c>
      <c r="E38" s="12">
        <v>10.69999981</v>
      </c>
      <c r="F38" s="12">
        <v>93</v>
      </c>
      <c r="I38" s="12">
        <v>9.1999998089999995</v>
      </c>
      <c r="J38" s="12">
        <v>130</v>
      </c>
      <c r="K38">
        <v>2</v>
      </c>
      <c r="L38" s="12">
        <v>124</v>
      </c>
      <c r="M38" s="11">
        <v>2</v>
      </c>
      <c r="N38" s="12">
        <v>669</v>
      </c>
      <c r="O38" s="11">
        <v>2</v>
      </c>
      <c r="Q38">
        <v>2</v>
      </c>
      <c r="R38" s="11">
        <v>2</v>
      </c>
      <c r="S38" s="12">
        <v>10.69999981</v>
      </c>
      <c r="T38" s="11">
        <v>2</v>
      </c>
    </row>
    <row r="39" spans="1:20" x14ac:dyDescent="0.25">
      <c r="A39" s="12">
        <v>38</v>
      </c>
      <c r="B39" s="12">
        <v>8.3000001910000005</v>
      </c>
      <c r="C39" s="12">
        <v>196</v>
      </c>
      <c r="D39" s="12">
        <v>867</v>
      </c>
      <c r="E39" s="12">
        <v>9.6000003809999992</v>
      </c>
      <c r="F39" s="12">
        <v>106</v>
      </c>
      <c r="I39" s="12">
        <v>8.3000001910000005</v>
      </c>
      <c r="J39" s="12">
        <v>130</v>
      </c>
      <c r="K39">
        <v>2</v>
      </c>
      <c r="L39" s="12">
        <v>126</v>
      </c>
      <c r="M39" s="11">
        <v>2</v>
      </c>
      <c r="N39" s="12">
        <v>671</v>
      </c>
      <c r="O39" s="11">
        <v>2</v>
      </c>
      <c r="Q39">
        <v>2</v>
      </c>
      <c r="R39" s="11">
        <v>2</v>
      </c>
      <c r="S39" s="12">
        <v>9.6000003809999992</v>
      </c>
      <c r="T39" s="11">
        <v>2</v>
      </c>
    </row>
    <row r="40" spans="1:20" x14ac:dyDescent="0.25">
      <c r="A40" s="12">
        <v>39</v>
      </c>
      <c r="B40" s="12">
        <v>7.3000001909999996</v>
      </c>
      <c r="C40" s="12">
        <v>125</v>
      </c>
      <c r="D40" s="12">
        <v>969</v>
      </c>
      <c r="E40" s="12">
        <v>10.5</v>
      </c>
      <c r="F40" s="12">
        <v>162</v>
      </c>
      <c r="I40" s="12">
        <v>7.3000001909999996</v>
      </c>
      <c r="J40" s="12">
        <v>131</v>
      </c>
      <c r="K40">
        <v>2</v>
      </c>
      <c r="L40" s="12">
        <v>127</v>
      </c>
      <c r="M40" s="11">
        <v>2</v>
      </c>
      <c r="N40" s="12">
        <v>680</v>
      </c>
      <c r="O40" s="11">
        <v>2</v>
      </c>
      <c r="Q40">
        <v>2</v>
      </c>
      <c r="R40" s="11">
        <v>2</v>
      </c>
      <c r="S40" s="12">
        <v>10.5</v>
      </c>
      <c r="T40" s="11">
        <v>2</v>
      </c>
    </row>
    <row r="41" spans="1:20" x14ac:dyDescent="0.25">
      <c r="A41" s="12">
        <v>40</v>
      </c>
      <c r="B41" s="12">
        <v>9.3999996190000008</v>
      </c>
      <c r="C41" s="12">
        <v>82</v>
      </c>
      <c r="D41" s="12">
        <v>499</v>
      </c>
      <c r="E41" s="12">
        <v>7.6999998090000004</v>
      </c>
      <c r="F41" s="12">
        <v>95</v>
      </c>
      <c r="I41" s="12">
        <v>9.3999996190000008</v>
      </c>
      <c r="J41" s="12">
        <v>134</v>
      </c>
      <c r="K41">
        <v>2</v>
      </c>
      <c r="L41" s="12">
        <v>129</v>
      </c>
      <c r="M41" s="11">
        <v>2</v>
      </c>
      <c r="N41" s="12">
        <v>686</v>
      </c>
      <c r="O41" s="11">
        <v>2</v>
      </c>
      <c r="Q41">
        <v>2</v>
      </c>
      <c r="R41" s="11">
        <v>2</v>
      </c>
      <c r="S41" s="12">
        <v>7.6999998090000004</v>
      </c>
      <c r="T41" s="11">
        <v>2</v>
      </c>
    </row>
    <row r="42" spans="1:20" x14ac:dyDescent="0.25">
      <c r="A42" s="12">
        <v>41</v>
      </c>
      <c r="B42" s="12">
        <v>9.3999996190000008</v>
      </c>
      <c r="C42" s="12">
        <v>125</v>
      </c>
      <c r="D42" s="12">
        <v>925</v>
      </c>
      <c r="E42" s="12">
        <v>10.19999981</v>
      </c>
      <c r="F42" s="12">
        <v>91</v>
      </c>
      <c r="I42" s="12">
        <v>9.3999996190000008</v>
      </c>
      <c r="J42" s="12">
        <v>140</v>
      </c>
      <c r="K42">
        <v>2</v>
      </c>
      <c r="L42" s="12">
        <v>134</v>
      </c>
      <c r="M42" s="11">
        <v>2</v>
      </c>
      <c r="N42" s="12">
        <v>688</v>
      </c>
      <c r="O42" s="11">
        <v>2</v>
      </c>
      <c r="Q42">
        <v>2</v>
      </c>
      <c r="R42" s="11">
        <v>2</v>
      </c>
      <c r="S42" s="12">
        <v>10.19999981</v>
      </c>
      <c r="T42" s="11">
        <v>2</v>
      </c>
    </row>
    <row r="43" spans="1:20" x14ac:dyDescent="0.25">
      <c r="A43" s="12">
        <v>42</v>
      </c>
      <c r="B43" s="12">
        <v>9.8000001910000005</v>
      </c>
      <c r="C43" s="12">
        <v>129</v>
      </c>
      <c r="D43" s="12">
        <v>353</v>
      </c>
      <c r="E43" s="12">
        <v>9.8999996190000008</v>
      </c>
      <c r="F43" s="12">
        <v>52</v>
      </c>
      <c r="I43" s="12">
        <v>9.8000001910000005</v>
      </c>
      <c r="J43" s="12">
        <v>142</v>
      </c>
      <c r="K43">
        <v>2</v>
      </c>
      <c r="L43" s="12">
        <v>144</v>
      </c>
      <c r="M43" s="11">
        <v>2</v>
      </c>
      <c r="N43" s="12">
        <v>718</v>
      </c>
      <c r="O43" s="11">
        <v>2</v>
      </c>
      <c r="Q43">
        <v>2</v>
      </c>
      <c r="R43" s="11">
        <v>2</v>
      </c>
      <c r="S43" s="12">
        <v>9.8999996190000008</v>
      </c>
      <c r="T43" s="11">
        <v>2</v>
      </c>
    </row>
    <row r="44" spans="1:20" x14ac:dyDescent="0.25">
      <c r="A44" s="12">
        <v>43</v>
      </c>
      <c r="B44" s="12">
        <v>3.5999999049999998</v>
      </c>
      <c r="C44" s="12">
        <v>84</v>
      </c>
      <c r="D44" s="12">
        <v>288</v>
      </c>
      <c r="E44" s="12">
        <v>8.3999996190000008</v>
      </c>
      <c r="F44" s="12">
        <v>110</v>
      </c>
      <c r="I44" s="12">
        <v>3.5999999049999998</v>
      </c>
      <c r="J44" s="12">
        <v>145</v>
      </c>
      <c r="K44">
        <v>2</v>
      </c>
      <c r="L44" s="12">
        <v>150</v>
      </c>
      <c r="M44" s="11">
        <v>3</v>
      </c>
      <c r="N44" s="12">
        <v>728</v>
      </c>
      <c r="O44" s="11">
        <v>2</v>
      </c>
      <c r="Q44">
        <v>2</v>
      </c>
      <c r="R44" s="11">
        <v>2</v>
      </c>
      <c r="S44" s="12">
        <v>8.3999996190000008</v>
      </c>
      <c r="T44" s="11">
        <v>3</v>
      </c>
    </row>
    <row r="45" spans="1:20" x14ac:dyDescent="0.25">
      <c r="A45" s="12">
        <v>44</v>
      </c>
      <c r="B45" s="12">
        <v>8.3999996190000008</v>
      </c>
      <c r="C45" s="12">
        <v>183</v>
      </c>
      <c r="D45" s="12">
        <v>718</v>
      </c>
      <c r="E45" s="12">
        <v>10.399999619999999</v>
      </c>
      <c r="F45" s="12">
        <v>69</v>
      </c>
      <c r="I45" s="12">
        <v>8.3999996190000008</v>
      </c>
      <c r="J45" s="12">
        <v>149</v>
      </c>
      <c r="K45">
        <v>2</v>
      </c>
      <c r="L45" s="12">
        <v>152</v>
      </c>
      <c r="M45" s="11">
        <v>3</v>
      </c>
      <c r="N45" s="12">
        <v>739</v>
      </c>
      <c r="O45" s="11">
        <v>2</v>
      </c>
      <c r="Q45">
        <v>2</v>
      </c>
      <c r="R45" s="11">
        <v>2</v>
      </c>
      <c r="S45" s="12">
        <v>10.399999619999999</v>
      </c>
      <c r="T45" s="11">
        <v>3</v>
      </c>
    </row>
    <row r="46" spans="1:20" x14ac:dyDescent="0.25">
      <c r="A46" s="12">
        <v>45</v>
      </c>
      <c r="B46" s="12">
        <v>10.80000019</v>
      </c>
      <c r="C46" s="12">
        <v>119</v>
      </c>
      <c r="D46" s="12">
        <v>540</v>
      </c>
      <c r="E46" s="12">
        <v>9.1999998089999995</v>
      </c>
      <c r="F46" s="12">
        <v>57</v>
      </c>
      <c r="I46" s="12">
        <v>10.80000019</v>
      </c>
      <c r="J46" s="12">
        <v>153</v>
      </c>
      <c r="K46">
        <v>3</v>
      </c>
      <c r="L46" s="12">
        <v>158</v>
      </c>
      <c r="M46" s="11">
        <v>3</v>
      </c>
      <c r="N46" s="12">
        <v>822</v>
      </c>
      <c r="O46" s="11">
        <v>2</v>
      </c>
      <c r="Q46">
        <v>3</v>
      </c>
      <c r="R46" s="11">
        <v>2</v>
      </c>
      <c r="S46" s="12">
        <v>9.1999998089999995</v>
      </c>
      <c r="T46" s="11">
        <v>3</v>
      </c>
    </row>
    <row r="47" spans="1:20" x14ac:dyDescent="0.25">
      <c r="A47" s="12">
        <v>46</v>
      </c>
      <c r="B47" s="12">
        <v>10.100000380000001</v>
      </c>
      <c r="C47" s="12">
        <v>180</v>
      </c>
      <c r="D47" s="12">
        <v>668</v>
      </c>
      <c r="E47" s="12">
        <v>13</v>
      </c>
      <c r="F47" s="12">
        <v>106</v>
      </c>
      <c r="I47" s="12">
        <v>10.100000380000001</v>
      </c>
      <c r="J47" s="12">
        <v>154</v>
      </c>
      <c r="K47">
        <v>3</v>
      </c>
      <c r="L47" s="12">
        <v>162</v>
      </c>
      <c r="M47" s="11">
        <v>3</v>
      </c>
      <c r="N47" s="12">
        <v>867</v>
      </c>
      <c r="O47" s="11">
        <v>2</v>
      </c>
      <c r="Q47">
        <v>3</v>
      </c>
      <c r="R47" s="11">
        <v>2</v>
      </c>
      <c r="S47" s="12">
        <v>13</v>
      </c>
      <c r="T47" s="11">
        <v>3</v>
      </c>
    </row>
    <row r="48" spans="1:20" x14ac:dyDescent="0.25">
      <c r="A48" s="12">
        <v>47</v>
      </c>
      <c r="B48" s="12">
        <v>9</v>
      </c>
      <c r="C48" s="12">
        <v>82</v>
      </c>
      <c r="D48" s="12">
        <v>347</v>
      </c>
      <c r="E48" s="12">
        <v>8.8000001910000005</v>
      </c>
      <c r="F48" s="12">
        <v>40</v>
      </c>
      <c r="I48" s="12">
        <v>9</v>
      </c>
      <c r="J48" s="12">
        <v>161</v>
      </c>
      <c r="K48">
        <v>3</v>
      </c>
      <c r="L48" s="12">
        <v>162</v>
      </c>
      <c r="M48" s="11">
        <v>3</v>
      </c>
      <c r="N48" s="12">
        <v>870</v>
      </c>
      <c r="O48" s="11">
        <v>2</v>
      </c>
      <c r="Q48">
        <v>3</v>
      </c>
      <c r="R48" s="11">
        <v>2</v>
      </c>
      <c r="S48" s="12">
        <v>8.8000001910000005</v>
      </c>
      <c r="T48" s="11">
        <v>3</v>
      </c>
    </row>
    <row r="49" spans="1:20" x14ac:dyDescent="0.25">
      <c r="A49" s="12">
        <v>48</v>
      </c>
      <c r="B49" s="12">
        <v>10</v>
      </c>
      <c r="C49" s="12">
        <v>71</v>
      </c>
      <c r="D49" s="12">
        <v>345</v>
      </c>
      <c r="E49" s="12">
        <v>9.1999998089999995</v>
      </c>
      <c r="F49" s="12">
        <v>50</v>
      </c>
      <c r="I49" s="12">
        <v>10</v>
      </c>
      <c r="J49" s="12">
        <v>168</v>
      </c>
      <c r="K49">
        <v>3</v>
      </c>
      <c r="L49" s="12">
        <v>177</v>
      </c>
      <c r="M49" s="11">
        <v>3</v>
      </c>
      <c r="N49" s="12">
        <v>925</v>
      </c>
      <c r="O49" s="11">
        <v>2</v>
      </c>
      <c r="Q49">
        <v>3</v>
      </c>
      <c r="R49" s="11">
        <v>2</v>
      </c>
      <c r="S49" s="12">
        <v>9.1999998089999995</v>
      </c>
      <c r="T49" s="11">
        <v>3</v>
      </c>
    </row>
    <row r="50" spans="1:20" x14ac:dyDescent="0.25">
      <c r="A50" s="12">
        <v>49</v>
      </c>
      <c r="B50" s="12">
        <v>11.30000019</v>
      </c>
      <c r="C50" s="12">
        <v>118</v>
      </c>
      <c r="D50" s="12">
        <v>463</v>
      </c>
      <c r="E50" s="12">
        <v>7.8000001909999996</v>
      </c>
      <c r="F50" s="12">
        <v>35</v>
      </c>
      <c r="I50" s="12">
        <v>11.30000019</v>
      </c>
      <c r="J50" s="12">
        <v>176</v>
      </c>
      <c r="K50">
        <v>3</v>
      </c>
      <c r="L50" s="12">
        <v>179</v>
      </c>
      <c r="M50" s="11">
        <v>3</v>
      </c>
      <c r="N50" s="12">
        <v>969</v>
      </c>
      <c r="O50" s="11">
        <v>2</v>
      </c>
      <c r="Q50">
        <v>3</v>
      </c>
      <c r="R50" s="11">
        <v>2</v>
      </c>
      <c r="S50" s="12">
        <v>7.8000001909999996</v>
      </c>
      <c r="T50" s="11">
        <v>3</v>
      </c>
    </row>
    <row r="51" spans="1:20" x14ac:dyDescent="0.25">
      <c r="A51" s="12">
        <v>50</v>
      </c>
      <c r="B51" s="12">
        <v>11.30000019</v>
      </c>
      <c r="C51" s="12">
        <v>121</v>
      </c>
      <c r="D51" s="12">
        <v>728</v>
      </c>
      <c r="E51" s="12">
        <v>8.1999998089999995</v>
      </c>
      <c r="F51" s="12">
        <v>86</v>
      </c>
      <c r="I51" s="12">
        <v>11.30000019</v>
      </c>
      <c r="J51" s="12">
        <v>180</v>
      </c>
      <c r="K51">
        <v>3</v>
      </c>
      <c r="L51" s="12">
        <v>182</v>
      </c>
      <c r="M51" s="11">
        <v>3</v>
      </c>
      <c r="N51" s="12">
        <v>1264</v>
      </c>
      <c r="O51" s="11">
        <v>2</v>
      </c>
      <c r="Q51">
        <v>3</v>
      </c>
      <c r="R51" s="11">
        <v>2</v>
      </c>
      <c r="S51" s="12">
        <v>8.1999998089999995</v>
      </c>
      <c r="T51" s="11">
        <v>3</v>
      </c>
    </row>
    <row r="52" spans="1:20" x14ac:dyDescent="0.25">
      <c r="A52" s="12">
        <v>51</v>
      </c>
      <c r="B52" s="12">
        <v>12.80000019</v>
      </c>
      <c r="C52" s="12">
        <v>68</v>
      </c>
      <c r="D52" s="12">
        <v>383</v>
      </c>
      <c r="E52" s="12">
        <v>7.4000000950000002</v>
      </c>
      <c r="F52" s="12">
        <v>57</v>
      </c>
      <c r="I52" s="12">
        <v>12.80000019</v>
      </c>
      <c r="J52" s="12">
        <v>183</v>
      </c>
      <c r="K52">
        <v>3</v>
      </c>
      <c r="L52" s="12">
        <v>186</v>
      </c>
      <c r="M52" s="11">
        <v>3</v>
      </c>
      <c r="N52" s="12">
        <v>1357</v>
      </c>
      <c r="O52" s="11">
        <v>2</v>
      </c>
      <c r="Q52">
        <v>3</v>
      </c>
      <c r="R52" s="11">
        <v>2</v>
      </c>
      <c r="S52" s="12">
        <v>7.4000000950000002</v>
      </c>
      <c r="T52" s="11">
        <v>3</v>
      </c>
    </row>
    <row r="53" spans="1:20" x14ac:dyDescent="0.25">
      <c r="A53" s="12">
        <v>52</v>
      </c>
      <c r="B53" s="12">
        <v>10</v>
      </c>
      <c r="C53" s="12">
        <v>112</v>
      </c>
      <c r="D53" s="12">
        <v>316</v>
      </c>
      <c r="E53" s="12">
        <v>10.399999619999999</v>
      </c>
      <c r="F53" s="12">
        <v>57</v>
      </c>
      <c r="I53" s="12">
        <v>10</v>
      </c>
      <c r="J53" s="12">
        <v>196</v>
      </c>
      <c r="K53">
        <v>3</v>
      </c>
      <c r="L53" s="12">
        <v>206</v>
      </c>
      <c r="M53" s="11">
        <v>3</v>
      </c>
      <c r="N53" s="12">
        <v>1632</v>
      </c>
      <c r="O53" s="11">
        <v>2</v>
      </c>
      <c r="Q53">
        <v>3</v>
      </c>
      <c r="R53" s="11">
        <v>2</v>
      </c>
      <c r="S53" s="12">
        <v>10.399999619999999</v>
      </c>
      <c r="T53" s="11">
        <v>3</v>
      </c>
    </row>
    <row r="54" spans="1:20" x14ac:dyDescent="0.25">
      <c r="A54" s="12">
        <v>53</v>
      </c>
      <c r="B54" s="12">
        <v>6.6999998090000004</v>
      </c>
      <c r="C54" s="12">
        <v>109</v>
      </c>
      <c r="D54" s="12">
        <v>388</v>
      </c>
      <c r="E54" s="12">
        <v>8.8999996190000008</v>
      </c>
      <c r="F54" s="12">
        <v>94</v>
      </c>
      <c r="I54" s="12">
        <v>6.6999998090000004</v>
      </c>
      <c r="J54" s="12">
        <v>238</v>
      </c>
      <c r="K54">
        <v>3</v>
      </c>
      <c r="L54" s="12">
        <v>292</v>
      </c>
      <c r="M54" s="11">
        <v>3</v>
      </c>
      <c r="N54" s="12">
        <v>1792</v>
      </c>
      <c r="O54" s="11">
        <v>2</v>
      </c>
      <c r="Q54">
        <v>3</v>
      </c>
      <c r="R54" s="11">
        <v>2</v>
      </c>
      <c r="S54" s="12">
        <v>8.8999996190000008</v>
      </c>
      <c r="T54" s="11">
        <v>3</v>
      </c>
    </row>
  </sheetData>
  <sortState ref="N2:N54">
    <sortCondition ref="N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6"/>
  <sheetViews>
    <sheetView workbookViewId="0">
      <selection activeCell="P7" sqref="P7:Y8"/>
    </sheetView>
  </sheetViews>
  <sheetFormatPr defaultRowHeight="15" x14ac:dyDescent="0.25"/>
  <cols>
    <col min="2" max="2" width="4" bestFit="1" customWidth="1"/>
    <col min="3" max="3" width="13.140625" bestFit="1" customWidth="1"/>
    <col min="4" max="4" width="16.28515625" bestFit="1" customWidth="1"/>
    <col min="5" max="5" width="5.5703125" bestFit="1" customWidth="1"/>
    <col min="6" max="6" width="11.28515625" bestFit="1" customWidth="1"/>
    <col min="7" max="7" width="3.85546875" bestFit="1" customWidth="1"/>
    <col min="8" max="8" width="2" bestFit="1" customWidth="1"/>
    <col min="9" max="9" width="6.85546875" bestFit="1" customWidth="1"/>
    <col min="10" max="10" width="11.28515625" bestFit="1" customWidth="1"/>
  </cols>
  <sheetData>
    <row r="1" spans="1:25" x14ac:dyDescent="0.25">
      <c r="A1" t="s">
        <v>4</v>
      </c>
      <c r="C1" s="2" t="s">
        <v>20</v>
      </c>
    </row>
    <row r="2" spans="1:25" x14ac:dyDescent="0.25">
      <c r="A2" s="8"/>
      <c r="C2" s="7" t="s">
        <v>6</v>
      </c>
    </row>
    <row r="3" spans="1:25" x14ac:dyDescent="0.25">
      <c r="A3" s="1"/>
      <c r="B3" s="9" t="s">
        <v>0</v>
      </c>
      <c r="C3" t="s">
        <v>38</v>
      </c>
    </row>
    <row r="4" spans="1:25" x14ac:dyDescent="0.25">
      <c r="A4" s="8">
        <v>12</v>
      </c>
      <c r="B4" s="9" t="s">
        <v>1</v>
      </c>
      <c r="C4" t="s">
        <v>21</v>
      </c>
    </row>
    <row r="5" spans="1:25" x14ac:dyDescent="0.25">
      <c r="A5" s="8">
        <v>5</v>
      </c>
      <c r="C5" t="s">
        <v>33</v>
      </c>
    </row>
    <row r="6" spans="1:25" x14ac:dyDescent="0.25">
      <c r="A6" s="8">
        <v>7</v>
      </c>
      <c r="C6" t="s">
        <v>34</v>
      </c>
      <c r="O6" t="s">
        <v>59</v>
      </c>
      <c r="P6" t="s">
        <v>162</v>
      </c>
    </row>
    <row r="7" spans="1:25" x14ac:dyDescent="0.25">
      <c r="A7" s="8">
        <v>8</v>
      </c>
      <c r="B7" s="9" t="s">
        <v>2</v>
      </c>
      <c r="C7" t="s">
        <v>31</v>
      </c>
      <c r="P7" s="18" t="s">
        <v>163</v>
      </c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"/>
      <c r="B8" s="9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B9" s="9"/>
      <c r="C9" t="s">
        <v>57</v>
      </c>
      <c r="K9" t="s">
        <v>56</v>
      </c>
    </row>
    <row r="10" spans="1:25" x14ac:dyDescent="0.25">
      <c r="C10" s="15" t="s">
        <v>51</v>
      </c>
      <c r="D10" s="15" t="s">
        <v>54</v>
      </c>
      <c r="K10" s="15" t="s">
        <v>55</v>
      </c>
      <c r="L10" s="15" t="s">
        <v>54</v>
      </c>
    </row>
    <row r="11" spans="1:25" x14ac:dyDescent="0.25">
      <c r="C11" s="15" t="s">
        <v>52</v>
      </c>
      <c r="D11">
        <v>1</v>
      </c>
      <c r="E11">
        <v>2</v>
      </c>
      <c r="F11" t="s">
        <v>53</v>
      </c>
      <c r="K11" s="15" t="s">
        <v>52</v>
      </c>
      <c r="L11">
        <v>1</v>
      </c>
      <c r="M11">
        <v>2</v>
      </c>
      <c r="N11">
        <v>3</v>
      </c>
      <c r="O11" t="s">
        <v>53</v>
      </c>
    </row>
    <row r="12" spans="1:25" x14ac:dyDescent="0.25">
      <c r="C12" s="16">
        <v>3.5999999049999998</v>
      </c>
      <c r="D12" s="17"/>
      <c r="E12" s="17">
        <v>2</v>
      </c>
      <c r="F12" s="17">
        <v>2</v>
      </c>
      <c r="K12" s="16">
        <v>1</v>
      </c>
      <c r="L12" s="14">
        <v>14</v>
      </c>
      <c r="M12" s="14">
        <v>12</v>
      </c>
      <c r="N12" s="14"/>
      <c r="O12" s="14">
        <v>26</v>
      </c>
    </row>
    <row r="13" spans="1:25" x14ac:dyDescent="0.25">
      <c r="C13" s="16">
        <v>5</v>
      </c>
      <c r="D13" s="17"/>
      <c r="E13" s="17">
        <v>2</v>
      </c>
      <c r="F13" s="17">
        <v>2</v>
      </c>
      <c r="K13" s="16">
        <v>2</v>
      </c>
      <c r="L13" s="14"/>
      <c r="M13" s="14">
        <v>16</v>
      </c>
      <c r="N13" s="14">
        <v>11</v>
      </c>
      <c r="O13" s="14">
        <v>27</v>
      </c>
    </row>
    <row r="14" spans="1:25" x14ac:dyDescent="0.25">
      <c r="C14" s="16">
        <v>6.6999998090000004</v>
      </c>
      <c r="D14" s="17"/>
      <c r="E14" s="17">
        <v>3</v>
      </c>
      <c r="F14" s="17">
        <v>3</v>
      </c>
      <c r="K14" s="16" t="s">
        <v>53</v>
      </c>
      <c r="L14" s="14">
        <v>14</v>
      </c>
      <c r="M14" s="14">
        <v>28</v>
      </c>
      <c r="N14" s="14">
        <v>11</v>
      </c>
      <c r="O14" s="14">
        <v>53</v>
      </c>
    </row>
    <row r="15" spans="1:25" x14ac:dyDescent="0.25">
      <c r="C15" s="16">
        <v>7.3000001909999996</v>
      </c>
      <c r="D15" s="17"/>
      <c r="E15" s="17">
        <v>2</v>
      </c>
      <c r="F15" s="17">
        <v>2</v>
      </c>
    </row>
    <row r="16" spans="1:25" x14ac:dyDescent="0.25">
      <c r="C16" s="16">
        <v>7.4000000950000002</v>
      </c>
      <c r="D16" s="17">
        <v>4</v>
      </c>
      <c r="E16" s="17"/>
      <c r="F16" s="17">
        <v>4</v>
      </c>
    </row>
    <row r="17" spans="3:6" x14ac:dyDescent="0.25">
      <c r="C17" s="16">
        <v>7.5</v>
      </c>
      <c r="D17" s="17">
        <v>1</v>
      </c>
      <c r="E17" s="17"/>
      <c r="F17" s="17">
        <v>1</v>
      </c>
    </row>
    <row r="18" spans="3:6" x14ac:dyDescent="0.25">
      <c r="C18" s="16">
        <v>7.9000000950000002</v>
      </c>
      <c r="D18" s="17">
        <v>2</v>
      </c>
      <c r="E18" s="17"/>
      <c r="F18" s="17">
        <v>2</v>
      </c>
    </row>
    <row r="19" spans="3:6" x14ac:dyDescent="0.25">
      <c r="C19" s="16">
        <v>8</v>
      </c>
      <c r="D19" s="17">
        <v>1</v>
      </c>
      <c r="E19" s="17"/>
      <c r="F19" s="17">
        <v>1</v>
      </c>
    </row>
    <row r="20" spans="3:6" x14ac:dyDescent="0.25">
      <c r="C20" s="16">
        <v>8.1000003809999992</v>
      </c>
      <c r="D20" s="17">
        <v>2</v>
      </c>
      <c r="E20" s="17"/>
      <c r="F20" s="17">
        <v>2</v>
      </c>
    </row>
    <row r="21" spans="3:6" x14ac:dyDescent="0.25">
      <c r="C21" s="16">
        <v>8.1999998089999995</v>
      </c>
      <c r="D21" s="17">
        <v>2</v>
      </c>
      <c r="E21" s="17"/>
      <c r="F21" s="17">
        <v>2</v>
      </c>
    </row>
    <row r="22" spans="3:6" x14ac:dyDescent="0.25">
      <c r="C22" s="16">
        <v>8.3000001910000005</v>
      </c>
      <c r="D22" s="17">
        <v>3</v>
      </c>
      <c r="E22" s="17">
        <v>2</v>
      </c>
      <c r="F22" s="17">
        <v>5</v>
      </c>
    </row>
    <row r="23" spans="3:6" x14ac:dyDescent="0.25">
      <c r="C23" s="16">
        <v>8.3999996190000008</v>
      </c>
      <c r="D23" s="17"/>
      <c r="E23" s="17">
        <v>4</v>
      </c>
      <c r="F23" s="17">
        <v>4</v>
      </c>
    </row>
    <row r="24" spans="3:6" x14ac:dyDescent="0.25">
      <c r="C24" s="16">
        <v>8.5</v>
      </c>
      <c r="D24" s="17">
        <v>1</v>
      </c>
      <c r="E24" s="17"/>
      <c r="F24" s="17">
        <v>1</v>
      </c>
    </row>
    <row r="25" spans="3:6" x14ac:dyDescent="0.25">
      <c r="C25" s="16">
        <v>8.8000001910000005</v>
      </c>
      <c r="D25" s="17">
        <v>2</v>
      </c>
      <c r="E25" s="17"/>
      <c r="F25" s="17">
        <v>2</v>
      </c>
    </row>
    <row r="26" spans="3:6" x14ac:dyDescent="0.25">
      <c r="C26" s="16">
        <v>8.8999996190000008</v>
      </c>
      <c r="D26" s="17">
        <v>1</v>
      </c>
      <c r="E26" s="17"/>
      <c r="F26" s="17">
        <v>1</v>
      </c>
    </row>
    <row r="27" spans="3:6" x14ac:dyDescent="0.25">
      <c r="C27" s="16">
        <v>9</v>
      </c>
      <c r="D27" s="17"/>
      <c r="E27" s="17">
        <v>3</v>
      </c>
      <c r="F27" s="17">
        <v>3</v>
      </c>
    </row>
    <row r="28" spans="3:6" x14ac:dyDescent="0.25">
      <c r="C28" s="16">
        <v>9.1000003809999992</v>
      </c>
      <c r="D28" s="17"/>
      <c r="E28" s="17">
        <v>2</v>
      </c>
      <c r="F28" s="17">
        <v>2</v>
      </c>
    </row>
    <row r="29" spans="3:6" x14ac:dyDescent="0.25">
      <c r="C29" s="16">
        <v>9.1999998089999995</v>
      </c>
      <c r="D29" s="17"/>
      <c r="E29" s="17">
        <v>2</v>
      </c>
      <c r="F29" s="17">
        <v>2</v>
      </c>
    </row>
    <row r="30" spans="3:6" x14ac:dyDescent="0.25">
      <c r="C30" s="16">
        <v>9.3000001910000005</v>
      </c>
      <c r="D30" s="17">
        <v>3</v>
      </c>
      <c r="E30" s="17"/>
      <c r="F30" s="17">
        <v>3</v>
      </c>
    </row>
    <row r="31" spans="3:6" x14ac:dyDescent="0.25">
      <c r="C31" s="16">
        <v>9.3999996190000008</v>
      </c>
      <c r="D31" s="17">
        <v>2</v>
      </c>
      <c r="E31" s="17">
        <v>4</v>
      </c>
      <c r="F31" s="17">
        <v>6</v>
      </c>
    </row>
    <row r="32" spans="3:6" x14ac:dyDescent="0.25">
      <c r="C32" s="16">
        <v>9.6000003809999992</v>
      </c>
      <c r="D32" s="17">
        <v>2</v>
      </c>
      <c r="E32" s="17"/>
      <c r="F32" s="17">
        <v>2</v>
      </c>
    </row>
    <row r="33" spans="3:6" x14ac:dyDescent="0.25">
      <c r="C33" s="16">
        <v>9.6999998089999995</v>
      </c>
      <c r="D33" s="17">
        <v>2</v>
      </c>
      <c r="E33" s="17"/>
      <c r="F33" s="17">
        <v>2</v>
      </c>
    </row>
    <row r="34" spans="3:6" x14ac:dyDescent="0.25">
      <c r="C34" s="16">
        <v>9.8000001910000005</v>
      </c>
      <c r="D34" s="17">
        <v>2</v>
      </c>
      <c r="E34" s="17">
        <v>6</v>
      </c>
      <c r="F34" s="17">
        <v>8</v>
      </c>
    </row>
    <row r="35" spans="3:6" x14ac:dyDescent="0.25">
      <c r="C35" s="16">
        <v>10</v>
      </c>
      <c r="D35" s="17"/>
      <c r="E35" s="17">
        <v>6</v>
      </c>
      <c r="F35" s="17">
        <v>6</v>
      </c>
    </row>
    <row r="36" spans="3:6" x14ac:dyDescent="0.25">
      <c r="C36" s="16">
        <v>10.100000380000001</v>
      </c>
      <c r="D36" s="17"/>
      <c r="E36" s="17">
        <v>5</v>
      </c>
      <c r="F36" s="17">
        <v>5</v>
      </c>
    </row>
    <row r="37" spans="3:6" x14ac:dyDescent="0.25">
      <c r="C37" s="16">
        <v>10.19999981</v>
      </c>
      <c r="D37" s="17">
        <v>1</v>
      </c>
      <c r="E37" s="17"/>
      <c r="F37" s="17">
        <v>1</v>
      </c>
    </row>
    <row r="38" spans="3:6" x14ac:dyDescent="0.25">
      <c r="C38" s="16">
        <v>10.30000019</v>
      </c>
      <c r="D38" s="17">
        <v>2</v>
      </c>
      <c r="E38" s="17"/>
      <c r="F38" s="17">
        <v>2</v>
      </c>
    </row>
    <row r="39" spans="3:6" x14ac:dyDescent="0.25">
      <c r="C39" s="16">
        <v>10.5</v>
      </c>
      <c r="D39" s="17"/>
      <c r="E39" s="17">
        <v>2</v>
      </c>
      <c r="F39" s="17">
        <v>2</v>
      </c>
    </row>
    <row r="40" spans="3:6" x14ac:dyDescent="0.25">
      <c r="C40" s="16">
        <v>10.600000380000001</v>
      </c>
      <c r="D40" s="17">
        <v>2</v>
      </c>
      <c r="E40" s="17"/>
      <c r="F40" s="17">
        <v>2</v>
      </c>
    </row>
    <row r="41" spans="3:6" x14ac:dyDescent="0.25">
      <c r="C41" s="16">
        <v>10.69999981</v>
      </c>
      <c r="D41" s="17">
        <v>1</v>
      </c>
      <c r="E41" s="17"/>
      <c r="F41" s="17">
        <v>1</v>
      </c>
    </row>
    <row r="42" spans="3:6" x14ac:dyDescent="0.25">
      <c r="C42" s="16">
        <v>10.80000019</v>
      </c>
      <c r="D42" s="17"/>
      <c r="E42" s="17">
        <v>5</v>
      </c>
      <c r="F42" s="17">
        <v>5</v>
      </c>
    </row>
    <row r="43" spans="3:6" x14ac:dyDescent="0.25">
      <c r="C43" s="16">
        <v>10.899999619999999</v>
      </c>
      <c r="D43" s="17"/>
      <c r="E43" s="17">
        <v>2</v>
      </c>
      <c r="F43" s="17">
        <v>2</v>
      </c>
    </row>
    <row r="44" spans="3:6" x14ac:dyDescent="0.25">
      <c r="C44" s="16">
        <v>11.19999981</v>
      </c>
      <c r="D44" s="17">
        <v>2</v>
      </c>
      <c r="E44" s="17"/>
      <c r="F44" s="17">
        <v>2</v>
      </c>
    </row>
    <row r="45" spans="3:6" x14ac:dyDescent="0.25">
      <c r="C45" s="16">
        <v>11.30000019</v>
      </c>
      <c r="D45" s="17"/>
      <c r="E45" s="17">
        <v>6</v>
      </c>
      <c r="F45" s="17">
        <v>6</v>
      </c>
    </row>
    <row r="46" spans="3:6" x14ac:dyDescent="0.25">
      <c r="C46" s="16">
        <v>11.600000380000001</v>
      </c>
      <c r="D46" s="17">
        <v>2</v>
      </c>
      <c r="E46" s="17"/>
      <c r="F46" s="17">
        <v>2</v>
      </c>
    </row>
    <row r="47" spans="3:6" x14ac:dyDescent="0.25">
      <c r="C47" s="16">
        <v>11.69999981</v>
      </c>
      <c r="D47" s="17">
        <v>1</v>
      </c>
      <c r="E47" s="17"/>
      <c r="F47" s="17">
        <v>1</v>
      </c>
    </row>
    <row r="48" spans="3:6" x14ac:dyDescent="0.25">
      <c r="C48" s="16">
        <v>11.899999619999999</v>
      </c>
      <c r="D48" s="17"/>
      <c r="E48" s="17">
        <v>2</v>
      </c>
      <c r="F48" s="17">
        <v>2</v>
      </c>
    </row>
    <row r="49" spans="3:25" x14ac:dyDescent="0.25">
      <c r="C49" s="16">
        <v>12.80000019</v>
      </c>
      <c r="D49" s="17"/>
      <c r="E49" s="17">
        <v>3</v>
      </c>
      <c r="F49" s="17">
        <v>3</v>
      </c>
    </row>
    <row r="50" spans="3:25" x14ac:dyDescent="0.25">
      <c r="C50" s="16" t="s">
        <v>53</v>
      </c>
      <c r="D50" s="17">
        <v>41</v>
      </c>
      <c r="E50" s="17">
        <v>63</v>
      </c>
      <c r="F50" s="17">
        <v>104</v>
      </c>
    </row>
    <row r="55" spans="3:25" x14ac:dyDescent="0.25">
      <c r="C55" t="s">
        <v>58</v>
      </c>
      <c r="D55" t="s">
        <v>60</v>
      </c>
      <c r="F55">
        <f>COUNT(Podaci!L2:L54)</f>
        <v>53</v>
      </c>
      <c r="I55" t="s">
        <v>61</v>
      </c>
      <c r="L55">
        <f>F55/3</f>
        <v>17.666666666666668</v>
      </c>
    </row>
    <row r="56" spans="3:25" x14ac:dyDescent="0.25">
      <c r="N56" s="18" t="s">
        <v>65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3:25" x14ac:dyDescent="0.25"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9" spans="3:25" x14ac:dyDescent="0.25">
      <c r="I59" t="s">
        <v>62</v>
      </c>
      <c r="J59" t="s">
        <v>64</v>
      </c>
      <c r="K59" t="s">
        <v>63</v>
      </c>
    </row>
    <row r="60" spans="3:25" x14ac:dyDescent="0.25">
      <c r="I60">
        <v>1</v>
      </c>
      <c r="J60">
        <f>I60*$L$55</f>
        <v>17.666666666666668</v>
      </c>
      <c r="K60">
        <f>Podaci!L18+(Podaci!L19-Podaci!L18)*0.67</f>
        <v>90.01</v>
      </c>
    </row>
    <row r="61" spans="3:25" x14ac:dyDescent="0.25">
      <c r="I61">
        <v>2</v>
      </c>
      <c r="J61">
        <f t="shared" ref="J61:J62" si="0">I61*$L$55</f>
        <v>35.333333333333336</v>
      </c>
      <c r="K61">
        <f>Podaci!L36+(Podaci!L37-Podaci!L36)*0.33</f>
        <v>114.32</v>
      </c>
    </row>
    <row r="62" spans="3:25" x14ac:dyDescent="0.25">
      <c r="I62">
        <v>3</v>
      </c>
      <c r="J62">
        <f t="shared" si="0"/>
        <v>53</v>
      </c>
      <c r="K62">
        <f>Podaci!L54</f>
        <v>292</v>
      </c>
      <c r="N62" t="s">
        <v>66</v>
      </c>
    </row>
    <row r="63" spans="3:25" x14ac:dyDescent="0.25">
      <c r="N63" t="s">
        <v>67</v>
      </c>
      <c r="O63" t="s">
        <v>68</v>
      </c>
      <c r="Q63" t="s">
        <v>69</v>
      </c>
      <c r="R63" t="s">
        <v>70</v>
      </c>
    </row>
    <row r="64" spans="3:25" x14ac:dyDescent="0.25">
      <c r="N64">
        <v>35</v>
      </c>
      <c r="O64">
        <v>90.01</v>
      </c>
      <c r="Q64">
        <f>MIN(Podaci!E2:E54)</f>
        <v>7.1999998090000004</v>
      </c>
      <c r="R64">
        <f>MAX(Podaci!E2:E54)</f>
        <v>13</v>
      </c>
    </row>
    <row r="66" spans="14:14" x14ac:dyDescent="0.25">
      <c r="N66" t="s">
        <v>71</v>
      </c>
    </row>
  </sheetData>
  <mergeCells count="2">
    <mergeCell ref="N56:Y57"/>
    <mergeCell ref="P7:Y8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"/>
  <sheetViews>
    <sheetView zoomScaleNormal="100" workbookViewId="0">
      <selection activeCell="B8" sqref="B8"/>
    </sheetView>
  </sheetViews>
  <sheetFormatPr defaultRowHeight="15" x14ac:dyDescent="0.25"/>
  <cols>
    <col min="2" max="2" width="4" bestFit="1" customWidth="1"/>
    <col min="3" max="3" width="6.140625" bestFit="1" customWidth="1"/>
    <col min="4" max="4" width="8.5703125" bestFit="1" customWidth="1"/>
    <col min="5" max="5" width="7.42578125" bestFit="1" customWidth="1"/>
    <col min="6" max="6" width="7.28515625" customWidth="1"/>
    <col min="9" max="9" width="12" bestFit="1" customWidth="1"/>
  </cols>
  <sheetData>
    <row r="1" spans="1:18" x14ac:dyDescent="0.25">
      <c r="A1" t="s">
        <v>3</v>
      </c>
      <c r="C1" s="2" t="s">
        <v>22</v>
      </c>
    </row>
    <row r="2" spans="1:18" x14ac:dyDescent="0.25">
      <c r="A2" s="8"/>
    </row>
    <row r="3" spans="1:18" x14ac:dyDescent="0.25">
      <c r="A3" s="1"/>
      <c r="C3" s="7" t="s">
        <v>6</v>
      </c>
    </row>
    <row r="4" spans="1:18" x14ac:dyDescent="0.25">
      <c r="A4" s="8">
        <v>15</v>
      </c>
      <c r="B4" s="9" t="s">
        <v>0</v>
      </c>
      <c r="C4" t="s">
        <v>43</v>
      </c>
    </row>
    <row r="5" spans="1:18" x14ac:dyDescent="0.25">
      <c r="A5" s="8">
        <v>10</v>
      </c>
      <c r="B5" s="9" t="s">
        <v>1</v>
      </c>
      <c r="C5" t="s">
        <v>35</v>
      </c>
    </row>
    <row r="6" spans="1:18" x14ac:dyDescent="0.25">
      <c r="A6" s="8">
        <v>5</v>
      </c>
      <c r="B6" s="9" t="s">
        <v>2</v>
      </c>
      <c r="C6" t="s">
        <v>36</v>
      </c>
      <c r="Q6" t="s">
        <v>49</v>
      </c>
      <c r="R6" t="s">
        <v>78</v>
      </c>
    </row>
    <row r="7" spans="1:18" x14ac:dyDescent="0.25">
      <c r="Q7">
        <v>1</v>
      </c>
      <c r="R7">
        <f t="array" ref="R7:R9">FREQUENCY(Podaci!M2:M54,Zad2!Q7:Q9)</f>
        <v>14</v>
      </c>
    </row>
    <row r="8" spans="1:18" x14ac:dyDescent="0.25">
      <c r="B8" t="s">
        <v>59</v>
      </c>
      <c r="Q8">
        <v>2</v>
      </c>
      <c r="R8">
        <v>28</v>
      </c>
    </row>
    <row r="9" spans="1:18" x14ac:dyDescent="0.25">
      <c r="C9" t="s">
        <v>72</v>
      </c>
      <c r="F9">
        <f>AVERAGE(Podaci!F2:F54)</f>
        <v>110.64150943396227</v>
      </c>
      <c r="Q9">
        <v>3</v>
      </c>
      <c r="R9">
        <v>11</v>
      </c>
    </row>
    <row r="10" spans="1:18" x14ac:dyDescent="0.25">
      <c r="C10" s="1"/>
      <c r="D10" s="1"/>
      <c r="E10" s="1"/>
      <c r="F10" s="1"/>
    </row>
    <row r="12" spans="1:18" x14ac:dyDescent="0.25"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79</v>
      </c>
      <c r="I12" t="s">
        <v>81</v>
      </c>
      <c r="M12" t="s">
        <v>84</v>
      </c>
    </row>
    <row r="13" spans="1:18" x14ac:dyDescent="0.25">
      <c r="C13">
        <v>1</v>
      </c>
      <c r="D13">
        <v>35</v>
      </c>
      <c r="E13">
        <v>80</v>
      </c>
      <c r="F13">
        <v>14</v>
      </c>
      <c r="G13">
        <f>AVERAGE(D13:E13)</f>
        <v>57.5</v>
      </c>
      <c r="H13">
        <f>G13*F13</f>
        <v>805</v>
      </c>
      <c r="I13">
        <f>POWER(G13-$E$20,2)*F13</f>
        <v>57903.243681025284</v>
      </c>
      <c r="M13" t="s">
        <v>85</v>
      </c>
    </row>
    <row r="14" spans="1:18" x14ac:dyDescent="0.25">
      <c r="C14">
        <v>2</v>
      </c>
      <c r="D14">
        <v>81</v>
      </c>
      <c r="E14">
        <v>149</v>
      </c>
      <c r="F14">
        <v>28</v>
      </c>
      <c r="G14">
        <f t="shared" ref="G14:G15" si="0">AVERAGE(D14:E14)</f>
        <v>115</v>
      </c>
      <c r="H14">
        <f t="shared" ref="H14:H15" si="1">G14*F14</f>
        <v>3220</v>
      </c>
      <c r="I14">
        <f t="shared" ref="I14:I15" si="2">POWER(G14-$E$20,2)*F14</f>
        <v>1299.0345318618752</v>
      </c>
      <c r="M14" s="20" t="s">
        <v>86</v>
      </c>
      <c r="N14" s="20"/>
      <c r="O14" s="20"/>
      <c r="P14" s="20"/>
      <c r="Q14" s="20"/>
      <c r="R14" s="20"/>
    </row>
    <row r="15" spans="1:18" x14ac:dyDescent="0.25">
      <c r="C15">
        <v>3</v>
      </c>
      <c r="D15">
        <v>150</v>
      </c>
      <c r="E15">
        <v>292</v>
      </c>
      <c r="F15">
        <v>11</v>
      </c>
      <c r="G15">
        <f t="shared" si="0"/>
        <v>221</v>
      </c>
      <c r="H15">
        <f t="shared" si="1"/>
        <v>2431</v>
      </c>
      <c r="I15">
        <f t="shared" si="2"/>
        <v>108222.33499466001</v>
      </c>
    </row>
    <row r="16" spans="1:18" x14ac:dyDescent="0.25">
      <c r="F16">
        <f>SUM(F13:F15)</f>
        <v>53</v>
      </c>
      <c r="H16">
        <f>SUM(H13:H15)</f>
        <v>6456</v>
      </c>
      <c r="I16">
        <f>SUM(I13:I15)</f>
        <v>167424.61320754717</v>
      </c>
    </row>
    <row r="17" spans="2:23" x14ac:dyDescent="0.25">
      <c r="M17" t="s">
        <v>88</v>
      </c>
      <c r="O17">
        <f>E20+3*E22</f>
        <v>290.42506484345137</v>
      </c>
    </row>
    <row r="18" spans="2:23" x14ac:dyDescent="0.25">
      <c r="M18" t="s">
        <v>90</v>
      </c>
      <c r="O18">
        <f>E20-3*E22</f>
        <v>-46.802423334017405</v>
      </c>
    </row>
    <row r="20" spans="2:23" x14ac:dyDescent="0.25">
      <c r="D20" s="19" t="s">
        <v>80</v>
      </c>
      <c r="E20">
        <f>H16/F16</f>
        <v>121.81132075471699</v>
      </c>
    </row>
    <row r="21" spans="2:23" x14ac:dyDescent="0.25">
      <c r="D21" t="s">
        <v>82</v>
      </c>
      <c r="E21">
        <f>I16/F16</f>
        <v>3158.9549661801352</v>
      </c>
    </row>
    <row r="22" spans="2:23" x14ac:dyDescent="0.25">
      <c r="D22" t="s">
        <v>83</v>
      </c>
      <c r="E22">
        <f>SQRT(E21)</f>
        <v>56.204581362911469</v>
      </c>
    </row>
    <row r="23" spans="2:23" x14ac:dyDescent="0.25">
      <c r="D23" t="s">
        <v>87</v>
      </c>
      <c r="G23">
        <f>E22/E20</f>
        <v>0.46140687921844914</v>
      </c>
    </row>
    <row r="25" spans="2:23" x14ac:dyDescent="0.25">
      <c r="D25" t="s">
        <v>91</v>
      </c>
    </row>
    <row r="27" spans="2:23" x14ac:dyDescent="0.25">
      <c r="B27" t="s">
        <v>92</v>
      </c>
    </row>
    <row r="28" spans="2:23" x14ac:dyDescent="0.25"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79</v>
      </c>
      <c r="I28" t="s">
        <v>93</v>
      </c>
      <c r="L28" t="s">
        <v>94</v>
      </c>
      <c r="M28">
        <f>I32/F16</f>
        <v>132108.45764120712</v>
      </c>
    </row>
    <row r="29" spans="2:23" x14ac:dyDescent="0.25">
      <c r="C29">
        <v>1</v>
      </c>
      <c r="D29">
        <v>35</v>
      </c>
      <c r="E29">
        <v>80</v>
      </c>
      <c r="F29">
        <v>14</v>
      </c>
      <c r="G29">
        <v>57.5</v>
      </c>
      <c r="H29">
        <v>805</v>
      </c>
      <c r="I29">
        <f>POWER(G13-$E$20,3)*F13</f>
        <v>-3723834.0771089564</v>
      </c>
      <c r="L29" t="s">
        <v>95</v>
      </c>
      <c r="N29">
        <f>M28/POWER(E22,3)</f>
        <v>0.74407287068695394</v>
      </c>
    </row>
    <row r="30" spans="2:23" x14ac:dyDescent="0.25">
      <c r="C30">
        <v>2</v>
      </c>
      <c r="D30">
        <v>81</v>
      </c>
      <c r="E30">
        <v>149</v>
      </c>
      <c r="F30">
        <v>28</v>
      </c>
      <c r="G30">
        <v>115</v>
      </c>
      <c r="H30">
        <v>3220</v>
      </c>
      <c r="I30">
        <f t="shared" ref="I30:I31" si="3">POWER(G14-$E$20,3)*F14</f>
        <v>-8848.1408679648557</v>
      </c>
    </row>
    <row r="31" spans="2:23" x14ac:dyDescent="0.25">
      <c r="C31">
        <v>3</v>
      </c>
      <c r="D31">
        <v>150</v>
      </c>
      <c r="E31">
        <v>292</v>
      </c>
      <c r="F31">
        <v>11</v>
      </c>
      <c r="G31">
        <v>221</v>
      </c>
      <c r="H31">
        <v>2431</v>
      </c>
      <c r="I31">
        <f t="shared" si="3"/>
        <v>10734430.472960899</v>
      </c>
      <c r="P31" s="21" t="s">
        <v>101</v>
      </c>
      <c r="Q31" s="22"/>
      <c r="R31" s="22"/>
      <c r="S31" s="22"/>
      <c r="T31" s="22"/>
      <c r="U31" s="22"/>
      <c r="V31" s="22"/>
      <c r="W31" s="23"/>
    </row>
    <row r="32" spans="2:23" x14ac:dyDescent="0.25">
      <c r="F32">
        <v>53</v>
      </c>
      <c r="H32">
        <v>6456</v>
      </c>
      <c r="I32">
        <f>SUM(I29:I31)</f>
        <v>7001748.2549839774</v>
      </c>
      <c r="P32" s="24" t="s">
        <v>102</v>
      </c>
      <c r="Q32" s="25"/>
      <c r="R32" s="25"/>
      <c r="S32" s="25"/>
      <c r="T32" s="25"/>
      <c r="U32" s="25"/>
      <c r="V32" s="25"/>
      <c r="W32" s="26"/>
    </row>
    <row r="33" spans="2:23" x14ac:dyDescent="0.25">
      <c r="P33" s="24" t="s">
        <v>103</v>
      </c>
      <c r="Q33" s="25"/>
      <c r="R33" s="25"/>
      <c r="S33" s="25"/>
      <c r="T33" s="25"/>
      <c r="U33" s="25"/>
      <c r="V33" s="25"/>
      <c r="W33" s="26"/>
    </row>
    <row r="34" spans="2:23" x14ac:dyDescent="0.25">
      <c r="P34" s="27" t="s">
        <v>104</v>
      </c>
      <c r="Q34" s="28"/>
      <c r="R34" s="28"/>
      <c r="S34" s="28"/>
      <c r="T34" s="28"/>
      <c r="U34" s="28"/>
      <c r="V34" s="28"/>
      <c r="W34" s="29"/>
    </row>
    <row r="37" spans="2:23" x14ac:dyDescent="0.25">
      <c r="C37" t="s">
        <v>73</v>
      </c>
      <c r="D37" t="s">
        <v>74</v>
      </c>
      <c r="E37" t="s">
        <v>75</v>
      </c>
      <c r="F37" t="s">
        <v>76</v>
      </c>
      <c r="G37" t="s">
        <v>77</v>
      </c>
      <c r="H37" t="s">
        <v>79</v>
      </c>
      <c r="I37" t="s">
        <v>97</v>
      </c>
      <c r="L37" t="s">
        <v>98</v>
      </c>
      <c r="M37">
        <f>I41/F16</f>
        <v>24609036.535078198</v>
      </c>
    </row>
    <row r="38" spans="2:23" x14ac:dyDescent="0.25">
      <c r="C38">
        <v>1</v>
      </c>
      <c r="D38">
        <v>35</v>
      </c>
      <c r="E38">
        <v>80</v>
      </c>
      <c r="F38">
        <v>14</v>
      </c>
      <c r="G38">
        <v>57.5</v>
      </c>
      <c r="H38">
        <v>805</v>
      </c>
      <c r="I38">
        <f>POWER(G13-$E$20,4)*F13</f>
        <v>239484687.77029961</v>
      </c>
      <c r="L38" t="s">
        <v>99</v>
      </c>
      <c r="N38">
        <f>M37/POWER(E22,4)</f>
        <v>2.46608329689851</v>
      </c>
    </row>
    <row r="39" spans="2:23" x14ac:dyDescent="0.25">
      <c r="C39">
        <v>2</v>
      </c>
      <c r="D39">
        <v>81</v>
      </c>
      <c r="E39">
        <v>149</v>
      </c>
      <c r="F39">
        <v>28</v>
      </c>
      <c r="G39">
        <v>115</v>
      </c>
      <c r="H39">
        <v>3220</v>
      </c>
      <c r="I39">
        <f t="shared" ref="I39:I40" si="4">POWER(G14-$E$20,4)*F14</f>
        <v>60267.525534628614</v>
      </c>
    </row>
    <row r="40" spans="2:23" x14ac:dyDescent="0.25">
      <c r="C40">
        <v>3</v>
      </c>
      <c r="D40">
        <v>150</v>
      </c>
      <c r="E40">
        <v>292</v>
      </c>
      <c r="F40">
        <v>11</v>
      </c>
      <c r="G40">
        <v>221</v>
      </c>
      <c r="H40">
        <v>2431</v>
      </c>
      <c r="I40">
        <f t="shared" si="4"/>
        <v>1064733981.0633103</v>
      </c>
    </row>
    <row r="41" spans="2:23" x14ac:dyDescent="0.25">
      <c r="F41">
        <v>53</v>
      </c>
      <c r="H41">
        <v>6456</v>
      </c>
      <c r="I41">
        <f>SUM(I38:I40)</f>
        <v>1304278936.3591444</v>
      </c>
    </row>
    <row r="46" spans="2:23" x14ac:dyDescent="0.25">
      <c r="B46" t="s">
        <v>96</v>
      </c>
      <c r="M46" t="s">
        <v>80</v>
      </c>
      <c r="N46">
        <v>121.81132075471699</v>
      </c>
    </row>
    <row r="47" spans="2:23" x14ac:dyDescent="0.25">
      <c r="M47" t="s">
        <v>82</v>
      </c>
      <c r="N47">
        <v>3158.9549661801352</v>
      </c>
    </row>
    <row r="48" spans="2:23" x14ac:dyDescent="0.25">
      <c r="M48" t="s">
        <v>83</v>
      </c>
      <c r="N48">
        <v>56.204581362911469</v>
      </c>
    </row>
    <row r="50" spans="15:16" x14ac:dyDescent="0.25">
      <c r="O50" t="s">
        <v>89</v>
      </c>
      <c r="P50" t="s">
        <v>100</v>
      </c>
    </row>
    <row r="51" spans="15:16" x14ac:dyDescent="0.25">
      <c r="O51">
        <f>N46-N48</f>
        <v>65.606739391805519</v>
      </c>
      <c r="P51">
        <f>N46+N48</f>
        <v>178.01590211762846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4"/>
  <sheetViews>
    <sheetView tabSelected="1" topLeftCell="A7" zoomScaleNormal="100" workbookViewId="0">
      <selection activeCell="G10" sqref="G10:P11"/>
    </sheetView>
  </sheetViews>
  <sheetFormatPr defaultRowHeight="15" x14ac:dyDescent="0.25"/>
  <cols>
    <col min="2" max="2" width="3" style="9" bestFit="1" customWidth="1"/>
    <col min="3" max="3" width="6.42578125" bestFit="1" customWidth="1"/>
    <col min="4" max="4" width="6.7109375" bestFit="1" customWidth="1"/>
    <col min="5" max="5" width="5.5703125" bestFit="1" customWidth="1"/>
    <col min="8" max="8" width="10.28515625" customWidth="1"/>
    <col min="9" max="9" width="10.5703125" bestFit="1" customWidth="1"/>
  </cols>
  <sheetData>
    <row r="1" spans="1:20" x14ac:dyDescent="0.25">
      <c r="A1" t="s">
        <v>5</v>
      </c>
      <c r="C1" s="2" t="s">
        <v>23</v>
      </c>
    </row>
    <row r="2" spans="1:20" x14ac:dyDescent="0.25">
      <c r="A2" s="8"/>
      <c r="C2" t="s">
        <v>44</v>
      </c>
    </row>
    <row r="3" spans="1:20" x14ac:dyDescent="0.25">
      <c r="B3"/>
    </row>
    <row r="4" spans="1:20" x14ac:dyDescent="0.25">
      <c r="A4" s="8">
        <v>5</v>
      </c>
      <c r="B4" s="9" t="s">
        <v>0</v>
      </c>
      <c r="C4" t="s">
        <v>32</v>
      </c>
    </row>
    <row r="5" spans="1:20" x14ac:dyDescent="0.25">
      <c r="C5" t="s">
        <v>24</v>
      </c>
    </row>
    <row r="6" spans="1:20" x14ac:dyDescent="0.25">
      <c r="A6" s="8">
        <v>10</v>
      </c>
      <c r="B6" s="9" t="s">
        <v>1</v>
      </c>
      <c r="C6" t="s">
        <v>41</v>
      </c>
    </row>
    <row r="7" spans="1:20" x14ac:dyDescent="0.25">
      <c r="A7" s="8">
        <v>10</v>
      </c>
      <c r="B7" s="9" t="s">
        <v>2</v>
      </c>
      <c r="C7" t="s">
        <v>37</v>
      </c>
    </row>
    <row r="10" spans="1:20" x14ac:dyDescent="0.25">
      <c r="B10" s="9" t="s">
        <v>59</v>
      </c>
      <c r="C10" t="s">
        <v>105</v>
      </c>
      <c r="G10" s="18" t="s">
        <v>163</v>
      </c>
      <c r="H10" s="18"/>
      <c r="I10" s="18"/>
      <c r="J10" s="18"/>
      <c r="K10" s="18"/>
      <c r="L10" s="18"/>
      <c r="M10" s="18"/>
      <c r="N10" s="18"/>
      <c r="O10" s="18"/>
      <c r="P10" s="18"/>
    </row>
    <row r="11" spans="1:20" x14ac:dyDescent="0.25"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20" x14ac:dyDescent="0.25">
      <c r="B12" s="9" t="s">
        <v>92</v>
      </c>
    </row>
    <row r="13" spans="1:20" x14ac:dyDescent="0.25">
      <c r="D13" t="s">
        <v>106</v>
      </c>
    </row>
    <row r="15" spans="1:20" x14ac:dyDescent="0.25">
      <c r="D15" s="32" t="s">
        <v>107</v>
      </c>
      <c r="E15" s="31"/>
      <c r="F15" s="31"/>
      <c r="G15" s="31"/>
      <c r="H15" s="10"/>
      <c r="I15" s="31" t="s">
        <v>108</v>
      </c>
      <c r="J15" s="31"/>
      <c r="K15" s="31"/>
      <c r="L15" s="31"/>
      <c r="N15" s="31" t="s">
        <v>109</v>
      </c>
      <c r="O15" s="31"/>
      <c r="P15" s="31"/>
      <c r="Q15" s="31"/>
    </row>
    <row r="16" spans="1:20" x14ac:dyDescent="0.25">
      <c r="D16" s="31"/>
      <c r="E16" s="30" t="s">
        <v>50</v>
      </c>
      <c r="F16" s="30"/>
      <c r="G16" s="31"/>
      <c r="H16" s="10"/>
      <c r="I16" s="31"/>
      <c r="J16" s="30" t="s">
        <v>50</v>
      </c>
      <c r="K16" s="30"/>
      <c r="L16" s="31"/>
      <c r="N16" s="31"/>
      <c r="O16" s="30" t="s">
        <v>50</v>
      </c>
      <c r="P16" s="30"/>
      <c r="Q16" s="31"/>
      <c r="S16" t="s">
        <v>110</v>
      </c>
      <c r="T16">
        <f>Q21</f>
        <v>25.56166056166056</v>
      </c>
    </row>
    <row r="17" spans="2:20" x14ac:dyDescent="0.25">
      <c r="D17" s="31" t="s">
        <v>49</v>
      </c>
      <c r="E17" s="31">
        <v>1</v>
      </c>
      <c r="F17" s="31">
        <v>2</v>
      </c>
      <c r="G17" s="31" t="s">
        <v>16</v>
      </c>
      <c r="H17" s="10"/>
      <c r="I17" s="31" t="s">
        <v>49</v>
      </c>
      <c r="J17" s="31">
        <v>1</v>
      </c>
      <c r="K17" s="31">
        <v>2</v>
      </c>
      <c r="L17" s="31" t="s">
        <v>16</v>
      </c>
      <c r="N17" s="31" t="s">
        <v>49</v>
      </c>
      <c r="O17" s="31">
        <v>1</v>
      </c>
      <c r="P17" s="31">
        <v>2</v>
      </c>
      <c r="Q17" s="31" t="s">
        <v>16</v>
      </c>
      <c r="S17" t="s">
        <v>111</v>
      </c>
      <c r="T17">
        <f>_xlfn.CHISQ.INV.RT(0.05,2)</f>
        <v>5.9914645471079817</v>
      </c>
    </row>
    <row r="18" spans="2:20" x14ac:dyDescent="0.25">
      <c r="D18" s="31">
        <v>1</v>
      </c>
      <c r="E18" s="31">
        <f>COUNTIFS(Podaci!$M$2:$M$54,Zad3!D18,Podaci!$O$2:$O$54,Zad3!$E$17)</f>
        <v>14</v>
      </c>
      <c r="F18" s="31">
        <f>COUNTIFS(Podaci!$M$2:$M$54,Zad3!D18,Podaci!$O$2:$O$54,Zad3!F$17)</f>
        <v>0</v>
      </c>
      <c r="G18" s="31">
        <f>SUM(E18:F18)</f>
        <v>14</v>
      </c>
      <c r="H18" s="10"/>
      <c r="I18" s="31">
        <v>1</v>
      </c>
      <c r="J18" s="33">
        <f>E$21*$G18/$G$21</f>
        <v>6.867924528301887</v>
      </c>
      <c r="K18" s="33">
        <f>F$21*$G18/$G$21</f>
        <v>7.132075471698113</v>
      </c>
      <c r="L18" s="31">
        <f>SUM(J18:K18)</f>
        <v>14</v>
      </c>
      <c r="N18" s="31">
        <v>1</v>
      </c>
      <c r="O18" s="33">
        <f>POWER(E18-J18,2)/J18</f>
        <v>7.4063860667634245</v>
      </c>
      <c r="P18" s="33">
        <f>POWER(F18-K18,2)/K18</f>
        <v>7.132075471698113</v>
      </c>
      <c r="Q18" s="31">
        <f>SUM(O18:P18)</f>
        <v>14.538461538461537</v>
      </c>
    </row>
    <row r="19" spans="2:20" x14ac:dyDescent="0.25">
      <c r="D19" s="31">
        <v>2</v>
      </c>
      <c r="E19" s="31">
        <f>COUNTIFS(Podaci!$M$2:$M$54,Zad3!D19,Podaci!$O$2:$O$54,Zad3!$E$17)</f>
        <v>12</v>
      </c>
      <c r="F19" s="31">
        <f>COUNTIFS(Podaci!$M$2:$M$54,Zad3!D19,Podaci!$O$2:$O$54,Zad3!F$17)</f>
        <v>16</v>
      </c>
      <c r="G19" s="31">
        <f>SUM(E19:F19)</f>
        <v>28</v>
      </c>
      <c r="H19" s="10"/>
      <c r="I19" s="31">
        <v>2</v>
      </c>
      <c r="J19" s="33">
        <f t="shared" ref="J19:J20" si="0">E$21*$G19/$G$21</f>
        <v>13.735849056603774</v>
      </c>
      <c r="K19" s="33">
        <f t="shared" ref="K19:K20" si="1">F$21*$G19/$G$21</f>
        <v>14.264150943396226</v>
      </c>
      <c r="L19" s="31">
        <f>SUM(J19:K19)</f>
        <v>28</v>
      </c>
      <c r="N19" s="31">
        <v>2</v>
      </c>
      <c r="O19" s="33">
        <f t="shared" ref="O19:O20" si="2">POWER(E19-J19,2)/J19</f>
        <v>0.21936554012025722</v>
      </c>
      <c r="P19" s="33">
        <f t="shared" ref="P19:P20" si="3">POWER(F19-K19,2)/K19</f>
        <v>0.21124089048617364</v>
      </c>
      <c r="Q19" s="31">
        <f>SUM(O19:P19)</f>
        <v>0.43060643060643089</v>
      </c>
    </row>
    <row r="20" spans="2:20" x14ac:dyDescent="0.25">
      <c r="D20" s="31">
        <v>3</v>
      </c>
      <c r="E20" s="31">
        <f>COUNTIFS(Podaci!$M$2:$M$54,Zad3!D20,Podaci!$O$2:$O$54,Zad3!$E$17)</f>
        <v>0</v>
      </c>
      <c r="F20" s="31">
        <f>COUNTIFS(Podaci!$M$2:$M$54,Zad3!D20,Podaci!$O$2:$O$54,Zad3!F$17)</f>
        <v>11</v>
      </c>
      <c r="G20" s="31">
        <f>SUM(E20:F20)</f>
        <v>11</v>
      </c>
      <c r="H20" s="10"/>
      <c r="I20" s="31">
        <v>3</v>
      </c>
      <c r="J20" s="33">
        <f t="shared" si="0"/>
        <v>5.3962264150943398</v>
      </c>
      <c r="K20" s="33">
        <f t="shared" si="1"/>
        <v>5.6037735849056602</v>
      </c>
      <c r="L20" s="31">
        <f>SUM(J20:K20)</f>
        <v>11</v>
      </c>
      <c r="N20" s="31">
        <v>3</v>
      </c>
      <c r="O20" s="33">
        <f t="shared" si="2"/>
        <v>5.3962264150943398</v>
      </c>
      <c r="P20" s="33">
        <f t="shared" si="3"/>
        <v>5.1963661774982528</v>
      </c>
      <c r="Q20" s="31">
        <f>SUM(O20:P20)</f>
        <v>10.592592592592592</v>
      </c>
    </row>
    <row r="21" spans="2:20" x14ac:dyDescent="0.25">
      <c r="D21" s="31" t="s">
        <v>16</v>
      </c>
      <c r="E21" s="31">
        <f>SUM(E18:E20)</f>
        <v>26</v>
      </c>
      <c r="F21" s="31">
        <f>SUM(F18:F20)</f>
        <v>27</v>
      </c>
      <c r="G21" s="31">
        <f>SUM(G18:G20)</f>
        <v>53</v>
      </c>
      <c r="H21" s="10"/>
      <c r="I21" s="31" t="s">
        <v>16</v>
      </c>
      <c r="J21" s="31">
        <f>SUM(J18:J20)</f>
        <v>26</v>
      </c>
      <c r="K21" s="31">
        <f>SUM(K18:K20)</f>
        <v>27</v>
      </c>
      <c r="L21" s="31">
        <f>SUM(L18:L20)</f>
        <v>53</v>
      </c>
      <c r="N21" s="31" t="s">
        <v>16</v>
      </c>
      <c r="O21" s="31">
        <f>SUM(O18:O20)</f>
        <v>13.021978021978022</v>
      </c>
      <c r="P21" s="31">
        <f>SUM(P18:P20)</f>
        <v>12.53968253968254</v>
      </c>
      <c r="Q21" s="31">
        <f>SUM(Q18:Q20)</f>
        <v>25.56166056166056</v>
      </c>
    </row>
    <row r="25" spans="2:20" x14ac:dyDescent="0.25">
      <c r="D25" t="s">
        <v>112</v>
      </c>
    </row>
    <row r="29" spans="2:20" x14ac:dyDescent="0.25">
      <c r="B29" s="9" t="s">
        <v>96</v>
      </c>
    </row>
    <row r="30" spans="2:20" x14ac:dyDescent="0.25">
      <c r="C30" t="s">
        <v>113</v>
      </c>
    </row>
    <row r="32" spans="2:20" x14ac:dyDescent="0.25">
      <c r="C32" t="s">
        <v>114</v>
      </c>
      <c r="H32" t="s">
        <v>115</v>
      </c>
      <c r="I32">
        <f>AVERAGE(Podaci!B2:B54)</f>
        <v>9.3056604097169817</v>
      </c>
      <c r="K32" t="s">
        <v>116</v>
      </c>
      <c r="L32">
        <f>Podaci!E2:E54</f>
        <v>10.30000019</v>
      </c>
    </row>
    <row r="34" spans="3:19" x14ac:dyDescent="0.25">
      <c r="C34" s="32" t="s">
        <v>107</v>
      </c>
      <c r="D34" s="31"/>
      <c r="E34" s="31"/>
      <c r="F34" s="31"/>
      <c r="G34" s="10"/>
      <c r="H34" s="31" t="s">
        <v>108</v>
      </c>
      <c r="I34" s="31"/>
      <c r="J34" s="31"/>
      <c r="K34" s="31"/>
      <c r="M34" s="31" t="s">
        <v>109</v>
      </c>
      <c r="N34" s="31"/>
      <c r="O34" s="31"/>
      <c r="P34" s="31"/>
    </row>
    <row r="35" spans="3:19" x14ac:dyDescent="0.25">
      <c r="C35" s="31"/>
      <c r="D35" s="30" t="s">
        <v>29</v>
      </c>
      <c r="E35" s="30"/>
      <c r="F35" s="31"/>
      <c r="G35" s="10"/>
      <c r="H35" s="31"/>
      <c r="I35" s="30" t="s">
        <v>29</v>
      </c>
      <c r="J35" s="30"/>
      <c r="K35" s="31"/>
      <c r="M35" s="31"/>
      <c r="N35" s="30" t="s">
        <v>29</v>
      </c>
      <c r="O35" s="30"/>
      <c r="P35" s="31"/>
      <c r="R35" t="s">
        <v>110</v>
      </c>
      <c r="S35">
        <f>P39</f>
        <v>0.22484848484848496</v>
      </c>
    </row>
    <row r="36" spans="3:19" x14ac:dyDescent="0.25">
      <c r="C36" s="31" t="s">
        <v>26</v>
      </c>
      <c r="D36" s="31" t="s">
        <v>117</v>
      </c>
      <c r="E36" s="31" t="s">
        <v>118</v>
      </c>
      <c r="F36" s="31" t="s">
        <v>16</v>
      </c>
      <c r="G36" s="10"/>
      <c r="H36" s="31" t="s">
        <v>26</v>
      </c>
      <c r="I36" s="31" t="s">
        <v>117</v>
      </c>
      <c r="J36" s="31" t="s">
        <v>118</v>
      </c>
      <c r="K36" s="31" t="s">
        <v>16</v>
      </c>
      <c r="M36" s="31" t="s">
        <v>26</v>
      </c>
      <c r="N36" s="31" t="s">
        <v>117</v>
      </c>
      <c r="O36" s="31" t="s">
        <v>118</v>
      </c>
      <c r="P36" s="31" t="s">
        <v>16</v>
      </c>
      <c r="R36" t="s">
        <v>111</v>
      </c>
      <c r="S36">
        <f>_xlfn.CHISQ.INV.RT(0.05,1)</f>
        <v>3.8414588206941236</v>
      </c>
    </row>
    <row r="37" spans="3:19" x14ac:dyDescent="0.25">
      <c r="C37" s="31" t="s">
        <v>117</v>
      </c>
      <c r="D37" s="31">
        <f>COUNTIFS(Podaci!$B$2:$B$54,"&lt;9",Podaci!$E$2:$E$54,"&lt;9")</f>
        <v>6</v>
      </c>
      <c r="E37" s="31">
        <f>COUNTIFS(Podaci!$B$2:$B$54,"&lt;9",Podaci!$E$2:$E$54,"&gt;=9")</f>
        <v>14</v>
      </c>
      <c r="F37" s="31">
        <f>SUM(D37:E37)</f>
        <v>20</v>
      </c>
      <c r="G37" s="10"/>
      <c r="H37" s="31" t="s">
        <v>117</v>
      </c>
      <c r="I37" s="33">
        <f>D$39*$F37/$F$39</f>
        <v>6.7924528301886795</v>
      </c>
      <c r="J37" s="33">
        <f>E$39*$F37/$F$39</f>
        <v>13.20754716981132</v>
      </c>
      <c r="K37" s="31">
        <f>SUM(I37:J37)</f>
        <v>20</v>
      </c>
      <c r="M37" s="31" t="s">
        <v>117</v>
      </c>
      <c r="N37" s="34">
        <f>POWER(D37-I37,2)/I37</f>
        <v>9.2452830188679294E-2</v>
      </c>
      <c r="O37" s="34">
        <f>POWER(E37-J37,2)/J37</f>
        <v>4.7547169811320782E-2</v>
      </c>
      <c r="P37" s="31">
        <f>SUM(N37:O37)</f>
        <v>0.14000000000000007</v>
      </c>
    </row>
    <row r="38" spans="3:19" x14ac:dyDescent="0.25">
      <c r="C38" s="31" t="s">
        <v>118</v>
      </c>
      <c r="D38" s="31">
        <f>COUNTIFS(Podaci!$B$2:$B$54,"&gt;=9",Podaci!$E$2:$E$54,"&lt;9")</f>
        <v>12</v>
      </c>
      <c r="E38" s="31">
        <f>COUNTIFS(Podaci!$B$2:$B$54,"&gt;=9",Podaci!$E$2:$E$54,"&gt;=9")</f>
        <v>21</v>
      </c>
      <c r="F38" s="31">
        <f>SUM(D38:E38)</f>
        <v>33</v>
      </c>
      <c r="G38" s="10"/>
      <c r="H38" s="31" t="s">
        <v>118</v>
      </c>
      <c r="I38" s="33">
        <f>D$39*$F38/$F$39</f>
        <v>11.20754716981132</v>
      </c>
      <c r="J38" s="33">
        <f>E$39*$F38/$F$39</f>
        <v>21.79245283018868</v>
      </c>
      <c r="K38" s="31">
        <f>SUM(I38:J38)</f>
        <v>33</v>
      </c>
      <c r="M38" s="31" t="s">
        <v>118</v>
      </c>
      <c r="N38" s="34">
        <f t="shared" ref="N38:N39" si="4">POWER(D38-I38,2)/I38</f>
        <v>5.6032018296169273E-2</v>
      </c>
      <c r="O38" s="34">
        <f t="shared" ref="O38:O39" si="5">POWER(E38-J38,2)/J38</f>
        <v>2.8816466552315626E-2</v>
      </c>
      <c r="P38" s="31">
        <f>SUM(N38:O38)</f>
        <v>8.4848484848484895E-2</v>
      </c>
    </row>
    <row r="39" spans="3:19" x14ac:dyDescent="0.25">
      <c r="C39" s="31" t="s">
        <v>16</v>
      </c>
      <c r="D39" s="31">
        <f>SUM(D37:D38)</f>
        <v>18</v>
      </c>
      <c r="E39" s="31">
        <f>SUM(E37:E38)</f>
        <v>35</v>
      </c>
      <c r="F39" s="31">
        <f>SUM(F37:F38)</f>
        <v>53</v>
      </c>
      <c r="G39" s="10"/>
      <c r="H39" s="31" t="s">
        <v>16</v>
      </c>
      <c r="I39" s="33">
        <f>SUM(I37:I38)</f>
        <v>18</v>
      </c>
      <c r="J39" s="33">
        <f>SUM(J37:J38)</f>
        <v>35</v>
      </c>
      <c r="K39" s="33">
        <f>SUM(I39:J39)</f>
        <v>53</v>
      </c>
      <c r="M39" s="31" t="s">
        <v>16</v>
      </c>
      <c r="N39" s="34">
        <f>SUM(N37:N38)</f>
        <v>0.14848484848484855</v>
      </c>
      <c r="O39" s="34">
        <f>SUM(O37:O38)</f>
        <v>7.6363636363636411E-2</v>
      </c>
      <c r="P39" s="34">
        <f>SUM(P37:P38)</f>
        <v>0.22484848484848496</v>
      </c>
    </row>
    <row r="44" spans="3:19" x14ac:dyDescent="0.25">
      <c r="C44" t="s">
        <v>119</v>
      </c>
    </row>
  </sheetData>
  <mergeCells count="7">
    <mergeCell ref="G10:P11"/>
    <mergeCell ref="E16:F16"/>
    <mergeCell ref="J16:K16"/>
    <mergeCell ref="O16:P16"/>
    <mergeCell ref="D35:E35"/>
    <mergeCell ref="I35:J35"/>
    <mergeCell ref="N35:O3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5"/>
  <sheetViews>
    <sheetView topLeftCell="A19" zoomScaleNormal="100" workbookViewId="0">
      <selection activeCell="J56" sqref="J56"/>
    </sheetView>
  </sheetViews>
  <sheetFormatPr defaultRowHeight="15" x14ac:dyDescent="0.25"/>
  <cols>
    <col min="2" max="2" width="3" bestFit="1" customWidth="1"/>
    <col min="3" max="3" width="17.140625" customWidth="1"/>
    <col min="4" max="4" width="8.42578125" bestFit="1" customWidth="1"/>
    <col min="5" max="5" width="5.5703125" bestFit="1" customWidth="1"/>
    <col min="8" max="8" width="10.28515625" customWidth="1"/>
    <col min="9" max="9" width="10.5703125" bestFit="1" customWidth="1"/>
    <col min="13" max="13" width="12" bestFit="1" customWidth="1"/>
  </cols>
  <sheetData>
    <row r="1" spans="1:21" x14ac:dyDescent="0.25">
      <c r="A1" t="s">
        <v>19</v>
      </c>
      <c r="C1" s="2" t="s">
        <v>18</v>
      </c>
    </row>
    <row r="2" spans="1:21" x14ac:dyDescent="0.25">
      <c r="A2" s="8"/>
    </row>
    <row r="3" spans="1:21" x14ac:dyDescent="0.25">
      <c r="A3" s="10"/>
    </row>
    <row r="4" spans="1:21" x14ac:dyDescent="0.25">
      <c r="A4" s="8">
        <v>11</v>
      </c>
      <c r="B4" t="s">
        <v>0</v>
      </c>
      <c r="C4" t="s">
        <v>42</v>
      </c>
    </row>
    <row r="5" spans="1:21" x14ac:dyDescent="0.25">
      <c r="A5" s="8">
        <v>7</v>
      </c>
      <c r="B5" t="s">
        <v>1</v>
      </c>
      <c r="C5" t="s">
        <v>39</v>
      </c>
    </row>
    <row r="6" spans="1:21" x14ac:dyDescent="0.25">
      <c r="A6" s="8">
        <v>7</v>
      </c>
      <c r="B6" t="s">
        <v>2</v>
      </c>
      <c r="C6" t="s">
        <v>47</v>
      </c>
    </row>
    <row r="10" spans="1:21" x14ac:dyDescent="0.25">
      <c r="B10" t="s">
        <v>59</v>
      </c>
    </row>
    <row r="11" spans="1:21" x14ac:dyDescent="0.25">
      <c r="C11" t="s">
        <v>122</v>
      </c>
      <c r="D11">
        <f t="array" ref="D11:H15">LINEST(Podaci!B2:B54,Podaci!C2:F54,1,1)</f>
        <v>-9.4628848750726302E-3</v>
      </c>
      <c r="E11">
        <v>-0.33023023658266332</v>
      </c>
      <c r="F11">
        <v>5.8371565554370065E-4</v>
      </c>
      <c r="G11">
        <v>7.3916150302513247E-3</v>
      </c>
      <c r="H11">
        <v>12.266255166942264</v>
      </c>
      <c r="J11" t="s">
        <v>124</v>
      </c>
      <c r="K11" t="s">
        <v>125</v>
      </c>
      <c r="L11" s="35" t="s">
        <v>126</v>
      </c>
      <c r="M11" t="s">
        <v>128</v>
      </c>
      <c r="N11" s="35" t="s">
        <v>126</v>
      </c>
      <c r="O11" t="s">
        <v>127</v>
      </c>
      <c r="P11" s="35" t="s">
        <v>126</v>
      </c>
      <c r="Q11" t="s">
        <v>129</v>
      </c>
      <c r="R11" s="35" t="s">
        <v>126</v>
      </c>
      <c r="S11" t="s">
        <v>59</v>
      </c>
    </row>
    <row r="12" spans="1:21" x14ac:dyDescent="0.25">
      <c r="C12" t="s">
        <v>123</v>
      </c>
      <c r="D12">
        <v>4.8868152656853289E-3</v>
      </c>
      <c r="E12">
        <v>0.23455175338302064</v>
      </c>
      <c r="F12">
        <v>7.2191289677999988E-4</v>
      </c>
      <c r="G12">
        <v>6.9336468274310914E-3</v>
      </c>
      <c r="H12">
        <v>2.0201467138983467</v>
      </c>
    </row>
    <row r="13" spans="1:21" x14ac:dyDescent="0.25">
      <c r="C13" t="s">
        <v>120</v>
      </c>
      <c r="D13">
        <v>0.14370395675892308</v>
      </c>
      <c r="E13">
        <v>1.6012623850879886</v>
      </c>
      <c r="F13" t="e">
        <v>#N/A</v>
      </c>
      <c r="G13" t="e">
        <v>#N/A</v>
      </c>
      <c r="H13" t="e">
        <v>#N/A</v>
      </c>
      <c r="J13" t="s">
        <v>124</v>
      </c>
      <c r="K13" t="s">
        <v>130</v>
      </c>
      <c r="L13" s="35" t="s">
        <v>126</v>
      </c>
      <c r="M13" t="s">
        <v>131</v>
      </c>
      <c r="N13" s="35" t="s">
        <v>132</v>
      </c>
      <c r="O13" t="s">
        <v>133</v>
      </c>
      <c r="P13" s="35" t="s">
        <v>132</v>
      </c>
      <c r="Q13" t="s">
        <v>134</v>
      </c>
      <c r="R13" s="35" t="s">
        <v>126</v>
      </c>
      <c r="S13">
        <v>12.27</v>
      </c>
      <c r="U13" t="s">
        <v>135</v>
      </c>
    </row>
    <row r="14" spans="1:21" x14ac:dyDescent="0.25">
      <c r="C14" t="s">
        <v>121</v>
      </c>
      <c r="D14">
        <v>2.0138449718628273</v>
      </c>
      <c r="E14">
        <v>48</v>
      </c>
      <c r="F14" t="e">
        <v>#N/A</v>
      </c>
      <c r="G14" t="e">
        <v>#N/A</v>
      </c>
      <c r="H14" t="e">
        <v>#N/A</v>
      </c>
    </row>
    <row r="15" spans="1:21" x14ac:dyDescent="0.25">
      <c r="D15">
        <v>20.654326121692122</v>
      </c>
      <c r="E15">
        <v>123.07397884308836</v>
      </c>
      <c r="F15" t="e">
        <v>#N/A</v>
      </c>
      <c r="G15" t="e">
        <v>#N/A</v>
      </c>
      <c r="H15" t="e">
        <v>#N/A</v>
      </c>
    </row>
    <row r="16" spans="1:21" x14ac:dyDescent="0.25">
      <c r="J16" t="s">
        <v>124</v>
      </c>
      <c r="K16" t="s">
        <v>130</v>
      </c>
      <c r="L16" s="35" t="s">
        <v>126</v>
      </c>
      <c r="M16" t="s">
        <v>131</v>
      </c>
      <c r="N16" s="35" t="s">
        <v>132</v>
      </c>
      <c r="O16" t="s">
        <v>138</v>
      </c>
      <c r="P16" s="35" t="s">
        <v>132</v>
      </c>
      <c r="Q16" t="s">
        <v>134</v>
      </c>
      <c r="R16" s="35" t="s">
        <v>126</v>
      </c>
      <c r="S16">
        <v>12.27</v>
      </c>
      <c r="U16" t="s">
        <v>139</v>
      </c>
    </row>
    <row r="17" spans="2:19" x14ac:dyDescent="0.25">
      <c r="C17" t="s">
        <v>137</v>
      </c>
      <c r="D17">
        <f>TINV(0.05,E14)</f>
        <v>2.0106347576242314</v>
      </c>
      <c r="J17" s="19" t="s">
        <v>136</v>
      </c>
      <c r="K17">
        <f>G12*D17</f>
        <v>1.3941031308323934E-2</v>
      </c>
      <c r="L17" s="19" t="s">
        <v>136</v>
      </c>
      <c r="M17">
        <f>F12*D17</f>
        <v>1.4515031622430619E-3</v>
      </c>
      <c r="N17" s="19" t="s">
        <v>136</v>
      </c>
      <c r="O17">
        <f>E12*D17</f>
        <v>0.47159790781360822</v>
      </c>
      <c r="P17" s="19" t="s">
        <v>136</v>
      </c>
      <c r="Q17">
        <f>D12*D17</f>
        <v>9.8256006272756154E-3</v>
      </c>
      <c r="R17" s="19" t="s">
        <v>136</v>
      </c>
      <c r="S17">
        <f>H12*D17</f>
        <v>4.06177719846439</v>
      </c>
    </row>
    <row r="20" spans="2:19" x14ac:dyDescent="0.25">
      <c r="J20" t="s">
        <v>140</v>
      </c>
    </row>
    <row r="21" spans="2:19" x14ac:dyDescent="0.25">
      <c r="J21" t="s">
        <v>141</v>
      </c>
    </row>
    <row r="22" spans="2:19" x14ac:dyDescent="0.25">
      <c r="J22" t="s">
        <v>142</v>
      </c>
    </row>
    <row r="23" spans="2:19" x14ac:dyDescent="0.25">
      <c r="J23" t="s">
        <v>143</v>
      </c>
    </row>
    <row r="29" spans="2:19" x14ac:dyDescent="0.25">
      <c r="B29" t="s">
        <v>92</v>
      </c>
    </row>
    <row r="30" spans="2:19" x14ac:dyDescent="0.25">
      <c r="C30" t="s">
        <v>137</v>
      </c>
      <c r="D30">
        <f>TINV(0.05,E14)</f>
        <v>2.0106347576242314</v>
      </c>
    </row>
    <row r="33" spans="2:10" x14ac:dyDescent="0.25">
      <c r="D33" t="s">
        <v>147</v>
      </c>
      <c r="E33" t="s">
        <v>148</v>
      </c>
      <c r="F33" t="s">
        <v>144</v>
      </c>
      <c r="G33" t="s">
        <v>145</v>
      </c>
      <c r="H33" t="s">
        <v>146</v>
      </c>
      <c r="J33" t="s">
        <v>149</v>
      </c>
    </row>
    <row r="34" spans="2:10" x14ac:dyDescent="0.25">
      <c r="D34">
        <f>ABS(D11/D12)</f>
        <v>1.9364114173744098</v>
      </c>
      <c r="E34">
        <f t="shared" ref="E34:H34" si="0">ABS(E11/E12)</f>
        <v>1.4079205626035149</v>
      </c>
      <c r="F34">
        <f t="shared" si="0"/>
        <v>0.80856798395940788</v>
      </c>
      <c r="G34">
        <f t="shared" si="0"/>
        <v>1.0660501196871475</v>
      </c>
      <c r="H34">
        <f t="shared" si="0"/>
        <v>6.0719625374493962</v>
      </c>
      <c r="J34" t="s">
        <v>150</v>
      </c>
    </row>
    <row r="35" spans="2:10" x14ac:dyDescent="0.25">
      <c r="D35">
        <v>2.0106347576242314</v>
      </c>
      <c r="E35">
        <v>2.0106347576242314</v>
      </c>
      <c r="F35">
        <v>2.0106347576242314</v>
      </c>
      <c r="G35">
        <v>2.0106347576242314</v>
      </c>
      <c r="H35">
        <v>2.0106347576242314</v>
      </c>
    </row>
    <row r="39" spans="2:10" x14ac:dyDescent="0.25">
      <c r="C39" t="s">
        <v>151</v>
      </c>
      <c r="D39">
        <f>FINV(0.05,D40,D41)</f>
        <v>2.5652405084790413</v>
      </c>
      <c r="F39" t="s">
        <v>154</v>
      </c>
      <c r="G39">
        <f>D14</f>
        <v>2.0138449718628273</v>
      </c>
      <c r="J39" t="s">
        <v>155</v>
      </c>
    </row>
    <row r="40" spans="2:10" x14ac:dyDescent="0.25">
      <c r="C40" t="s">
        <v>152</v>
      </c>
      <c r="D40">
        <f>COUNT(Podaci!F2:F54) - E14-1</f>
        <v>4</v>
      </c>
    </row>
    <row r="41" spans="2:10" x14ac:dyDescent="0.25">
      <c r="C41" t="s">
        <v>153</v>
      </c>
      <c r="D41">
        <f>E14</f>
        <v>48</v>
      </c>
    </row>
    <row r="46" spans="2:10" x14ac:dyDescent="0.25">
      <c r="B46" t="s">
        <v>96</v>
      </c>
    </row>
    <row r="48" spans="2:10" x14ac:dyDescent="0.25">
      <c r="C48" t="s">
        <v>122</v>
      </c>
      <c r="D48">
        <f t="array" ref="D48:H52">LINEST(Podaci!B2:B54,Podaci!Q2:T54,1,1)</f>
        <v>-0.5844614924837731</v>
      </c>
      <c r="E48">
        <v>-0.2826259880465542</v>
      </c>
      <c r="F48">
        <v>-1.575123974582256E-2</v>
      </c>
      <c r="G48">
        <v>1.1237787679590896</v>
      </c>
      <c r="H48">
        <v>10.926941479363617</v>
      </c>
      <c r="J48" t="s">
        <v>158</v>
      </c>
    </row>
    <row r="49" spans="3:14" x14ac:dyDescent="0.25">
      <c r="C49" t="s">
        <v>123</v>
      </c>
      <c r="D49">
        <v>0.80979399799244789</v>
      </c>
      <c r="E49">
        <v>0.21700453632125311</v>
      </c>
      <c r="F49">
        <v>0.63771830190517131</v>
      </c>
      <c r="G49">
        <v>0.82980865945188009</v>
      </c>
      <c r="H49">
        <v>2.1154957831112382</v>
      </c>
    </row>
    <row r="50" spans="3:14" x14ac:dyDescent="0.25">
      <c r="C50" t="s">
        <v>120</v>
      </c>
      <c r="D50">
        <v>8.0949442744677663E-2</v>
      </c>
      <c r="E50">
        <v>1.6589001048086827</v>
      </c>
      <c r="F50" t="e">
        <v>#N/A</v>
      </c>
      <c r="G50" t="e">
        <v>#N/A</v>
      </c>
      <c r="H50" t="e">
        <v>#N/A</v>
      </c>
      <c r="J50" t="s">
        <v>156</v>
      </c>
      <c r="K50" t="s">
        <v>157</v>
      </c>
      <c r="M50" t="s">
        <v>159</v>
      </c>
      <c r="N50" t="s">
        <v>160</v>
      </c>
    </row>
    <row r="51" spans="3:14" x14ac:dyDescent="0.25">
      <c r="C51" t="s">
        <v>121</v>
      </c>
      <c r="D51">
        <v>1.0569530753967742</v>
      </c>
      <c r="E51">
        <v>48</v>
      </c>
      <c r="F51" t="e">
        <v>#N/A</v>
      </c>
      <c r="G51" t="e">
        <v>#N/A</v>
      </c>
      <c r="H51" t="e">
        <v>#N/A</v>
      </c>
      <c r="J51">
        <f>D13</f>
        <v>0.14370395675892308</v>
      </c>
      <c r="K51">
        <f>D50</f>
        <v>8.0949442744677663E-2</v>
      </c>
      <c r="M51">
        <f>D14</f>
        <v>2.0138449718628273</v>
      </c>
      <c r="N51">
        <f>D51</f>
        <v>1.0569530753967742</v>
      </c>
    </row>
    <row r="52" spans="3:14" x14ac:dyDescent="0.25">
      <c r="D52">
        <v>11.634726193536068</v>
      </c>
      <c r="E52">
        <v>132.09357877124441</v>
      </c>
      <c r="F52" t="e">
        <v>#N/A</v>
      </c>
      <c r="G52" t="e">
        <v>#N/A</v>
      </c>
      <c r="H52" t="e">
        <v>#N/A</v>
      </c>
    </row>
    <row r="55" spans="3:14" x14ac:dyDescent="0.25">
      <c r="J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Podaci</vt:lpstr>
      <vt:lpstr>Zad1</vt:lpstr>
      <vt:lpstr>Zad2</vt:lpstr>
      <vt:lpstr>Zad3</vt:lpstr>
      <vt:lpstr>Zad4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Bijedic, Nina</dc:creator>
  <cp:lastModifiedBy>mirsad</cp:lastModifiedBy>
  <dcterms:created xsi:type="dcterms:W3CDTF">2017-01-20T16:38:33Z</dcterms:created>
  <dcterms:modified xsi:type="dcterms:W3CDTF">2018-06-26T13:08:49Z</dcterms:modified>
</cp:coreProperties>
</file>