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748166B2-1B14-4C2C-8CE2-F0C0D6B82C69}" xr6:coauthVersionLast="47" xr6:coauthVersionMax="47" xr10:uidLastSave="{00000000-0000-0000-0000-000000000000}"/>
  <bookViews>
    <workbookView xWindow="2145" yWindow="1020" windowWidth="23505" windowHeight="13260" xr2:uid="{A8AAC853-6DF5-4EC2-A75A-DFCA7763CB78}"/>
  </bookViews>
  <sheets>
    <sheet name="한미" sheetId="2" r:id="rId1"/>
    <sheet name="삼성전자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2" l="1"/>
  <c r="E25" i="2"/>
  <c r="D25" i="2"/>
  <c r="C25" i="2"/>
  <c r="F25" i="2"/>
  <c r="F23" i="2"/>
  <c r="F21" i="2"/>
  <c r="F20" i="2"/>
  <c r="F18" i="2"/>
  <c r="F17" i="2"/>
  <c r="F16" i="2"/>
  <c r="F15" i="2"/>
  <c r="F14" i="2"/>
  <c r="F13" i="2"/>
  <c r="F12" i="2"/>
  <c r="I25" i="3"/>
  <c r="E14" i="3"/>
  <c r="D14" i="3"/>
  <c r="C14" i="3"/>
  <c r="F14" i="3"/>
  <c r="E25" i="3"/>
  <c r="D25" i="3"/>
  <c r="C25" i="3"/>
  <c r="L20" i="3"/>
  <c r="I20" i="3"/>
  <c r="K12" i="3" s="1"/>
  <c r="L20" i="2"/>
  <c r="I20" i="2"/>
  <c r="J12" i="2" l="1"/>
  <c r="I24" i="2"/>
  <c r="K12" i="2"/>
  <c r="I12" i="2"/>
  <c r="M12" i="2"/>
  <c r="N12" i="2" s="1"/>
  <c r="L12" i="2"/>
  <c r="I12" i="3"/>
  <c r="J12" i="3"/>
  <c r="M12" i="3"/>
  <c r="L12" i="3"/>
  <c r="F25" i="3"/>
  <c r="G4" i="2"/>
  <c r="D17" i="2" s="1"/>
  <c r="G5" i="2"/>
  <c r="G6" i="2"/>
  <c r="G3" i="2"/>
  <c r="C17" i="2" s="1"/>
  <c r="G4" i="3"/>
  <c r="D17" i="3" s="1"/>
  <c r="G5" i="3"/>
  <c r="E17" i="3" s="1"/>
  <c r="G6" i="3"/>
  <c r="G3" i="3"/>
  <c r="C17" i="3" s="1"/>
  <c r="F17" i="3" s="1"/>
  <c r="E13" i="3"/>
  <c r="E15" i="3" s="1"/>
  <c r="E18" i="3" s="1"/>
  <c r="D13" i="3"/>
  <c r="C13" i="3"/>
  <c r="F13" i="3" s="1"/>
  <c r="E13" i="2"/>
  <c r="D13" i="2"/>
  <c r="C13" i="2"/>
  <c r="E20" i="3"/>
  <c r="D20" i="3"/>
  <c r="C20" i="3"/>
  <c r="F20" i="3" s="1"/>
  <c r="E16" i="3"/>
  <c r="D16" i="3"/>
  <c r="C16" i="3"/>
  <c r="E12" i="3"/>
  <c r="E21" i="3" s="1"/>
  <c r="D12" i="3"/>
  <c r="C12" i="3"/>
  <c r="F12" i="3" s="1"/>
  <c r="C12" i="2"/>
  <c r="D12" i="2"/>
  <c r="E12" i="2"/>
  <c r="C14" i="2"/>
  <c r="D14" i="2"/>
  <c r="E14" i="2"/>
  <c r="C16" i="2"/>
  <c r="D16" i="2"/>
  <c r="E16" i="2"/>
  <c r="E17" i="2"/>
  <c r="C20" i="2"/>
  <c r="D20" i="2"/>
  <c r="E20" i="2"/>
  <c r="I23" i="2" l="1"/>
  <c r="I25" i="2"/>
  <c r="F16" i="3"/>
  <c r="D15" i="3"/>
  <c r="D18" i="3" s="1"/>
  <c r="C21" i="3"/>
  <c r="E21" i="2"/>
  <c r="D21" i="2"/>
  <c r="E15" i="2"/>
  <c r="E18" i="2" s="1"/>
  <c r="E23" i="2" s="1"/>
  <c r="C21" i="2"/>
  <c r="C15" i="2"/>
  <c r="C18" i="2" s="1"/>
  <c r="C23" i="2" s="1"/>
  <c r="D15" i="2"/>
  <c r="D18" i="2" s="1"/>
  <c r="D21" i="3"/>
  <c r="C15" i="3"/>
  <c r="E23" i="3"/>
  <c r="F21" i="3" l="1"/>
  <c r="D23" i="3"/>
  <c r="C18" i="3"/>
  <c r="F15" i="3"/>
  <c r="D23" i="2"/>
  <c r="C23" i="3" l="1"/>
  <c r="F23" i="3" s="1"/>
  <c r="I21" i="3" s="1"/>
  <c r="F18" i="3"/>
  <c r="O12" i="2"/>
  <c r="I23" i="3" l="1"/>
  <c r="I24" i="3"/>
  <c r="N12" i="3"/>
</calcChain>
</file>

<file path=xl/sharedStrings.xml><?xml version="1.0" encoding="utf-8"?>
<sst xmlns="http://schemas.openxmlformats.org/spreadsheetml/2006/main" count="96" uniqueCount="41">
  <si>
    <t>ERP</t>
    <phoneticPr fontId="1" type="noConversion"/>
  </si>
  <si>
    <t>K</t>
    <phoneticPr fontId="1" type="noConversion"/>
  </si>
  <si>
    <t>Terminal growth</t>
    <phoneticPr fontId="1" type="noConversion"/>
  </si>
  <si>
    <t>TV</t>
    <phoneticPr fontId="1" type="noConversion"/>
  </si>
  <si>
    <t>RF</t>
    <phoneticPr fontId="1" type="noConversion"/>
  </si>
  <si>
    <t>Working Capital</t>
  </si>
  <si>
    <t>CAPEX</t>
    <phoneticPr fontId="1" type="noConversion"/>
  </si>
  <si>
    <t>Net Income</t>
    <phoneticPr fontId="1" type="noConversion"/>
  </si>
  <si>
    <t>FCFE</t>
    <phoneticPr fontId="1" type="noConversion"/>
  </si>
  <si>
    <t>Operating Cash Flow</t>
  </si>
  <si>
    <t>Repayment of Debt</t>
  </si>
  <si>
    <t>Issuance of Debt</t>
  </si>
  <si>
    <t>Dep</t>
    <phoneticPr fontId="1" type="noConversion"/>
  </si>
  <si>
    <t>Change in WC</t>
    <phoneticPr fontId="1" type="noConversion"/>
  </si>
  <si>
    <t>Increase in Net Debt</t>
    <phoneticPr fontId="1" type="noConversion"/>
  </si>
  <si>
    <t>Equtiy reinv.rate</t>
    <phoneticPr fontId="1" type="noConversion"/>
  </si>
  <si>
    <t>Equity value</t>
    <phoneticPr fontId="1" type="noConversion"/>
  </si>
  <si>
    <t>ROE</t>
    <phoneticPr fontId="1" type="noConversion"/>
  </si>
  <si>
    <t>Growth rate</t>
    <phoneticPr fontId="1" type="noConversion"/>
  </si>
  <si>
    <t>Cost of equiity</t>
    <phoneticPr fontId="1" type="noConversion"/>
  </si>
  <si>
    <t>Equity valuation</t>
    <phoneticPr fontId="1" type="noConversion"/>
  </si>
  <si>
    <t>Actual equity value</t>
    <phoneticPr fontId="1" type="noConversion"/>
  </si>
  <si>
    <t>Accumulated Depreciation</t>
  </si>
  <si>
    <t>Net income</t>
    <phoneticPr fontId="1" type="noConversion"/>
  </si>
  <si>
    <t>Stockholders' Equity</t>
  </si>
  <si>
    <t>EBIT</t>
  </si>
  <si>
    <t>Tax_rate</t>
    <phoneticPr fontId="1" type="noConversion"/>
  </si>
  <si>
    <t>Net CAPEX</t>
    <phoneticPr fontId="1" type="noConversion"/>
  </si>
  <si>
    <t>Capital Expenditure</t>
    <phoneticPr fontId="1" type="noConversion"/>
  </si>
  <si>
    <t>Beta</t>
    <phoneticPr fontId="1" type="noConversion"/>
  </si>
  <si>
    <t>g</t>
    <phoneticPr fontId="1" type="noConversion"/>
  </si>
  <si>
    <t>High Growth</t>
    <phoneticPr fontId="1" type="noConversion"/>
  </si>
  <si>
    <t>Change in Debt</t>
    <phoneticPr fontId="1" type="noConversion"/>
  </si>
  <si>
    <t>Average</t>
    <phoneticPr fontId="1" type="noConversion"/>
  </si>
  <si>
    <t>All numbers in thousands</t>
    <phoneticPr fontId="1" type="noConversion"/>
  </si>
  <si>
    <t>Two Stage DDM</t>
    <phoneticPr fontId="1" type="noConversion"/>
  </si>
  <si>
    <t>Two Stage FCFE</t>
    <phoneticPr fontId="1" type="noConversion"/>
  </si>
  <si>
    <t>Constant Growth FCFE</t>
    <phoneticPr fontId="1" type="noConversion"/>
  </si>
  <si>
    <t>The Gordon Growth Model</t>
    <phoneticPr fontId="1" type="noConversion"/>
  </si>
  <si>
    <t>DPS_0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</si>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</sst>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);[Red]\(#,##0\)"/>
    <numFmt numFmtId="178" formatCode="0.000%"/>
    <numFmt numFmtId="179" formatCode="0_);[Red]\(0\)"/>
    <numFmt numFmtId="180" formatCode="_-* #,##0_-;\-* #,##0_-;_-* &quot;-&quot;??_-;_-@_-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Times New Roman"/>
      <family val="1"/>
    </font>
    <font>
      <sz val="12"/>
      <color rgb="FF232A31"/>
      <name val="Times New Roman"/>
      <family val="1"/>
    </font>
    <font>
      <sz val="12"/>
      <color rgb="FF333333"/>
      <name val="Times New Roman"/>
      <family val="1"/>
    </font>
    <font>
      <b/>
      <sz val="12"/>
      <color theme="1"/>
      <name val="Times New Roman"/>
      <family val="1"/>
    </font>
    <font>
      <b/>
      <sz val="12"/>
      <color rgb="FF232A31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10" xfId="0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3" fontId="4" fillId="0" borderId="4" xfId="0" applyNumberFormat="1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 vertical="center" wrapText="1"/>
    </xf>
    <xf numFmtId="0" fontId="3" fillId="0" borderId="6" xfId="0" applyFont="1" applyBorder="1">
      <alignment vertical="center"/>
    </xf>
    <xf numFmtId="3" fontId="4" fillId="0" borderId="6" xfId="0" applyNumberFormat="1" applyFont="1" applyBorder="1" applyAlignment="1">
      <alignment horizontal="center" vertical="center" wrapText="1"/>
    </xf>
    <xf numFmtId="3" fontId="4" fillId="0" borderId="8" xfId="0" applyNumberFormat="1" applyFont="1" applyBorder="1" applyAlignment="1">
      <alignment horizontal="center" vertical="center" wrapText="1"/>
    </xf>
    <xf numFmtId="3" fontId="4" fillId="0" borderId="7" xfId="0" applyNumberFormat="1" applyFont="1" applyBorder="1" applyAlignment="1">
      <alignment horizontal="center" vertical="center" wrapText="1"/>
    </xf>
    <xf numFmtId="9" fontId="3" fillId="0" borderId="12" xfId="0" applyNumberFormat="1" applyFont="1" applyBorder="1">
      <alignment vertical="center"/>
    </xf>
    <xf numFmtId="0" fontId="5" fillId="0" borderId="0" xfId="0" applyFont="1">
      <alignment vertical="center"/>
    </xf>
    <xf numFmtId="0" fontId="3" fillId="0" borderId="1" xfId="0" applyFont="1" applyBorder="1">
      <alignment vertical="center"/>
    </xf>
    <xf numFmtId="179" fontId="4" fillId="0" borderId="11" xfId="0" applyNumberFormat="1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>
      <alignment vertical="center"/>
    </xf>
    <xf numFmtId="3" fontId="3" fillId="0" borderId="0" xfId="0" applyNumberFormat="1" applyFont="1" applyBorder="1">
      <alignment vertical="center"/>
    </xf>
    <xf numFmtId="3" fontId="3" fillId="0" borderId="5" xfId="0" applyNumberFormat="1" applyFont="1" applyBorder="1">
      <alignment vertical="center"/>
    </xf>
    <xf numFmtId="0" fontId="3" fillId="0" borderId="0" xfId="0" applyFont="1">
      <alignment vertical="center"/>
    </xf>
    <xf numFmtId="10" fontId="3" fillId="0" borderId="0" xfId="2" applyNumberFormat="1" applyFont="1" applyBorder="1">
      <alignment vertical="center"/>
    </xf>
    <xf numFmtId="10" fontId="3" fillId="0" borderId="5" xfId="2" applyNumberFormat="1" applyFont="1" applyBorder="1">
      <alignment vertical="center"/>
    </xf>
    <xf numFmtId="0" fontId="3" fillId="0" borderId="5" xfId="0" applyFont="1" applyBorder="1">
      <alignment vertical="center"/>
    </xf>
    <xf numFmtId="0" fontId="3" fillId="0" borderId="2" xfId="0" applyFont="1" applyBorder="1">
      <alignment vertical="center"/>
    </xf>
    <xf numFmtId="178" fontId="3" fillId="0" borderId="3" xfId="0" applyNumberFormat="1" applyFont="1" applyBorder="1">
      <alignment vertical="center"/>
    </xf>
    <xf numFmtId="10" fontId="3" fillId="0" borderId="0" xfId="0" applyNumberFormat="1" applyFont="1" applyBorder="1">
      <alignment vertical="center"/>
    </xf>
    <xf numFmtId="10" fontId="3" fillId="0" borderId="5" xfId="0" applyNumberFormat="1" applyFont="1" applyBorder="1">
      <alignment vertical="center"/>
    </xf>
    <xf numFmtId="178" fontId="3" fillId="0" borderId="5" xfId="2" applyNumberFormat="1" applyFont="1" applyBorder="1">
      <alignment vertical="center"/>
    </xf>
    <xf numFmtId="178" fontId="3" fillId="0" borderId="5" xfId="0" applyNumberFormat="1" applyFont="1" applyBorder="1">
      <alignment vertical="center"/>
    </xf>
    <xf numFmtId="0" fontId="3" fillId="0" borderId="6" xfId="0" applyFont="1" applyFill="1" applyBorder="1">
      <alignment vertical="center"/>
    </xf>
    <xf numFmtId="10" fontId="3" fillId="0" borderId="7" xfId="0" applyNumberFormat="1" applyFont="1" applyBorder="1">
      <alignment vertical="center"/>
    </xf>
    <xf numFmtId="178" fontId="3" fillId="0" borderId="7" xfId="2" applyNumberFormat="1" applyFont="1" applyBorder="1">
      <alignment vertical="center"/>
    </xf>
    <xf numFmtId="0" fontId="3" fillId="0" borderId="14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0" xfId="0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 wrapText="1"/>
    </xf>
    <xf numFmtId="3" fontId="4" fillId="0" borderId="9" xfId="0" applyNumberFormat="1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3" fontId="4" fillId="0" borderId="10" xfId="0" applyNumberFormat="1" applyFont="1" applyBorder="1" applyAlignment="1">
      <alignment horizontal="center" vertical="center" wrapText="1"/>
    </xf>
    <xf numFmtId="3" fontId="4" fillId="0" borderId="11" xfId="0" applyNumberFormat="1" applyFont="1" applyBorder="1" applyAlignment="1">
      <alignment horizontal="center" vertical="center" wrapText="1"/>
    </xf>
    <xf numFmtId="3" fontId="4" fillId="0" borderId="12" xfId="0" applyNumberFormat="1" applyFont="1" applyBorder="1" applyAlignment="1">
      <alignment horizontal="center" vertical="center" wrapText="1"/>
    </xf>
    <xf numFmtId="3" fontId="4" fillId="0" borderId="0" xfId="0" applyNumberFormat="1" applyFont="1">
      <alignment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3" xfId="0" applyFont="1" applyBorder="1">
      <alignment vertical="center"/>
    </xf>
    <xf numFmtId="0" fontId="6" fillId="0" borderId="14" xfId="0" applyFont="1" applyBorder="1">
      <alignment vertical="center"/>
    </xf>
    <xf numFmtId="179" fontId="7" fillId="0" borderId="11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176" fontId="3" fillId="0" borderId="0" xfId="0" applyNumberFormat="1" applyFont="1" applyBorder="1">
      <alignment vertical="center"/>
    </xf>
    <xf numFmtId="176" fontId="3" fillId="0" borderId="5" xfId="0" applyNumberFormat="1" applyFont="1" applyBorder="1">
      <alignment vertical="center"/>
    </xf>
    <xf numFmtId="0" fontId="3" fillId="0" borderId="15" xfId="0" applyFont="1" applyBorder="1">
      <alignment vertical="center"/>
    </xf>
    <xf numFmtId="3" fontId="3" fillId="0" borderId="13" xfId="0" applyNumberFormat="1" applyFont="1" applyBorder="1">
      <alignment vertical="center"/>
    </xf>
    <xf numFmtId="10" fontId="3" fillId="0" borderId="13" xfId="2" applyNumberFormat="1" applyFont="1" applyBorder="1">
      <alignment vertical="center"/>
    </xf>
    <xf numFmtId="3" fontId="3" fillId="0" borderId="14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1" fontId="3" fillId="0" borderId="3" xfId="1" applyFont="1" applyBorder="1">
      <alignment vertical="center"/>
    </xf>
    <xf numFmtId="180" fontId="3" fillId="0" borderId="17" xfId="0" applyNumberFormat="1" applyFont="1" applyBorder="1">
      <alignment vertical="center"/>
    </xf>
    <xf numFmtId="176" fontId="3" fillId="0" borderId="17" xfId="0" applyNumberFormat="1" applyFont="1" applyBorder="1">
      <alignment vertical="center"/>
    </xf>
    <xf numFmtId="0" fontId="3" fillId="0" borderId="19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2" xfId="0" applyFont="1" applyBorder="1" applyAlignment="1">
      <alignment horizontal="right" vertical="center"/>
    </xf>
    <xf numFmtId="41" fontId="3" fillId="0" borderId="5" xfId="1" applyFont="1" applyBorder="1">
      <alignment vertical="center"/>
    </xf>
    <xf numFmtId="9" fontId="3" fillId="0" borderId="3" xfId="0" applyNumberFormat="1" applyFont="1" applyBorder="1">
      <alignment vertical="center"/>
    </xf>
    <xf numFmtId="41" fontId="3" fillId="0" borderId="7" xfId="1" applyFont="1" applyBorder="1">
      <alignment vertical="center"/>
    </xf>
    <xf numFmtId="41" fontId="3" fillId="0" borderId="12" xfId="1" applyFont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865F9-FE77-420C-B855-8BC61AF255DC}">
  <dimension ref="B1:O36"/>
  <sheetViews>
    <sheetView tabSelected="1" topLeftCell="B1" zoomScaleNormal="100" workbookViewId="0">
      <selection activeCell="C11" sqref="C11"/>
    </sheetView>
  </sheetViews>
  <sheetFormatPr defaultRowHeight="15.75" x14ac:dyDescent="0.3"/>
  <cols>
    <col min="1" max="1" width="2.375" style="1" customWidth="1"/>
    <col min="2" max="2" width="17.875" style="1" bestFit="1" customWidth="1"/>
    <col min="3" max="3" width="18" style="1" bestFit="1" customWidth="1"/>
    <col min="4" max="4" width="16.625" style="1" bestFit="1" customWidth="1"/>
    <col min="5" max="5" width="14.75" style="1" bestFit="1" customWidth="1"/>
    <col min="6" max="6" width="16.75" style="1" bestFit="1" customWidth="1"/>
    <col min="7" max="7" width="13.5" style="1" bestFit="1" customWidth="1"/>
    <col min="8" max="8" width="22.5" style="1" bestFit="1" customWidth="1"/>
    <col min="9" max="9" width="20" style="1" bestFit="1" customWidth="1"/>
    <col min="10" max="10" width="15.125" style="1" bestFit="1" customWidth="1"/>
    <col min="11" max="11" width="17.25" style="1" bestFit="1" customWidth="1"/>
    <col min="12" max="12" width="15.125" style="1" bestFit="1" customWidth="1"/>
    <col min="13" max="15" width="16.25" style="1" bestFit="1" customWidth="1"/>
    <col min="16" max="16" width="17.125" style="1" bestFit="1" customWidth="1"/>
    <col min="17" max="17" width="20" style="1" bestFit="1" customWidth="1"/>
    <col min="18" max="16384" width="9" style="1"/>
  </cols>
  <sheetData>
    <row r="1" spans="2:15" ht="16.5" thickBot="1" x14ac:dyDescent="0.35"/>
    <row r="2" spans="2:15" ht="16.5" thickBot="1" x14ac:dyDescent="0.35">
      <c r="B2" s="2"/>
      <c r="C2" s="3" t="s">
        <v>9</v>
      </c>
      <c r="D2" s="4" t="s">
        <v>28</v>
      </c>
      <c r="E2" s="4" t="s">
        <v>11</v>
      </c>
      <c r="F2" s="4" t="s">
        <v>10</v>
      </c>
      <c r="G2" s="4" t="s">
        <v>32</v>
      </c>
      <c r="H2" s="4" t="s">
        <v>22</v>
      </c>
      <c r="I2" s="4" t="s">
        <v>23</v>
      </c>
      <c r="J2" s="4" t="s">
        <v>5</v>
      </c>
      <c r="K2" s="4" t="s">
        <v>24</v>
      </c>
      <c r="L2" s="5" t="s">
        <v>25</v>
      </c>
    </row>
    <row r="3" spans="2:15" x14ac:dyDescent="0.3">
      <c r="B3" s="6">
        <v>2021</v>
      </c>
      <c r="C3" s="7">
        <v>52279091</v>
      </c>
      <c r="D3" s="8">
        <v>-26839822</v>
      </c>
      <c r="E3" s="8">
        <v>5000000</v>
      </c>
      <c r="F3" s="8">
        <v>-5000000</v>
      </c>
      <c r="G3" s="8">
        <f>E3+F3</f>
        <v>0</v>
      </c>
      <c r="H3" s="8">
        <v>-56939672</v>
      </c>
      <c r="I3" s="8">
        <v>104438304</v>
      </c>
      <c r="J3" s="8">
        <v>169091708</v>
      </c>
      <c r="K3" s="8">
        <v>346812042</v>
      </c>
      <c r="L3" s="9">
        <v>144437213</v>
      </c>
    </row>
    <row r="4" spans="2:15" x14ac:dyDescent="0.3">
      <c r="B4" s="6">
        <v>2020</v>
      </c>
      <c r="C4" s="7">
        <v>37483997</v>
      </c>
      <c r="D4" s="8">
        <v>-7756417</v>
      </c>
      <c r="E4" s="8">
        <v>20000000</v>
      </c>
      <c r="F4" s="8">
        <v>-20000000</v>
      </c>
      <c r="G4" s="8">
        <f t="shared" ref="G4:G6" si="0">E4+F4</f>
        <v>0</v>
      </c>
      <c r="H4" s="8">
        <v>-53326721</v>
      </c>
      <c r="I4" s="8">
        <v>50131485</v>
      </c>
      <c r="J4" s="8">
        <v>141364218</v>
      </c>
      <c r="K4" s="8">
        <v>257090543</v>
      </c>
      <c r="L4" s="9">
        <v>136288194</v>
      </c>
    </row>
    <row r="5" spans="2:15" x14ac:dyDescent="0.3">
      <c r="B5" s="6">
        <v>2019</v>
      </c>
      <c r="C5" s="7">
        <v>27170525</v>
      </c>
      <c r="D5" s="8">
        <v>-19251429</v>
      </c>
      <c r="E5" s="8">
        <v>10000000</v>
      </c>
      <c r="F5" s="8">
        <v>-10000000</v>
      </c>
      <c r="G5" s="8">
        <f t="shared" si="0"/>
        <v>0</v>
      </c>
      <c r="H5" s="8">
        <v>-48324568</v>
      </c>
      <c r="I5" s="8">
        <v>19262572</v>
      </c>
      <c r="J5" s="8">
        <v>97734145</v>
      </c>
      <c r="K5" s="8">
        <v>219705202</v>
      </c>
      <c r="L5" s="9">
        <v>65714606</v>
      </c>
    </row>
    <row r="6" spans="2:15" ht="16.5" thickBot="1" x14ac:dyDescent="0.35">
      <c r="B6" s="10">
        <v>2018</v>
      </c>
      <c r="C6" s="11">
        <v>45626978</v>
      </c>
      <c r="D6" s="12">
        <v>-24557698</v>
      </c>
      <c r="E6" s="12">
        <v>41000000</v>
      </c>
      <c r="F6" s="12">
        <v>-74125000</v>
      </c>
      <c r="G6" s="12">
        <f t="shared" si="0"/>
        <v>-33125000</v>
      </c>
      <c r="H6" s="12">
        <v>-48774363</v>
      </c>
      <c r="I6" s="12">
        <v>49272961</v>
      </c>
      <c r="J6" s="12">
        <v>84128255</v>
      </c>
      <c r="K6" s="12">
        <v>215557067</v>
      </c>
      <c r="L6" s="13">
        <v>24681544</v>
      </c>
    </row>
    <row r="7" spans="2:15" ht="16.5" thickBot="1" x14ac:dyDescent="0.35"/>
    <row r="8" spans="2:15" ht="16.5" thickBot="1" x14ac:dyDescent="0.35">
      <c r="B8" s="16" t="s">
        <v>26</v>
      </c>
      <c r="C8" s="14">
        <v>0.22</v>
      </c>
    </row>
    <row r="9" spans="2:15" ht="16.5" thickBot="1" x14ac:dyDescent="0.35">
      <c r="B9" s="36" t="s">
        <v>39</v>
      </c>
      <c r="C9" s="74">
        <v>29675930000</v>
      </c>
    </row>
    <row r="10" spans="2:15" ht="16.5" thickBot="1" x14ac:dyDescent="0.35">
      <c r="C10" s="8"/>
      <c r="J10" s="15"/>
    </row>
    <row r="11" spans="2:15" ht="16.5" thickBot="1" x14ac:dyDescent="0.35">
      <c r="B11" s="16"/>
      <c r="C11" s="17">
        <v>2021</v>
      </c>
      <c r="D11" s="18">
        <v>2020</v>
      </c>
      <c r="E11" s="19">
        <v>2019</v>
      </c>
      <c r="F11" s="61" t="s">
        <v>33</v>
      </c>
      <c r="H11" s="16" t="s">
        <v>40</v>
      </c>
      <c r="I11" s="2">
        <v>1</v>
      </c>
      <c r="J11" s="68">
        <v>2</v>
      </c>
      <c r="K11" s="68">
        <v>3</v>
      </c>
      <c r="L11" s="68">
        <v>4</v>
      </c>
      <c r="M11" s="68">
        <v>5</v>
      </c>
      <c r="N11" s="68" t="s">
        <v>3</v>
      </c>
      <c r="O11" s="69"/>
    </row>
    <row r="12" spans="2:15" x14ac:dyDescent="0.3">
      <c r="B12" s="20" t="s">
        <v>7</v>
      </c>
      <c r="C12" s="21">
        <f>I3</f>
        <v>104438304</v>
      </c>
      <c r="D12" s="21">
        <f>I4</f>
        <v>50131485</v>
      </c>
      <c r="E12" s="22">
        <f>$I5</f>
        <v>19262572</v>
      </c>
      <c r="F12" s="56">
        <f>AVERAGE(C12:E12)</f>
        <v>57944120.333333336</v>
      </c>
      <c r="H12" s="20" t="s">
        <v>35</v>
      </c>
      <c r="I12" s="53">
        <f>$C$9*(1+$I$21)^I11/(1+$I$20)^I11</f>
        <v>29138430928.90778</v>
      </c>
      <c r="J12" s="53">
        <f>$C$9*(1+$I$21)^J11/(1+$I$20)^J11</f>
        <v>28610667197.244686</v>
      </c>
      <c r="K12" s="53">
        <f>$C$9*(1+$I$21)^K11/(1+$I$20)^K11</f>
        <v>28092462475.712872</v>
      </c>
      <c r="L12" s="53">
        <f>$C$9*(1+$I$21)^L11/(1+$I$20)^L11</f>
        <v>27583643628.741989</v>
      </c>
      <c r="M12" s="53">
        <f>$C$9*(1+$I$21)^M11/(1+$I$20)^M11</f>
        <v>27084040656.643471</v>
      </c>
      <c r="N12" s="53">
        <f>(M12*(1+L21)/(L20-L21)/(1+L20)^5)</f>
        <v>353518404167.88666</v>
      </c>
      <c r="O12" s="54">
        <f>SUM(I12:N12)</f>
        <v>494027649055.13745</v>
      </c>
    </row>
    <row r="13" spans="2:15" ht="16.5" thickBot="1" x14ac:dyDescent="0.35">
      <c r="B13" s="20" t="s">
        <v>6</v>
      </c>
      <c r="C13" s="21">
        <f>-D3</f>
        <v>26839822</v>
      </c>
      <c r="D13" s="21">
        <f>-D4</f>
        <v>7756417</v>
      </c>
      <c r="E13" s="22">
        <f>-D5</f>
        <v>19251429</v>
      </c>
      <c r="F13" s="56">
        <f t="shared" ref="F13:F25" si="1">AVERAGE(C13:E13)</f>
        <v>17949222.666666668</v>
      </c>
      <c r="H13" s="36" t="s">
        <v>36</v>
      </c>
      <c r="I13" s="37"/>
      <c r="J13" s="37"/>
      <c r="K13" s="37"/>
      <c r="L13" s="37"/>
      <c r="M13" s="37"/>
      <c r="N13" s="37"/>
      <c r="O13" s="38"/>
    </row>
    <row r="14" spans="2:15" x14ac:dyDescent="0.3">
      <c r="B14" s="20" t="s">
        <v>12</v>
      </c>
      <c r="C14" s="21">
        <f>$H3-$H4</f>
        <v>-3612951</v>
      </c>
      <c r="D14" s="21">
        <f>$H4-$H5</f>
        <v>-5002153</v>
      </c>
      <c r="E14" s="22">
        <f>$H5-$H6</f>
        <v>449795</v>
      </c>
      <c r="F14" s="56">
        <f t="shared" si="1"/>
        <v>-2721769.6666666665</v>
      </c>
    </row>
    <row r="15" spans="2:15" ht="16.5" thickBot="1" x14ac:dyDescent="0.35">
      <c r="B15" s="20" t="s">
        <v>27</v>
      </c>
      <c r="C15" s="21">
        <f>C13-C14</f>
        <v>30452773</v>
      </c>
      <c r="D15" s="21">
        <f>D13-D14</f>
        <v>12758570</v>
      </c>
      <c r="E15" s="22">
        <f>E13-E14</f>
        <v>18801634</v>
      </c>
      <c r="F15" s="56">
        <f t="shared" si="1"/>
        <v>20670992.333333332</v>
      </c>
    </row>
    <row r="16" spans="2:15" ht="16.5" thickBot="1" x14ac:dyDescent="0.35">
      <c r="B16" s="20" t="s">
        <v>13</v>
      </c>
      <c r="C16" s="21">
        <f>J3-J4</f>
        <v>27727490</v>
      </c>
      <c r="D16" s="21">
        <f>J4-J5</f>
        <v>43630073</v>
      </c>
      <c r="E16" s="22">
        <f>J5-J6</f>
        <v>13605890</v>
      </c>
      <c r="F16" s="56">
        <f t="shared" si="1"/>
        <v>28321151</v>
      </c>
      <c r="H16" s="39" t="s">
        <v>31</v>
      </c>
      <c r="I16" s="19"/>
      <c r="K16" s="39" t="s">
        <v>2</v>
      </c>
      <c r="L16" s="19"/>
    </row>
    <row r="17" spans="2:15" x14ac:dyDescent="0.3">
      <c r="B17" s="20" t="s">
        <v>14</v>
      </c>
      <c r="C17" s="21">
        <f>G3</f>
        <v>0</v>
      </c>
      <c r="D17" s="21">
        <f>G4</f>
        <v>0</v>
      </c>
      <c r="E17" s="22">
        <f>G5</f>
        <v>0</v>
      </c>
      <c r="F17" s="56">
        <f t="shared" si="1"/>
        <v>0</v>
      </c>
      <c r="H17" s="27" t="s">
        <v>4</v>
      </c>
      <c r="I17" s="28">
        <v>3.1189999999999999E-2</v>
      </c>
      <c r="K17" s="27" t="s">
        <v>4</v>
      </c>
      <c r="L17" s="28">
        <v>3.1189999999999999E-2</v>
      </c>
      <c r="M17" s="23"/>
      <c r="N17" s="23"/>
      <c r="O17" s="23"/>
    </row>
    <row r="18" spans="2:15" x14ac:dyDescent="0.3">
      <c r="B18" s="20" t="s">
        <v>15</v>
      </c>
      <c r="C18" s="24">
        <f>(C15+C16)/(L3/(1-$C$8))</f>
        <v>0.31418914971725465</v>
      </c>
      <c r="D18" s="24">
        <f>(D15+D16)/(L4/(1-C8))</f>
        <v>0.32272158173876753</v>
      </c>
      <c r="E18" s="25">
        <f>(E15+E16)/(L5/(1-C8))</f>
        <v>0.38466134484622799</v>
      </c>
      <c r="F18" s="57">
        <f t="shared" si="1"/>
        <v>0.34052402543408339</v>
      </c>
      <c r="H18" s="6" t="s">
        <v>29</v>
      </c>
      <c r="I18" s="26">
        <v>1.56</v>
      </c>
      <c r="K18" s="6" t="s">
        <v>29</v>
      </c>
      <c r="L18" s="26">
        <v>1</v>
      </c>
      <c r="M18" s="23"/>
      <c r="N18" s="23"/>
      <c r="O18" s="23"/>
    </row>
    <row r="19" spans="2:15" x14ac:dyDescent="0.3">
      <c r="B19" s="20"/>
      <c r="E19" s="26"/>
      <c r="F19" s="56"/>
      <c r="H19" s="6" t="s">
        <v>0</v>
      </c>
      <c r="I19" s="25">
        <v>5.3600000000000002E-2</v>
      </c>
      <c r="K19" s="6" t="s">
        <v>0</v>
      </c>
      <c r="L19" s="25">
        <v>5.3600000000000002E-2</v>
      </c>
    </row>
    <row r="20" spans="2:15" x14ac:dyDescent="0.3">
      <c r="B20" s="20" t="s">
        <v>16</v>
      </c>
      <c r="C20" s="21">
        <f>K3</f>
        <v>346812042</v>
      </c>
      <c r="D20" s="21">
        <f>K4</f>
        <v>257090543</v>
      </c>
      <c r="E20" s="22">
        <f>K5</f>
        <v>219705202</v>
      </c>
      <c r="F20" s="56">
        <f t="shared" si="1"/>
        <v>274535929</v>
      </c>
      <c r="H20" s="6" t="s">
        <v>1</v>
      </c>
      <c r="I20" s="31">
        <f>I17+I18*I19</f>
        <v>0.11480600000000001</v>
      </c>
      <c r="K20" s="6" t="s">
        <v>1</v>
      </c>
      <c r="L20" s="32">
        <f>I17+L18*I19</f>
        <v>8.4790000000000004E-2</v>
      </c>
    </row>
    <row r="21" spans="2:15" ht="16.5" thickBot="1" x14ac:dyDescent="0.35">
      <c r="B21" s="20" t="s">
        <v>17</v>
      </c>
      <c r="C21" s="24">
        <f>C12/C20</f>
        <v>0.3011380556387947</v>
      </c>
      <c r="D21" s="24">
        <f>D12/D20</f>
        <v>0.19499544563177496</v>
      </c>
      <c r="E21" s="25">
        <f>E12/E20</f>
        <v>8.7674628659907647E-2</v>
      </c>
      <c r="F21" s="57">
        <f t="shared" si="1"/>
        <v>0.19460270997682574</v>
      </c>
      <c r="H21" s="33" t="s">
        <v>30</v>
      </c>
      <c r="I21" s="34">
        <f>C23</f>
        <v>9.461430964866023E-2</v>
      </c>
      <c r="K21" s="10" t="s">
        <v>2</v>
      </c>
      <c r="L21" s="35">
        <v>3.2149999999999998E-2</v>
      </c>
    </row>
    <row r="22" spans="2:15" ht="16.5" thickBot="1" x14ac:dyDescent="0.35">
      <c r="B22" s="20"/>
      <c r="E22" s="26"/>
      <c r="F22" s="56"/>
    </row>
    <row r="23" spans="2:15" x14ac:dyDescent="0.3">
      <c r="B23" s="20" t="s">
        <v>18</v>
      </c>
      <c r="C23" s="29">
        <f>C21*C18</f>
        <v>9.461430964866023E-2</v>
      </c>
      <c r="D23" s="29">
        <f>D21*D18</f>
        <v>6.2929238646142263E-2</v>
      </c>
      <c r="E23" s="30">
        <f>E21*E18</f>
        <v>3.3725040569213723E-2</v>
      </c>
      <c r="F23" s="57">
        <f t="shared" si="1"/>
        <v>6.3756196288005398E-2</v>
      </c>
      <c r="H23" s="55" t="s">
        <v>38</v>
      </c>
      <c r="I23" s="62">
        <f>I12/(I20-I21)</f>
        <v>1443090222853.698</v>
      </c>
    </row>
    <row r="24" spans="2:15" x14ac:dyDescent="0.3">
      <c r="B24" s="20" t="s">
        <v>19</v>
      </c>
      <c r="E24" s="26"/>
      <c r="F24" s="56"/>
      <c r="H24" s="66" t="s">
        <v>37</v>
      </c>
      <c r="I24" s="63">
        <f>F25/(I20-I21)</f>
        <v>1041450614952.5031</v>
      </c>
    </row>
    <row r="25" spans="2:15" x14ac:dyDescent="0.3">
      <c r="B25" s="20" t="s">
        <v>8</v>
      </c>
      <c r="C25" s="21">
        <f>(C3+D3+E3+F3)*1000</f>
        <v>25439269000</v>
      </c>
      <c r="D25" s="21">
        <f>(C4+D4+E4+F4)*1000</f>
        <v>29727580000</v>
      </c>
      <c r="E25" s="21">
        <f>(C5+D5+E5+F5)*1000</f>
        <v>7919096000</v>
      </c>
      <c r="F25" s="56">
        <f t="shared" si="1"/>
        <v>21028648333.333332</v>
      </c>
      <c r="H25" s="66" t="s">
        <v>35</v>
      </c>
      <c r="I25" s="64">
        <f>SUM(I12:N12)</f>
        <v>494027649055.13745</v>
      </c>
    </row>
    <row r="26" spans="2:15" ht="16.5" thickBot="1" x14ac:dyDescent="0.35">
      <c r="B26" s="20" t="s">
        <v>20</v>
      </c>
      <c r="E26" s="26"/>
      <c r="F26" s="56"/>
      <c r="G26" s="23"/>
      <c r="H26" s="67" t="s">
        <v>36</v>
      </c>
      <c r="I26" s="65"/>
    </row>
    <row r="27" spans="2:15" ht="16.5" thickBot="1" x14ac:dyDescent="0.35">
      <c r="B27" s="36" t="s">
        <v>21</v>
      </c>
      <c r="C27" s="37"/>
      <c r="D27" s="37"/>
      <c r="E27" s="38"/>
      <c r="F27" s="58"/>
      <c r="G27" s="23"/>
    </row>
    <row r="36" spans="5:5" x14ac:dyDescent="0.3">
      <c r="E36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A7E0D-2D1C-40D7-A32A-D496652EAC91}">
  <dimension ref="B1:O36"/>
  <sheetViews>
    <sheetView topLeftCell="C4" workbookViewId="0">
      <selection activeCell="C25" sqref="C25:E25"/>
    </sheetView>
  </sheetViews>
  <sheetFormatPr defaultRowHeight="15.75" x14ac:dyDescent="0.3"/>
  <cols>
    <col min="1" max="1" width="9" style="1"/>
    <col min="2" max="2" width="21.375" style="1" bestFit="1" customWidth="1"/>
    <col min="3" max="3" width="19.375" style="1" bestFit="1" customWidth="1"/>
    <col min="4" max="4" width="19.125" style="1" bestFit="1" customWidth="1"/>
    <col min="5" max="5" width="20.25" style="1" bestFit="1" customWidth="1"/>
    <col min="6" max="6" width="18.25" style="1" bestFit="1" customWidth="1"/>
    <col min="7" max="7" width="14.125" style="1" bestFit="1" customWidth="1"/>
    <col min="8" max="8" width="25" style="1" bestFit="1" customWidth="1"/>
    <col min="9" max="9" width="21.125" style="1" bestFit="1" customWidth="1"/>
    <col min="10" max="10" width="16.25" style="1" bestFit="1" customWidth="1"/>
    <col min="11" max="11" width="17.875" style="1" bestFit="1" customWidth="1"/>
    <col min="12" max="12" width="21.375" style="1" bestFit="1" customWidth="1"/>
    <col min="13" max="13" width="16.25" style="1" bestFit="1" customWidth="1"/>
    <col min="14" max="14" width="18.875" style="1" bestFit="1" customWidth="1"/>
    <col min="15" max="15" width="17.875" style="1" bestFit="1" customWidth="1"/>
    <col min="16" max="16" width="17.125" style="1" bestFit="1" customWidth="1"/>
    <col min="17" max="17" width="20" style="1" bestFit="1" customWidth="1"/>
    <col min="18" max="16384" width="9" style="1"/>
  </cols>
  <sheetData>
    <row r="1" spans="2:15" ht="16.5" thickBot="1" x14ac:dyDescent="0.35"/>
    <row r="2" spans="2:15" ht="16.5" thickBot="1" x14ac:dyDescent="0.35">
      <c r="B2" s="59" t="s">
        <v>34</v>
      </c>
      <c r="C2" s="47" t="s">
        <v>9</v>
      </c>
      <c r="D2" s="47" t="s">
        <v>6</v>
      </c>
      <c r="E2" s="47" t="s">
        <v>11</v>
      </c>
      <c r="F2" s="47" t="s">
        <v>10</v>
      </c>
      <c r="G2" s="47" t="s">
        <v>32</v>
      </c>
      <c r="H2" s="47" t="s">
        <v>22</v>
      </c>
      <c r="I2" s="47" t="s">
        <v>23</v>
      </c>
      <c r="J2" s="47" t="s">
        <v>5</v>
      </c>
      <c r="K2" s="47" t="s">
        <v>24</v>
      </c>
      <c r="L2" s="48" t="s">
        <v>25</v>
      </c>
    </row>
    <row r="3" spans="2:15" ht="16.5" thickBot="1" x14ac:dyDescent="0.35">
      <c r="B3" s="20">
        <v>2021</v>
      </c>
      <c r="C3" s="40">
        <v>65105448000</v>
      </c>
      <c r="D3" s="41">
        <v>-49829021000</v>
      </c>
      <c r="E3" s="41">
        <v>58279000</v>
      </c>
      <c r="F3" s="41">
        <v>-3511692000</v>
      </c>
      <c r="G3" s="41">
        <f>E3+F3</f>
        <v>-3453413000</v>
      </c>
      <c r="H3" s="41">
        <v>-227543455000</v>
      </c>
      <c r="I3" s="41">
        <v>39243791000</v>
      </c>
      <c r="J3" s="41">
        <v>130046052000</v>
      </c>
      <c r="K3" s="41">
        <v>296237697000</v>
      </c>
      <c r="L3" s="42">
        <v>53783367000</v>
      </c>
    </row>
    <row r="4" spans="2:15" ht="16.5" thickBot="1" x14ac:dyDescent="0.35">
      <c r="B4" s="20">
        <v>2020</v>
      </c>
      <c r="C4" s="43">
        <v>65287009000</v>
      </c>
      <c r="D4" s="44">
        <v>-40271813000</v>
      </c>
      <c r="E4" s="44">
        <v>2205681000</v>
      </c>
      <c r="F4" s="44">
        <v>-864947000</v>
      </c>
      <c r="G4" s="44">
        <f t="shared" ref="G4:G6" si="0">E4+F4</f>
        <v>1340734000</v>
      </c>
      <c r="H4" s="44">
        <v>-199653421000</v>
      </c>
      <c r="I4" s="44">
        <v>26090846000</v>
      </c>
      <c r="J4" s="44">
        <v>122611228000</v>
      </c>
      <c r="K4" s="44">
        <v>267670331000</v>
      </c>
      <c r="L4" s="45">
        <v>36928130000</v>
      </c>
    </row>
    <row r="5" spans="2:15" ht="16.5" thickBot="1" x14ac:dyDescent="0.35">
      <c r="B5" s="20">
        <v>2019</v>
      </c>
      <c r="C5" s="43">
        <v>45382915000</v>
      </c>
      <c r="D5" s="44">
        <v>-28617670000</v>
      </c>
      <c r="E5" s="44">
        <v>865792000</v>
      </c>
      <c r="F5" s="44">
        <v>-709400000</v>
      </c>
      <c r="G5" s="44">
        <f t="shared" si="0"/>
        <v>156392000</v>
      </c>
      <c r="H5" s="44">
        <v>-184250295000</v>
      </c>
      <c r="I5" s="44">
        <v>21505054000</v>
      </c>
      <c r="J5" s="44">
        <v>117602496000</v>
      </c>
      <c r="K5" s="44">
        <v>254915472000</v>
      </c>
      <c r="L5" s="45">
        <v>31118545000</v>
      </c>
    </row>
    <row r="6" spans="2:15" ht="16.5" thickBot="1" x14ac:dyDescent="0.35">
      <c r="B6" s="36">
        <v>2018</v>
      </c>
      <c r="C6" s="11">
        <v>67031863000</v>
      </c>
      <c r="D6" s="12">
        <v>-30576923000</v>
      </c>
      <c r="E6" s="12">
        <v>3580000</v>
      </c>
      <c r="F6" s="12">
        <v>-4033067000</v>
      </c>
      <c r="G6" s="12">
        <f t="shared" si="0"/>
        <v>-4029487000</v>
      </c>
      <c r="H6" s="12">
        <v>-163741442000</v>
      </c>
      <c r="I6" s="12">
        <v>43890877000</v>
      </c>
      <c r="J6" s="12">
        <v>105615914000</v>
      </c>
      <c r="K6" s="12">
        <v>240068993000</v>
      </c>
      <c r="L6" s="13">
        <v>61834575000</v>
      </c>
    </row>
    <row r="7" spans="2:15" ht="16.5" thickBot="1" x14ac:dyDescent="0.35">
      <c r="L7" s="59" t="s">
        <v>34</v>
      </c>
    </row>
    <row r="8" spans="2:15" x14ac:dyDescent="0.3">
      <c r="B8" s="27" t="s">
        <v>26</v>
      </c>
      <c r="C8" s="72">
        <v>0.22</v>
      </c>
    </row>
    <row r="9" spans="2:15" ht="16.5" thickBot="1" x14ac:dyDescent="0.35">
      <c r="B9" s="10" t="s">
        <v>39</v>
      </c>
      <c r="C9" s="73">
        <v>297062098700</v>
      </c>
    </row>
    <row r="10" spans="2:15" ht="16.5" thickBot="1" x14ac:dyDescent="0.35">
      <c r="C10" s="8"/>
    </row>
    <row r="11" spans="2:15" ht="16.5" thickBot="1" x14ac:dyDescent="0.35">
      <c r="B11" s="16"/>
      <c r="C11" s="51">
        <v>2021</v>
      </c>
      <c r="D11" s="52">
        <v>2020</v>
      </c>
      <c r="E11" s="60">
        <v>2019</v>
      </c>
      <c r="F11" s="61" t="s">
        <v>33</v>
      </c>
      <c r="H11" s="16" t="s">
        <v>40</v>
      </c>
      <c r="I11" s="68">
        <v>1</v>
      </c>
      <c r="J11" s="68">
        <v>2</v>
      </c>
      <c r="K11" s="68">
        <v>3</v>
      </c>
      <c r="L11" s="68">
        <v>4</v>
      </c>
      <c r="M11" s="68">
        <v>5</v>
      </c>
      <c r="N11" s="70" t="s">
        <v>3</v>
      </c>
    </row>
    <row r="12" spans="2:15" x14ac:dyDescent="0.3">
      <c r="B12" s="49" t="s">
        <v>7</v>
      </c>
      <c r="C12" s="21">
        <f>I3</f>
        <v>39243791000</v>
      </c>
      <c r="D12" s="21">
        <f>I4</f>
        <v>26090846000</v>
      </c>
      <c r="E12" s="21">
        <f>$I5</f>
        <v>21505054000</v>
      </c>
      <c r="F12" s="56">
        <f>AVERAGE(C12:E12)</f>
        <v>28946563666.666668</v>
      </c>
      <c r="H12" s="20" t="s">
        <v>35</v>
      </c>
      <c r="I12" s="53">
        <f>($C$9*(1+$I$21)^I11)/((1+$I$20)^I11)</f>
        <v>286365625157.51208</v>
      </c>
      <c r="J12" s="53">
        <f>($C$9*(1+$I$21)^J11)/((1+$I$20)^J11)</f>
        <v>276054305247.0285</v>
      </c>
      <c r="K12" s="53">
        <f>($C$9*(1+$I$21)^K11)/((1+$I$20)^K11)</f>
        <v>266114270536.14893</v>
      </c>
      <c r="L12" s="53">
        <f>($C$9*(1+$I$21)^L11)/((1+$I$20)^L11)</f>
        <v>256532151960.52066</v>
      </c>
      <c r="M12" s="53">
        <f>($C$9*(1+$I$21)^M11)/((1+$I$20)^M11)</f>
        <v>247295061842.82666</v>
      </c>
      <c r="N12" s="71">
        <f>(M12*(1+L21))/((L20-L21)*(1+L20)^M11)</f>
        <v>3822428370051.2832</v>
      </c>
      <c r="O12" s="53"/>
    </row>
    <row r="13" spans="2:15" ht="16.5" thickBot="1" x14ac:dyDescent="0.35">
      <c r="B13" s="49" t="s">
        <v>6</v>
      </c>
      <c r="C13" s="21">
        <f>-D3</f>
        <v>49829021000</v>
      </c>
      <c r="D13" s="21">
        <f>-D4</f>
        <v>40271813000</v>
      </c>
      <c r="E13" s="21">
        <f>-D5</f>
        <v>28617670000</v>
      </c>
      <c r="F13" s="56">
        <f t="shared" ref="F13:F25" si="1">AVERAGE(C13:E13)</f>
        <v>39572834666.666664</v>
      </c>
      <c r="H13" s="36" t="s">
        <v>36</v>
      </c>
      <c r="I13" s="37"/>
      <c r="J13" s="37"/>
      <c r="K13" s="37"/>
      <c r="L13" s="37"/>
      <c r="M13" s="37"/>
      <c r="N13" s="38"/>
    </row>
    <row r="14" spans="2:15" x14ac:dyDescent="0.3">
      <c r="B14" s="49" t="s">
        <v>12</v>
      </c>
      <c r="C14" s="21">
        <f>$H4-$H3</f>
        <v>27890034000</v>
      </c>
      <c r="D14" s="21">
        <f>$H5-$H4</f>
        <v>15403126000</v>
      </c>
      <c r="E14" s="21">
        <f>$H6-$H5</f>
        <v>20508853000</v>
      </c>
      <c r="F14" s="56">
        <f t="shared" si="1"/>
        <v>21267337666.666668</v>
      </c>
    </row>
    <row r="15" spans="2:15" ht="16.5" thickBot="1" x14ac:dyDescent="0.35">
      <c r="B15" s="49" t="s">
        <v>27</v>
      </c>
      <c r="C15" s="21">
        <f>C13-C14</f>
        <v>21938987000</v>
      </c>
      <c r="D15" s="21">
        <f>D13-D14</f>
        <v>24868687000</v>
      </c>
      <c r="E15" s="21">
        <f>E13-E14</f>
        <v>8108817000</v>
      </c>
      <c r="F15" s="56">
        <f t="shared" si="1"/>
        <v>18305497000</v>
      </c>
    </row>
    <row r="16" spans="2:15" ht="16.5" thickBot="1" x14ac:dyDescent="0.35">
      <c r="B16" s="49" t="s">
        <v>13</v>
      </c>
      <c r="C16" s="21">
        <f>J3-J4</f>
        <v>7434824000</v>
      </c>
      <c r="D16" s="21">
        <f>J4-J5</f>
        <v>5008732000</v>
      </c>
      <c r="E16" s="21">
        <f>J5-J6</f>
        <v>11986582000</v>
      </c>
      <c r="F16" s="56">
        <f t="shared" si="1"/>
        <v>8143379333.333333</v>
      </c>
      <c r="H16" s="39" t="s">
        <v>31</v>
      </c>
      <c r="I16" s="19"/>
      <c r="K16" s="39" t="s">
        <v>2</v>
      </c>
      <c r="L16" s="19"/>
    </row>
    <row r="17" spans="2:15" x14ac:dyDescent="0.3">
      <c r="B17" s="49" t="s">
        <v>14</v>
      </c>
      <c r="C17" s="21">
        <f>G3</f>
        <v>-3453413000</v>
      </c>
      <c r="D17" s="21">
        <f>G4</f>
        <v>1340734000</v>
      </c>
      <c r="E17" s="21">
        <f>G5</f>
        <v>156392000</v>
      </c>
      <c r="F17" s="56">
        <f t="shared" si="1"/>
        <v>-652095666.66666663</v>
      </c>
      <c r="H17" s="27" t="s">
        <v>4</v>
      </c>
      <c r="I17" s="28">
        <v>3.1189999999999999E-2</v>
      </c>
      <c r="J17" s="23"/>
      <c r="K17" s="27" t="s">
        <v>4</v>
      </c>
      <c r="L17" s="28">
        <v>3.1189999999999999E-2</v>
      </c>
      <c r="M17" s="23"/>
      <c r="N17" s="23"/>
      <c r="O17" s="23"/>
    </row>
    <row r="18" spans="2:15" x14ac:dyDescent="0.3">
      <c r="B18" s="49" t="s">
        <v>15</v>
      </c>
      <c r="C18" s="24">
        <f>(C15+C16)/(L3/(1-$C$8))</f>
        <v>0.42599736420369516</v>
      </c>
      <c r="D18" s="24">
        <f>(D15+D16)/(L4/(1-C8))</f>
        <v>0.63107411125339952</v>
      </c>
      <c r="E18" s="24">
        <f>(E15+E16)/(L5/(1-C8))</f>
        <v>0.50370000332599096</v>
      </c>
      <c r="F18" s="57">
        <f t="shared" si="1"/>
        <v>0.52025715959436181</v>
      </c>
      <c r="H18" s="6" t="s">
        <v>29</v>
      </c>
      <c r="I18" s="26">
        <v>1.1499999999999999</v>
      </c>
      <c r="J18" s="23"/>
      <c r="K18" s="6" t="s">
        <v>29</v>
      </c>
      <c r="L18" s="26">
        <v>1</v>
      </c>
      <c r="M18" s="23"/>
      <c r="N18" s="23"/>
      <c r="O18" s="23"/>
    </row>
    <row r="19" spans="2:15" x14ac:dyDescent="0.3">
      <c r="B19" s="49"/>
      <c r="F19" s="56"/>
      <c r="H19" s="6" t="s">
        <v>0</v>
      </c>
      <c r="I19" s="25">
        <v>5.3600000000000002E-2</v>
      </c>
      <c r="K19" s="6" t="s">
        <v>0</v>
      </c>
      <c r="L19" s="25">
        <v>5.3600000000000002E-2</v>
      </c>
    </row>
    <row r="20" spans="2:15" x14ac:dyDescent="0.3">
      <c r="B20" s="49" t="s">
        <v>16</v>
      </c>
      <c r="C20" s="21">
        <f>K3</f>
        <v>296237697000</v>
      </c>
      <c r="D20" s="21">
        <f>K4</f>
        <v>267670331000</v>
      </c>
      <c r="E20" s="21">
        <f>K5</f>
        <v>254915472000</v>
      </c>
      <c r="F20" s="56">
        <f t="shared" si="1"/>
        <v>272941166666.66666</v>
      </c>
      <c r="H20" s="6" t="s">
        <v>1</v>
      </c>
      <c r="I20" s="31">
        <f>I17+I18*I19</f>
        <v>9.2829999999999996E-2</v>
      </c>
      <c r="K20" s="6" t="s">
        <v>1</v>
      </c>
      <c r="L20" s="32">
        <f>I17+L18*I19</f>
        <v>8.4790000000000004E-2</v>
      </c>
    </row>
    <row r="21" spans="2:15" ht="16.5" thickBot="1" x14ac:dyDescent="0.35">
      <c r="B21" s="49" t="s">
        <v>17</v>
      </c>
      <c r="C21" s="24">
        <f>C12/C20</f>
        <v>0.13247399435460774</v>
      </c>
      <c r="D21" s="24">
        <f>D12/D20</f>
        <v>9.747380631438006E-2</v>
      </c>
      <c r="E21" s="24">
        <f>E12/E20</f>
        <v>8.4361509449689273E-2</v>
      </c>
      <c r="F21" s="57">
        <f t="shared" si="1"/>
        <v>0.10476977003955902</v>
      </c>
      <c r="H21" s="33" t="s">
        <v>30</v>
      </c>
      <c r="I21" s="34">
        <f>F23</f>
        <v>5.3479886900441864E-2</v>
      </c>
      <c r="K21" s="10" t="s">
        <v>2</v>
      </c>
      <c r="L21" s="34">
        <v>0.04</v>
      </c>
    </row>
    <row r="22" spans="2:15" ht="16.5" thickBot="1" x14ac:dyDescent="0.35">
      <c r="B22" s="49"/>
      <c r="F22" s="56"/>
    </row>
    <row r="23" spans="2:15" x14ac:dyDescent="0.3">
      <c r="B23" s="49" t="s">
        <v>18</v>
      </c>
      <c r="C23" s="29">
        <f>C21*C18</f>
        <v>5.6433572420598092E-2</v>
      </c>
      <c r="D23" s="29">
        <f>D21*D18</f>
        <v>6.1513195690333401E-2</v>
      </c>
      <c r="E23" s="29">
        <f>E21*E18</f>
        <v>4.2492892590394106E-2</v>
      </c>
      <c r="F23" s="57">
        <f t="shared" si="1"/>
        <v>5.3479886900441864E-2</v>
      </c>
      <c r="H23" s="55" t="s">
        <v>38</v>
      </c>
      <c r="I23" s="62">
        <f>I12/(I20-I21)</f>
        <v>7277377435561.3662</v>
      </c>
    </row>
    <row r="24" spans="2:15" x14ac:dyDescent="0.3">
      <c r="B24" s="49" t="s">
        <v>19</v>
      </c>
      <c r="F24" s="56"/>
      <c r="H24" s="66" t="s">
        <v>37</v>
      </c>
      <c r="I24" s="63">
        <f>F25/(I20-I21)</f>
        <v>466754956634154.56</v>
      </c>
    </row>
    <row r="25" spans="2:15" x14ac:dyDescent="0.3">
      <c r="B25" s="49" t="s">
        <v>8</v>
      </c>
      <c r="C25" s="21">
        <f>(C3+D3+E3+F3)*1000</f>
        <v>11823014000000</v>
      </c>
      <c r="D25" s="21">
        <f>(C4+D4+E4+F4)*1000</f>
        <v>26355930000000</v>
      </c>
      <c r="E25" s="21">
        <f>(C5+D5+E5+F5)*1000</f>
        <v>16921637000000</v>
      </c>
      <c r="F25" s="56">
        <f t="shared" si="1"/>
        <v>18366860333333.332</v>
      </c>
      <c r="H25" s="66" t="s">
        <v>35</v>
      </c>
      <c r="I25" s="64">
        <f>SUM(I12:N12)</f>
        <v>5154789784795.3203</v>
      </c>
    </row>
    <row r="26" spans="2:15" ht="16.5" thickBot="1" x14ac:dyDescent="0.35">
      <c r="B26" s="49" t="s">
        <v>20</v>
      </c>
      <c r="F26" s="56"/>
      <c r="H26" s="67" t="s">
        <v>36</v>
      </c>
      <c r="I26" s="65"/>
    </row>
    <row r="27" spans="2:15" ht="16.5" thickBot="1" x14ac:dyDescent="0.35">
      <c r="B27" s="50" t="s">
        <v>21</v>
      </c>
      <c r="C27" s="37"/>
      <c r="D27" s="37"/>
      <c r="E27" s="37"/>
      <c r="F27" s="58"/>
    </row>
    <row r="35" spans="4:5" x14ac:dyDescent="0.3">
      <c r="D35" s="46"/>
      <c r="E35" s="46"/>
    </row>
    <row r="36" spans="4:5" x14ac:dyDescent="0.3">
      <c r="D36" s="21"/>
      <c r="E36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한미</vt:lpstr>
      <vt:lpstr>삼성전자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석규</dc:creator>
  <cp:lastModifiedBy>Administrator</cp:lastModifiedBy>
  <dcterms:created xsi:type="dcterms:W3CDTF">2022-05-18T11:16:19Z</dcterms:created>
  <dcterms:modified xsi:type="dcterms:W3CDTF">2022-05-24T08:29:50Z</dcterms:modified>
</cp:coreProperties>
</file>