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 activeTab="4"/>
  </bookViews>
  <sheets>
    <sheet name="Previsão de Cargas" sheetId="1" r:id="rId1"/>
    <sheet name="QDFL - Pav. Térreo Inf e Super" sheetId="2" r:id="rId2"/>
    <sheet name="QC - Ar Condicionados" sheetId="3" r:id="rId3"/>
    <sheet name="QC - Área Gourmet" sheetId="4" r:id="rId4"/>
    <sheet name="QC Final" sheetId="5" r:id="rId5"/>
    <sheet name="Caixa de diálogo1" sheetId="13" state="hidden" r:id="rId6"/>
    <sheet name="Resumo dos Painéis" sheetId="14" r:id="rId7"/>
    <sheet name="Queda de Tensão por Trecho" sheetId="6" r:id="rId8"/>
    <sheet name="Eletroduto" sheetId="7" r:id="rId9"/>
    <sheet name="Demanda" sheetId="8" r:id="rId10"/>
    <sheet name="Orçam." sheetId="9" state="hidden" r:id="rId11"/>
    <sheet name="Planilha2" sheetId="12" state="hidden" r:id="rId12"/>
    <sheet name="Previsão de Cargas (2)" sheetId="10" state="hidden" r:id="rId13"/>
  </sheets>
  <calcPr calcId="145621"/>
</workbook>
</file>

<file path=xl/calcChain.xml><?xml version="1.0" encoding="utf-8"?>
<calcChain xmlns="http://schemas.openxmlformats.org/spreadsheetml/2006/main">
  <c r="P37" i="5" l="1"/>
  <c r="O8" i="3" l="1"/>
  <c r="O20" i="3"/>
  <c r="O19" i="3"/>
  <c r="O18" i="3"/>
  <c r="O17" i="3"/>
  <c r="O16" i="3"/>
  <c r="O15" i="3"/>
  <c r="O14" i="3"/>
  <c r="O13" i="3"/>
  <c r="O12" i="3"/>
  <c r="O11" i="3"/>
  <c r="O10" i="3"/>
  <c r="O9" i="3"/>
  <c r="H21" i="14" l="1"/>
  <c r="G21" i="14"/>
  <c r="G23" i="14"/>
  <c r="C21" i="14"/>
  <c r="O29" i="7"/>
  <c r="P29" i="7" s="1"/>
  <c r="Q29" i="7" s="1"/>
  <c r="G29" i="7"/>
  <c r="H29" i="7" s="1"/>
  <c r="O28" i="7"/>
  <c r="P28" i="7" s="1"/>
  <c r="Q28" i="7" s="1"/>
  <c r="G28" i="7"/>
  <c r="J28" i="7" s="1"/>
  <c r="O27" i="7"/>
  <c r="P27" i="7" s="1"/>
  <c r="Q27" i="7" s="1"/>
  <c r="J27" i="7"/>
  <c r="H27" i="7"/>
  <c r="G27" i="7"/>
  <c r="O26" i="7"/>
  <c r="P26" i="7" s="1"/>
  <c r="Q26" i="7" s="1"/>
  <c r="G26" i="7"/>
  <c r="J26" i="7" s="1"/>
  <c r="O25" i="7"/>
  <c r="P25" i="7" s="1"/>
  <c r="Q25" i="7" s="1"/>
  <c r="G25" i="7"/>
  <c r="J25" i="7" s="1"/>
  <c r="O24" i="7"/>
  <c r="P24" i="7" s="1"/>
  <c r="Q24" i="7" s="1"/>
  <c r="G24" i="7"/>
  <c r="J24" i="7" s="1"/>
  <c r="O23" i="7"/>
  <c r="P23" i="7" s="1"/>
  <c r="Q23" i="7" s="1"/>
  <c r="J23" i="7"/>
  <c r="G23" i="7"/>
  <c r="H23" i="7" s="1"/>
  <c r="O22" i="7"/>
  <c r="P22" i="7" s="1"/>
  <c r="Q22" i="7" s="1"/>
  <c r="G22" i="7"/>
  <c r="J22" i="7" s="1"/>
  <c r="O21" i="7"/>
  <c r="P21" i="7" s="1"/>
  <c r="Q21" i="7" s="1"/>
  <c r="J21" i="7"/>
  <c r="G21" i="7"/>
  <c r="H21" i="7" s="1"/>
  <c r="O20" i="7"/>
  <c r="P20" i="7" s="1"/>
  <c r="Q20" i="7" s="1"/>
  <c r="G20" i="7"/>
  <c r="J20" i="7" s="1"/>
  <c r="P19" i="7"/>
  <c r="Q19" i="7" s="1"/>
  <c r="O19" i="7"/>
  <c r="G19" i="7"/>
  <c r="H19" i="7" s="1"/>
  <c r="P18" i="7"/>
  <c r="Q18" i="7" s="1"/>
  <c r="O18" i="7"/>
  <c r="G18" i="7"/>
  <c r="J18" i="7" s="1"/>
  <c r="P17" i="7"/>
  <c r="Q17" i="7" s="1"/>
  <c r="O17" i="7"/>
  <c r="G17" i="7"/>
  <c r="H17" i="7" s="1"/>
  <c r="P16" i="7"/>
  <c r="Q16" i="7" s="1"/>
  <c r="O16" i="7"/>
  <c r="G16" i="7"/>
  <c r="J16" i="7" s="1"/>
  <c r="O15" i="7"/>
  <c r="P15" i="7" s="1"/>
  <c r="Q15" i="7" s="1"/>
  <c r="J15" i="7"/>
  <c r="G15" i="7"/>
  <c r="H15" i="7" s="1"/>
  <c r="O14" i="7"/>
  <c r="P14" i="7" s="1"/>
  <c r="Q14" i="7" s="1"/>
  <c r="G14" i="7"/>
  <c r="J14" i="7" s="1"/>
  <c r="O13" i="7"/>
  <c r="P13" i="7" s="1"/>
  <c r="Q13" i="7" s="1"/>
  <c r="J13" i="7"/>
  <c r="G13" i="7"/>
  <c r="H13" i="7" s="1"/>
  <c r="O12" i="7"/>
  <c r="P12" i="7" s="1"/>
  <c r="Q12" i="7" s="1"/>
  <c r="G12" i="7"/>
  <c r="J12" i="7" s="1"/>
  <c r="P11" i="7"/>
  <c r="Q11" i="7" s="1"/>
  <c r="O11" i="7"/>
  <c r="G11" i="7"/>
  <c r="H11" i="7" s="1"/>
  <c r="P10" i="7"/>
  <c r="Q10" i="7" s="1"/>
  <c r="O10" i="7"/>
  <c r="G10" i="7"/>
  <c r="J10" i="7" s="1"/>
  <c r="P9" i="7"/>
  <c r="Q9" i="7" s="1"/>
  <c r="O9" i="7"/>
  <c r="G9" i="7"/>
  <c r="H9" i="7" s="1"/>
  <c r="P8" i="7"/>
  <c r="Q8" i="7" s="1"/>
  <c r="O8" i="7"/>
  <c r="G8" i="7"/>
  <c r="J8" i="7" s="1"/>
  <c r="O7" i="7"/>
  <c r="P7" i="7" s="1"/>
  <c r="Q7" i="7" s="1"/>
  <c r="J7" i="7"/>
  <c r="G7" i="7"/>
  <c r="H7" i="7" s="1"/>
  <c r="O6" i="7"/>
  <c r="P6" i="7" s="1"/>
  <c r="Q6" i="7" s="1"/>
  <c r="G6" i="7"/>
  <c r="J6" i="7" s="1"/>
  <c r="AI5" i="7"/>
  <c r="AG5" i="7"/>
  <c r="AK5" i="7" s="1"/>
  <c r="AL5" i="7" s="1"/>
  <c r="AA5" i="7"/>
  <c r="Z5" i="7"/>
  <c r="AC5" i="7" s="1"/>
  <c r="O5" i="7"/>
  <c r="P5" i="7" s="1"/>
  <c r="Q5" i="7" s="1"/>
  <c r="H5" i="7"/>
  <c r="G5" i="7"/>
  <c r="J5" i="7" s="1"/>
  <c r="K17" i="5"/>
  <c r="T17" i="5"/>
  <c r="P16" i="6"/>
  <c r="J19" i="7" l="1"/>
  <c r="J17" i="7"/>
  <c r="J29" i="7"/>
  <c r="J11" i="7"/>
  <c r="H25" i="7"/>
  <c r="J9" i="7"/>
  <c r="H6" i="7"/>
  <c r="H8" i="7"/>
  <c r="H10" i="7"/>
  <c r="H12" i="7"/>
  <c r="H14" i="7"/>
  <c r="H16" i="7"/>
  <c r="H18" i="7"/>
  <c r="H20" i="7"/>
  <c r="H22" i="7"/>
  <c r="H24" i="7"/>
  <c r="H26" i="7"/>
  <c r="H28" i="7"/>
  <c r="AG69" i="5" l="1"/>
  <c r="AG68" i="5"/>
  <c r="AG51" i="5"/>
  <c r="AG50" i="5"/>
  <c r="AG35" i="5"/>
  <c r="AG34" i="5"/>
  <c r="P41" i="6"/>
  <c r="P40" i="6"/>
  <c r="P39" i="6"/>
  <c r="P38" i="6"/>
  <c r="P37" i="6"/>
  <c r="P36" i="6"/>
  <c r="P35" i="6"/>
  <c r="P34" i="6"/>
  <c r="AH31" i="6"/>
  <c r="AH30" i="6"/>
  <c r="AH29" i="6"/>
  <c r="AH28" i="6"/>
  <c r="AH27" i="6"/>
  <c r="AH26" i="6"/>
  <c r="AH25" i="6"/>
  <c r="AH24" i="6"/>
  <c r="AH23" i="6"/>
  <c r="AH22" i="6"/>
  <c r="Y30" i="6"/>
  <c r="Y29" i="6"/>
  <c r="Y28" i="6"/>
  <c r="Y27" i="6"/>
  <c r="Y26" i="6"/>
  <c r="Y25" i="6"/>
  <c r="Y24" i="6"/>
  <c r="Y23" i="6"/>
  <c r="Y22" i="6"/>
  <c r="P29" i="6"/>
  <c r="P28" i="6"/>
  <c r="P27" i="6"/>
  <c r="P26" i="6"/>
  <c r="P25" i="6"/>
  <c r="P24" i="6"/>
  <c r="P23" i="6"/>
  <c r="P22" i="6"/>
  <c r="P6" i="6"/>
  <c r="P13" i="6"/>
  <c r="P14" i="6"/>
  <c r="P15" i="6"/>
  <c r="G14" i="6"/>
  <c r="G13" i="6"/>
  <c r="G7" i="6"/>
  <c r="G6" i="6"/>
  <c r="C28" i="14"/>
  <c r="H15" i="14"/>
  <c r="H17" i="14"/>
  <c r="H18" i="14"/>
  <c r="D17" i="14"/>
  <c r="C17" i="14"/>
  <c r="D16" i="14"/>
  <c r="C16" i="14"/>
  <c r="C9" i="14"/>
  <c r="C29" i="14" s="1"/>
  <c r="C27" i="14"/>
  <c r="AB34" i="5" l="1"/>
  <c r="S29" i="5"/>
  <c r="AG29" i="5" s="1"/>
  <c r="AB68" i="5"/>
  <c r="AB66" i="5"/>
  <c r="AB67" i="5"/>
  <c r="AB50" i="5"/>
  <c r="Q49" i="8"/>
  <c r="Q48" i="8"/>
  <c r="P48" i="8"/>
  <c r="Q46" i="8"/>
  <c r="P46" i="8"/>
  <c r="Q45" i="8"/>
  <c r="P45" i="8"/>
  <c r="Q44" i="8"/>
  <c r="P44" i="8"/>
  <c r="P50" i="8" s="1"/>
  <c r="AJ67" i="5"/>
  <c r="AL64" i="5"/>
  <c r="AM64" i="5"/>
  <c r="AB65" i="5"/>
  <c r="AB64" i="5"/>
  <c r="AB63" i="5"/>
  <c r="AB62" i="5"/>
  <c r="AB61" i="5"/>
  <c r="AB60" i="5"/>
  <c r="AB59" i="5"/>
  <c r="AB58" i="5"/>
  <c r="AB57" i="5"/>
  <c r="AB56" i="5"/>
  <c r="AB55" i="5"/>
  <c r="AB54" i="5"/>
  <c r="AB53" i="5"/>
  <c r="AB41" i="5"/>
  <c r="AL13" i="5"/>
  <c r="AN13" i="5" s="1"/>
  <c r="AN12" i="5"/>
  <c r="AA65" i="5"/>
  <c r="AA64" i="5"/>
  <c r="AA63" i="5"/>
  <c r="AA62" i="5"/>
  <c r="AA61" i="5"/>
  <c r="AA60" i="5"/>
  <c r="AA59" i="5"/>
  <c r="AA58" i="5"/>
  <c r="AA57" i="5"/>
  <c r="AA56" i="5"/>
  <c r="AA55" i="5"/>
  <c r="AA54" i="5"/>
  <c r="AA53" i="5"/>
  <c r="AA41" i="5"/>
  <c r="AA40" i="5"/>
  <c r="AA39" i="5"/>
  <c r="AA38" i="5"/>
  <c r="AA37" i="5"/>
  <c r="T5" i="6"/>
  <c r="AA15" i="5"/>
  <c r="D11" i="8"/>
  <c r="J11" i="8" s="1"/>
  <c r="T7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0" i="8"/>
  <c r="N29" i="5"/>
  <c r="M29" i="5"/>
  <c r="L29" i="5"/>
  <c r="K29" i="5"/>
  <c r="J29" i="5"/>
  <c r="N28" i="5"/>
  <c r="M28" i="5"/>
  <c r="L28" i="5"/>
  <c r="K28" i="5"/>
  <c r="J28" i="5"/>
  <c r="N27" i="5"/>
  <c r="M27" i="5"/>
  <c r="L27" i="5"/>
  <c r="K27" i="5"/>
  <c r="J27" i="5"/>
  <c r="N26" i="5"/>
  <c r="M26" i="5"/>
  <c r="L26" i="5"/>
  <c r="K26" i="5"/>
  <c r="J26" i="5"/>
  <c r="N25" i="5"/>
  <c r="M25" i="5"/>
  <c r="L25" i="5"/>
  <c r="K25" i="5"/>
  <c r="J25" i="5"/>
  <c r="N24" i="5"/>
  <c r="M24" i="5"/>
  <c r="L24" i="5"/>
  <c r="K24" i="5"/>
  <c r="J24" i="5"/>
  <c r="N23" i="5"/>
  <c r="M23" i="5"/>
  <c r="L23" i="5"/>
  <c r="K23" i="5"/>
  <c r="J23" i="5"/>
  <c r="N22" i="5"/>
  <c r="M22" i="5"/>
  <c r="L22" i="5"/>
  <c r="K22" i="5"/>
  <c r="J22" i="5"/>
  <c r="N21" i="5"/>
  <c r="M21" i="5"/>
  <c r="L21" i="5"/>
  <c r="K21" i="5"/>
  <c r="J21" i="5"/>
  <c r="N20" i="5"/>
  <c r="M20" i="5"/>
  <c r="L20" i="5"/>
  <c r="K20" i="5"/>
  <c r="J20" i="5"/>
  <c r="N19" i="5"/>
  <c r="M19" i="5"/>
  <c r="L19" i="5"/>
  <c r="K19" i="5"/>
  <c r="J19" i="5"/>
  <c r="N18" i="5"/>
  <c r="M18" i="5"/>
  <c r="L18" i="5"/>
  <c r="K18" i="5"/>
  <c r="J18" i="5"/>
  <c r="N17" i="5"/>
  <c r="M17" i="5"/>
  <c r="L17" i="5"/>
  <c r="J17" i="5"/>
  <c r="N16" i="5"/>
  <c r="M16" i="5"/>
  <c r="L16" i="5"/>
  <c r="K16" i="5"/>
  <c r="J16" i="5"/>
  <c r="J6" i="8"/>
  <c r="J9" i="8"/>
  <c r="J7" i="8"/>
  <c r="I8" i="8"/>
  <c r="E8" i="8"/>
  <c r="K8" i="8" s="1"/>
  <c r="J8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6" i="8"/>
  <c r="AA9" i="5"/>
  <c r="AA10" i="5"/>
  <c r="AA11" i="5"/>
  <c r="AA12" i="5"/>
  <c r="AA13" i="5"/>
  <c r="AA14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8" i="5"/>
  <c r="D7" i="5"/>
  <c r="B9" i="12"/>
  <c r="C8" i="12"/>
  <c r="B7" i="12"/>
  <c r="N24" i="2"/>
  <c r="P24" i="5" s="1"/>
  <c r="Z24" i="5" s="1"/>
  <c r="I24" i="8"/>
  <c r="E24" i="8"/>
  <c r="K24" i="8" s="1"/>
  <c r="N28" i="2"/>
  <c r="P28" i="5" s="1"/>
  <c r="Z28" i="5" s="1"/>
  <c r="N27" i="2"/>
  <c r="S27" i="2" s="1"/>
  <c r="U27" i="5" s="1"/>
  <c r="C61" i="5"/>
  <c r="C62" i="5"/>
  <c r="C63" i="5"/>
  <c r="C64" i="5"/>
  <c r="C65" i="5"/>
  <c r="C66" i="5"/>
  <c r="C67" i="5"/>
  <c r="N21" i="2"/>
  <c r="P21" i="2" s="1"/>
  <c r="X21" i="2" s="1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N25" i="2"/>
  <c r="U25" i="2" s="1"/>
  <c r="N58" i="5"/>
  <c r="M58" i="5"/>
  <c r="L58" i="5"/>
  <c r="K58" i="5"/>
  <c r="J58" i="5"/>
  <c r="N57" i="5"/>
  <c r="M57" i="5"/>
  <c r="L57" i="5"/>
  <c r="K57" i="5"/>
  <c r="J57" i="5"/>
  <c r="N56" i="5"/>
  <c r="M56" i="5"/>
  <c r="L56" i="5"/>
  <c r="K56" i="5"/>
  <c r="J56" i="5"/>
  <c r="N52" i="5"/>
  <c r="M52" i="5"/>
  <c r="L52" i="5"/>
  <c r="K52" i="5"/>
  <c r="J52" i="5"/>
  <c r="C60" i="5"/>
  <c r="C59" i="5"/>
  <c r="C58" i="5"/>
  <c r="C57" i="5"/>
  <c r="C56" i="5"/>
  <c r="C55" i="5"/>
  <c r="C54" i="5"/>
  <c r="I52" i="5"/>
  <c r="H52" i="5"/>
  <c r="G52" i="5"/>
  <c r="F52" i="5"/>
  <c r="E52" i="5"/>
  <c r="D52" i="5"/>
  <c r="C53" i="5"/>
  <c r="U21" i="5"/>
  <c r="Q21" i="5"/>
  <c r="C21" i="5"/>
  <c r="V10" i="5"/>
  <c r="U10" i="5"/>
  <c r="T10" i="5"/>
  <c r="Q10" i="5"/>
  <c r="I10" i="5"/>
  <c r="H10" i="5"/>
  <c r="G10" i="5"/>
  <c r="F10" i="5"/>
  <c r="E10" i="5"/>
  <c r="D10" i="5"/>
  <c r="C10" i="5"/>
  <c r="W11" i="5"/>
  <c r="V11" i="5"/>
  <c r="T11" i="5"/>
  <c r="Q11" i="5"/>
  <c r="I11" i="5"/>
  <c r="H11" i="5"/>
  <c r="G11" i="5"/>
  <c r="F11" i="5"/>
  <c r="E11" i="5"/>
  <c r="D11" i="5"/>
  <c r="C11" i="5"/>
  <c r="V12" i="5"/>
  <c r="U12" i="5"/>
  <c r="T12" i="5"/>
  <c r="Q12" i="5"/>
  <c r="I12" i="5"/>
  <c r="H12" i="5"/>
  <c r="G12" i="5"/>
  <c r="F12" i="5"/>
  <c r="E12" i="5"/>
  <c r="D12" i="5"/>
  <c r="C12" i="5"/>
  <c r="W13" i="5"/>
  <c r="V13" i="5"/>
  <c r="T13" i="5"/>
  <c r="Q13" i="5"/>
  <c r="I13" i="5"/>
  <c r="H13" i="5"/>
  <c r="G13" i="5"/>
  <c r="F13" i="5"/>
  <c r="E13" i="5"/>
  <c r="D13" i="5"/>
  <c r="C13" i="5"/>
  <c r="W30" i="5"/>
  <c r="V30" i="5"/>
  <c r="U30" i="5"/>
  <c r="T30" i="5"/>
  <c r="Q30" i="5"/>
  <c r="C30" i="5"/>
  <c r="W31" i="5"/>
  <c r="V31" i="5"/>
  <c r="U31" i="5"/>
  <c r="T31" i="5"/>
  <c r="Q31" i="5"/>
  <c r="C31" i="5"/>
  <c r="W26" i="5"/>
  <c r="V26" i="5"/>
  <c r="T26" i="5"/>
  <c r="Q26" i="5"/>
  <c r="C26" i="5"/>
  <c r="V27" i="5"/>
  <c r="T27" i="5"/>
  <c r="Q27" i="5"/>
  <c r="C27" i="5"/>
  <c r="W28" i="5"/>
  <c r="T28" i="5"/>
  <c r="Q28" i="5"/>
  <c r="C28" i="5"/>
  <c r="N31" i="2"/>
  <c r="P31" i="2" s="1"/>
  <c r="N30" i="2"/>
  <c r="P30" i="2" s="1"/>
  <c r="N26" i="2"/>
  <c r="P26" i="2" s="1"/>
  <c r="X26" i="2" s="1"/>
  <c r="N13" i="2"/>
  <c r="S13" i="2" s="1"/>
  <c r="U13" i="5" s="1"/>
  <c r="N12" i="2"/>
  <c r="U12" i="2" s="1"/>
  <c r="W12" i="5" s="1"/>
  <c r="K42" i="1"/>
  <c r="N11" i="2"/>
  <c r="S11" i="2" s="1"/>
  <c r="U11" i="5" s="1"/>
  <c r="N10" i="2"/>
  <c r="P10" i="2" s="1"/>
  <c r="Q10" i="2" s="1"/>
  <c r="S10" i="5" s="1"/>
  <c r="AG10" i="5" s="1"/>
  <c r="N22" i="4"/>
  <c r="N21" i="4"/>
  <c r="N20" i="4"/>
  <c r="N33" i="2"/>
  <c r="AC24" i="2"/>
  <c r="N32" i="2"/>
  <c r="N29" i="2"/>
  <c r="U29" i="2" s="1"/>
  <c r="N23" i="2"/>
  <c r="T23" i="2" s="1"/>
  <c r="N22" i="2"/>
  <c r="S22" i="2" s="1"/>
  <c r="R23" i="8"/>
  <c r="R22" i="8"/>
  <c r="R20" i="8"/>
  <c r="R19" i="8"/>
  <c r="R18" i="8"/>
  <c r="R11" i="8"/>
  <c r="R10" i="8"/>
  <c r="R8" i="8"/>
  <c r="R7" i="8"/>
  <c r="N37" i="5"/>
  <c r="M37" i="5"/>
  <c r="L37" i="5"/>
  <c r="K37" i="5"/>
  <c r="J37" i="5"/>
  <c r="N38" i="5"/>
  <c r="M38" i="5"/>
  <c r="L38" i="5"/>
  <c r="K38" i="5"/>
  <c r="J38" i="5"/>
  <c r="C39" i="5"/>
  <c r="C40" i="5"/>
  <c r="C41" i="5"/>
  <c r="C42" i="5"/>
  <c r="C43" i="5"/>
  <c r="C44" i="5"/>
  <c r="C45" i="5"/>
  <c r="C46" i="5"/>
  <c r="C47" i="5"/>
  <c r="C48" i="5"/>
  <c r="C49" i="5"/>
  <c r="C38" i="5"/>
  <c r="C37" i="5"/>
  <c r="D49" i="10"/>
  <c r="W47" i="10"/>
  <c r="U47" i="10"/>
  <c r="S46" i="10"/>
  <c r="L46" i="10"/>
  <c r="K46" i="10"/>
  <c r="S45" i="10"/>
  <c r="L45" i="10"/>
  <c r="K45" i="10"/>
  <c r="S44" i="10"/>
  <c r="L44" i="10"/>
  <c r="K44" i="10"/>
  <c r="S43" i="10"/>
  <c r="L43" i="10"/>
  <c r="K43" i="10"/>
  <c r="S42" i="10"/>
  <c r="L42" i="10"/>
  <c r="K42" i="10"/>
  <c r="D36" i="10"/>
  <c r="AT35" i="10"/>
  <c r="AR35" i="10"/>
  <c r="AP34" i="10"/>
  <c r="AI34" i="10"/>
  <c r="AH34" i="10"/>
  <c r="W34" i="10"/>
  <c r="U34" i="10"/>
  <c r="AP33" i="10"/>
  <c r="AI33" i="10"/>
  <c r="AH33" i="10"/>
  <c r="S33" i="10"/>
  <c r="L33" i="10"/>
  <c r="K33" i="10"/>
  <c r="AP32" i="10"/>
  <c r="AI32" i="10"/>
  <c r="AH32" i="10"/>
  <c r="S32" i="10"/>
  <c r="L32" i="10"/>
  <c r="K32" i="10"/>
  <c r="AP31" i="10"/>
  <c r="AI31" i="10"/>
  <c r="AH31" i="10"/>
  <c r="S31" i="10"/>
  <c r="L31" i="10"/>
  <c r="K31" i="10"/>
  <c r="AP30" i="10"/>
  <c r="AI30" i="10"/>
  <c r="AH30" i="10"/>
  <c r="S30" i="10"/>
  <c r="L30" i="10"/>
  <c r="K30" i="10"/>
  <c r="AP29" i="10"/>
  <c r="AI29" i="10"/>
  <c r="AH29" i="10"/>
  <c r="S29" i="10"/>
  <c r="L29" i="10"/>
  <c r="K29" i="10"/>
  <c r="AP28" i="10"/>
  <c r="AI28" i="10"/>
  <c r="AH28" i="10"/>
  <c r="S28" i="10"/>
  <c r="L28" i="10"/>
  <c r="K28" i="10"/>
  <c r="AP27" i="10"/>
  <c r="AI27" i="10"/>
  <c r="AH27" i="10"/>
  <c r="S27" i="10"/>
  <c r="L27" i="10"/>
  <c r="K27" i="10"/>
  <c r="K34" i="10" s="1"/>
  <c r="AP22" i="10"/>
  <c r="AI22" i="10"/>
  <c r="AH22" i="10"/>
  <c r="AP21" i="10"/>
  <c r="AI21" i="10"/>
  <c r="AH21" i="10"/>
  <c r="D21" i="10"/>
  <c r="AP20" i="10"/>
  <c r="AI20" i="10"/>
  <c r="AH20" i="10"/>
  <c r="AP19" i="10"/>
  <c r="AI19" i="10"/>
  <c r="AH19" i="10"/>
  <c r="W19" i="10"/>
  <c r="U19" i="10"/>
  <c r="S18" i="10"/>
  <c r="L18" i="10"/>
  <c r="K18" i="10"/>
  <c r="S17" i="10"/>
  <c r="L17" i="10"/>
  <c r="K17" i="10"/>
  <c r="S16" i="10"/>
  <c r="L16" i="10"/>
  <c r="K16" i="10"/>
  <c r="AT15" i="10"/>
  <c r="AR15" i="10"/>
  <c r="S15" i="10"/>
  <c r="L15" i="10"/>
  <c r="K15" i="10"/>
  <c r="AP14" i="10"/>
  <c r="AI14" i="10"/>
  <c r="AH14" i="10"/>
  <c r="S14" i="10"/>
  <c r="L14" i="10"/>
  <c r="K14" i="10"/>
  <c r="AP13" i="10"/>
  <c r="AI13" i="10"/>
  <c r="AH13" i="10"/>
  <c r="S13" i="10"/>
  <c r="L13" i="10"/>
  <c r="K13" i="10"/>
  <c r="AP12" i="10"/>
  <c r="AI12" i="10"/>
  <c r="AH12" i="10"/>
  <c r="S12" i="10"/>
  <c r="L12" i="10"/>
  <c r="K12" i="10"/>
  <c r="AP11" i="10"/>
  <c r="AI11" i="10"/>
  <c r="AH11" i="10"/>
  <c r="S11" i="10"/>
  <c r="L11" i="10"/>
  <c r="K11" i="10"/>
  <c r="AP10" i="10"/>
  <c r="AI10" i="10"/>
  <c r="AH10" i="10"/>
  <c r="S10" i="10"/>
  <c r="L10" i="10"/>
  <c r="K10" i="10"/>
  <c r="AP9" i="10"/>
  <c r="AI9" i="10"/>
  <c r="AH9" i="10"/>
  <c r="S9" i="10"/>
  <c r="L9" i="10"/>
  <c r="K9" i="10"/>
  <c r="AP8" i="10"/>
  <c r="AI8" i="10"/>
  <c r="AH8" i="10"/>
  <c r="S8" i="10"/>
  <c r="L8" i="10"/>
  <c r="K8" i="10"/>
  <c r="AP7" i="10"/>
  <c r="AP15" i="10" s="1"/>
  <c r="AI7" i="10"/>
  <c r="AH7" i="10"/>
  <c r="S7" i="10"/>
  <c r="L7" i="10"/>
  <c r="K7" i="10"/>
  <c r="M20" i="3"/>
  <c r="M19" i="3"/>
  <c r="M18" i="3"/>
  <c r="M17" i="3"/>
  <c r="M16" i="3"/>
  <c r="M15" i="3"/>
  <c r="AI11" i="1"/>
  <c r="AP9" i="1"/>
  <c r="AH9" i="1"/>
  <c r="AH7" i="1"/>
  <c r="AP7" i="1"/>
  <c r="K19" i="10" l="1"/>
  <c r="S34" i="10"/>
  <c r="K47" i="10"/>
  <c r="AH35" i="10"/>
  <c r="S19" i="10"/>
  <c r="S47" i="10"/>
  <c r="AP35" i="10"/>
  <c r="AH15" i="10"/>
  <c r="AA16" i="10" s="1"/>
  <c r="D35" i="10"/>
  <c r="S8" i="3"/>
  <c r="AM67" i="5"/>
  <c r="AD28" i="5"/>
  <c r="AE28" i="5" s="1"/>
  <c r="AD24" i="5"/>
  <c r="P27" i="2"/>
  <c r="X27" i="2" s="1"/>
  <c r="U27" i="2"/>
  <c r="W27" i="5" s="1"/>
  <c r="G27" i="8"/>
  <c r="T28" i="2"/>
  <c r="V28" i="5" s="1"/>
  <c r="S24" i="2"/>
  <c r="P27" i="5"/>
  <c r="Z27" i="5" s="1"/>
  <c r="AD27" i="5" s="1"/>
  <c r="P26" i="5"/>
  <c r="Z26" i="5" s="1"/>
  <c r="AD26" i="5" s="1"/>
  <c r="P31" i="5"/>
  <c r="R31" i="5" s="1"/>
  <c r="P30" i="5"/>
  <c r="R30" i="5" s="1"/>
  <c r="T21" i="2"/>
  <c r="V21" i="5" s="1"/>
  <c r="U10" i="2"/>
  <c r="W10" i="5" s="1"/>
  <c r="P21" i="5"/>
  <c r="U21" i="2"/>
  <c r="W21" i="5" s="1"/>
  <c r="P12" i="5"/>
  <c r="P10" i="5"/>
  <c r="P11" i="5"/>
  <c r="R28" i="5"/>
  <c r="R27" i="5"/>
  <c r="P13" i="5"/>
  <c r="X30" i="2"/>
  <c r="Q30" i="2"/>
  <c r="S30" i="5" s="1"/>
  <c r="AG30" i="5" s="1"/>
  <c r="AH30" i="5" s="1"/>
  <c r="AI30" i="5" s="1"/>
  <c r="X31" i="2"/>
  <c r="Q31" i="2"/>
  <c r="S31" i="5" s="1"/>
  <c r="AG31" i="5" s="1"/>
  <c r="AH31" i="5" s="1"/>
  <c r="AI31" i="5" s="1"/>
  <c r="Q21" i="2"/>
  <c r="S21" i="5" s="1"/>
  <c r="AG21" i="5" s="1"/>
  <c r="Q26" i="2"/>
  <c r="S26" i="5" s="1"/>
  <c r="AG26" i="5" s="1"/>
  <c r="S26" i="2"/>
  <c r="U26" i="5" s="1"/>
  <c r="P28" i="2"/>
  <c r="S28" i="2"/>
  <c r="U28" i="5" s="1"/>
  <c r="P13" i="2"/>
  <c r="X13" i="2" s="1"/>
  <c r="P12" i="2"/>
  <c r="X12" i="2" s="1"/>
  <c r="P11" i="2"/>
  <c r="X10" i="2"/>
  <c r="U24" i="2"/>
  <c r="T25" i="2"/>
  <c r="D20" i="10"/>
  <c r="D48" i="10"/>
  <c r="AA36" i="10"/>
  <c r="R8" i="3"/>
  <c r="Q27" i="2" l="1"/>
  <c r="S27" i="5" s="1"/>
  <c r="AG27" i="5" s="1"/>
  <c r="R26" i="5"/>
  <c r="R13" i="5"/>
  <c r="Z13" i="5"/>
  <c r="AD13" i="5" s="1"/>
  <c r="R12" i="5"/>
  <c r="Z12" i="5"/>
  <c r="AD12" i="5" s="1"/>
  <c r="AE27" i="5"/>
  <c r="R11" i="5"/>
  <c r="Z11" i="5"/>
  <c r="AD11" i="5" s="1"/>
  <c r="R21" i="5"/>
  <c r="Z21" i="5"/>
  <c r="R10" i="5"/>
  <c r="Z10" i="5"/>
  <c r="AD10" i="5" s="1"/>
  <c r="AE26" i="5"/>
  <c r="AH26" i="5" s="1"/>
  <c r="AI26" i="5" s="1"/>
  <c r="V8" i="3"/>
  <c r="X28" i="2"/>
  <c r="Q28" i="2"/>
  <c r="S28" i="5" s="1"/>
  <c r="AG28" i="5" s="1"/>
  <c r="AH28" i="5" s="1"/>
  <c r="Q13" i="2"/>
  <c r="S13" i="5" s="1"/>
  <c r="AG13" i="5" s="1"/>
  <c r="Q12" i="2"/>
  <c r="S12" i="5" s="1"/>
  <c r="AG12" i="5" s="1"/>
  <c r="X11" i="2"/>
  <c r="Q11" i="2"/>
  <c r="S11" i="5" s="1"/>
  <c r="AG11" i="5" s="1"/>
  <c r="S17" i="1"/>
  <c r="L17" i="1"/>
  <c r="K17" i="1"/>
  <c r="D49" i="1"/>
  <c r="S42" i="1"/>
  <c r="S45" i="1"/>
  <c r="L45" i="1"/>
  <c r="K45" i="1"/>
  <c r="S44" i="1"/>
  <c r="K44" i="1"/>
  <c r="S32" i="1"/>
  <c r="L32" i="1"/>
  <c r="K32" i="1"/>
  <c r="D36" i="1"/>
  <c r="AP22" i="1"/>
  <c r="AI22" i="1"/>
  <c r="AH22" i="1"/>
  <c r="AP21" i="1"/>
  <c r="AI21" i="1"/>
  <c r="AH21" i="1"/>
  <c r="S33" i="1"/>
  <c r="L33" i="1"/>
  <c r="K33" i="1"/>
  <c r="S29" i="1"/>
  <c r="L29" i="1"/>
  <c r="K29" i="1"/>
  <c r="L16" i="1"/>
  <c r="S18" i="1"/>
  <c r="L18" i="1"/>
  <c r="K18" i="1"/>
  <c r="AP20" i="1"/>
  <c r="AI20" i="1"/>
  <c r="AH20" i="1"/>
  <c r="AP19" i="1"/>
  <c r="AI19" i="1"/>
  <c r="AH19" i="1"/>
  <c r="AI28" i="5" l="1"/>
  <c r="AH27" i="5"/>
  <c r="AI27" i="5" s="1"/>
  <c r="AD21" i="5"/>
  <c r="AE21" i="5" s="1"/>
  <c r="AE11" i="5"/>
  <c r="AH11" i="5" s="1"/>
  <c r="AI11" i="5" s="1"/>
  <c r="AE12" i="5"/>
  <c r="AH12" i="5" s="1"/>
  <c r="AI12" i="5" s="1"/>
  <c r="AE13" i="5"/>
  <c r="AH13" i="5" s="1"/>
  <c r="AI13" i="5" s="1"/>
  <c r="AE10" i="5"/>
  <c r="AH10" i="5" s="1"/>
  <c r="AI10" i="5" s="1"/>
  <c r="AT15" i="1"/>
  <c r="AR15" i="1"/>
  <c r="AP14" i="1"/>
  <c r="AI14" i="1"/>
  <c r="AH14" i="1"/>
  <c r="AP13" i="1"/>
  <c r="AI13" i="1"/>
  <c r="AH13" i="1"/>
  <c r="AP12" i="1"/>
  <c r="AI12" i="1"/>
  <c r="AH12" i="1"/>
  <c r="AP11" i="1"/>
  <c r="AH11" i="1"/>
  <c r="AP10" i="1"/>
  <c r="AI10" i="1"/>
  <c r="AH10" i="1"/>
  <c r="AI9" i="1"/>
  <c r="AP8" i="1"/>
  <c r="AI8" i="1"/>
  <c r="AH8" i="1"/>
  <c r="AI7" i="1"/>
  <c r="AH21" i="5" l="1"/>
  <c r="AI21" i="5" s="1"/>
  <c r="AH15" i="1"/>
  <c r="AP15" i="1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E78" i="9"/>
  <c r="G78" i="9" s="1"/>
  <c r="E77" i="9"/>
  <c r="G77" i="9" s="1"/>
  <c r="E76" i="9"/>
  <c r="G76" i="9" s="1"/>
  <c r="E75" i="9"/>
  <c r="G75" i="9" s="1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46" i="9"/>
  <c r="H46" i="9" s="1"/>
  <c r="H45" i="9"/>
  <c r="G45" i="9"/>
  <c r="G44" i="9"/>
  <c r="H44" i="9" s="1"/>
  <c r="G43" i="9"/>
  <c r="H43" i="9" s="1"/>
  <c r="E42" i="9"/>
  <c r="G42" i="9" s="1"/>
  <c r="H42" i="9" s="1"/>
  <c r="E41" i="9"/>
  <c r="G41" i="9" s="1"/>
  <c r="H41" i="9" s="1"/>
  <c r="E40" i="9"/>
  <c r="G40" i="9" s="1"/>
  <c r="H40" i="9" s="1"/>
  <c r="E39" i="9"/>
  <c r="G39" i="9" s="1"/>
  <c r="H39" i="9" s="1"/>
  <c r="G38" i="9"/>
  <c r="H38" i="9" s="1"/>
  <c r="G37" i="9"/>
  <c r="H37" i="9" s="1"/>
  <c r="G36" i="9"/>
  <c r="H36" i="9" s="1"/>
  <c r="G35" i="9"/>
  <c r="H35" i="9" s="1"/>
  <c r="E34" i="9"/>
  <c r="G34" i="9" s="1"/>
  <c r="H34" i="9" s="1"/>
  <c r="E33" i="9"/>
  <c r="G33" i="9" s="1"/>
  <c r="H33" i="9" s="1"/>
  <c r="L32" i="9"/>
  <c r="L76" i="9" s="1"/>
  <c r="K76" i="9" s="1"/>
  <c r="E32" i="9" s="1"/>
  <c r="G32" i="9" s="1"/>
  <c r="H32" i="9" s="1"/>
  <c r="G22" i="9"/>
  <c r="H22" i="9" s="1"/>
  <c r="H21" i="9"/>
  <c r="G21" i="9"/>
  <c r="G20" i="9"/>
  <c r="H20" i="9" s="1"/>
  <c r="E19" i="9"/>
  <c r="G19" i="9" s="1"/>
  <c r="H19" i="9" s="1"/>
  <c r="E18" i="9"/>
  <c r="G18" i="9" s="1"/>
  <c r="H18" i="9" s="1"/>
  <c r="G17" i="9"/>
  <c r="H17" i="9" s="1"/>
  <c r="H16" i="9"/>
  <c r="G16" i="9"/>
  <c r="G15" i="9"/>
  <c r="H15" i="9" s="1"/>
  <c r="H14" i="9"/>
  <c r="G14" i="9"/>
  <c r="G13" i="9"/>
  <c r="H13" i="9" s="1"/>
  <c r="G12" i="9"/>
  <c r="H12" i="9" s="1"/>
  <c r="G11" i="9"/>
  <c r="H11" i="9" s="1"/>
  <c r="G10" i="9"/>
  <c r="H10" i="9" s="1"/>
  <c r="AB9" i="9"/>
  <c r="AA9" i="9"/>
  <c r="Z9" i="9"/>
  <c r="Y9" i="9"/>
  <c r="X9" i="9"/>
  <c r="W9" i="9"/>
  <c r="AE9" i="9" s="1"/>
  <c r="E28" i="9" s="1"/>
  <c r="G28" i="9" s="1"/>
  <c r="H28" i="9" s="1"/>
  <c r="V9" i="9"/>
  <c r="U9" i="9"/>
  <c r="T9" i="9"/>
  <c r="S9" i="9"/>
  <c r="R9" i="9"/>
  <c r="Q9" i="9"/>
  <c r="H9" i="9"/>
  <c r="G9" i="9"/>
  <c r="AD8" i="9"/>
  <c r="E24" i="9" s="1"/>
  <c r="G24" i="9" s="1"/>
  <c r="H24" i="9" s="1"/>
  <c r="G8" i="9"/>
  <c r="H8" i="9" s="1"/>
  <c r="AD7" i="9"/>
  <c r="E25" i="9" s="1"/>
  <c r="G25" i="9" s="1"/>
  <c r="H25" i="9" s="1"/>
  <c r="AB7" i="9"/>
  <c r="AA7" i="9"/>
  <c r="Z7" i="9"/>
  <c r="Y7" i="9"/>
  <c r="X7" i="9"/>
  <c r="W7" i="9"/>
  <c r="V7" i="9"/>
  <c r="U7" i="9"/>
  <c r="T7" i="9"/>
  <c r="S7" i="9"/>
  <c r="R7" i="9"/>
  <c r="Q7" i="9"/>
  <c r="E7" i="9"/>
  <c r="G7" i="9" s="1"/>
  <c r="H7" i="9" s="1"/>
  <c r="AF6" i="9"/>
  <c r="E29" i="9" s="1"/>
  <c r="G29" i="9" s="1"/>
  <c r="H29" i="9" s="1"/>
  <c r="AE6" i="9"/>
  <c r="E26" i="9" s="1"/>
  <c r="G26" i="9" s="1"/>
  <c r="H26" i="9" s="1"/>
  <c r="AD6" i="9"/>
  <c r="E23" i="9" s="1"/>
  <c r="G23" i="9" s="1"/>
  <c r="H23" i="9" s="1"/>
  <c r="E6" i="9"/>
  <c r="G6" i="9" s="1"/>
  <c r="Q36" i="8"/>
  <c r="Q35" i="8"/>
  <c r="Q34" i="8"/>
  <c r="Q33" i="8"/>
  <c r="I26" i="8"/>
  <c r="E26" i="8"/>
  <c r="K26" i="8" s="1"/>
  <c r="I25" i="8"/>
  <c r="E25" i="8"/>
  <c r="Q23" i="8"/>
  <c r="I23" i="8"/>
  <c r="E23" i="8"/>
  <c r="K23" i="8" s="1"/>
  <c r="Q22" i="8"/>
  <c r="I22" i="8"/>
  <c r="E22" i="8"/>
  <c r="I21" i="8"/>
  <c r="E21" i="8"/>
  <c r="Q20" i="8"/>
  <c r="I20" i="8"/>
  <c r="E20" i="8"/>
  <c r="K20" i="8" s="1"/>
  <c r="Q19" i="8"/>
  <c r="I19" i="8"/>
  <c r="E19" i="8"/>
  <c r="Q18" i="8"/>
  <c r="I18" i="8"/>
  <c r="E18" i="8"/>
  <c r="I17" i="8"/>
  <c r="E17" i="8"/>
  <c r="I16" i="8"/>
  <c r="E16" i="8"/>
  <c r="I15" i="8"/>
  <c r="E15" i="8"/>
  <c r="I14" i="8"/>
  <c r="E14" i="8"/>
  <c r="I13" i="8"/>
  <c r="K13" i="8" s="1"/>
  <c r="E13" i="8"/>
  <c r="I12" i="8"/>
  <c r="E12" i="8"/>
  <c r="Q11" i="8"/>
  <c r="I11" i="8"/>
  <c r="E11" i="8"/>
  <c r="Q10" i="8"/>
  <c r="I10" i="8"/>
  <c r="K10" i="8" s="1"/>
  <c r="E10" i="8"/>
  <c r="I9" i="8"/>
  <c r="E9" i="8"/>
  <c r="Q8" i="8"/>
  <c r="Q7" i="8"/>
  <c r="K7" i="8"/>
  <c r="I7" i="8"/>
  <c r="P19" i="8" s="1"/>
  <c r="E7" i="8"/>
  <c r="Q6" i="8"/>
  <c r="I6" i="8"/>
  <c r="K6" i="8" s="1"/>
  <c r="E6" i="8"/>
  <c r="O120" i="7"/>
  <c r="P120" i="7" s="1"/>
  <c r="Q120" i="7" s="1"/>
  <c r="G120" i="7"/>
  <c r="H120" i="7" s="1"/>
  <c r="P119" i="7"/>
  <c r="Q119" i="7" s="1"/>
  <c r="O119" i="7"/>
  <c r="G119" i="7"/>
  <c r="H119" i="7" s="1"/>
  <c r="O118" i="7"/>
  <c r="P118" i="7" s="1"/>
  <c r="Q118" i="7" s="1"/>
  <c r="G118" i="7"/>
  <c r="H118" i="7" s="1"/>
  <c r="O117" i="7"/>
  <c r="P117" i="7" s="1"/>
  <c r="Q117" i="7" s="1"/>
  <c r="G117" i="7"/>
  <c r="H117" i="7" s="1"/>
  <c r="O116" i="7"/>
  <c r="P116" i="7" s="1"/>
  <c r="Q116" i="7" s="1"/>
  <c r="G116" i="7"/>
  <c r="H116" i="7" s="1"/>
  <c r="O115" i="7"/>
  <c r="P115" i="7" s="1"/>
  <c r="Q115" i="7" s="1"/>
  <c r="G115" i="7"/>
  <c r="H115" i="7" s="1"/>
  <c r="O114" i="7"/>
  <c r="P114" i="7" s="1"/>
  <c r="Q114" i="7" s="1"/>
  <c r="G114" i="7"/>
  <c r="H114" i="7" s="1"/>
  <c r="O113" i="7"/>
  <c r="P113" i="7" s="1"/>
  <c r="Q113" i="7" s="1"/>
  <c r="G113" i="7"/>
  <c r="H113" i="7" s="1"/>
  <c r="O112" i="7"/>
  <c r="P112" i="7" s="1"/>
  <c r="Q112" i="7" s="1"/>
  <c r="G112" i="7"/>
  <c r="H112" i="7" s="1"/>
  <c r="P111" i="7"/>
  <c r="Q111" i="7" s="1"/>
  <c r="O111" i="7"/>
  <c r="G111" i="7"/>
  <c r="H111" i="7" s="1"/>
  <c r="O110" i="7"/>
  <c r="P110" i="7" s="1"/>
  <c r="Q110" i="7" s="1"/>
  <c r="G110" i="7"/>
  <c r="H110" i="7" s="1"/>
  <c r="O109" i="7"/>
  <c r="P109" i="7" s="1"/>
  <c r="Q109" i="7" s="1"/>
  <c r="G109" i="7"/>
  <c r="H109" i="7" s="1"/>
  <c r="O108" i="7"/>
  <c r="P108" i="7" s="1"/>
  <c r="Q108" i="7" s="1"/>
  <c r="G108" i="7"/>
  <c r="H108" i="7" s="1"/>
  <c r="P107" i="7"/>
  <c r="Q107" i="7" s="1"/>
  <c r="O107" i="7"/>
  <c r="G107" i="7"/>
  <c r="H107" i="7" s="1"/>
  <c r="O106" i="7"/>
  <c r="P106" i="7" s="1"/>
  <c r="Q106" i="7" s="1"/>
  <c r="G106" i="7"/>
  <c r="H106" i="7" s="1"/>
  <c r="O105" i="7"/>
  <c r="P105" i="7" s="1"/>
  <c r="Q105" i="7" s="1"/>
  <c r="G105" i="7"/>
  <c r="H105" i="7" s="1"/>
  <c r="O104" i="7"/>
  <c r="P104" i="7" s="1"/>
  <c r="Q104" i="7" s="1"/>
  <c r="G104" i="7"/>
  <c r="H104" i="7" s="1"/>
  <c r="P103" i="7"/>
  <c r="Q103" i="7" s="1"/>
  <c r="O103" i="7"/>
  <c r="G103" i="7"/>
  <c r="H103" i="7" s="1"/>
  <c r="O102" i="7"/>
  <c r="P102" i="7" s="1"/>
  <c r="Q102" i="7" s="1"/>
  <c r="G102" i="7"/>
  <c r="H102" i="7" s="1"/>
  <c r="O101" i="7"/>
  <c r="P101" i="7" s="1"/>
  <c r="Q101" i="7" s="1"/>
  <c r="G101" i="7"/>
  <c r="H101" i="7" s="1"/>
  <c r="P100" i="7"/>
  <c r="Q100" i="7" s="1"/>
  <c r="O100" i="7"/>
  <c r="G100" i="7"/>
  <c r="H100" i="7" s="1"/>
  <c r="P99" i="7"/>
  <c r="Q99" i="7" s="1"/>
  <c r="O99" i="7"/>
  <c r="G99" i="7"/>
  <c r="H99" i="7" s="1"/>
  <c r="O98" i="7"/>
  <c r="P98" i="7" s="1"/>
  <c r="Q98" i="7" s="1"/>
  <c r="G98" i="7"/>
  <c r="H98" i="7" s="1"/>
  <c r="O97" i="7"/>
  <c r="P97" i="7" s="1"/>
  <c r="Q97" i="7" s="1"/>
  <c r="G97" i="7"/>
  <c r="H97" i="7" s="1"/>
  <c r="O96" i="7"/>
  <c r="P96" i="7" s="1"/>
  <c r="Q96" i="7" s="1"/>
  <c r="G96" i="7"/>
  <c r="H96" i="7" s="1"/>
  <c r="P95" i="7"/>
  <c r="Q95" i="7" s="1"/>
  <c r="O95" i="7"/>
  <c r="G95" i="7"/>
  <c r="H95" i="7" s="1"/>
  <c r="O94" i="7"/>
  <c r="P94" i="7" s="1"/>
  <c r="Q94" i="7" s="1"/>
  <c r="G94" i="7"/>
  <c r="H94" i="7" s="1"/>
  <c r="O93" i="7"/>
  <c r="P93" i="7" s="1"/>
  <c r="Q93" i="7" s="1"/>
  <c r="G93" i="7"/>
  <c r="H93" i="7" s="1"/>
  <c r="P92" i="7"/>
  <c r="Q92" i="7" s="1"/>
  <c r="O92" i="7"/>
  <c r="G92" i="7"/>
  <c r="H92" i="7" s="1"/>
  <c r="O91" i="7"/>
  <c r="P91" i="7" s="1"/>
  <c r="Q91" i="7" s="1"/>
  <c r="G91" i="7"/>
  <c r="J91" i="7" s="1"/>
  <c r="O90" i="7"/>
  <c r="P90" i="7" s="1"/>
  <c r="Q90" i="7" s="1"/>
  <c r="J90" i="7"/>
  <c r="G90" i="7"/>
  <c r="H90" i="7" s="1"/>
  <c r="O89" i="7"/>
  <c r="P89" i="7" s="1"/>
  <c r="Q89" i="7" s="1"/>
  <c r="H89" i="7"/>
  <c r="G89" i="7"/>
  <c r="J89" i="7" s="1"/>
  <c r="O81" i="7"/>
  <c r="P81" i="7" s="1"/>
  <c r="Q81" i="7" s="1"/>
  <c r="J81" i="7"/>
  <c r="G81" i="7"/>
  <c r="H81" i="7" s="1"/>
  <c r="O80" i="7"/>
  <c r="P80" i="7" s="1"/>
  <c r="Q80" i="7" s="1"/>
  <c r="G80" i="7"/>
  <c r="J80" i="7" s="1"/>
  <c r="P79" i="7"/>
  <c r="Q79" i="7" s="1"/>
  <c r="O79" i="7"/>
  <c r="G79" i="7"/>
  <c r="H79" i="7" s="1"/>
  <c r="O78" i="7"/>
  <c r="P78" i="7" s="1"/>
  <c r="Q78" i="7" s="1"/>
  <c r="G78" i="7"/>
  <c r="J78" i="7" s="1"/>
  <c r="O77" i="7"/>
  <c r="P77" i="7" s="1"/>
  <c r="Q77" i="7" s="1"/>
  <c r="G77" i="7"/>
  <c r="H77" i="7" s="1"/>
  <c r="P76" i="7"/>
  <c r="Q76" i="7" s="1"/>
  <c r="O76" i="7"/>
  <c r="G76" i="7"/>
  <c r="H76" i="7" s="1"/>
  <c r="O75" i="7"/>
  <c r="P75" i="7" s="1"/>
  <c r="Q75" i="7" s="1"/>
  <c r="G75" i="7"/>
  <c r="H75" i="7" s="1"/>
  <c r="O70" i="7"/>
  <c r="P70" i="7" s="1"/>
  <c r="Q70" i="7" s="1"/>
  <c r="H70" i="7"/>
  <c r="G70" i="7"/>
  <c r="J70" i="7" s="1"/>
  <c r="O69" i="7"/>
  <c r="P69" i="7" s="1"/>
  <c r="Q69" i="7" s="1"/>
  <c r="G69" i="7"/>
  <c r="H69" i="7" s="1"/>
  <c r="O68" i="7"/>
  <c r="P68" i="7" s="1"/>
  <c r="Q68" i="7" s="1"/>
  <c r="J68" i="7"/>
  <c r="H68" i="7"/>
  <c r="G68" i="7"/>
  <c r="O67" i="7"/>
  <c r="P67" i="7" s="1"/>
  <c r="Q67" i="7" s="1"/>
  <c r="G67" i="7"/>
  <c r="H67" i="7" s="1"/>
  <c r="O66" i="7"/>
  <c r="P66" i="7" s="1"/>
  <c r="Q66" i="7" s="1"/>
  <c r="G66" i="7"/>
  <c r="J66" i="7" s="1"/>
  <c r="O65" i="7"/>
  <c r="P65" i="7" s="1"/>
  <c r="Q65" i="7" s="1"/>
  <c r="G65" i="7"/>
  <c r="H65" i="7" s="1"/>
  <c r="O64" i="7"/>
  <c r="P64" i="7" s="1"/>
  <c r="Q64" i="7" s="1"/>
  <c r="G64" i="7"/>
  <c r="H64" i="7" s="1"/>
  <c r="O63" i="7"/>
  <c r="P63" i="7" s="1"/>
  <c r="Q63" i="7" s="1"/>
  <c r="G63" i="7"/>
  <c r="H63" i="7" s="1"/>
  <c r="P62" i="7"/>
  <c r="Q62" i="7" s="1"/>
  <c r="O62" i="7"/>
  <c r="G62" i="7"/>
  <c r="J62" i="7" s="1"/>
  <c r="O61" i="7"/>
  <c r="P61" i="7" s="1"/>
  <c r="Q61" i="7" s="1"/>
  <c r="G61" i="7"/>
  <c r="H61" i="7" s="1"/>
  <c r="O58" i="7"/>
  <c r="P58" i="7" s="1"/>
  <c r="Q58" i="7" s="1"/>
  <c r="G58" i="7"/>
  <c r="J58" i="7" s="1"/>
  <c r="P57" i="7"/>
  <c r="Q57" i="7" s="1"/>
  <c r="O57" i="7"/>
  <c r="G57" i="7"/>
  <c r="H57" i="7" s="1"/>
  <c r="O56" i="7"/>
  <c r="P56" i="7" s="1"/>
  <c r="Q56" i="7" s="1"/>
  <c r="G56" i="7"/>
  <c r="J56" i="7" s="1"/>
  <c r="O55" i="7"/>
  <c r="P55" i="7" s="1"/>
  <c r="Q55" i="7" s="1"/>
  <c r="G55" i="7"/>
  <c r="H55" i="7" s="1"/>
  <c r="P54" i="7"/>
  <c r="Q54" i="7" s="1"/>
  <c r="O54" i="7"/>
  <c r="G54" i="7"/>
  <c r="H54" i="7" s="1"/>
  <c r="O53" i="7"/>
  <c r="P53" i="7" s="1"/>
  <c r="Q53" i="7" s="1"/>
  <c r="G53" i="7"/>
  <c r="H53" i="7" s="1"/>
  <c r="O52" i="7"/>
  <c r="P52" i="7" s="1"/>
  <c r="Q52" i="7" s="1"/>
  <c r="H52" i="7"/>
  <c r="G52" i="7"/>
  <c r="J52" i="7" s="1"/>
  <c r="O51" i="7"/>
  <c r="P51" i="7" s="1"/>
  <c r="Q51" i="7" s="1"/>
  <c r="G51" i="7"/>
  <c r="H51" i="7" s="1"/>
  <c r="O50" i="7"/>
  <c r="P50" i="7" s="1"/>
  <c r="Q50" i="7" s="1"/>
  <c r="H50" i="7"/>
  <c r="G50" i="7"/>
  <c r="J50" i="7" s="1"/>
  <c r="P49" i="7"/>
  <c r="Q49" i="7" s="1"/>
  <c r="O49" i="7"/>
  <c r="J49" i="7"/>
  <c r="G49" i="7"/>
  <c r="H49" i="7" s="1"/>
  <c r="O48" i="7"/>
  <c r="P48" i="7" s="1"/>
  <c r="Q48" i="7" s="1"/>
  <c r="G48" i="7"/>
  <c r="J48" i="7" s="1"/>
  <c r="O47" i="7"/>
  <c r="P47" i="7" s="1"/>
  <c r="Q47" i="7" s="1"/>
  <c r="G47" i="7"/>
  <c r="H47" i="7" s="1"/>
  <c r="P46" i="7"/>
  <c r="Q46" i="7" s="1"/>
  <c r="O46" i="7"/>
  <c r="G46" i="7"/>
  <c r="H46" i="7" s="1"/>
  <c r="O45" i="7"/>
  <c r="P45" i="7" s="1"/>
  <c r="Q45" i="7" s="1"/>
  <c r="G45" i="7"/>
  <c r="H45" i="7" s="1"/>
  <c r="O44" i="7"/>
  <c r="P44" i="7" s="1"/>
  <c r="Q44" i="7" s="1"/>
  <c r="H44" i="7"/>
  <c r="G44" i="7"/>
  <c r="J44" i="7" s="1"/>
  <c r="O43" i="7"/>
  <c r="P43" i="7" s="1"/>
  <c r="Q43" i="7" s="1"/>
  <c r="G43" i="7"/>
  <c r="H43" i="7" s="1"/>
  <c r="O42" i="7"/>
  <c r="P42" i="7" s="1"/>
  <c r="Q42" i="7" s="1"/>
  <c r="G42" i="7"/>
  <c r="J42" i="7" s="1"/>
  <c r="O41" i="7"/>
  <c r="P41" i="7" s="1"/>
  <c r="Q41" i="7" s="1"/>
  <c r="G41" i="7"/>
  <c r="J41" i="7" s="1"/>
  <c r="P40" i="7"/>
  <c r="Q40" i="7" s="1"/>
  <c r="O40" i="7"/>
  <c r="G40" i="7"/>
  <c r="J40" i="7" s="1"/>
  <c r="P39" i="7"/>
  <c r="Q39" i="7" s="1"/>
  <c r="O39" i="7"/>
  <c r="G39" i="7"/>
  <c r="H39" i="7" s="1"/>
  <c r="O38" i="7"/>
  <c r="P38" i="7" s="1"/>
  <c r="Q38" i="7" s="1"/>
  <c r="G38" i="7"/>
  <c r="J38" i="7" s="1"/>
  <c r="O37" i="7"/>
  <c r="P37" i="7" s="1"/>
  <c r="Q37" i="7" s="1"/>
  <c r="H37" i="7"/>
  <c r="G37" i="7"/>
  <c r="J37" i="7" s="1"/>
  <c r="P36" i="7"/>
  <c r="Q36" i="7" s="1"/>
  <c r="O36" i="7"/>
  <c r="G36" i="7"/>
  <c r="J36" i="7" s="1"/>
  <c r="O35" i="7"/>
  <c r="P35" i="7" s="1"/>
  <c r="Q35" i="7" s="1"/>
  <c r="J35" i="7"/>
  <c r="G35" i="7"/>
  <c r="H35" i="7" s="1"/>
  <c r="AI34" i="7"/>
  <c r="AG34" i="7"/>
  <c r="AK34" i="7" s="1"/>
  <c r="AL34" i="7" s="1"/>
  <c r="AA34" i="7"/>
  <c r="Z34" i="7"/>
  <c r="AC34" i="7" s="1"/>
  <c r="O34" i="7"/>
  <c r="P34" i="7" s="1"/>
  <c r="Q34" i="7" s="1"/>
  <c r="G34" i="7"/>
  <c r="J34" i="7" s="1"/>
  <c r="M41" i="6"/>
  <c r="Q41" i="6" s="1"/>
  <c r="M40" i="6"/>
  <c r="Q40" i="6" s="1"/>
  <c r="M39" i="6"/>
  <c r="Q39" i="6" s="1"/>
  <c r="M38" i="6"/>
  <c r="Q38" i="6" s="1"/>
  <c r="M37" i="6"/>
  <c r="Q37" i="6" s="1"/>
  <c r="M36" i="6"/>
  <c r="Q36" i="6" s="1"/>
  <c r="M35" i="6"/>
  <c r="Q35" i="6" s="1"/>
  <c r="M34" i="6"/>
  <c r="Q34" i="6" s="1"/>
  <c r="R34" i="6" s="1"/>
  <c r="AE31" i="6"/>
  <c r="AI31" i="6" s="1"/>
  <c r="AE30" i="6"/>
  <c r="AI30" i="6" s="1"/>
  <c r="V30" i="6"/>
  <c r="Z30" i="6" s="1"/>
  <c r="AE29" i="6"/>
  <c r="AI29" i="6" s="1"/>
  <c r="V29" i="6"/>
  <c r="Z29" i="6" s="1"/>
  <c r="M29" i="6"/>
  <c r="Q29" i="6" s="1"/>
  <c r="AE28" i="6"/>
  <c r="AI28" i="6" s="1"/>
  <c r="V28" i="6"/>
  <c r="Z28" i="6" s="1"/>
  <c r="M28" i="6"/>
  <c r="Q28" i="6" s="1"/>
  <c r="AE27" i="6"/>
  <c r="AI27" i="6" s="1"/>
  <c r="V27" i="6"/>
  <c r="Z27" i="6" s="1"/>
  <c r="M27" i="6"/>
  <c r="Q27" i="6" s="1"/>
  <c r="AE26" i="6"/>
  <c r="AI26" i="6" s="1"/>
  <c r="V26" i="6"/>
  <c r="Z26" i="6" s="1"/>
  <c r="M26" i="6"/>
  <c r="Q26" i="6" s="1"/>
  <c r="AE25" i="6"/>
  <c r="AI25" i="6" s="1"/>
  <c r="V25" i="6"/>
  <c r="Z25" i="6" s="1"/>
  <c r="M25" i="6"/>
  <c r="Q25" i="6" s="1"/>
  <c r="AE24" i="6"/>
  <c r="AI24" i="6" s="1"/>
  <c r="V24" i="6"/>
  <c r="Z24" i="6" s="1"/>
  <c r="M24" i="6"/>
  <c r="Q24" i="6" s="1"/>
  <c r="AE23" i="6"/>
  <c r="AI23" i="6" s="1"/>
  <c r="V23" i="6"/>
  <c r="Z23" i="6" s="1"/>
  <c r="M23" i="6"/>
  <c r="Q23" i="6" s="1"/>
  <c r="AE22" i="6"/>
  <c r="AI22" i="6" s="1"/>
  <c r="AJ22" i="6" s="1"/>
  <c r="V22" i="6"/>
  <c r="Z22" i="6" s="1"/>
  <c r="AA22" i="6" s="1"/>
  <c r="M22" i="6"/>
  <c r="Q22" i="6" s="1"/>
  <c r="R22" i="6" s="1"/>
  <c r="W67" i="5"/>
  <c r="V67" i="5"/>
  <c r="U67" i="5"/>
  <c r="T67" i="5"/>
  <c r="Q67" i="5"/>
  <c r="P67" i="5"/>
  <c r="Z67" i="5" s="1"/>
  <c r="AD67" i="5" s="1"/>
  <c r="W66" i="5"/>
  <c r="V66" i="5"/>
  <c r="U66" i="5"/>
  <c r="T66" i="5"/>
  <c r="Q66" i="5"/>
  <c r="P66" i="5"/>
  <c r="Z66" i="5" s="1"/>
  <c r="AD66" i="5" s="1"/>
  <c r="W65" i="5"/>
  <c r="V65" i="5"/>
  <c r="U65" i="5"/>
  <c r="T65" i="5"/>
  <c r="Q65" i="5"/>
  <c r="AE65" i="5" s="1"/>
  <c r="P65" i="5"/>
  <c r="Z65" i="5" s="1"/>
  <c r="W64" i="5"/>
  <c r="V64" i="5"/>
  <c r="U64" i="5"/>
  <c r="T64" i="5"/>
  <c r="Q64" i="5"/>
  <c r="AE64" i="5" s="1"/>
  <c r="N64" i="5"/>
  <c r="M64" i="5"/>
  <c r="L64" i="5"/>
  <c r="K64" i="5"/>
  <c r="J64" i="5"/>
  <c r="W63" i="5"/>
  <c r="V63" i="5"/>
  <c r="U63" i="5"/>
  <c r="T63" i="5"/>
  <c r="Q63" i="5"/>
  <c r="AE63" i="5" s="1"/>
  <c r="N63" i="5"/>
  <c r="M63" i="5"/>
  <c r="L63" i="5"/>
  <c r="K63" i="5"/>
  <c r="J63" i="5"/>
  <c r="V62" i="5"/>
  <c r="T62" i="5"/>
  <c r="Q62" i="5"/>
  <c r="AE62" i="5" s="1"/>
  <c r="N62" i="5"/>
  <c r="M62" i="5"/>
  <c r="L62" i="5"/>
  <c r="K62" i="5"/>
  <c r="J62" i="5"/>
  <c r="W61" i="5"/>
  <c r="U61" i="5"/>
  <c r="T61" i="5"/>
  <c r="Q61" i="5"/>
  <c r="N61" i="5"/>
  <c r="M61" i="5"/>
  <c r="L61" i="5"/>
  <c r="K61" i="5"/>
  <c r="J61" i="5"/>
  <c r="V60" i="5"/>
  <c r="T60" i="5"/>
  <c r="Q60" i="5"/>
  <c r="N60" i="5"/>
  <c r="M60" i="5"/>
  <c r="L60" i="5"/>
  <c r="K60" i="5"/>
  <c r="J60" i="5"/>
  <c r="W59" i="5"/>
  <c r="U59" i="5"/>
  <c r="T59" i="5"/>
  <c r="Q59" i="5"/>
  <c r="N59" i="5"/>
  <c r="M59" i="5"/>
  <c r="L59" i="5"/>
  <c r="K59" i="5"/>
  <c r="J59" i="5"/>
  <c r="T58" i="5"/>
  <c r="Q58" i="5"/>
  <c r="I58" i="5"/>
  <c r="H58" i="5"/>
  <c r="G58" i="5"/>
  <c r="F58" i="5"/>
  <c r="E58" i="5"/>
  <c r="D58" i="5"/>
  <c r="W57" i="5"/>
  <c r="U57" i="5"/>
  <c r="T57" i="5"/>
  <c r="Q57" i="5"/>
  <c r="I57" i="5"/>
  <c r="H57" i="5"/>
  <c r="G57" i="5"/>
  <c r="F57" i="5"/>
  <c r="E57" i="5"/>
  <c r="D57" i="5"/>
  <c r="W56" i="5"/>
  <c r="T56" i="5"/>
  <c r="Q56" i="5"/>
  <c r="I56" i="5"/>
  <c r="H56" i="5"/>
  <c r="G56" i="5"/>
  <c r="F56" i="5"/>
  <c r="E56" i="5"/>
  <c r="D56" i="5"/>
  <c r="V55" i="5"/>
  <c r="U55" i="5"/>
  <c r="T55" i="5"/>
  <c r="Q55" i="5"/>
  <c r="I55" i="5"/>
  <c r="H55" i="5"/>
  <c r="G55" i="5"/>
  <c r="F55" i="5"/>
  <c r="E55" i="5"/>
  <c r="D55" i="5"/>
  <c r="U54" i="5"/>
  <c r="T54" i="5"/>
  <c r="Q54" i="5"/>
  <c r="I54" i="5"/>
  <c r="H54" i="5"/>
  <c r="G54" i="5"/>
  <c r="F54" i="5"/>
  <c r="E54" i="5"/>
  <c r="D54" i="5"/>
  <c r="W53" i="5"/>
  <c r="T53" i="5"/>
  <c r="Q53" i="5"/>
  <c r="I53" i="5"/>
  <c r="H53" i="5"/>
  <c r="G53" i="5"/>
  <c r="F53" i="5"/>
  <c r="E53" i="5"/>
  <c r="D53" i="5"/>
  <c r="W49" i="5"/>
  <c r="V49" i="5"/>
  <c r="U49" i="5"/>
  <c r="Q49" i="5"/>
  <c r="P49" i="5"/>
  <c r="W48" i="5"/>
  <c r="V48" i="5"/>
  <c r="U48" i="5"/>
  <c r="Q48" i="5"/>
  <c r="W47" i="5"/>
  <c r="V47" i="5"/>
  <c r="U47" i="5"/>
  <c r="Q47" i="5"/>
  <c r="P47" i="5"/>
  <c r="W46" i="5"/>
  <c r="V46" i="5"/>
  <c r="U46" i="5"/>
  <c r="Q46" i="5"/>
  <c r="P46" i="5"/>
  <c r="W45" i="5"/>
  <c r="V45" i="5"/>
  <c r="U45" i="5"/>
  <c r="Q45" i="5"/>
  <c r="P45" i="5"/>
  <c r="W44" i="5"/>
  <c r="V44" i="5"/>
  <c r="U44" i="5"/>
  <c r="Q44" i="5"/>
  <c r="W43" i="5"/>
  <c r="V43" i="5"/>
  <c r="U43" i="5"/>
  <c r="Q43" i="5"/>
  <c r="N43" i="5"/>
  <c r="M43" i="5"/>
  <c r="L43" i="5"/>
  <c r="K43" i="5"/>
  <c r="J43" i="5"/>
  <c r="W42" i="5"/>
  <c r="V42" i="5"/>
  <c r="U42" i="5"/>
  <c r="Q42" i="5"/>
  <c r="N42" i="5"/>
  <c r="M42" i="5"/>
  <c r="L42" i="5"/>
  <c r="K42" i="5"/>
  <c r="J42" i="5"/>
  <c r="U41" i="5"/>
  <c r="Q41" i="5"/>
  <c r="N41" i="5"/>
  <c r="M41" i="5"/>
  <c r="L41" i="5"/>
  <c r="K41" i="5"/>
  <c r="J41" i="5"/>
  <c r="Q40" i="5"/>
  <c r="N40" i="5"/>
  <c r="M40" i="5"/>
  <c r="L40" i="5"/>
  <c r="K40" i="5"/>
  <c r="J40" i="5"/>
  <c r="U39" i="5"/>
  <c r="Q39" i="5"/>
  <c r="N39" i="5"/>
  <c r="M39" i="5"/>
  <c r="L39" i="5"/>
  <c r="K39" i="5"/>
  <c r="J39" i="5"/>
  <c r="V38" i="5"/>
  <c r="Q38" i="5"/>
  <c r="H38" i="5"/>
  <c r="G38" i="5"/>
  <c r="F38" i="5"/>
  <c r="E38" i="5"/>
  <c r="D38" i="5"/>
  <c r="W37" i="5"/>
  <c r="V37" i="5"/>
  <c r="U37" i="5"/>
  <c r="Q37" i="5"/>
  <c r="H37" i="5"/>
  <c r="G37" i="5"/>
  <c r="F37" i="5"/>
  <c r="E37" i="5"/>
  <c r="D37" i="5"/>
  <c r="W33" i="5"/>
  <c r="V33" i="5"/>
  <c r="U33" i="5"/>
  <c r="T33" i="5"/>
  <c r="Q33" i="5"/>
  <c r="P33" i="5"/>
  <c r="C33" i="5"/>
  <c r="W32" i="5"/>
  <c r="V32" i="5"/>
  <c r="U32" i="5"/>
  <c r="T32" i="5"/>
  <c r="Q32" i="5"/>
  <c r="C32" i="5"/>
  <c r="W29" i="5"/>
  <c r="V29" i="5"/>
  <c r="U29" i="5"/>
  <c r="T29" i="5"/>
  <c r="Q29" i="5"/>
  <c r="P29" i="5"/>
  <c r="Z29" i="5" s="1"/>
  <c r="AD29" i="5" s="1"/>
  <c r="C29" i="5"/>
  <c r="W25" i="5"/>
  <c r="V25" i="5"/>
  <c r="U25" i="5"/>
  <c r="T25" i="5"/>
  <c r="Q25" i="5"/>
  <c r="P25" i="5"/>
  <c r="Z25" i="5" s="1"/>
  <c r="AD25" i="5" s="1"/>
  <c r="C25" i="5"/>
  <c r="W24" i="5"/>
  <c r="V24" i="5"/>
  <c r="U24" i="5"/>
  <c r="Q24" i="5"/>
  <c r="AE24" i="5" s="1"/>
  <c r="C24" i="5"/>
  <c r="W23" i="5"/>
  <c r="V23" i="5"/>
  <c r="U23" i="5"/>
  <c r="T23" i="5"/>
  <c r="Q23" i="5"/>
  <c r="P23" i="5"/>
  <c r="Z23" i="5" s="1"/>
  <c r="AD23" i="5" s="1"/>
  <c r="C23" i="5"/>
  <c r="W22" i="5"/>
  <c r="V22" i="5"/>
  <c r="U22" i="5"/>
  <c r="T22" i="5"/>
  <c r="Q22" i="5"/>
  <c r="C22" i="5"/>
  <c r="U20" i="5"/>
  <c r="T20" i="5"/>
  <c r="Q20" i="5"/>
  <c r="C20" i="5"/>
  <c r="W19" i="5"/>
  <c r="U19" i="5"/>
  <c r="T19" i="5"/>
  <c r="Q19" i="5"/>
  <c r="C19" i="5"/>
  <c r="T18" i="5"/>
  <c r="Q18" i="5"/>
  <c r="C18" i="5"/>
  <c r="W17" i="5"/>
  <c r="U17" i="5"/>
  <c r="Q17" i="5"/>
  <c r="C17" i="5"/>
  <c r="V16" i="5"/>
  <c r="T16" i="5"/>
  <c r="Q16" i="5"/>
  <c r="C16" i="5"/>
  <c r="W15" i="5"/>
  <c r="U15" i="5"/>
  <c r="T15" i="5"/>
  <c r="Q15" i="5"/>
  <c r="N15" i="5"/>
  <c r="M15" i="5"/>
  <c r="L15" i="5"/>
  <c r="K15" i="5"/>
  <c r="J15" i="5"/>
  <c r="C15" i="5"/>
  <c r="V14" i="5"/>
  <c r="T14" i="5"/>
  <c r="Q14" i="5"/>
  <c r="I14" i="5"/>
  <c r="H14" i="5"/>
  <c r="G14" i="5"/>
  <c r="F14" i="5"/>
  <c r="E14" i="5"/>
  <c r="D14" i="5"/>
  <c r="C14" i="5"/>
  <c r="W9" i="5"/>
  <c r="U9" i="5"/>
  <c r="T9" i="5"/>
  <c r="Q9" i="5"/>
  <c r="I9" i="5"/>
  <c r="H9" i="5"/>
  <c r="G9" i="5"/>
  <c r="F9" i="5"/>
  <c r="E9" i="5"/>
  <c r="D9" i="5"/>
  <c r="C9" i="5"/>
  <c r="W8" i="5"/>
  <c r="V8" i="5"/>
  <c r="T8" i="5"/>
  <c r="Q8" i="5"/>
  <c r="I8" i="5"/>
  <c r="H8" i="5"/>
  <c r="G8" i="5"/>
  <c r="F8" i="5"/>
  <c r="E8" i="5"/>
  <c r="D8" i="5"/>
  <c r="C8" i="5"/>
  <c r="P22" i="4"/>
  <c r="P21" i="4"/>
  <c r="P20" i="4"/>
  <c r="W20" i="4" s="1"/>
  <c r="N19" i="4"/>
  <c r="P19" i="4" s="1"/>
  <c r="N18" i="4"/>
  <c r="P18" i="4" s="1"/>
  <c r="N17" i="4"/>
  <c r="N16" i="4"/>
  <c r="N15" i="4"/>
  <c r="N14" i="4"/>
  <c r="N13" i="4"/>
  <c r="N12" i="4"/>
  <c r="P12" i="4" s="1"/>
  <c r="W12" i="4" s="1"/>
  <c r="N11" i="4"/>
  <c r="N10" i="4"/>
  <c r="U10" i="4" s="1"/>
  <c r="N9" i="4"/>
  <c r="U9" i="4" s="1"/>
  <c r="W54" i="5" s="1"/>
  <c r="N8" i="4"/>
  <c r="T8" i="4" s="1"/>
  <c r="V53" i="5" s="1"/>
  <c r="P48" i="5"/>
  <c r="M14" i="3"/>
  <c r="P14" i="3" s="1"/>
  <c r="M13" i="3"/>
  <c r="P13" i="3" s="1"/>
  <c r="M11" i="3"/>
  <c r="T11" i="3" s="1"/>
  <c r="M10" i="3"/>
  <c r="V10" i="3" s="1"/>
  <c r="M9" i="3"/>
  <c r="X43" i="2"/>
  <c r="AA34" i="2"/>
  <c r="AA35" i="2" s="1"/>
  <c r="Z34" i="2"/>
  <c r="Z35" i="2" s="1"/>
  <c r="Y34" i="2"/>
  <c r="Y35" i="2" s="1"/>
  <c r="P33" i="2"/>
  <c r="Q33" i="2" s="1"/>
  <c r="S33" i="5" s="1"/>
  <c r="AG33" i="5" s="1"/>
  <c r="AH33" i="5" s="1"/>
  <c r="AI33" i="5" s="1"/>
  <c r="P32" i="5"/>
  <c r="P29" i="2"/>
  <c r="P25" i="2"/>
  <c r="P24" i="2"/>
  <c r="Q24" i="2" s="1"/>
  <c r="P23" i="2"/>
  <c r="Q23" i="2" s="1"/>
  <c r="S23" i="5" s="1"/>
  <c r="AG23" i="5" s="1"/>
  <c r="P22" i="2"/>
  <c r="N20" i="2"/>
  <c r="N19" i="2"/>
  <c r="N18" i="2"/>
  <c r="N17" i="2"/>
  <c r="N16" i="2"/>
  <c r="U16" i="2" s="1"/>
  <c r="W16" i="5" s="1"/>
  <c r="N15" i="2"/>
  <c r="N14" i="2"/>
  <c r="N9" i="2"/>
  <c r="N8" i="2"/>
  <c r="W47" i="1"/>
  <c r="U47" i="1"/>
  <c r="S46" i="1"/>
  <c r="L46" i="1"/>
  <c r="K46" i="1"/>
  <c r="L44" i="1"/>
  <c r="S43" i="1"/>
  <c r="L43" i="1"/>
  <c r="K43" i="1"/>
  <c r="L42" i="1"/>
  <c r="W34" i="1"/>
  <c r="U34" i="1"/>
  <c r="S31" i="1"/>
  <c r="L31" i="1"/>
  <c r="K31" i="1"/>
  <c r="S30" i="1"/>
  <c r="L30" i="1"/>
  <c r="K30" i="1"/>
  <c r="S28" i="1"/>
  <c r="L28" i="1"/>
  <c r="K28" i="1"/>
  <c r="S27" i="1"/>
  <c r="L27" i="1"/>
  <c r="K27" i="1"/>
  <c r="D21" i="1"/>
  <c r="W19" i="1"/>
  <c r="U19" i="1"/>
  <c r="S16" i="1"/>
  <c r="K16" i="1"/>
  <c r="S15" i="1"/>
  <c r="L15" i="1"/>
  <c r="K15" i="1"/>
  <c r="S14" i="1"/>
  <c r="L14" i="1"/>
  <c r="K14" i="1"/>
  <c r="S13" i="1"/>
  <c r="L13" i="1"/>
  <c r="K13" i="1"/>
  <c r="S12" i="1"/>
  <c r="L12" i="1"/>
  <c r="K12" i="1"/>
  <c r="S11" i="1"/>
  <c r="L11" i="1"/>
  <c r="K11" i="1"/>
  <c r="S10" i="1"/>
  <c r="L10" i="1"/>
  <c r="K10" i="1"/>
  <c r="S9" i="1"/>
  <c r="L9" i="1"/>
  <c r="K9" i="1"/>
  <c r="S8" i="1"/>
  <c r="L8" i="1"/>
  <c r="K8" i="1"/>
  <c r="S7" i="1"/>
  <c r="L7" i="1"/>
  <c r="K7" i="1"/>
  <c r="J43" i="7" l="1"/>
  <c r="J54" i="7"/>
  <c r="J57" i="7"/>
  <c r="J76" i="7"/>
  <c r="J79" i="7"/>
  <c r="H91" i="7"/>
  <c r="K15" i="8"/>
  <c r="K21" i="8"/>
  <c r="K25" i="8"/>
  <c r="P36" i="8" s="1"/>
  <c r="AF9" i="9"/>
  <c r="E31" i="9" s="1"/>
  <c r="G31" i="9" s="1"/>
  <c r="H31" i="9" s="1"/>
  <c r="K9" i="8"/>
  <c r="K12" i="8"/>
  <c r="K16" i="8"/>
  <c r="K19" i="8"/>
  <c r="K22" i="8"/>
  <c r="N34" i="2"/>
  <c r="P9" i="3"/>
  <c r="AG38" i="5" s="1"/>
  <c r="T9" i="3"/>
  <c r="M21" i="3"/>
  <c r="H34" i="7"/>
  <c r="H58" i="7"/>
  <c r="H80" i="7"/>
  <c r="K17" i="8"/>
  <c r="AE7" i="9"/>
  <c r="E27" i="9" s="1"/>
  <c r="G27" i="9" s="1"/>
  <c r="H27" i="9" s="1"/>
  <c r="J51" i="7"/>
  <c r="J67" i="7"/>
  <c r="J69" i="7"/>
  <c r="K14" i="8"/>
  <c r="K18" i="8"/>
  <c r="P34" i="8" s="1"/>
  <c r="P64" i="5"/>
  <c r="P60" i="5"/>
  <c r="P61" i="5"/>
  <c r="P62" i="5"/>
  <c r="P63" i="5"/>
  <c r="AE67" i="5"/>
  <c r="H41" i="7"/>
  <c r="J61" i="7"/>
  <c r="H62" i="7"/>
  <c r="AJ23" i="6"/>
  <c r="AJ24" i="6" s="1"/>
  <c r="AJ25" i="6" s="1"/>
  <c r="AJ26" i="6" s="1"/>
  <c r="AJ27" i="6" s="1"/>
  <c r="AJ28" i="6" s="1"/>
  <c r="AJ29" i="6" s="1"/>
  <c r="AJ30" i="6" s="1"/>
  <c r="AJ31" i="6" s="1"/>
  <c r="R35" i="6"/>
  <c r="R36" i="6" s="1"/>
  <c r="R37" i="6" s="1"/>
  <c r="R38" i="6" s="1"/>
  <c r="R39" i="6" s="1"/>
  <c r="R40" i="6" s="1"/>
  <c r="R41" i="6" s="1"/>
  <c r="R23" i="6"/>
  <c r="R24" i="6" s="1"/>
  <c r="R25" i="6" s="1"/>
  <c r="R26" i="6" s="1"/>
  <c r="R27" i="6" s="1"/>
  <c r="R28" i="6" s="1"/>
  <c r="R29" i="6" s="1"/>
  <c r="AE66" i="5"/>
  <c r="P16" i="4"/>
  <c r="T16" i="4"/>
  <c r="V61" i="5" s="1"/>
  <c r="P13" i="4"/>
  <c r="W13" i="4" s="1"/>
  <c r="T13" i="4"/>
  <c r="V58" i="5" s="1"/>
  <c r="P17" i="4"/>
  <c r="Q17" i="4" s="1"/>
  <c r="S62" i="5" s="1"/>
  <c r="AG62" i="5" s="1"/>
  <c r="U17" i="4"/>
  <c r="W62" i="5" s="1"/>
  <c r="S17" i="4"/>
  <c r="U62" i="5" s="1"/>
  <c r="W14" i="4"/>
  <c r="P14" i="4"/>
  <c r="T18" i="2"/>
  <c r="V18" i="5" s="1"/>
  <c r="S18" i="2"/>
  <c r="AE29" i="5"/>
  <c r="AH29" i="5" s="1"/>
  <c r="AI29" i="5" s="1"/>
  <c r="AE23" i="5"/>
  <c r="AH23" i="5" s="1"/>
  <c r="AI23" i="5" s="1"/>
  <c r="R48" i="5"/>
  <c r="AE25" i="5"/>
  <c r="K11" i="8"/>
  <c r="S11" i="3"/>
  <c r="V40" i="5" s="1"/>
  <c r="V11" i="3"/>
  <c r="R23" i="5"/>
  <c r="U14" i="5"/>
  <c r="U14" i="2"/>
  <c r="P15" i="4"/>
  <c r="U15" i="4"/>
  <c r="W60" i="5" s="1"/>
  <c r="S15" i="4"/>
  <c r="U60" i="5" s="1"/>
  <c r="T11" i="4"/>
  <c r="V56" i="5" s="1"/>
  <c r="P11" i="4"/>
  <c r="W11" i="4" s="1"/>
  <c r="Q21" i="4"/>
  <c r="S66" i="5" s="1"/>
  <c r="AG66" i="5" s="1"/>
  <c r="W21" i="4"/>
  <c r="Q19" i="4"/>
  <c r="S64" i="5" s="1"/>
  <c r="AG64" i="5" s="1"/>
  <c r="AH64" i="5" s="1"/>
  <c r="W19" i="4"/>
  <c r="Q18" i="4"/>
  <c r="S63" i="5" s="1"/>
  <c r="AG63" i="5" s="1"/>
  <c r="AH63" i="5" s="1"/>
  <c r="W18" i="4"/>
  <c r="Q22" i="4"/>
  <c r="S67" i="5" s="1"/>
  <c r="AG67" i="5" s="1"/>
  <c r="W22" i="4"/>
  <c r="S61" i="5"/>
  <c r="AG61" i="5" s="1"/>
  <c r="W16" i="4"/>
  <c r="S25" i="5"/>
  <c r="AG25" i="5" s="1"/>
  <c r="R66" i="5"/>
  <c r="Q20" i="4"/>
  <c r="S65" i="5" s="1"/>
  <c r="AG65" i="5" s="1"/>
  <c r="AH65" i="5" s="1"/>
  <c r="R25" i="5"/>
  <c r="R33" i="5"/>
  <c r="X33" i="2"/>
  <c r="R32" i="5"/>
  <c r="R24" i="5"/>
  <c r="X22" i="2"/>
  <c r="Q22" i="2"/>
  <c r="S22" i="5" s="1"/>
  <c r="AG22" i="5" s="1"/>
  <c r="P17" i="2"/>
  <c r="T17" i="2"/>
  <c r="V17" i="5" s="1"/>
  <c r="P18" i="2"/>
  <c r="X18" i="2" s="1"/>
  <c r="U18" i="5"/>
  <c r="W18" i="5"/>
  <c r="P15" i="2"/>
  <c r="T15" i="2"/>
  <c r="V15" i="5" s="1"/>
  <c r="P19" i="2"/>
  <c r="T19" i="2"/>
  <c r="V19" i="5" s="1"/>
  <c r="X23" i="2"/>
  <c r="P16" i="2"/>
  <c r="X16" i="2" s="1"/>
  <c r="U16" i="5"/>
  <c r="P20" i="2"/>
  <c r="X20" i="2" s="1"/>
  <c r="T20" i="2"/>
  <c r="V20" i="5" s="1"/>
  <c r="U20" i="2"/>
  <c r="W20" i="5" s="1"/>
  <c r="S13" i="4"/>
  <c r="U58" i="5" s="1"/>
  <c r="W58" i="5"/>
  <c r="Q14" i="4"/>
  <c r="S59" i="5" s="1"/>
  <c r="AG59" i="5" s="1"/>
  <c r="T14" i="4"/>
  <c r="V59" i="5" s="1"/>
  <c r="Q12" i="4"/>
  <c r="S57" i="5" s="1"/>
  <c r="AG57" i="5" s="1"/>
  <c r="T12" i="4"/>
  <c r="V57" i="5" s="1"/>
  <c r="P10" i="4"/>
  <c r="S56" i="5"/>
  <c r="AG56" i="5" s="1"/>
  <c r="U56" i="5"/>
  <c r="P8" i="4"/>
  <c r="P9" i="4"/>
  <c r="W9" i="4" s="1"/>
  <c r="P57" i="5"/>
  <c r="P55" i="5"/>
  <c r="X25" i="2"/>
  <c r="X24" i="2"/>
  <c r="S24" i="5"/>
  <c r="AG24" i="5" s="1"/>
  <c r="X29" i="2"/>
  <c r="P9" i="2"/>
  <c r="Q9" i="2" s="1"/>
  <c r="T9" i="2"/>
  <c r="P19" i="5"/>
  <c r="S18" i="5"/>
  <c r="AG18" i="5" s="1"/>
  <c r="P17" i="5"/>
  <c r="S16" i="5"/>
  <c r="AG16" i="5" s="1"/>
  <c r="P15" i="5"/>
  <c r="P8" i="2"/>
  <c r="Q8" i="2" s="1"/>
  <c r="S8" i="2"/>
  <c r="P14" i="2"/>
  <c r="Q14" i="2" s="1"/>
  <c r="P11" i="8"/>
  <c r="K27" i="8"/>
  <c r="P10" i="3"/>
  <c r="S39" i="5" s="1"/>
  <c r="AG39" i="5" s="1"/>
  <c r="T10" i="3"/>
  <c r="W39" i="5" s="1"/>
  <c r="S10" i="3"/>
  <c r="P41" i="5"/>
  <c r="P11" i="3"/>
  <c r="S40" i="5" s="1"/>
  <c r="AG40" i="5" s="1"/>
  <c r="U40" i="5"/>
  <c r="W40" i="5"/>
  <c r="P16" i="3"/>
  <c r="S45" i="5" s="1"/>
  <c r="AG45" i="5" s="1"/>
  <c r="AH45" i="5" s="1"/>
  <c r="AI45" i="5" s="1"/>
  <c r="T45" i="5"/>
  <c r="P20" i="3"/>
  <c r="S49" i="5" s="1"/>
  <c r="AG49" i="5" s="1"/>
  <c r="AH49" i="5" s="1"/>
  <c r="AI49" i="5" s="1"/>
  <c r="T49" i="5"/>
  <c r="V12" i="3"/>
  <c r="T12" i="3"/>
  <c r="W41" i="5" s="1"/>
  <c r="S12" i="3"/>
  <c r="V41" i="5" s="1"/>
  <c r="P17" i="3"/>
  <c r="S46" i="5" s="1"/>
  <c r="AG46" i="5" s="1"/>
  <c r="AH46" i="5" s="1"/>
  <c r="AI46" i="5" s="1"/>
  <c r="T46" i="5"/>
  <c r="T47" i="5"/>
  <c r="P18" i="3"/>
  <c r="S47" i="5" s="1"/>
  <c r="AG47" i="5" s="1"/>
  <c r="AH47" i="5" s="1"/>
  <c r="AI47" i="5" s="1"/>
  <c r="T42" i="5"/>
  <c r="S42" i="5"/>
  <c r="AG42" i="5" s="1"/>
  <c r="AH42" i="5" s="1"/>
  <c r="AI42" i="5" s="1"/>
  <c r="T43" i="5"/>
  <c r="S43" i="5"/>
  <c r="AG43" i="5" s="1"/>
  <c r="AH43" i="5" s="1"/>
  <c r="AI43" i="5" s="1"/>
  <c r="T41" i="5"/>
  <c r="T40" i="5"/>
  <c r="R9" i="3"/>
  <c r="T39" i="5"/>
  <c r="R46" i="5"/>
  <c r="R49" i="5"/>
  <c r="R45" i="5"/>
  <c r="T37" i="5"/>
  <c r="L13" i="6"/>
  <c r="M13" i="6" s="1"/>
  <c r="Q13" i="6" s="1"/>
  <c r="R13" i="6" s="1"/>
  <c r="R14" i="6" s="1"/>
  <c r="S20" i="5"/>
  <c r="AG20" i="5" s="1"/>
  <c r="P9" i="5"/>
  <c r="AA16" i="1"/>
  <c r="K47" i="1"/>
  <c r="AA23" i="6"/>
  <c r="AA24" i="6" s="1"/>
  <c r="AA25" i="6" s="1"/>
  <c r="AA26" i="6" s="1"/>
  <c r="AA27" i="6" s="1"/>
  <c r="AA28" i="6" s="1"/>
  <c r="AA29" i="6" s="1"/>
  <c r="AA30" i="6" s="1"/>
  <c r="S19" i="1"/>
  <c r="P39" i="5"/>
  <c r="L15" i="6" s="1"/>
  <c r="M15" i="6" s="1"/>
  <c r="Q15" i="6" s="1"/>
  <c r="P40" i="5"/>
  <c r="L16" i="6" s="1"/>
  <c r="M16" i="6" s="1"/>
  <c r="Q16" i="6" s="1"/>
  <c r="R47" i="5"/>
  <c r="P53" i="5"/>
  <c r="P54" i="5"/>
  <c r="P56" i="5"/>
  <c r="Z56" i="5" s="1"/>
  <c r="P58" i="5"/>
  <c r="J39" i="7"/>
  <c r="J46" i="7"/>
  <c r="J64" i="7"/>
  <c r="P6" i="8"/>
  <c r="S6" i="8" s="1"/>
  <c r="P59" i="5"/>
  <c r="J47" i="7"/>
  <c r="H48" i="7"/>
  <c r="J53" i="7"/>
  <c r="J65" i="7"/>
  <c r="H66" i="7"/>
  <c r="J75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I27" i="8"/>
  <c r="P18" i="8"/>
  <c r="P33" i="8"/>
  <c r="AF7" i="9"/>
  <c r="E30" i="9" s="1"/>
  <c r="G30" i="9" s="1"/>
  <c r="H30" i="9" s="1"/>
  <c r="P32" i="2"/>
  <c r="P8" i="5"/>
  <c r="R29" i="5"/>
  <c r="J45" i="7"/>
  <c r="J55" i="7"/>
  <c r="H56" i="7"/>
  <c r="J63" i="7"/>
  <c r="J77" i="7"/>
  <c r="H78" i="7"/>
  <c r="P22" i="5"/>
  <c r="K19" i="1"/>
  <c r="K34" i="1"/>
  <c r="P44" i="5"/>
  <c r="R44" i="5" s="1"/>
  <c r="P14" i="5"/>
  <c r="P16" i="5"/>
  <c r="P18" i="5"/>
  <c r="P20" i="5"/>
  <c r="P38" i="5"/>
  <c r="L14" i="6" s="1"/>
  <c r="M14" i="6" s="1"/>
  <c r="Q14" i="6" s="1"/>
  <c r="R65" i="5"/>
  <c r="S34" i="1"/>
  <c r="S47" i="1"/>
  <c r="P42" i="5"/>
  <c r="R42" i="5" s="1"/>
  <c r="P43" i="5"/>
  <c r="R43" i="5" s="1"/>
  <c r="R67" i="5"/>
  <c r="H36" i="7"/>
  <c r="H38" i="7"/>
  <c r="H40" i="7"/>
  <c r="H42" i="7"/>
  <c r="P35" i="8"/>
  <c r="F47" i="9"/>
  <c r="P20" i="8"/>
  <c r="E27" i="8"/>
  <c r="P10" i="8"/>
  <c r="P8" i="8"/>
  <c r="F93" i="9"/>
  <c r="P22" i="8"/>
  <c r="P24" i="8" s="1"/>
  <c r="H6" i="9"/>
  <c r="H47" i="9" s="1"/>
  <c r="Q13" i="4" l="1"/>
  <c r="S58" i="5" s="1"/>
  <c r="AG58" i="5" s="1"/>
  <c r="O21" i="3"/>
  <c r="O22" i="3" s="1"/>
  <c r="P37" i="8"/>
  <c r="V9" i="3"/>
  <c r="AH62" i="5"/>
  <c r="AI62" i="5" s="1"/>
  <c r="AH24" i="5"/>
  <c r="AI24" i="5" s="1"/>
  <c r="AI65" i="5"/>
  <c r="AI63" i="5"/>
  <c r="AH66" i="5"/>
  <c r="AH67" i="5"/>
  <c r="AI67" i="5" s="1"/>
  <c r="R15" i="6"/>
  <c r="R16" i="6" s="1"/>
  <c r="AI64" i="5"/>
  <c r="AH25" i="5"/>
  <c r="AI25" i="5" s="1"/>
  <c r="AI66" i="5"/>
  <c r="Z53" i="5"/>
  <c r="AD53" i="5" s="1"/>
  <c r="P68" i="5"/>
  <c r="Z68" i="5" s="1"/>
  <c r="P50" i="5"/>
  <c r="Z50" i="5" s="1"/>
  <c r="AD50" i="5" s="1"/>
  <c r="AE50" i="5" s="1"/>
  <c r="W17" i="4"/>
  <c r="P34" i="5"/>
  <c r="Z34" i="5" s="1"/>
  <c r="AD34" i="5" s="1"/>
  <c r="AE34" i="5" s="1"/>
  <c r="R63" i="5"/>
  <c r="Z63" i="5"/>
  <c r="R22" i="5"/>
  <c r="Z22" i="5"/>
  <c r="R8" i="5"/>
  <c r="Z8" i="5"/>
  <c r="AD8" i="5" s="1"/>
  <c r="R59" i="5"/>
  <c r="Z59" i="5"/>
  <c r="R54" i="5"/>
  <c r="Z54" i="5"/>
  <c r="R39" i="5"/>
  <c r="Z39" i="5"/>
  <c r="AD39" i="5" s="1"/>
  <c r="R41" i="5"/>
  <c r="Z41" i="5"/>
  <c r="R60" i="5"/>
  <c r="Z60" i="5"/>
  <c r="R61" i="5"/>
  <c r="Z61" i="5"/>
  <c r="R9" i="5"/>
  <c r="Z9" i="5"/>
  <c r="AD9" i="5" s="1"/>
  <c r="R15" i="5"/>
  <c r="Z15" i="5"/>
  <c r="AD15" i="5" s="1"/>
  <c r="R55" i="5"/>
  <c r="Z55" i="5"/>
  <c r="R64" i="5"/>
  <c r="Z64" i="5"/>
  <c r="R38" i="5"/>
  <c r="Z38" i="5"/>
  <c r="AD38" i="5" s="1"/>
  <c r="R14" i="5"/>
  <c r="Z14" i="5"/>
  <c r="AD14" i="5" s="1"/>
  <c r="R58" i="5"/>
  <c r="Z58" i="5"/>
  <c r="L6" i="6" s="1"/>
  <c r="M6" i="6" s="1"/>
  <c r="Q6" i="6" s="1"/>
  <c r="R6" i="6" s="1"/>
  <c r="R57" i="5"/>
  <c r="Z57" i="5"/>
  <c r="AD56" i="5"/>
  <c r="AE56" i="5" s="1"/>
  <c r="AH56" i="5" s="1"/>
  <c r="AI56" i="5" s="1"/>
  <c r="R40" i="5"/>
  <c r="Z40" i="5"/>
  <c r="AD40" i="5" s="1"/>
  <c r="R37" i="5"/>
  <c r="Z37" i="5"/>
  <c r="AD37" i="5" s="1"/>
  <c r="R62" i="5"/>
  <c r="Z62" i="5"/>
  <c r="R20" i="5"/>
  <c r="Z20" i="5"/>
  <c r="AD20" i="5" s="1"/>
  <c r="R19" i="5"/>
  <c r="Z19" i="5"/>
  <c r="AD19" i="5" s="1"/>
  <c r="R18" i="5"/>
  <c r="Z18" i="5"/>
  <c r="AD18" i="5" s="1"/>
  <c r="R17" i="5"/>
  <c r="Z17" i="5"/>
  <c r="AD17" i="5" s="1"/>
  <c r="R16" i="5"/>
  <c r="Z16" i="5"/>
  <c r="AD16" i="5" s="1"/>
  <c r="X19" i="2"/>
  <c r="Q19" i="2"/>
  <c r="R53" i="5"/>
  <c r="R70" i="5"/>
  <c r="P34" i="2"/>
  <c r="Q8" i="4"/>
  <c r="S53" i="5" s="1"/>
  <c r="AG53" i="5" s="1"/>
  <c r="W8" i="4"/>
  <c r="Q10" i="4"/>
  <c r="S55" i="5" s="1"/>
  <c r="AG55" i="5" s="1"/>
  <c r="W10" i="4"/>
  <c r="R56" i="5"/>
  <c r="W15" i="4"/>
  <c r="Q15" i="4"/>
  <c r="S60" i="5" s="1"/>
  <c r="AG60" i="5" s="1"/>
  <c r="Q9" i="4"/>
  <c r="S54" i="5" s="1"/>
  <c r="AG54" i="5" s="1"/>
  <c r="P23" i="4"/>
  <c r="P12" i="3"/>
  <c r="S41" i="5" s="1"/>
  <c r="AG41" i="5" s="1"/>
  <c r="S17" i="5"/>
  <c r="AG17" i="5" s="1"/>
  <c r="S19" i="5"/>
  <c r="AG19" i="5" s="1"/>
  <c r="X17" i="2"/>
  <c r="X15" i="2"/>
  <c r="Q15" i="2"/>
  <c r="S15" i="5" s="1"/>
  <c r="AG15" i="5" s="1"/>
  <c r="S23" i="4"/>
  <c r="U53" i="5"/>
  <c r="U69" i="5" s="1"/>
  <c r="U23" i="4"/>
  <c r="W55" i="5"/>
  <c r="T23" i="4"/>
  <c r="V54" i="5"/>
  <c r="X32" i="2"/>
  <c r="Q32" i="2"/>
  <c r="S32" i="5" s="1"/>
  <c r="AG32" i="5" s="1"/>
  <c r="AH32" i="5" s="1"/>
  <c r="AI32" i="5" s="1"/>
  <c r="T34" i="2"/>
  <c r="T35" i="2" s="1"/>
  <c r="V9" i="5"/>
  <c r="V34" i="5" s="1"/>
  <c r="X9" i="2"/>
  <c r="S9" i="5"/>
  <c r="AG9" i="5" s="1"/>
  <c r="S34" i="2"/>
  <c r="S35" i="2" s="1"/>
  <c r="U8" i="5"/>
  <c r="U34" i="5" s="1"/>
  <c r="U35" i="5" s="1"/>
  <c r="X8" i="2"/>
  <c r="S8" i="5"/>
  <c r="AG8" i="5" s="1"/>
  <c r="W14" i="5"/>
  <c r="W34" i="5" s="1"/>
  <c r="W35" i="5" s="1"/>
  <c r="U34" i="2"/>
  <c r="U35" i="2" s="1"/>
  <c r="X14" i="2"/>
  <c r="S14" i="5"/>
  <c r="AG14" i="5" s="1"/>
  <c r="V39" i="5"/>
  <c r="V50" i="5" s="1"/>
  <c r="V51" i="5" s="1"/>
  <c r="S21" i="3"/>
  <c r="S22" i="3" s="1"/>
  <c r="V22" i="3" s="1"/>
  <c r="T44" i="5"/>
  <c r="P15" i="3"/>
  <c r="S44" i="5" s="1"/>
  <c r="AG44" i="5" s="1"/>
  <c r="AH44" i="5" s="1"/>
  <c r="AI44" i="5" s="1"/>
  <c r="P19" i="3"/>
  <c r="S48" i="5" s="1"/>
  <c r="AG48" i="5" s="1"/>
  <c r="AH48" i="5" s="1"/>
  <c r="AI48" i="5" s="1"/>
  <c r="T48" i="5"/>
  <c r="R21" i="3"/>
  <c r="R22" i="3" s="1"/>
  <c r="U38" i="5"/>
  <c r="U50" i="5" s="1"/>
  <c r="U51" i="5" s="1"/>
  <c r="W38" i="5"/>
  <c r="W50" i="5" s="1"/>
  <c r="W51" i="5" s="1"/>
  <c r="T21" i="3"/>
  <c r="T22" i="3" s="1"/>
  <c r="W22" i="3" s="1"/>
  <c r="D48" i="1"/>
  <c r="D20" i="1"/>
  <c r="P12" i="8"/>
  <c r="D35" i="1"/>
  <c r="S37" i="5"/>
  <c r="AG37" i="5" s="1"/>
  <c r="P51" i="5" l="1"/>
  <c r="U22" i="3"/>
  <c r="M22" i="3"/>
  <c r="N35" i="2"/>
  <c r="V35" i="5"/>
  <c r="P35" i="5" s="1"/>
  <c r="AH50" i="5"/>
  <c r="AI50" i="5" s="1"/>
  <c r="AH34" i="5"/>
  <c r="AI34" i="5" s="1"/>
  <c r="R50" i="5"/>
  <c r="R51" i="5" s="1"/>
  <c r="AD68" i="5"/>
  <c r="AE68" i="5" s="1"/>
  <c r="AH68" i="5" s="1"/>
  <c r="Z69" i="5"/>
  <c r="R68" i="5"/>
  <c r="R69" i="5" s="1"/>
  <c r="R34" i="5"/>
  <c r="AD22" i="5"/>
  <c r="AD35" i="5" s="1"/>
  <c r="C7" i="6" s="1"/>
  <c r="Z35" i="5"/>
  <c r="AE53" i="5"/>
  <c r="AH53" i="5" s="1"/>
  <c r="AI53" i="5" s="1"/>
  <c r="AD60" i="5"/>
  <c r="AE60" i="5" s="1"/>
  <c r="AH60" i="5" s="1"/>
  <c r="AE39" i="5"/>
  <c r="AH39" i="5" s="1"/>
  <c r="AI39" i="5" s="1"/>
  <c r="AD59" i="5"/>
  <c r="AE59" i="5" s="1"/>
  <c r="AH59" i="5" s="1"/>
  <c r="AI59" i="5" s="1"/>
  <c r="AE16" i="5"/>
  <c r="AH16" i="5" s="1"/>
  <c r="AI16" i="5" s="1"/>
  <c r="AE18" i="5"/>
  <c r="AE20" i="5"/>
  <c r="Z51" i="5"/>
  <c r="AD58" i="5"/>
  <c r="AE58" i="5" s="1"/>
  <c r="AH58" i="5" s="1"/>
  <c r="AI58" i="5" s="1"/>
  <c r="AE38" i="5"/>
  <c r="AH38" i="5" s="1"/>
  <c r="AI38" i="5" s="1"/>
  <c r="AD55" i="5"/>
  <c r="AE55" i="5" s="1"/>
  <c r="AH55" i="5" s="1"/>
  <c r="AI55" i="5" s="1"/>
  <c r="AE9" i="5"/>
  <c r="AH9" i="5" s="1"/>
  <c r="AI9" i="5" s="1"/>
  <c r="AD61" i="5"/>
  <c r="AE61" i="5" s="1"/>
  <c r="AH61" i="5" s="1"/>
  <c r="AD41" i="5"/>
  <c r="AE41" i="5" s="1"/>
  <c r="AH41" i="5" s="1"/>
  <c r="AI41" i="5" s="1"/>
  <c r="AD54" i="5"/>
  <c r="AE54" i="5" s="1"/>
  <c r="AH54" i="5" s="1"/>
  <c r="AI54" i="5" s="1"/>
  <c r="AE17" i="5"/>
  <c r="AH17" i="5" s="1"/>
  <c r="AI17" i="5" s="1"/>
  <c r="AE19" i="5"/>
  <c r="AH19" i="5" s="1"/>
  <c r="AI19" i="5" s="1"/>
  <c r="AE40" i="5"/>
  <c r="AH40" i="5" s="1"/>
  <c r="AI40" i="5" s="1"/>
  <c r="AD57" i="5"/>
  <c r="AE57" i="5" s="1"/>
  <c r="AH57" i="5" s="1"/>
  <c r="AI57" i="5" s="1"/>
  <c r="AE14" i="5"/>
  <c r="AH14" i="5" s="1"/>
  <c r="AI14" i="5" s="1"/>
  <c r="AE15" i="5"/>
  <c r="AH15" i="5" s="1"/>
  <c r="AI15" i="5" s="1"/>
  <c r="U68" i="5"/>
  <c r="W69" i="5"/>
  <c r="W71" i="5" s="1"/>
  <c r="W68" i="5"/>
  <c r="V69" i="5"/>
  <c r="V71" i="5" s="1"/>
  <c r="V68" i="5"/>
  <c r="X34" i="2"/>
  <c r="V23" i="4"/>
  <c r="U71" i="5"/>
  <c r="V34" i="2"/>
  <c r="U21" i="3"/>
  <c r="P69" i="5" l="1"/>
  <c r="AH20" i="5"/>
  <c r="AI20" i="5" s="1"/>
  <c r="AH18" i="5"/>
  <c r="AI18" i="5" s="1"/>
  <c r="AI68" i="5"/>
  <c r="AI61" i="5"/>
  <c r="AI60" i="5"/>
  <c r="Z71" i="5"/>
  <c r="AE22" i="5"/>
  <c r="AH22" i="5" s="1"/>
  <c r="AI22" i="5" s="1"/>
  <c r="AE37" i="5"/>
  <c r="AE51" i="5" s="1"/>
  <c r="AD51" i="5"/>
  <c r="C13" i="6" s="1"/>
  <c r="D13" i="6" s="1"/>
  <c r="H13" i="6" s="1"/>
  <c r="I13" i="6" s="1"/>
  <c r="R74" i="5"/>
  <c r="AD69" i="5"/>
  <c r="X69" i="5"/>
  <c r="Y69" i="5"/>
  <c r="AE8" i="5"/>
  <c r="AH8" i="5" s="1"/>
  <c r="AI8" i="5" s="1"/>
  <c r="AE35" i="5" l="1"/>
  <c r="R35" i="5" s="1"/>
  <c r="D7" i="6" s="1"/>
  <c r="H7" i="6" s="1"/>
  <c r="C14" i="6"/>
  <c r="D14" i="6" s="1"/>
  <c r="H14" i="6" s="1"/>
  <c r="I14" i="6" s="1"/>
  <c r="AE69" i="5"/>
  <c r="AH69" i="5" s="1"/>
  <c r="AI69" i="5" s="1"/>
  <c r="AH37" i="5"/>
  <c r="AI37" i="5" s="1"/>
  <c r="AH51" i="5"/>
  <c r="AI51" i="5" s="1"/>
  <c r="AD71" i="5"/>
  <c r="V74" i="5" s="1"/>
  <c r="AH35" i="5" l="1"/>
  <c r="AI35" i="5" s="1"/>
  <c r="P35" i="2"/>
  <c r="X35" i="2" s="1"/>
  <c r="R75" i="5"/>
  <c r="C6" i="6"/>
  <c r="D6" i="6" s="1"/>
  <c r="H6" i="6" l="1"/>
  <c r="I6" i="6" s="1"/>
  <c r="I7" i="6" s="1"/>
</calcChain>
</file>

<file path=xl/comments1.xml><?xml version="1.0" encoding="utf-8"?>
<comments xmlns="http://schemas.openxmlformats.org/spreadsheetml/2006/main">
  <authors>
    <author>Iuri Nogueira Lubacheski</author>
  </authors>
  <commentList>
    <comment ref="J15" authorId="0">
      <text>
        <r>
          <rPr>
            <b/>
            <sz val="9"/>
            <color indexed="81"/>
            <rFont val="Segoe UI"/>
            <family val="2"/>
          </rPr>
          <t>Iuri Nogueira Lubacheski:</t>
        </r>
        <r>
          <rPr>
            <sz val="9"/>
            <color indexed="81"/>
            <rFont val="Segoe UI"/>
            <family val="2"/>
          </rPr>
          <t xml:space="preserve">
Exaustor</t>
        </r>
      </text>
    </comment>
  </commentList>
</comments>
</file>

<file path=xl/comments2.xml><?xml version="1.0" encoding="utf-8"?>
<comments xmlns="http://schemas.openxmlformats.org/spreadsheetml/2006/main">
  <authors>
    <author>Iuri Nogueira Lubacheski</author>
  </authors>
  <commentList>
    <comment ref="H20" authorId="0">
      <text>
        <r>
          <rPr>
            <b/>
            <sz val="9"/>
            <color indexed="81"/>
            <rFont val="Segoe UI"/>
            <family val="2"/>
          </rPr>
          <t>Iuri Nogueira Lubacheski:</t>
        </r>
        <r>
          <rPr>
            <sz val="9"/>
            <color indexed="81"/>
            <rFont val="Segoe UI"/>
            <family val="2"/>
          </rPr>
          <t xml:space="preserve">
SE O GERADOR FOR ATENDER O AR CONDICIONADO EM CONJUNTO, O MESMO DEVE SER DE 150KVA.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I3" authorId="0">
      <text>
        <r>
          <rPr>
            <sz val="10"/>
            <color rgb="FF000000"/>
            <rFont val="Arial"/>
            <family val="2"/>
          </rPr>
          <t xml:space="preserve">A ocupação máxima permitida é de 40%.
</t>
        </r>
      </text>
    </comment>
    <comment ref="K3" authorId="0">
      <text>
        <r>
          <rPr>
            <sz val="10"/>
            <color rgb="FF000000"/>
            <rFont val="Arial"/>
            <family val="2"/>
          </rPr>
          <t>Eletrodutos comerciais:
- PVC flexível
20, 25, 32, 41.3 e 62.5mm</t>
        </r>
      </text>
    </comment>
    <comment ref="T3" authorId="0">
      <text>
        <r>
          <rPr>
            <sz val="10"/>
            <color rgb="FF000000"/>
            <rFont val="Arial"/>
            <family val="2"/>
          </rPr>
          <t xml:space="preserve">Fases com seções num intervalo de três valores normalizados.
</t>
        </r>
      </text>
    </comment>
    <comment ref="AB3" authorId="0">
      <text>
        <r>
          <rPr>
            <sz val="10"/>
            <color rgb="FF000000"/>
            <rFont val="Arial"/>
            <family val="2"/>
          </rPr>
          <t xml:space="preserve">A ocupação máxima permitida é de 40%.
</t>
        </r>
      </text>
    </comment>
    <comment ref="AD3" authorId="0">
      <text>
        <r>
          <rPr>
            <sz val="10"/>
            <color rgb="FF000000"/>
            <rFont val="Arial"/>
            <family val="2"/>
          </rPr>
          <t>Eletrodutos comerciais:
20, 25, 32, 40, 50 e 60mm</t>
        </r>
      </text>
    </comment>
    <comment ref="AH4" authorId="0">
      <text>
        <r>
          <rPr>
            <sz val="10"/>
            <color rgb="FF000000"/>
            <rFont val="Arial"/>
            <family val="2"/>
          </rPr>
          <t xml:space="preserve">Marque com um "x" se desejar aumentar o diâmetro do eletroduto.
</t>
        </r>
      </text>
    </comment>
    <comment ref="L5" authorId="0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I32" authorId="0">
      <text>
        <r>
          <rPr>
            <sz val="10"/>
            <color rgb="FF000000"/>
            <rFont val="Arial"/>
            <family val="2"/>
          </rPr>
          <t xml:space="preserve">A ocupação máxima permitida é de 40%.
</t>
        </r>
      </text>
    </comment>
    <comment ref="K32" authorId="0">
      <text>
        <r>
          <rPr>
            <sz val="10"/>
            <color rgb="FF000000"/>
            <rFont val="Arial"/>
            <family val="2"/>
          </rPr>
          <t>Eletrodutos comerciais:
- PVC flexível
20, 25, 32, 41.3 e 62.5mm</t>
        </r>
      </text>
    </comment>
    <comment ref="T32" authorId="0">
      <text>
        <r>
          <rPr>
            <sz val="10"/>
            <color rgb="FF000000"/>
            <rFont val="Arial"/>
            <family val="2"/>
          </rPr>
          <t xml:space="preserve">Fases com seções num intervalo de três valores normalizados.
</t>
        </r>
      </text>
    </comment>
    <comment ref="AB32" authorId="0">
      <text>
        <r>
          <rPr>
            <sz val="10"/>
            <color rgb="FF000000"/>
            <rFont val="Arial"/>
            <family val="2"/>
          </rPr>
          <t xml:space="preserve">A ocupação máxima permitida é de 40%.
</t>
        </r>
      </text>
    </comment>
    <comment ref="AD32" authorId="0">
      <text>
        <r>
          <rPr>
            <sz val="10"/>
            <color rgb="FF000000"/>
            <rFont val="Arial"/>
            <family val="2"/>
          </rPr>
          <t>Eletrodutos comerciais:
20, 25, 32, 40, 50 e 60mm</t>
        </r>
      </text>
    </comment>
    <comment ref="AH33" authorId="0">
      <text>
        <r>
          <rPr>
            <sz val="10"/>
            <color rgb="FF000000"/>
            <rFont val="Arial"/>
            <family val="2"/>
          </rPr>
          <t xml:space="preserve">Marque com um "x" se desejar aumentar o diâmetro do eletroduto.
</t>
        </r>
      </text>
    </comment>
    <comment ref="L34" authorId="0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I59" authorId="0">
      <text>
        <r>
          <rPr>
            <sz val="10"/>
            <color rgb="FF000000"/>
            <rFont val="Arial"/>
            <family val="2"/>
          </rPr>
          <t xml:space="preserve">A ocupação máxima permitida é de 40%.
</t>
        </r>
      </text>
    </comment>
    <comment ref="K59" authorId="0">
      <text>
        <r>
          <rPr>
            <sz val="10"/>
            <color rgb="FF000000"/>
            <rFont val="Arial"/>
            <family val="2"/>
          </rPr>
          <t>Eletrodutos comerciais:
- PVC flexível
20, 25, 32, 41.3 e 62.5mm</t>
        </r>
      </text>
    </comment>
    <comment ref="L61" authorId="0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I73" authorId="0">
      <text>
        <r>
          <rPr>
            <sz val="10"/>
            <color rgb="FF000000"/>
            <rFont val="Arial"/>
            <family val="2"/>
          </rPr>
          <t xml:space="preserve">A ocupação máxima permitida é de 40%.
</t>
        </r>
      </text>
    </comment>
    <comment ref="K73" authorId="0">
      <text>
        <r>
          <rPr>
            <sz val="10"/>
            <color rgb="FF000000"/>
            <rFont val="Arial"/>
            <family val="2"/>
          </rPr>
          <t>Eletrodutos comerciais:
- PVC flexível
20, 25, 32, 41.3 e 62.5mm</t>
        </r>
      </text>
    </comment>
    <comment ref="L75" authorId="0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I87" authorId="0">
      <text>
        <r>
          <rPr>
            <sz val="10"/>
            <color rgb="FF000000"/>
            <rFont val="Arial"/>
            <family val="2"/>
          </rPr>
          <t xml:space="preserve">A ocupação máxima permitida é de 40%.
</t>
        </r>
      </text>
    </comment>
    <comment ref="K87" authorId="0">
      <text>
        <r>
          <rPr>
            <sz val="10"/>
            <color rgb="FF000000"/>
            <rFont val="Arial"/>
            <family val="2"/>
          </rPr>
          <t>Eletrodutos comerciais:
- PVC flexível
20, 25, 32, 41.3 e 62.5mm</t>
        </r>
      </text>
    </comment>
    <comment ref="L89" authorId="0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L104" authorId="0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L114" authorId="0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</commentList>
</comments>
</file>

<file path=xl/sharedStrings.xml><?xml version="1.0" encoding="utf-8"?>
<sst xmlns="http://schemas.openxmlformats.org/spreadsheetml/2006/main" count="1435" uniqueCount="622">
  <si>
    <t>Descrição</t>
  </si>
  <si>
    <t>Dependência</t>
  </si>
  <si>
    <t>Dimensões</t>
  </si>
  <si>
    <t>Iluminação</t>
  </si>
  <si>
    <t>T.U.G.</t>
  </si>
  <si>
    <t>T.U.E.</t>
  </si>
  <si>
    <t>Área (m²)</t>
  </si>
  <si>
    <t>Perím. (m)</t>
  </si>
  <si>
    <t xml:space="preserve">N° Ptos </t>
  </si>
  <si>
    <t>Pot. Unit. (W)</t>
  </si>
  <si>
    <t>N° de Arandelas (60W)</t>
  </si>
  <si>
    <t>Pot. Total (W)</t>
  </si>
  <si>
    <t>N° mín. de pontos</t>
  </si>
  <si>
    <t>Aparelho</t>
  </si>
  <si>
    <t>Pot. (W)</t>
  </si>
  <si>
    <t>Cond. de ar</t>
  </si>
  <si>
    <t>Chuveiro</t>
  </si>
  <si>
    <t>WC2</t>
  </si>
  <si>
    <t>WC3</t>
  </si>
  <si>
    <t>Circulação</t>
  </si>
  <si>
    <t>Cozinha</t>
  </si>
  <si>
    <t>Lav. louça</t>
  </si>
  <si>
    <t>Microondas</t>
  </si>
  <si>
    <t>Serviço</t>
  </si>
  <si>
    <t>Ferro elétr.</t>
  </si>
  <si>
    <t>Sec. roupas</t>
  </si>
  <si>
    <t>Totais</t>
  </si>
  <si>
    <t>Potência Total</t>
  </si>
  <si>
    <t>Consumidor TIPO C / Atendido a 4 fios / 3 fases e 1 neutro / Tensão 127/220V</t>
  </si>
  <si>
    <t>Áreas comuns</t>
  </si>
  <si>
    <t>Hall (tipo)</t>
  </si>
  <si>
    <t>Elevador</t>
  </si>
  <si>
    <t>Hall (salão festas)</t>
  </si>
  <si>
    <t>Escadas</t>
  </si>
  <si>
    <t>1º Pavto</t>
  </si>
  <si>
    <t>Salão de Festas</t>
  </si>
  <si>
    <t>WC1</t>
  </si>
  <si>
    <t>Garagem</t>
  </si>
  <si>
    <t>Circ.</t>
  </si>
  <si>
    <t>Lâmpadas. (W)</t>
  </si>
  <si>
    <t>Tomadas (W)</t>
  </si>
  <si>
    <t>Potência W (VA)</t>
  </si>
  <si>
    <t>Tensão (V)</t>
  </si>
  <si>
    <t>Corrente (A)</t>
  </si>
  <si>
    <t>Fiação (mm²)</t>
  </si>
  <si>
    <t>Proteção (A)</t>
  </si>
  <si>
    <t>Balanceamento</t>
  </si>
  <si>
    <t>A</t>
  </si>
  <si>
    <t>B</t>
  </si>
  <si>
    <t>C</t>
  </si>
  <si>
    <t>6 - T.U.G.</t>
  </si>
  <si>
    <t>7 - T.U.G.</t>
  </si>
  <si>
    <t>10 - T.U.E.</t>
  </si>
  <si>
    <t>11 - T.U.E.</t>
  </si>
  <si>
    <t>12 - T.U.E.</t>
  </si>
  <si>
    <t>13 - T.U.E.</t>
  </si>
  <si>
    <t>14 - T.U.E.</t>
  </si>
  <si>
    <t>15 - T.U.E.</t>
  </si>
  <si>
    <t>Sub-total</t>
  </si>
  <si>
    <t>8 - T.U.E.</t>
  </si>
  <si>
    <t>9 - T.U.E.</t>
  </si>
  <si>
    <t>1 - Sala, Cozinha, Serviço e Varanda</t>
  </si>
  <si>
    <t>2 - Quartos, Banheiros e Circulação</t>
  </si>
  <si>
    <t>3 - Sala</t>
  </si>
  <si>
    <t>4 - Suíte, Varanda, Quarto e Circulação</t>
  </si>
  <si>
    <t>5 - Banheiros</t>
  </si>
  <si>
    <t>6 - Cozinha</t>
  </si>
  <si>
    <t>7 - Serviço</t>
  </si>
  <si>
    <t>8 - Cond. De ar / Suíte e Quarto</t>
  </si>
  <si>
    <t>9 - Chuveiro / Banheiro 1 (suíte)</t>
  </si>
  <si>
    <t>10 - Chuveiro / Banheiro 2</t>
  </si>
  <si>
    <t>11 - Chuveiro / Banheiro 3</t>
  </si>
  <si>
    <t>12 - Lav. Louça e Microondas / Cozinha e Ferro elétr. / Serviço</t>
  </si>
  <si>
    <t>13 - Sec. Roupas / Serviço</t>
  </si>
  <si>
    <t>11 - T.U.G.</t>
  </si>
  <si>
    <t>12 - T.U.G.</t>
  </si>
  <si>
    <t>Total</t>
  </si>
  <si>
    <t>1 - Garagem - lado direito</t>
  </si>
  <si>
    <t>2 - Garagem - lado esquerdo</t>
  </si>
  <si>
    <t>3 - Salão de Festas, Banheiros e Cozinha</t>
  </si>
  <si>
    <t>4 - Hall</t>
  </si>
  <si>
    <t>5 - Escada (a parte da garagem + a parte do salão de festas)</t>
  </si>
  <si>
    <t>6 - Escada (pavimento tipo)</t>
  </si>
  <si>
    <t>7 - Garagem</t>
  </si>
  <si>
    <t>8 - Salão de Festas</t>
  </si>
  <si>
    <t>9 - Banheiros</t>
  </si>
  <si>
    <t>10 - Cozinha</t>
  </si>
  <si>
    <t>11 - Escada</t>
  </si>
  <si>
    <t>12 - Hall</t>
  </si>
  <si>
    <t>13 - Lav. Louça</t>
  </si>
  <si>
    <t>14 - Microondas</t>
  </si>
  <si>
    <t>15 - Elevadores</t>
  </si>
  <si>
    <t>QUADRO DE CARGA</t>
  </si>
  <si>
    <t>Circuito</t>
  </si>
  <si>
    <t>BALANCEAMENTO FINAL</t>
  </si>
  <si>
    <t>Trecho</t>
  </si>
  <si>
    <t>P      (W)</t>
  </si>
  <si>
    <t>Ip      (A)</t>
  </si>
  <si>
    <t>d      (km)</t>
  </si>
  <si>
    <t>Seção Condutor (mm²)</t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</si>
  <si>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UNIT  </t>
    </r>
    <r>
      <rPr>
        <sz val="10"/>
        <rFont val="Arial"/>
        <family val="2"/>
      </rPr>
      <t>(V/A.km)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</si>
  <si>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TRECHO  </t>
    </r>
    <r>
      <rPr>
        <sz val="10"/>
        <rFont val="Arial"/>
        <family val="2"/>
      </rPr>
      <t>(%)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</si>
  <si>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ACUM  </t>
    </r>
    <r>
      <rPr>
        <sz val="10"/>
        <rFont val="Arial"/>
        <family val="2"/>
      </rPr>
      <t>(%)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</si>
  <si>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UNIT  </t>
    </r>
    <r>
      <rPr>
        <sz val="10"/>
        <rFont val="Arial"/>
        <family val="2"/>
      </rPr>
      <t>(V/A.km)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</si>
  <si>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TRECHO  </t>
    </r>
    <r>
      <rPr>
        <sz val="10"/>
        <rFont val="Arial"/>
        <family val="2"/>
      </rPr>
      <t>(%)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</si>
  <si>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ACUM  </t>
    </r>
    <r>
      <rPr>
        <sz val="10"/>
        <rFont val="Arial"/>
        <family val="2"/>
      </rPr>
      <t>(%)</t>
    </r>
  </si>
  <si>
    <t>0-A</t>
  </si>
  <si>
    <t>A-B</t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</si>
  <si>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UNIT  </t>
    </r>
    <r>
      <rPr>
        <sz val="10"/>
        <rFont val="Arial"/>
        <family val="2"/>
      </rPr>
      <t>(V/A.km)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</si>
  <si>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TRECHO  </t>
    </r>
    <r>
      <rPr>
        <sz val="10"/>
        <rFont val="Arial"/>
        <family val="2"/>
      </rPr>
      <t>(%)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</si>
  <si>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ACUM  </t>
    </r>
    <r>
      <rPr>
        <sz val="10"/>
        <rFont val="Arial"/>
        <family val="2"/>
      </rPr>
      <t>(%)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</si>
  <si>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UNIT  </t>
    </r>
    <r>
      <rPr>
        <sz val="10"/>
        <rFont val="Arial"/>
        <family val="2"/>
      </rPr>
      <t>(V/A.km)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</si>
  <si>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TRECHO  </t>
    </r>
    <r>
      <rPr>
        <sz val="10"/>
        <rFont val="Arial"/>
        <family val="2"/>
      </rPr>
      <t>(%)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</si>
  <si>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ACUM  </t>
    </r>
    <r>
      <rPr>
        <sz val="10"/>
        <rFont val="Arial"/>
        <family val="2"/>
      </rPr>
      <t>(%)</t>
    </r>
  </si>
  <si>
    <t>B-C</t>
  </si>
  <si>
    <t>Áreas Comuns - Circuito 1</t>
  </si>
  <si>
    <t>Áreas Comuns - Circuito 2</t>
  </si>
  <si>
    <t>Áreas Comuns - Circuito 3</t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</si>
  <si>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UNIT  </t>
    </r>
    <r>
      <rPr>
        <sz val="10"/>
        <rFont val="Arial"/>
        <family val="2"/>
      </rPr>
      <t>(V/A.km)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</si>
  <si>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TRECHO  </t>
    </r>
    <r>
      <rPr>
        <sz val="10"/>
        <rFont val="Arial"/>
        <family val="2"/>
      </rPr>
      <t>(%)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</si>
  <si>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ACUM  </t>
    </r>
    <r>
      <rPr>
        <sz val="10"/>
        <rFont val="Arial"/>
        <family val="2"/>
      </rPr>
      <t>(%)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</si>
  <si>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UNIT  </t>
    </r>
    <r>
      <rPr>
        <sz val="10"/>
        <rFont val="Arial"/>
        <family val="2"/>
      </rPr>
      <t>(V/A.km)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</si>
  <si>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TRECHO  </t>
    </r>
    <r>
      <rPr>
        <sz val="10"/>
        <rFont val="Arial"/>
        <family val="2"/>
      </rPr>
      <t>(%)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</si>
  <si>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ACUM  </t>
    </r>
    <r>
      <rPr>
        <sz val="10"/>
        <rFont val="Arial"/>
        <family val="2"/>
      </rPr>
      <t>(%)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</si>
  <si>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UNIT  </t>
    </r>
    <r>
      <rPr>
        <sz val="10"/>
        <rFont val="Arial"/>
        <family val="2"/>
      </rPr>
      <t>(V/A.km)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</si>
  <si>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TRECHO  </t>
    </r>
    <r>
      <rPr>
        <sz val="10"/>
        <rFont val="Arial"/>
        <family val="2"/>
      </rPr>
      <t>(%)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</si>
  <si>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ACUM  </t>
    </r>
    <r>
      <rPr>
        <sz val="10"/>
        <rFont val="Arial"/>
        <family val="2"/>
      </rPr>
      <t>(%)</t>
    </r>
  </si>
  <si>
    <t>A-C</t>
  </si>
  <si>
    <t>C-D</t>
  </si>
  <si>
    <t>0-D</t>
  </si>
  <si>
    <t>A-E</t>
  </si>
  <si>
    <t>D-E</t>
  </si>
  <si>
    <t>0-E</t>
  </si>
  <si>
    <t>E-F</t>
  </si>
  <si>
    <t>E-G</t>
  </si>
  <si>
    <t>G-H</t>
  </si>
  <si>
    <t>H-I</t>
  </si>
  <si>
    <t>G-I</t>
  </si>
  <si>
    <t>Áreas Comuns - Circuito 1 CORRIGIDO (# 4,0.) --&gt; NÃO PRECISA!!!</t>
  </si>
  <si>
    <t>I-J</t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</si>
  <si>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UNIT  </t>
    </r>
    <r>
      <rPr>
        <sz val="10"/>
        <rFont val="Arial"/>
        <family val="2"/>
      </rPr>
      <t>(V/A.km)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</si>
  <si>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TRECHO  </t>
    </r>
    <r>
      <rPr>
        <sz val="10"/>
        <rFont val="Arial"/>
        <family val="2"/>
      </rPr>
      <t>(%)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</si>
  <si>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ACUM  </t>
    </r>
    <r>
      <rPr>
        <sz val="10"/>
        <rFont val="Arial"/>
        <family val="2"/>
      </rPr>
      <t>(%)</t>
    </r>
  </si>
  <si>
    <t>Eletroduto nº</t>
  </si>
  <si>
    <t>Condutores</t>
  </si>
  <si>
    <t>Área de condutores (mm²)</t>
  </si>
  <si>
    <t>Diâm. Mín. Eletroduto - 40% (mm)</t>
  </si>
  <si>
    <t>Ocupação desejada (%)</t>
  </si>
  <si>
    <t>Diâm. Mín.  Eletroduto - interno (mm)</t>
  </si>
  <si>
    <t>Eletroduto adotado - Dn (mm)</t>
  </si>
  <si>
    <t>Comp. do eletroduto (m)</t>
  </si>
  <si>
    <t>Nº de curvas 90°</t>
  </si>
  <si>
    <t>Comp. máx. permitido (m)</t>
  </si>
  <si>
    <t>Eletroduto adotado</t>
  </si>
  <si>
    <t>Diâm. Mín.  Eletroduto (mm)</t>
  </si>
  <si>
    <t>Eletroduto adotado - D (mm)</t>
  </si>
  <si>
    <t>Comp. do eletroduto - real (m)</t>
  </si>
  <si>
    <t xml:space="preserve">Aumentar "D" </t>
  </si>
  <si>
    <t>Comp. do eletroduto - equiv. (m)</t>
  </si>
  <si>
    <t>Situação Final</t>
  </si>
  <si>
    <t>#1,5.</t>
  </si>
  <si>
    <t>#2,5.</t>
  </si>
  <si>
    <t>#4,0.</t>
  </si>
  <si>
    <t>Situação</t>
  </si>
  <si>
    <t>Dn (mm)</t>
  </si>
  <si>
    <t>Quant.</t>
  </si>
  <si>
    <r>
      <t>A</t>
    </r>
    <r>
      <rPr>
        <vertAlign val="subscript"/>
        <sz val="10"/>
        <rFont val="Arial"/>
        <family val="2"/>
      </rPr>
      <t>real</t>
    </r>
  </si>
  <si>
    <r>
      <t>A</t>
    </r>
    <r>
      <rPr>
        <vertAlign val="subscript"/>
        <sz val="10"/>
        <rFont val="Arial"/>
        <family val="2"/>
      </rPr>
      <t>real</t>
    </r>
  </si>
  <si>
    <r>
      <t>A</t>
    </r>
    <r>
      <rPr>
        <vertAlign val="subscript"/>
        <sz val="10"/>
        <rFont val="Arial"/>
        <family val="2"/>
      </rPr>
      <t>real</t>
    </r>
  </si>
  <si>
    <t>D (mm)</t>
  </si>
  <si>
    <t>Elet. adotado</t>
  </si>
  <si>
    <t>x</t>
  </si>
  <si>
    <t>Dimensionamento dos eletrodutos</t>
  </si>
  <si>
    <t>OBS:</t>
  </si>
  <si>
    <t>Os demais eletrodutos deverão ter diâmetro nominal de 20mm.</t>
  </si>
  <si>
    <t>Determinação da carga instalada</t>
  </si>
  <si>
    <t>Potência (W)</t>
  </si>
  <si>
    <t>Grupo</t>
  </si>
  <si>
    <t>N° aparelhos</t>
  </si>
  <si>
    <t>Descrição dos fatores</t>
  </si>
  <si>
    <t>Subtotal (W)</t>
  </si>
  <si>
    <t>F. de Potência</t>
  </si>
  <si>
    <t>Unitária</t>
  </si>
  <si>
    <t>Aspirador de pó</t>
  </si>
  <si>
    <t>a</t>
  </si>
  <si>
    <t>-</t>
  </si>
  <si>
    <t>Iluminação + T.U.G.</t>
  </si>
  <si>
    <r>
      <t>b</t>
    </r>
    <r>
      <rPr>
        <sz val="8"/>
        <rFont val="Arial"/>
        <family val="2"/>
      </rPr>
      <t>1</t>
    </r>
  </si>
  <si>
    <t>Chuveiros</t>
  </si>
  <si>
    <t>Condicionador de ar</t>
  </si>
  <si>
    <r>
      <t>b</t>
    </r>
    <r>
      <rPr>
        <sz val="8"/>
        <rFont val="Arial"/>
        <family val="2"/>
      </rPr>
      <t>4</t>
    </r>
  </si>
  <si>
    <t>Máquinas de lavar e secar roupas, Lav. de louças e Ferro elét.</t>
  </si>
  <si>
    <t>Exaustor</t>
  </si>
  <si>
    <t>Ferro de passar roupas</t>
  </si>
  <si>
    <r>
      <t>b</t>
    </r>
    <r>
      <rPr>
        <sz val="8"/>
        <rFont val="Arial"/>
        <family val="2"/>
      </rPr>
      <t>5</t>
    </r>
  </si>
  <si>
    <t>Demais aparelhos</t>
  </si>
  <si>
    <t>Tomadas de uso geral (T.U.G.)</t>
  </si>
  <si>
    <t>c</t>
  </si>
  <si>
    <t>TOTAL</t>
  </si>
  <si>
    <t>Geladeira</t>
  </si>
  <si>
    <t>Lâmpada incandescente</t>
  </si>
  <si>
    <t>Máquina de lavar louças</t>
  </si>
  <si>
    <t>Máquina de lavar roupas</t>
  </si>
  <si>
    <r>
      <t>b</t>
    </r>
    <r>
      <rPr>
        <sz val="8"/>
        <rFont val="Arial"/>
        <family val="2"/>
      </rPr>
      <t>1</t>
    </r>
  </si>
  <si>
    <t>Máquina de secar roupas</t>
  </si>
  <si>
    <r>
      <t>b</t>
    </r>
    <r>
      <rPr>
        <sz val="8"/>
        <rFont val="Arial"/>
        <family val="2"/>
      </rPr>
      <t>4</t>
    </r>
  </si>
  <si>
    <t>Microcomputador / impressora</t>
  </si>
  <si>
    <r>
      <t>b</t>
    </r>
    <r>
      <rPr>
        <sz val="8"/>
        <rFont val="Arial"/>
        <family val="2"/>
      </rPr>
      <t>5</t>
    </r>
  </si>
  <si>
    <t>Secador de cabelo</t>
  </si>
  <si>
    <t>TV a cores</t>
  </si>
  <si>
    <r>
      <t>b</t>
    </r>
    <r>
      <rPr>
        <sz val="8"/>
        <rFont val="Arial"/>
        <family val="2"/>
      </rPr>
      <t>4</t>
    </r>
  </si>
  <si>
    <t>Lav. de louças</t>
  </si>
  <si>
    <r>
      <t>b</t>
    </r>
    <r>
      <rPr>
        <sz val="8"/>
        <rFont val="Arial"/>
        <family val="2"/>
      </rPr>
      <t>5</t>
    </r>
  </si>
  <si>
    <t>d</t>
  </si>
  <si>
    <t>Motores elétricos</t>
  </si>
  <si>
    <t>Orçamento dos Apartamentos-tipo (em cada pavimento e o total)</t>
  </si>
  <si>
    <t>nº</t>
  </si>
  <si>
    <t xml:space="preserve">Unid. </t>
  </si>
  <si>
    <t>Quantidade</t>
  </si>
  <si>
    <t>Preço unitario (R$)</t>
  </si>
  <si>
    <t>Total (R$)</t>
  </si>
  <si>
    <t>Total - 5 pvtos (R$)</t>
  </si>
  <si>
    <t>Qtde</t>
  </si>
  <si>
    <t>Cores</t>
  </si>
  <si>
    <r>
      <t>Ø</t>
    </r>
    <r>
      <rPr>
        <sz val="10"/>
        <rFont val="Arial"/>
        <family val="2"/>
      </rPr>
      <t xml:space="preserve"> Condut.</t>
    </r>
  </si>
  <si>
    <t>Caixa de passagem no teto (octogonal)</t>
  </si>
  <si>
    <t>un.</t>
  </si>
  <si>
    <t>Fase</t>
  </si>
  <si>
    <t>F</t>
  </si>
  <si>
    <t>Branco</t>
  </si>
  <si>
    <t>Caixa de passagem 2" x 4"</t>
  </si>
  <si>
    <t>Neutro</t>
  </si>
  <si>
    <t>N</t>
  </si>
  <si>
    <t>Azul</t>
  </si>
  <si>
    <t>Caixa de passagem 4" x 4"</t>
  </si>
  <si>
    <t xml:space="preserve">Retorno </t>
  </si>
  <si>
    <t>R</t>
  </si>
  <si>
    <t>Amarelo</t>
  </si>
  <si>
    <t>Interruptor simples (1 seção)</t>
  </si>
  <si>
    <t>Terra</t>
  </si>
  <si>
    <t>T</t>
  </si>
  <si>
    <t>Amarelo e Verde</t>
  </si>
  <si>
    <t>Interruptor simples (2 seções)</t>
  </si>
  <si>
    <t>Interruptor de duas seções + 1 Tomada</t>
  </si>
  <si>
    <t>Interruptor simples + 1 Tomada</t>
  </si>
  <si>
    <t>Interruptor Three-way tecla simples</t>
  </si>
  <si>
    <t>Interruptor Three-way simples + 1  tomada</t>
  </si>
  <si>
    <t>Interruptor Three-way duplo</t>
  </si>
  <si>
    <t>Interruptor Three-way triplo</t>
  </si>
  <si>
    <t>Interruptor Four-way</t>
  </si>
  <si>
    <t>Tomada universal (2 Pinos + Terra)</t>
  </si>
  <si>
    <t>Arandela de parede</t>
  </si>
  <si>
    <t>Bocal</t>
  </si>
  <si>
    <t>QDC de embutir 20 posições</t>
  </si>
  <si>
    <t>QDC de embutir 18 posições</t>
  </si>
  <si>
    <t>Condutor 1,5mm² (Fase)</t>
  </si>
  <si>
    <t>m</t>
  </si>
  <si>
    <t xml:space="preserve">Fator de perda de fios ou cabos </t>
  </si>
  <si>
    <t>Condutor 1,5mm² (Retorno)</t>
  </si>
  <si>
    <t>Condutor 1,5mm² (Neutro)</t>
  </si>
  <si>
    <t>Condutor 2,5mm² (Fase)</t>
  </si>
  <si>
    <t>Condutor 2,5mm² (Neutro)</t>
  </si>
  <si>
    <t>Condutor 2,5mm² (Terra)</t>
  </si>
  <si>
    <t>Condutor 4,0 mm² (Fase)</t>
  </si>
  <si>
    <t>Condutor 4,0mm² (Neutro)</t>
  </si>
  <si>
    <t>Condutor 4,0mm² (Terra)</t>
  </si>
  <si>
    <t>Eletroduto PVC rígido (20.0 mm)</t>
  </si>
  <si>
    <t>Eletroduto PVC rígido (25.0 mm)</t>
  </si>
  <si>
    <t>Eletroduto PVC rígido (32.0 mm)</t>
  </si>
  <si>
    <t>Curva PVC rígido (20.0 mm)</t>
  </si>
  <si>
    <t>Condutor 16 mm² (Fase)</t>
  </si>
  <si>
    <t>Condutor 16 mm² (Neutro)</t>
  </si>
  <si>
    <t>Condutor 16 mm² (Terra)</t>
  </si>
  <si>
    <t>Disjuntor termomagnético unipolar (15A)</t>
  </si>
  <si>
    <t>Disjuntor termomagnético unipolar (20A)</t>
  </si>
  <si>
    <t>Disjuntor termomagnético unipolar (30 A)</t>
  </si>
  <si>
    <t>Disjuntor termomagnético bipolar (30 A)</t>
  </si>
  <si>
    <t>Disjuntor termomagnético tripolar (100 A)</t>
  </si>
  <si>
    <t>Caixa Tipo CM-2</t>
  </si>
  <si>
    <t>Caixa Tipo CM-10</t>
  </si>
  <si>
    <t>Haste de aterramento - aço zincado</t>
  </si>
  <si>
    <t>Orçamento do Condomínio</t>
  </si>
  <si>
    <t>Sensor de presença - iluminação</t>
  </si>
  <si>
    <t>QDC de embutir 8 posições</t>
  </si>
  <si>
    <t>QDC de embutir 12 posições</t>
  </si>
  <si>
    <t>Eletroduto PVC rígido (40.0 mm)</t>
  </si>
  <si>
    <t>Disjuntor termomagnético bipolar (15A)</t>
  </si>
  <si>
    <t>Disjuntor termomagnético unipolar (20 A)</t>
  </si>
  <si>
    <t>Disjuntor termomagnético bipolar (70 A)</t>
  </si>
  <si>
    <t>Item</t>
  </si>
  <si>
    <t>Unid</t>
  </si>
  <si>
    <t xml:space="preserve">Preço </t>
  </si>
  <si>
    <t>Unit</t>
  </si>
  <si>
    <t>Instalações Elétricas - Tubulações  e  Acessórios</t>
  </si>
  <si>
    <t>1.1</t>
  </si>
  <si>
    <t>Eletroduto PVC rígido ou flexível, tipo pesado, diâmetros:(ref:TIGRE)</t>
  </si>
  <si>
    <t>1.1.1</t>
  </si>
  <si>
    <t>Φ20mm</t>
  </si>
  <si>
    <t>1.1.2</t>
  </si>
  <si>
    <t>Φ25mm</t>
  </si>
  <si>
    <t>1.1.3</t>
  </si>
  <si>
    <t>Φ32mm</t>
  </si>
  <si>
    <t>1.1.4</t>
  </si>
  <si>
    <t>Φ40mm</t>
  </si>
  <si>
    <t>1.1.5</t>
  </si>
  <si>
    <t>Φ50mm</t>
  </si>
  <si>
    <t>1.2</t>
  </si>
  <si>
    <t>Acessórios para fixação de eletroduto</t>
  </si>
  <si>
    <t>1.2.1</t>
  </si>
  <si>
    <t>Curva PVC rígido  20mm,tipo pesado raio longo 90º</t>
  </si>
  <si>
    <t>pç</t>
  </si>
  <si>
    <t>1.2.2</t>
  </si>
  <si>
    <t>Curva PVC rígido  25mm,tipo pesado raio longo 90º</t>
  </si>
  <si>
    <t>1.2.3</t>
  </si>
  <si>
    <t>Curva PVC rígido  32mm,tipo pesado raio longo 90º</t>
  </si>
  <si>
    <t>1.2.4</t>
  </si>
  <si>
    <t>Curva PVC rígido  50mm,tipo pesado raio longo 90º</t>
  </si>
  <si>
    <t>1.2.5</t>
  </si>
  <si>
    <t>Luva de PVC rígido de 20mm</t>
  </si>
  <si>
    <t>1.2.6</t>
  </si>
  <si>
    <t>Luva de PVC rígido de 25mm</t>
  </si>
  <si>
    <t>1.2.7</t>
  </si>
  <si>
    <t>Luva de PVC rígido de 32mm</t>
  </si>
  <si>
    <t>1.2.8</t>
  </si>
  <si>
    <t>Luva de PVC rígido de 50mm</t>
  </si>
  <si>
    <t>1.3</t>
  </si>
  <si>
    <t>Eletroduto em aço  galvanizado,tipo pesado,em barras de 6,0m fornecido com uma luva,rosca gás, diâmetros</t>
  </si>
  <si>
    <t>1.3.1</t>
  </si>
  <si>
    <t>1.3.2</t>
  </si>
  <si>
    <t>Curva de aço galvanizado 50mm raio longo 90º</t>
  </si>
  <si>
    <t>1.3.3</t>
  </si>
  <si>
    <t>Cabeçote para eletroduto aço galvanizado 50mm</t>
  </si>
  <si>
    <t>1.3.4</t>
  </si>
  <si>
    <t>Tampa e aro articulados para caixa tipo ZB passeio</t>
  </si>
  <si>
    <t>1.3.5</t>
  </si>
  <si>
    <t>Faixa plástica de sinalização padrão CEMIG</t>
  </si>
  <si>
    <t>1.3.6</t>
  </si>
  <si>
    <t>Arame de aço galvanizado 14BWG</t>
  </si>
  <si>
    <t>Kg</t>
  </si>
  <si>
    <t>1.3.7</t>
  </si>
  <si>
    <t>Haste cantoneira de aço zincado,por imersão a quente,2,40m, para aterramento Padrão CEMIG</t>
  </si>
  <si>
    <t>Instalações Elétricas - Quadros,disjuntores e caixas</t>
  </si>
  <si>
    <t>2.1</t>
  </si>
  <si>
    <t>Quadro de distribuição de Circuitos, montgem de embutir,  para 28 circuitos monofásicos e disjuntor geral, barramento de cobre - 3F+N+T</t>
  </si>
  <si>
    <t>cj</t>
  </si>
  <si>
    <t>2.2</t>
  </si>
  <si>
    <t>Quadro de distribuição de Circuitos, montgem de embutir,  para 10 circuitos monofásicos e disjuntor geral, barramento de cobre - 2F+N+T</t>
  </si>
  <si>
    <t>2.3</t>
  </si>
  <si>
    <t>Disjuntor Termomagmético unipolar, 600V - 10kVa, nas seguintes correntes :</t>
  </si>
  <si>
    <t>2.3.1</t>
  </si>
  <si>
    <t>15A</t>
  </si>
  <si>
    <t>2.3.2</t>
  </si>
  <si>
    <t>20A</t>
  </si>
  <si>
    <t>2.3.3</t>
  </si>
  <si>
    <t>30A</t>
  </si>
  <si>
    <t>2.3.4</t>
  </si>
  <si>
    <t>40A</t>
  </si>
  <si>
    <t>2.4</t>
  </si>
  <si>
    <t>2.4.1</t>
  </si>
  <si>
    <t>2.5</t>
  </si>
  <si>
    <t>2.5.1</t>
  </si>
  <si>
    <t>70A</t>
  </si>
  <si>
    <t>2.5.3</t>
  </si>
  <si>
    <t>90A</t>
  </si>
  <si>
    <t>2.5.4</t>
  </si>
  <si>
    <t>120A</t>
  </si>
  <si>
    <t>2.6</t>
  </si>
  <si>
    <t>Conjunto caixa para medidor unifásico disjuntor com medição direta  modelo CM-1 345x460x210mm. Padrão CEMIG</t>
  </si>
  <si>
    <t>2.7</t>
  </si>
  <si>
    <t>Conjunto caixa para medidor polifásico disjuntor com medição direta  modelo CM-2 345x460x210mm. Padrão CEMIG</t>
  </si>
  <si>
    <t>2.8</t>
  </si>
  <si>
    <t>Conjunto caixa para derivação modelo CM-7 (345x460x210mm. Padrão CEMIG)</t>
  </si>
  <si>
    <t>2.9</t>
  </si>
  <si>
    <t>Conjunto caixa para proteção geral modelo CM-8 (345x460x210mm. Padrão CEMIG)</t>
  </si>
  <si>
    <t>2.10</t>
  </si>
  <si>
    <t>Caixa estampada em chapa de aço, própria para embutir em alvenaria, galvanizada,dimesões:</t>
  </si>
  <si>
    <t>2.10.1</t>
  </si>
  <si>
    <t>10x5x5cm</t>
  </si>
  <si>
    <t>Térreo</t>
  </si>
  <si>
    <t>Dormitório 3</t>
  </si>
  <si>
    <t>Dormitório 4</t>
  </si>
  <si>
    <t>Closet</t>
  </si>
  <si>
    <t>WC4</t>
  </si>
  <si>
    <t>proteção (A)</t>
  </si>
  <si>
    <t>Previsão de cargas do Sobrado Itupeva - Pavimento Inferior</t>
  </si>
  <si>
    <t>Previsão de cargas do Sobrado Itupeva - Área Gourmet</t>
  </si>
  <si>
    <t>Área Total</t>
  </si>
  <si>
    <t>Varanda Nova</t>
  </si>
  <si>
    <t>Copa</t>
  </si>
  <si>
    <t xml:space="preserve">Varanda </t>
  </si>
  <si>
    <t>Pav. Inferior</t>
  </si>
  <si>
    <t>Sala (estar)</t>
  </si>
  <si>
    <t>Sala (jantar)</t>
  </si>
  <si>
    <t>Dormitório 1</t>
  </si>
  <si>
    <t>Dormitório 2</t>
  </si>
  <si>
    <t>Previsão de cargas do Sobrado Itupeva - Pavimento Superior</t>
  </si>
  <si>
    <t>Pavimento Superior</t>
  </si>
  <si>
    <t>Hall de Escada</t>
  </si>
  <si>
    <t>Dormitório 5</t>
  </si>
  <si>
    <t>WC5</t>
  </si>
  <si>
    <t>Escritório</t>
  </si>
  <si>
    <t>Escada de acesso</t>
  </si>
  <si>
    <t>m2</t>
  </si>
  <si>
    <t>Jardim Entrada</t>
  </si>
  <si>
    <t>Jardim</t>
  </si>
  <si>
    <t>Área Serviço</t>
  </si>
  <si>
    <t>Previsão de cargas do Sobrado Itupeva - Pavimento Térreo</t>
  </si>
  <si>
    <t>Vazio</t>
  </si>
  <si>
    <t>Aliment. Central</t>
  </si>
  <si>
    <t>Lavanderia</t>
  </si>
  <si>
    <t>Lav. Roupas</t>
  </si>
  <si>
    <t>Torneira Elétrica</t>
  </si>
  <si>
    <t>Sec. Cabelo</t>
  </si>
  <si>
    <t>Área Gourmet</t>
  </si>
  <si>
    <t>Acesso</t>
  </si>
  <si>
    <t>Gazebo</t>
  </si>
  <si>
    <t>Casa de Bombas</t>
  </si>
  <si>
    <t>Jardim Piscina</t>
  </si>
  <si>
    <t>Bomba piscina</t>
  </si>
  <si>
    <t>3cv</t>
  </si>
  <si>
    <t>Despensa</t>
  </si>
  <si>
    <t>WC Gourmet</t>
  </si>
  <si>
    <t>Ar. Cond.</t>
  </si>
  <si>
    <t>3 - Iluminação Salas e Varandas</t>
  </si>
  <si>
    <t>1 - Iluminação Copa WCs e Lavanderia</t>
  </si>
  <si>
    <t>Quadro de Cargas Ar Condicionados</t>
  </si>
  <si>
    <t>5 - Ar. Cond. Área Gourmet</t>
  </si>
  <si>
    <t>1 - Ar Cond Mult Térreo e Piso Superior</t>
  </si>
  <si>
    <t>2 - Ar Cond. Salas e Copa</t>
  </si>
  <si>
    <t>3 - Ar Cond Dorm.1 - Piso Inferior</t>
  </si>
  <si>
    <t>4 - Ar Cond. Dorm.2 - Piso Inferior</t>
  </si>
  <si>
    <t>Quadro de Cargas do Áreas Comuns e Gourmet</t>
  </si>
  <si>
    <t>QC Térreo</t>
  </si>
  <si>
    <t>QC Ar Condicionado</t>
  </si>
  <si>
    <t>QC Área Gourmet</t>
  </si>
  <si>
    <t>QC Ar Cond</t>
  </si>
  <si>
    <t>Térreo + Superior</t>
  </si>
  <si>
    <t>Inferior</t>
  </si>
  <si>
    <t>Soma das cargas gerais em seus grupos - Térreo + Superior</t>
  </si>
  <si>
    <t>Soma das cargas gerais em seus grupos - Piso Inferior</t>
  </si>
  <si>
    <t>F. de Demanda</t>
  </si>
  <si>
    <t>Total (em Potência Aparente (VA)</t>
  </si>
  <si>
    <t>1 - Iluminação Área Gourmet</t>
  </si>
  <si>
    <t>3 - Iluminação escadas</t>
  </si>
  <si>
    <t>4 - T.U.G. Áreas Comuns: Gazebo, Casa de Bombas e Jardim Piscina</t>
  </si>
  <si>
    <t>5 - T.U.G. Área Gourmet</t>
  </si>
  <si>
    <t>6 - T.U.E. Ar Condicionado</t>
  </si>
  <si>
    <t>7 - T.U.E. Microondas</t>
  </si>
  <si>
    <t>8 - T.U.E Torneira Elétrica</t>
  </si>
  <si>
    <t>4 - Iluminação Dorms 1 e 2 e WCs Piso Inferior</t>
  </si>
  <si>
    <t>5 - Iluminação Garagem</t>
  </si>
  <si>
    <t>6 - Iluminação Jardim Entrada</t>
  </si>
  <si>
    <t>7 - Iluminação Dorm 5 e Escritório</t>
  </si>
  <si>
    <t>Superior</t>
  </si>
  <si>
    <t>8 - TUGs Copa WCs e Lavanderia</t>
  </si>
  <si>
    <t>9 - T.U.G. Dorms 3 e 4 Circ. e Closet</t>
  </si>
  <si>
    <t>10 - T.U.G. Salas e Varandas</t>
  </si>
  <si>
    <t>11 - T.U.E. Lava Louças</t>
  </si>
  <si>
    <t>12 - T.U.E. Microondas</t>
  </si>
  <si>
    <t>13 - T.U.E. Lava Roupas e Secadora</t>
  </si>
  <si>
    <t>14 - T.U.E. Torneira Elétrica</t>
  </si>
  <si>
    <t>15 - T.U.E. Secador Cabelo WC3</t>
  </si>
  <si>
    <t>16 - T.U.E. Secador Cabelo WC4</t>
  </si>
  <si>
    <t>23 - Reserva 1</t>
  </si>
  <si>
    <t>24 - Reserva 2</t>
  </si>
  <si>
    <t>25 - Reserva 3</t>
  </si>
  <si>
    <t>26 - Reserva 4</t>
  </si>
  <si>
    <t>Sub-total (Em W)</t>
  </si>
  <si>
    <t>Total (Em VA)</t>
  </si>
  <si>
    <t>Sub-total (em Potência Ativa (W)</t>
  </si>
  <si>
    <t>LEGENDAS:</t>
  </si>
  <si>
    <t>18 - T.U.G Piso Superior</t>
  </si>
  <si>
    <t>P=I.U.cos Pi</t>
  </si>
  <si>
    <t>I= P/U.cos Pi</t>
  </si>
  <si>
    <t>Total (4 Unidades Condensadoras)</t>
  </si>
  <si>
    <t>2 - Ilum.Áreas Comuns: Gazebo e Casa de bombas e Jardim Piscina</t>
  </si>
  <si>
    <t>Proteção Recomendada</t>
  </si>
  <si>
    <t>9 - T.U.E. Bomba Piscina</t>
  </si>
  <si>
    <t>2 - Iluminação Dorms 3 e 4 Térreo e Closet</t>
  </si>
  <si>
    <t>22 - T.U.E. Ferro Passar Lavanderia</t>
  </si>
  <si>
    <t>134A</t>
  </si>
  <si>
    <t>171A</t>
  </si>
  <si>
    <t>Total (5 Unidades Condensadoras para 7 evaporadoras)</t>
  </si>
  <si>
    <t>Boiler 300 lts 3000W</t>
  </si>
  <si>
    <t>17 - T.U.E. Aquecedor Central - Boiler 300LTS</t>
  </si>
  <si>
    <t>20 - T.U.E. Chuveiro WC 1 - Piso Inferior</t>
  </si>
  <si>
    <t>21 - T.U.E. Chuveiro WC 2 - Piso Inferior</t>
  </si>
  <si>
    <t>Lâmpadas. LED (W)</t>
  </si>
  <si>
    <t>Consumo Médio Mensal</t>
  </si>
  <si>
    <t>Potência</t>
  </si>
  <si>
    <t>Nº de Horas por dia</t>
  </si>
  <si>
    <t>Nº de Dias por Mês</t>
  </si>
  <si>
    <t>Constante</t>
  </si>
  <si>
    <t>Demanda (%)</t>
  </si>
  <si>
    <t>Condutor / Fiação (mm²)</t>
  </si>
  <si>
    <t>Chuveiros (Boiler 300LTS)</t>
  </si>
  <si>
    <t>Área Gourmet + Externo</t>
  </si>
  <si>
    <t>Lâmpada LED 20W</t>
  </si>
  <si>
    <t>19 - T.U.G. Dorms 1 e 2 WC 1 e 2 e Área de Serviço - Piso Inferior</t>
  </si>
  <si>
    <t>I=S/VL*COS pi*Raiz 3</t>
  </si>
  <si>
    <t>I</t>
  </si>
  <si>
    <t>S</t>
  </si>
  <si>
    <t>VL</t>
  </si>
  <si>
    <t>COS PI</t>
  </si>
  <si>
    <t>RAIZ 3</t>
  </si>
  <si>
    <t>Fonte: https://www.mundodaeletrica.com/corrente-de-projeto-aprenda-como-calcular/</t>
  </si>
  <si>
    <t>GERAL</t>
  </si>
  <si>
    <t>Com relação a tensão vamos usar para circuitos com esquema F+N ou 3F+N o valor de tensão de fase. E para circuitos com esquema F+F e 3F vamos utilizar o valor de tensão de linha.</t>
  </si>
  <si>
    <t>CONFERÊNCIA</t>
  </si>
  <si>
    <t>isolação de PVC, eletroduto de PVC embutido em alvenaria; temperatura ambiente: 30°C</t>
  </si>
  <si>
    <t>Sf</t>
  </si>
  <si>
    <t>Uf</t>
  </si>
  <si>
    <t>If</t>
  </si>
  <si>
    <t>UL</t>
  </si>
  <si>
    <t>IL</t>
  </si>
  <si>
    <t>Soma das cargas gerais em seus grupos - Total</t>
  </si>
  <si>
    <t>Soma das cargas gerais em seus grupos - Área Gourmet + Externo</t>
  </si>
  <si>
    <t>Centro de Medição</t>
  </si>
  <si>
    <t>Spot LED</t>
  </si>
  <si>
    <t>Data:</t>
  </si>
  <si>
    <t>Nome do cliente:</t>
  </si>
  <si>
    <t>REMESSA</t>
  </si>
  <si>
    <t>Tipo</t>
  </si>
  <si>
    <t>Cidade, Rua  CEP</t>
  </si>
  <si>
    <t>Endereço 2</t>
  </si>
  <si>
    <t>Endereço</t>
  </si>
  <si>
    <t>Email:</t>
  </si>
  <si>
    <t>Telefone:</t>
  </si>
  <si>
    <t>Quadro</t>
  </si>
  <si>
    <t>Cliente Itupeva</t>
  </si>
  <si>
    <t>Designer Engenharia</t>
  </si>
  <si>
    <t>Relação de Painéis</t>
  </si>
  <si>
    <t>Levantamento:</t>
  </si>
  <si>
    <t>QC TÉRREO</t>
  </si>
  <si>
    <t>QC AR CONDICIONADO</t>
  </si>
  <si>
    <t>QC - ÁREA GOURMET</t>
  </si>
  <si>
    <t>QC GERADOR</t>
  </si>
  <si>
    <t>QDG</t>
  </si>
  <si>
    <t>Q MEDIÇÃO (ENTRADA)</t>
  </si>
  <si>
    <t>Trifásico</t>
  </si>
  <si>
    <t>111A</t>
  </si>
  <si>
    <t>50A</t>
  </si>
  <si>
    <t>207A</t>
  </si>
  <si>
    <t>Corrente Máxima do Condutor</t>
  </si>
  <si>
    <t>10 - T.U.E. Chuveiro</t>
  </si>
  <si>
    <t>38,10 KVA</t>
  </si>
  <si>
    <t>19,05 KVA</t>
  </si>
  <si>
    <t>47,63 KVA</t>
  </si>
  <si>
    <t>GERADOR SUGERIDO</t>
  </si>
  <si>
    <t>64,78 KVA</t>
  </si>
  <si>
    <t>76,21 KVA</t>
  </si>
  <si>
    <t>Rua Guararema, nº 196 - Bosque da Saúde</t>
  </si>
  <si>
    <t>Engenheiro Eletricista:</t>
  </si>
  <si>
    <t>Cidade, CEP</t>
  </si>
  <si>
    <t>São Paulo - SP CEP:</t>
  </si>
  <si>
    <t>iuri.nogueira@designerengenharia.com.br</t>
  </si>
  <si>
    <t>Site:</t>
  </si>
  <si>
    <t>www.designerengenharia.com.br</t>
  </si>
  <si>
    <t>Iuri Nogueira Lubacheski</t>
  </si>
  <si>
    <t>Cliente:</t>
  </si>
  <si>
    <t>Jo</t>
  </si>
  <si>
    <t>POTÊNCIA TOTAL:</t>
  </si>
  <si>
    <t>KVA CORRIGIDO</t>
  </si>
  <si>
    <t>KVA SEM CORREÇÃO</t>
  </si>
  <si>
    <t>Distância ao quadro (m)</t>
  </si>
  <si>
    <t>Queda de Tensão ΔV  (%)</t>
  </si>
  <si>
    <t>ΔVUNIT  (V/A.km)</t>
  </si>
  <si>
    <t>Queda de Tensão Atende</t>
  </si>
  <si>
    <t>CREA:</t>
  </si>
  <si>
    <t>5061808757-D</t>
  </si>
  <si>
    <t>PLANILHA DE MATERIAIS</t>
  </si>
  <si>
    <t>Fases (Nº Pólos Disjuntor)</t>
  </si>
  <si>
    <t>Método de Referência:</t>
  </si>
  <si>
    <t>B1</t>
  </si>
  <si>
    <t>PADRÃO DE ENERGIA</t>
  </si>
  <si>
    <t>Método de Refência:</t>
  </si>
  <si>
    <t>(11) 5051-5887</t>
  </si>
  <si>
    <t>Térreo - Circuito Alimentação QAC e QC Gourmet</t>
  </si>
  <si>
    <t>Térreo - Circuito Alimentação QDG e QDFL</t>
  </si>
  <si>
    <t>Ar Condicionado - Circuito 1 - Área Gourmet</t>
  </si>
  <si>
    <t>SL</t>
  </si>
  <si>
    <t>Ar Condicionado - Circuito 2 - QAC às Máquinas</t>
  </si>
  <si>
    <t>QDG-QDFL</t>
  </si>
  <si>
    <t>QDG-QC Gourmet</t>
  </si>
  <si>
    <t>QDG-QAC</t>
  </si>
  <si>
    <t>QM-QDG</t>
  </si>
  <si>
    <t>QAC-UC MULT</t>
  </si>
  <si>
    <t>QC Gourmet-UC 07</t>
  </si>
  <si>
    <t>QAC-UC 01 SALA</t>
  </si>
  <si>
    <t>QAC-UC 05 INF</t>
  </si>
  <si>
    <t>QAC-UC 06 INF</t>
  </si>
  <si>
    <t>A-D</t>
  </si>
  <si>
    <t>C-F</t>
  </si>
  <si>
    <t>C-G</t>
  </si>
  <si>
    <t>C-H</t>
  </si>
  <si>
    <t>C-I</t>
  </si>
  <si>
    <t>QDFL - Quadro de Cargas do Pavimentos Térreo, Inferior e Superior</t>
  </si>
  <si>
    <t>Potências</t>
  </si>
  <si>
    <t>Cap. Disj.</t>
  </si>
  <si>
    <t>QDFL  Pav. Térreo, Inferior e Superior</t>
  </si>
  <si>
    <t>Não usar. Usar o de baixo</t>
  </si>
  <si>
    <t>Usar este.</t>
  </si>
  <si>
    <t>QM - QDG</t>
  </si>
  <si>
    <t>#50</t>
  </si>
  <si>
    <t>#35</t>
  </si>
  <si>
    <t>#70</t>
  </si>
  <si>
    <t>Potência (VA) só com FP</t>
  </si>
  <si>
    <t>FP - Fator de Potência (cos Ø)</t>
  </si>
  <si>
    <t>FD - Fator de Demanda</t>
  </si>
  <si>
    <t>FCA - Fator de Correção de Agrupamento</t>
  </si>
  <si>
    <t>FCT - Fator de Correção de Temperatura</t>
  </si>
  <si>
    <t>Potência Final com FCA e FCT (VA)</t>
  </si>
  <si>
    <t>Corrente (A) Final com FCA e FCT</t>
  </si>
  <si>
    <t>ESTÁ SENDO CONSIDERADO FCT=1 PARA LINHAS COM AMBINENTES IGUAIS A 30ºC NÃO SUBTERRÂNEAS E A 20ºC PARA LINHAS SUBTERRÂNEAS</t>
  </si>
  <si>
    <t>USAR</t>
  </si>
  <si>
    <t>PREVISÃO</t>
  </si>
  <si>
    <t>Lembrete: O gerador irá atender apenas o QDFL Térreo e o QC - Área Gourmet.</t>
  </si>
  <si>
    <r>
      <t>Observações: Gerador não previsto para Ar Condicionado</t>
    </r>
    <r>
      <rPr>
        <sz val="10"/>
        <rFont val="Calibri"/>
        <family val="2"/>
        <scheme val="minor"/>
      </rPr>
      <t>.</t>
    </r>
  </si>
  <si>
    <t>Padrão de Energia:</t>
  </si>
  <si>
    <t>C8</t>
  </si>
  <si>
    <t xml:space="preserve"> C9 Trifásico 220V </t>
  </si>
  <si>
    <t>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</si>
</sst>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"/>
    <numFmt numFmtId="165" formatCode="0.0000"/>
    <numFmt numFmtId="166" formatCode="0.000"/>
    <numFmt numFmtId="167" formatCode="0\ \-\ "/>
    <numFmt numFmtId="168" formatCode="&quot;R$ &quot;#,##0.00"/>
    <numFmt numFmtId="169" formatCode="&quot;R$&quot;#,##0.00_);\(&quot;R$&quot;#,##0.00\)"/>
    <numFmt numFmtId="170" formatCode="[$-416]d\ mmmm\,\ yyyy;@"/>
    <numFmt numFmtId="171" formatCode="_(&quot;R$&quot;* #,##0.00_);_(&quot;R$&quot;* \(#,##0.00\);_(&quot;R$&quot;* &quot;-&quot;??_);_(@_)"/>
    <numFmt numFmtId="172" formatCode="#,##0\ &quot;KVA&quot;"/>
    <numFmt numFmtId="173" formatCode="0\ &quot;KVA&quot;"/>
    <numFmt numFmtId="174" formatCode="&quot;KVA&quot;"/>
  </numFmts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0"/>
      <color rgb="FF76923C"/>
      <name val="Arial"/>
      <family val="2"/>
    </font>
    <font>
      <sz val="10"/>
      <color rgb="FF0000FF"/>
      <name val="Arial"/>
      <family val="2"/>
    </font>
    <font>
      <sz val="10"/>
      <color rgb="FF0066CC"/>
      <name val="Arial"/>
      <family val="2"/>
    </font>
    <font>
      <b/>
      <sz val="10"/>
      <color rgb="FFFF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vertAlign val="subscript"/>
      <sz val="10"/>
      <name val="Arial"/>
      <family val="2"/>
    </font>
    <font>
      <sz val="10"/>
      <color rgb="FF0000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0"/>
      <name val="Calibri"/>
      <family val="2"/>
      <scheme val="minor"/>
    </font>
    <font>
      <u/>
      <sz val="10"/>
      <color theme="10"/>
      <name val="Arial"/>
      <family val="2"/>
    </font>
    <font>
      <sz val="13"/>
      <color rgb="FF333333"/>
      <name val="Arial"/>
      <family val="2"/>
    </font>
    <font>
      <sz val="8"/>
      <name val="Tahoma"/>
      <family val="2"/>
    </font>
    <font>
      <sz val="10"/>
      <color theme="1"/>
      <name val="Calibri"/>
      <family val="2"/>
      <scheme val="minor"/>
    </font>
    <font>
      <b/>
      <i/>
      <sz val="11"/>
      <color indexed="55"/>
      <name val="Calibri"/>
      <family val="2"/>
      <scheme val="minor"/>
    </font>
    <font>
      <sz val="10"/>
      <color indexed="55"/>
      <name val="Calibri"/>
      <family val="2"/>
      <scheme val="minor"/>
    </font>
    <font>
      <b/>
      <sz val="10"/>
      <color indexed="55"/>
      <name val="Calibri"/>
      <family val="2"/>
      <scheme val="minor"/>
    </font>
    <font>
      <b/>
      <i/>
      <sz val="14"/>
      <color indexed="55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sz val="10"/>
      <color theme="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9BBB59"/>
        <bgColor rgb="FF9BBB59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5" tint="0.39994506668294322"/>
        <bgColor theme="5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1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theme="2"/>
      </right>
      <top style="thin">
        <color indexed="22"/>
      </top>
      <bottom style="thin">
        <color theme="2"/>
      </bottom>
      <diagonal/>
    </border>
    <border>
      <left/>
      <right/>
      <top style="thin">
        <color indexed="22"/>
      </top>
      <bottom style="thin">
        <color theme="2"/>
      </bottom>
      <diagonal/>
    </border>
    <border>
      <left style="thin">
        <color theme="2"/>
      </left>
      <right/>
      <top style="thin">
        <color indexed="22"/>
      </top>
      <bottom style="thin">
        <color theme="2"/>
      </bottom>
      <diagonal/>
    </border>
    <border>
      <left/>
      <right style="thin">
        <color theme="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theme="2"/>
      </left>
      <right/>
      <top style="thin">
        <color indexed="22"/>
      </top>
      <bottom style="thin">
        <color indexed="22"/>
      </bottom>
      <diagonal/>
    </border>
    <border>
      <left/>
      <right style="thin">
        <color theme="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theme="2"/>
      </left>
      <right/>
      <top/>
      <bottom style="thin">
        <color indexed="2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rgb="FF000000"/>
      </bottom>
      <diagonal/>
    </border>
    <border>
      <left style="thin">
        <color indexed="64"/>
      </left>
      <right style="thin">
        <color indexed="64"/>
      </right>
      <top/>
      <bottom style="double">
        <color rgb="FF000000"/>
      </bottom>
      <diagonal/>
    </border>
    <border>
      <left style="thin">
        <color indexed="64"/>
      </left>
      <right/>
      <top/>
      <bottom style="double">
        <color rgb="FF000000"/>
      </bottom>
      <diagonal/>
    </border>
    <border>
      <left style="thin">
        <color indexed="64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0" fillId="0" borderId="0" applyNumberFormat="0" applyFill="0" applyBorder="0" applyAlignment="0" applyProtection="0"/>
    <xf numFmtId="0" fontId="1" fillId="0" borderId="42"/>
  </cellStyleXfs>
  <cellXfs count="487">
    <xf numFmtId="0" fontId="0" fillId="0" borderId="0" xfId="0" applyFont="1" applyAlignment="1"/>
    <xf numFmtId="0" fontId="2" fillId="2" borderId="1" xfId="0" applyFont="1" applyFill="1" applyBorder="1" applyAlignment="1"/>
    <xf numFmtId="0" fontId="2" fillId="3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left"/>
    </xf>
    <xf numFmtId="164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/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/>
    <xf numFmtId="0" fontId="2" fillId="0" borderId="13" xfId="0" applyFont="1" applyBorder="1" applyAlignment="1">
      <alignment horizontal="left"/>
    </xf>
    <xf numFmtId="164" fontId="2" fillId="0" borderId="13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4" fillId="0" borderId="31" xfId="0" applyNumberFormat="1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164" fontId="4" fillId="0" borderId="36" xfId="0" applyNumberFormat="1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3" borderId="36" xfId="0" applyFont="1" applyFill="1" applyBorder="1" applyAlignment="1">
      <alignment horizontal="center"/>
    </xf>
    <xf numFmtId="0" fontId="2" fillId="3" borderId="37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4" fillId="0" borderId="0" xfId="0" applyFont="1" applyAlignment="1"/>
    <xf numFmtId="0" fontId="2" fillId="3" borderId="10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165" fontId="7" fillId="0" borderId="9" xfId="0" applyNumberFormat="1" applyFont="1" applyBorder="1" applyAlignment="1">
      <alignment horizontal="center"/>
    </xf>
    <xf numFmtId="165" fontId="7" fillId="0" borderId="10" xfId="0" applyNumberFormat="1" applyFont="1" applyBorder="1" applyAlignment="1">
      <alignment horizontal="center"/>
    </xf>
    <xf numFmtId="166" fontId="4" fillId="0" borderId="9" xfId="0" applyNumberFormat="1" applyFont="1" applyBorder="1" applyAlignment="1">
      <alignment horizontal="center"/>
    </xf>
    <xf numFmtId="166" fontId="4" fillId="0" borderId="10" xfId="0" applyNumberFormat="1" applyFont="1" applyBorder="1" applyAlignment="1">
      <alignment horizontal="center"/>
    </xf>
    <xf numFmtId="0" fontId="7" fillId="5" borderId="54" xfId="0" applyFont="1" applyFill="1" applyBorder="1" applyAlignment="1">
      <alignment horizontal="center"/>
    </xf>
    <xf numFmtId="0" fontId="4" fillId="5" borderId="54" xfId="0" applyFont="1" applyFill="1" applyBorder="1" applyAlignment="1">
      <alignment horizontal="center"/>
    </xf>
    <xf numFmtId="165" fontId="7" fillId="5" borderId="54" xfId="0" applyNumberFormat="1" applyFont="1" applyFill="1" applyBorder="1" applyAlignment="1">
      <alignment horizontal="center"/>
    </xf>
    <xf numFmtId="164" fontId="7" fillId="5" borderId="54" xfId="0" applyNumberFormat="1" applyFont="1" applyFill="1" applyBorder="1" applyAlignment="1">
      <alignment horizontal="center"/>
    </xf>
    <xf numFmtId="2" fontId="4" fillId="5" borderId="54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165" fontId="7" fillId="5" borderId="10" xfId="0" applyNumberFormat="1" applyFont="1" applyFill="1" applyBorder="1" applyAlignment="1">
      <alignment horizontal="center"/>
    </xf>
    <xf numFmtId="164" fontId="7" fillId="5" borderId="10" xfId="0" applyNumberFormat="1" applyFont="1" applyFill="1" applyBorder="1" applyAlignment="1">
      <alignment horizontal="center"/>
    </xf>
    <xf numFmtId="2" fontId="4" fillId="5" borderId="10" xfId="0" applyNumberFormat="1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 wrapText="1"/>
    </xf>
    <xf numFmtId="0" fontId="8" fillId="0" borderId="10" xfId="0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9" fillId="0" borderId="10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0" borderId="11" xfId="0" applyFont="1" applyBorder="1" applyAlignment="1">
      <alignment vertical="center" textRotation="90"/>
    </xf>
    <xf numFmtId="0" fontId="2" fillId="3" borderId="36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vertical="center" wrapText="1"/>
    </xf>
    <xf numFmtId="0" fontId="8" fillId="0" borderId="24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2" fontId="8" fillId="0" borderId="31" xfId="0" applyNumberFormat="1" applyFont="1" applyBorder="1" applyAlignment="1">
      <alignment horizontal="center"/>
    </xf>
    <xf numFmtId="2" fontId="4" fillId="0" borderId="31" xfId="0" applyNumberFormat="1" applyFont="1" applyBorder="1" applyAlignment="1">
      <alignment horizontal="center"/>
    </xf>
    <xf numFmtId="1" fontId="4" fillId="0" borderId="31" xfId="0" applyNumberFormat="1" applyFont="1" applyBorder="1" applyAlignment="1">
      <alignment horizontal="center"/>
    </xf>
    <xf numFmtId="1" fontId="9" fillId="0" borderId="32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9" fillId="0" borderId="34" xfId="0" applyNumberFormat="1" applyFont="1" applyBorder="1" applyAlignment="1">
      <alignment horizontal="center"/>
    </xf>
    <xf numFmtId="0" fontId="8" fillId="0" borderId="64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2" fontId="8" fillId="0" borderId="36" xfId="0" applyNumberFormat="1" applyFont="1" applyBorder="1" applyAlignment="1">
      <alignment horizontal="center"/>
    </xf>
    <xf numFmtId="2" fontId="4" fillId="0" borderId="36" xfId="0" applyNumberFormat="1" applyFont="1" applyBorder="1" applyAlignment="1">
      <alignment horizontal="center"/>
    </xf>
    <xf numFmtId="1" fontId="4" fillId="0" borderId="36" xfId="0" applyNumberFormat="1" applyFont="1" applyBorder="1" applyAlignment="1">
      <alignment horizontal="center"/>
    </xf>
    <xf numFmtId="1" fontId="9" fillId="0" borderId="37" xfId="0" applyNumberFormat="1" applyFont="1" applyBorder="1" applyAlignment="1">
      <alignment horizontal="center"/>
    </xf>
    <xf numFmtId="0" fontId="2" fillId="3" borderId="65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0" borderId="30" xfId="0" applyFont="1" applyBorder="1" applyAlignment="1"/>
    <xf numFmtId="0" fontId="4" fillId="0" borderId="32" xfId="0" applyFont="1" applyBorder="1" applyAlignment="1">
      <alignment horizontal="center"/>
    </xf>
    <xf numFmtId="0" fontId="2" fillId="0" borderId="33" xfId="0" applyFont="1" applyBorder="1" applyAlignment="1"/>
    <xf numFmtId="0" fontId="2" fillId="0" borderId="35" xfId="0" applyFont="1" applyBorder="1" applyAlignment="1"/>
    <xf numFmtId="0" fontId="4" fillId="0" borderId="36" xfId="0" applyFont="1" applyBorder="1" applyAlignment="1">
      <alignment horizontal="center"/>
    </xf>
    <xf numFmtId="0" fontId="2" fillId="0" borderId="9" xfId="0" applyFont="1" applyBorder="1" applyAlignment="1"/>
    <xf numFmtId="0" fontId="2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right"/>
    </xf>
    <xf numFmtId="0" fontId="2" fillId="6" borderId="10" xfId="0" applyFont="1" applyFill="1" applyBorder="1" applyAlignment="1"/>
    <xf numFmtId="0" fontId="2" fillId="6" borderId="28" xfId="0" applyFont="1" applyFill="1" applyBorder="1" applyAlignment="1">
      <alignment horizontal="center"/>
    </xf>
    <xf numFmtId="164" fontId="2" fillId="6" borderId="10" xfId="0" applyNumberFormat="1" applyFont="1" applyFill="1" applyBorder="1" applyAlignment="1">
      <alignment horizontal="center"/>
    </xf>
    <xf numFmtId="164" fontId="2" fillId="6" borderId="10" xfId="0" applyNumberFormat="1" applyFont="1" applyFill="1" applyBorder="1" applyAlignment="1"/>
    <xf numFmtId="0" fontId="2" fillId="6" borderId="54" xfId="0" applyFont="1" applyFill="1" applyBorder="1" applyAlignment="1"/>
    <xf numFmtId="167" fontId="2" fillId="0" borderId="10" xfId="0" applyNumberFormat="1" applyFont="1" applyBorder="1" applyAlignment="1"/>
    <xf numFmtId="0" fontId="2" fillId="0" borderId="10" xfId="0" applyFont="1" applyBorder="1" applyAlignment="1">
      <alignment vertical="center"/>
    </xf>
    <xf numFmtId="164" fontId="11" fillId="0" borderId="10" xfId="0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164" fontId="2" fillId="0" borderId="10" xfId="0" applyNumberFormat="1" applyFont="1" applyBorder="1" applyAlignment="1"/>
    <xf numFmtId="0" fontId="2" fillId="0" borderId="5" xfId="0" applyFont="1" applyBorder="1" applyAlignment="1"/>
    <xf numFmtId="0" fontId="2" fillId="0" borderId="11" xfId="0" applyFont="1" applyBorder="1" applyAlignment="1"/>
    <xf numFmtId="0" fontId="2" fillId="6" borderId="1" xfId="0" applyFont="1" applyFill="1" applyBorder="1" applyAlignment="1">
      <alignment horizontal="right"/>
    </xf>
    <xf numFmtId="164" fontId="11" fillId="0" borderId="0" xfId="0" applyNumberFormat="1" applyFont="1" applyAlignment="1">
      <alignment horizontal="center"/>
    </xf>
    <xf numFmtId="164" fontId="2" fillId="0" borderId="0" xfId="0" applyNumberFormat="1" applyFont="1" applyAlignment="1"/>
    <xf numFmtId="0" fontId="2" fillId="3" borderId="1" xfId="0" applyFont="1" applyFill="1" applyBorder="1" applyAlignment="1"/>
    <xf numFmtId="0" fontId="2" fillId="6" borderId="67" xfId="0" applyFont="1" applyFill="1" applyBorder="1" applyAlignment="1"/>
    <xf numFmtId="0" fontId="2" fillId="6" borderId="68" xfId="0" applyFont="1" applyFill="1" applyBorder="1" applyAlignment="1"/>
    <xf numFmtId="2" fontId="2" fillId="2" borderId="10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68" fontId="4" fillId="0" borderId="10" xfId="0" applyNumberFormat="1" applyFont="1" applyBorder="1" applyAlignment="1"/>
    <xf numFmtId="0" fontId="5" fillId="0" borderId="0" xfId="0" applyFont="1" applyAlignment="1"/>
    <xf numFmtId="0" fontId="2" fillId="0" borderId="69" xfId="0" applyFont="1" applyBorder="1" applyAlignment="1">
      <alignment vertical="center" wrapText="1"/>
    </xf>
    <xf numFmtId="168" fontId="4" fillId="0" borderId="0" xfId="0" applyNumberFormat="1" applyFont="1" applyAlignment="1"/>
    <xf numFmtId="0" fontId="2" fillId="3" borderId="65" xfId="0" applyFont="1" applyFill="1" applyBorder="1" applyAlignment="1"/>
    <xf numFmtId="0" fontId="12" fillId="3" borderId="10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3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3" fillId="0" borderId="10" xfId="0" applyFont="1" applyBorder="1" applyAlignment="1"/>
    <xf numFmtId="0" fontId="13" fillId="0" borderId="10" xfId="0" applyFont="1" applyBorder="1" applyAlignment="1">
      <alignment wrapText="1"/>
    </xf>
    <xf numFmtId="0" fontId="13" fillId="0" borderId="5" xfId="0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/>
    </xf>
    <xf numFmtId="1" fontId="0" fillId="0" borderId="0" xfId="0" applyNumberFormat="1" applyFont="1" applyAlignment="1"/>
    <xf numFmtId="1" fontId="5" fillId="0" borderId="6" xfId="0" applyNumberFormat="1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2" fontId="2" fillId="7" borderId="10" xfId="0" applyNumberFormat="1" applyFont="1" applyFill="1" applyBorder="1" applyAlignment="1">
      <alignment horizontal="center"/>
    </xf>
    <xf numFmtId="164" fontId="2" fillId="7" borderId="10" xfId="0" applyNumberFormat="1" applyFont="1" applyFill="1" applyBorder="1" applyAlignment="1">
      <alignment horizontal="center"/>
    </xf>
    <xf numFmtId="2" fontId="2" fillId="7" borderId="13" xfId="0" applyNumberFormat="1" applyFont="1" applyFill="1" applyBorder="1" applyAlignment="1">
      <alignment horizontal="center"/>
    </xf>
    <xf numFmtId="0" fontId="4" fillId="0" borderId="14" xfId="0" applyFont="1" applyBorder="1" applyAlignment="1"/>
    <xf numFmtId="0" fontId="3" fillId="0" borderId="15" xfId="0" applyFont="1" applyBorder="1" applyAlignment="1"/>
    <xf numFmtId="0" fontId="3" fillId="0" borderId="16" xfId="0" applyFont="1" applyBorder="1" applyAlignment="1"/>
    <xf numFmtId="0" fontId="2" fillId="0" borderId="7" xfId="0" applyFont="1" applyBorder="1" applyAlignment="1">
      <alignment horizontal="left"/>
    </xf>
    <xf numFmtId="1" fontId="5" fillId="0" borderId="55" xfId="0" applyNumberFormat="1" applyFont="1" applyBorder="1" applyAlignment="1">
      <alignment horizontal="center"/>
    </xf>
    <xf numFmtId="0" fontId="2" fillId="2" borderId="70" xfId="0" applyFont="1" applyFill="1" applyBorder="1" applyAlignment="1">
      <alignment horizontal="left"/>
    </xf>
    <xf numFmtId="2" fontId="2" fillId="2" borderId="70" xfId="0" applyNumberFormat="1" applyFont="1" applyFill="1" applyBorder="1" applyAlignment="1">
      <alignment horizontal="center"/>
    </xf>
    <xf numFmtId="164" fontId="2" fillId="2" borderId="70" xfId="0" applyNumberFormat="1" applyFont="1" applyFill="1" applyBorder="1" applyAlignment="1">
      <alignment horizontal="center"/>
    </xf>
    <xf numFmtId="1" fontId="2" fillId="7" borderId="10" xfId="0" applyNumberFormat="1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0" borderId="67" xfId="0" applyFont="1" applyBorder="1" applyAlignment="1">
      <alignment horizontal="center"/>
    </xf>
    <xf numFmtId="0" fontId="2" fillId="3" borderId="28" xfId="0" applyFont="1" applyFill="1" applyBorder="1" applyAlignment="1">
      <alignment horizontal="center" vertical="center" wrapText="1"/>
    </xf>
    <xf numFmtId="0" fontId="2" fillId="0" borderId="54" xfId="0" applyFont="1" applyBorder="1" applyAlignment="1">
      <alignment horizontal="center"/>
    </xf>
    <xf numFmtId="0" fontId="2" fillId="0" borderId="70" xfId="0" applyFont="1" applyBorder="1" applyAlignment="1">
      <alignment vertical="center"/>
    </xf>
    <xf numFmtId="0" fontId="3" fillId="0" borderId="70" xfId="0" applyFont="1" applyBorder="1" applyAlignment="1"/>
    <xf numFmtId="0" fontId="2" fillId="0" borderId="28" xfId="0" applyFont="1" applyBorder="1" applyAlignment="1">
      <alignment horizontal="left"/>
    </xf>
    <xf numFmtId="2" fontId="2" fillId="7" borderId="28" xfId="0" applyNumberFormat="1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2" fontId="2" fillId="7" borderId="12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70" xfId="0" applyFont="1" applyBorder="1" applyAlignment="1">
      <alignment horizontal="left"/>
    </xf>
    <xf numFmtId="2" fontId="2" fillId="7" borderId="70" xfId="0" applyNumberFormat="1" applyFont="1" applyFill="1" applyBorder="1" applyAlignment="1">
      <alignment horizontal="center"/>
    </xf>
    <xf numFmtId="0" fontId="2" fillId="0" borderId="70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2" fillId="0" borderId="70" xfId="0" applyFont="1" applyBorder="1" applyAlignment="1"/>
    <xf numFmtId="0" fontId="2" fillId="7" borderId="10" xfId="0" applyFont="1" applyFill="1" applyBorder="1" applyAlignment="1">
      <alignment horizontal="center"/>
    </xf>
    <xf numFmtId="0" fontId="2" fillId="7" borderId="70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64" fontId="2" fillId="0" borderId="54" xfId="0" applyNumberFormat="1" applyFont="1" applyBorder="1" applyAlignment="1">
      <alignment horizontal="center"/>
    </xf>
    <xf numFmtId="164" fontId="2" fillId="0" borderId="70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2" fillId="0" borderId="71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164" fontId="2" fillId="0" borderId="72" xfId="0" applyNumberFormat="1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164" fontId="4" fillId="0" borderId="67" xfId="0" applyNumberFormat="1" applyFont="1" applyBorder="1" applyAlignment="1">
      <alignment horizontal="center"/>
    </xf>
    <xf numFmtId="164" fontId="2" fillId="0" borderId="7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0" fontId="4" fillId="9" borderId="1" xfId="0" applyFont="1" applyFill="1" applyBorder="1" applyAlignment="1"/>
    <xf numFmtId="0" fontId="2" fillId="8" borderId="0" xfId="0" applyFont="1" applyFill="1" applyAlignment="1"/>
    <xf numFmtId="0" fontId="2" fillId="9" borderId="1" xfId="0" applyFont="1" applyFill="1" applyBorder="1" applyAlignment="1"/>
    <xf numFmtId="0" fontId="4" fillId="7" borderId="34" xfId="0" applyFont="1" applyFill="1" applyBorder="1" applyAlignment="1">
      <alignment horizontal="center"/>
    </xf>
    <xf numFmtId="0" fontId="4" fillId="7" borderId="31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2" fillId="0" borderId="76" xfId="0" applyFont="1" applyBorder="1" applyAlignment="1">
      <alignment horizontal="center"/>
    </xf>
    <xf numFmtId="0" fontId="2" fillId="0" borderId="75" xfId="0" applyFont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5" fillId="0" borderId="38" xfId="0" applyFont="1" applyBorder="1" applyAlignment="1"/>
    <xf numFmtId="0" fontId="3" fillId="0" borderId="39" xfId="0" applyFont="1" applyBorder="1" applyAlignment="1"/>
    <xf numFmtId="0" fontId="3" fillId="0" borderId="40" xfId="0" applyFont="1" applyBorder="1" applyAlignment="1"/>
    <xf numFmtId="1" fontId="2" fillId="0" borderId="12" xfId="0" applyNumberFormat="1" applyFont="1" applyBorder="1" applyAlignment="1">
      <alignment horizontal="center"/>
    </xf>
    <xf numFmtId="0" fontId="2" fillId="0" borderId="39" xfId="0" applyFont="1" applyBorder="1" applyAlignment="1"/>
    <xf numFmtId="164" fontId="3" fillId="0" borderId="39" xfId="0" applyNumberFormat="1" applyFont="1" applyBorder="1" applyAlignment="1"/>
    <xf numFmtId="164" fontId="0" fillId="0" borderId="0" xfId="0" applyNumberFormat="1" applyFont="1" applyAlignment="1"/>
    <xf numFmtId="1" fontId="3" fillId="0" borderId="39" xfId="0" applyNumberFormat="1" applyFont="1" applyBorder="1" applyAlignment="1"/>
    <xf numFmtId="164" fontId="4" fillId="0" borderId="44" xfId="0" applyNumberFormat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2" fillId="7" borderId="70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4" fillId="7" borderId="9" xfId="0" applyFont="1" applyFill="1" applyBorder="1" applyAlignment="1">
      <alignment horizontal="center"/>
    </xf>
    <xf numFmtId="0" fontId="2" fillId="0" borderId="76" xfId="0" applyFont="1" applyBorder="1" applyAlignment="1">
      <alignment horizontal="center" wrapText="1"/>
    </xf>
    <xf numFmtId="0" fontId="2" fillId="7" borderId="13" xfId="0" applyFont="1" applyFill="1" applyBorder="1" applyAlignment="1">
      <alignment horizontal="center"/>
    </xf>
    <xf numFmtId="0" fontId="16" fillId="0" borderId="0" xfId="0" applyFont="1" applyAlignment="1"/>
    <xf numFmtId="0" fontId="2" fillId="8" borderId="33" xfId="0" applyFont="1" applyFill="1" applyBorder="1" applyAlignment="1">
      <alignment horizontal="center"/>
    </xf>
    <xf numFmtId="0" fontId="2" fillId="0" borderId="78" xfId="0" applyFont="1" applyBorder="1" applyAlignment="1">
      <alignment horizontal="center"/>
    </xf>
    <xf numFmtId="0" fontId="4" fillId="7" borderId="54" xfId="0" applyFont="1" applyFill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79" xfId="0" applyFont="1" applyBorder="1" applyAlignment="1">
      <alignment horizontal="center"/>
    </xf>
    <xf numFmtId="0" fontId="2" fillId="0" borderId="80" xfId="0" applyFont="1" applyBorder="1" applyAlignment="1">
      <alignment horizontal="center"/>
    </xf>
    <xf numFmtId="0" fontId="2" fillId="0" borderId="81" xfId="0" applyFont="1" applyBorder="1" applyAlignment="1">
      <alignment horizontal="center"/>
    </xf>
    <xf numFmtId="0" fontId="4" fillId="7" borderId="81" xfId="0" applyFont="1" applyFill="1" applyBorder="1" applyAlignment="1">
      <alignment horizontal="center"/>
    </xf>
    <xf numFmtId="164" fontId="4" fillId="0" borderId="81" xfId="0" applyNumberFormat="1" applyFont="1" applyBorder="1" applyAlignment="1">
      <alignment horizontal="center"/>
    </xf>
    <xf numFmtId="164" fontId="2" fillId="0" borderId="82" xfId="0" applyNumberFormat="1" applyFont="1" applyBorder="1" applyAlignment="1">
      <alignment horizontal="center"/>
    </xf>
    <xf numFmtId="0" fontId="2" fillId="0" borderId="83" xfId="0" applyFont="1" applyBorder="1" applyAlignment="1">
      <alignment horizontal="center"/>
    </xf>
    <xf numFmtId="0" fontId="5" fillId="0" borderId="49" xfId="0" applyFont="1" applyBorder="1" applyAlignment="1"/>
    <xf numFmtId="0" fontId="3" fillId="0" borderId="50" xfId="0" applyFont="1" applyBorder="1" applyAlignment="1"/>
    <xf numFmtId="0" fontId="3" fillId="0" borderId="51" xfId="0" applyFont="1" applyBorder="1" applyAlignment="1"/>
    <xf numFmtId="164" fontId="3" fillId="0" borderId="50" xfId="0" applyNumberFormat="1" applyFont="1" applyBorder="1" applyAlignment="1"/>
    <xf numFmtId="0" fontId="5" fillId="0" borderId="6" xfId="0" applyFont="1" applyBorder="1" applyAlignment="1"/>
    <xf numFmtId="0" fontId="3" fillId="0" borderId="8" xfId="0" applyFont="1" applyBorder="1" applyAlignment="1"/>
    <xf numFmtId="0" fontId="3" fillId="0" borderId="7" xfId="0" applyFont="1" applyBorder="1" applyAlignment="1"/>
    <xf numFmtId="164" fontId="3" fillId="0" borderId="8" xfId="0" applyNumberFormat="1" applyFont="1" applyBorder="1" applyAlignment="1"/>
    <xf numFmtId="1" fontId="3" fillId="0" borderId="8" xfId="0" applyNumberFormat="1" applyFont="1" applyBorder="1" applyAlignment="1"/>
    <xf numFmtId="0" fontId="7" fillId="0" borderId="42" xfId="0" applyFont="1" applyFill="1" applyBorder="1" applyAlignment="1">
      <alignment horizontal="center"/>
    </xf>
    <xf numFmtId="0" fontId="3" fillId="0" borderId="42" xfId="0" applyFont="1" applyBorder="1"/>
    <xf numFmtId="0" fontId="0" fillId="0" borderId="0" xfId="0" applyFont="1" applyAlignment="1"/>
    <xf numFmtId="0" fontId="2" fillId="3" borderId="42" xfId="0" applyFont="1" applyFill="1" applyBorder="1" applyAlignment="1">
      <alignment horizontal="center"/>
    </xf>
    <xf numFmtId="1" fontId="4" fillId="7" borderId="10" xfId="0" applyNumberFormat="1" applyFont="1" applyFill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2" borderId="70" xfId="0" applyFont="1" applyFill="1" applyBorder="1" applyAlignment="1"/>
    <xf numFmtId="0" fontId="0" fillId="0" borderId="70" xfId="0" applyFont="1" applyBorder="1" applyAlignment="1"/>
    <xf numFmtId="1" fontId="6" fillId="0" borderId="10" xfId="0" applyNumberFormat="1" applyFont="1" applyBorder="1" applyAlignment="1">
      <alignment horizontal="center"/>
    </xf>
    <xf numFmtId="1" fontId="2" fillId="0" borderId="67" xfId="0" applyNumberFormat="1" applyFont="1" applyBorder="1" applyAlignment="1">
      <alignment horizontal="center"/>
    </xf>
    <xf numFmtId="1" fontId="2" fillId="0" borderId="34" xfId="0" applyNumberFormat="1" applyFont="1" applyBorder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0" fillId="7" borderId="0" xfId="0" applyFont="1" applyFill="1" applyAlignment="1"/>
    <xf numFmtId="0" fontId="2" fillId="2" borderId="42" xfId="0" applyFont="1" applyFill="1" applyBorder="1" applyAlignment="1"/>
    <xf numFmtId="0" fontId="2" fillId="0" borderId="42" xfId="0" applyFont="1" applyBorder="1" applyAlignment="1">
      <alignment horizontal="center"/>
    </xf>
    <xf numFmtId="0" fontId="5" fillId="0" borderId="70" xfId="0" applyFont="1" applyBorder="1" applyAlignment="1">
      <alignment vertical="center"/>
    </xf>
    <xf numFmtId="1" fontId="2" fillId="2" borderId="70" xfId="0" applyNumberFormat="1" applyFont="1" applyFill="1" applyBorder="1" applyAlignment="1"/>
    <xf numFmtId="0" fontId="4" fillId="0" borderId="42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84" xfId="0" applyFont="1" applyBorder="1" applyAlignment="1">
      <alignment horizontal="center"/>
    </xf>
    <xf numFmtId="0" fontId="4" fillId="8" borderId="34" xfId="0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7" fillId="0" borderId="9" xfId="0" applyNumberFormat="1" applyFont="1" applyBorder="1" applyAlignment="1">
      <alignment horizontal="center"/>
    </xf>
    <xf numFmtId="1" fontId="2" fillId="0" borderId="70" xfId="0" applyNumberFormat="1" applyFont="1" applyBorder="1" applyAlignment="1">
      <alignment horizontal="center"/>
    </xf>
    <xf numFmtId="0" fontId="2" fillId="7" borderId="0" xfId="0" applyFont="1" applyFill="1" applyAlignment="1">
      <alignment horizontal="center"/>
    </xf>
    <xf numFmtId="2" fontId="5" fillId="0" borderId="70" xfId="0" applyNumberFormat="1" applyFont="1" applyBorder="1" applyAlignment="1">
      <alignment vertical="center"/>
    </xf>
    <xf numFmtId="1" fontId="2" fillId="8" borderId="70" xfId="0" applyNumberFormat="1" applyFont="1" applyFill="1" applyBorder="1" applyAlignment="1">
      <alignment horizontal="center"/>
    </xf>
    <xf numFmtId="0" fontId="1" fillId="0" borderId="42" xfId="2"/>
    <xf numFmtId="0" fontId="23" fillId="0" borderId="42" xfId="2" applyFont="1"/>
    <xf numFmtId="0" fontId="23" fillId="0" borderId="85" xfId="2" applyFont="1" applyBorder="1"/>
    <xf numFmtId="169" fontId="23" fillId="0" borderId="86" xfId="2" applyNumberFormat="1" applyFont="1" applyBorder="1" applyAlignment="1">
      <alignment horizontal="left"/>
    </xf>
    <xf numFmtId="0" fontId="24" fillId="0" borderId="87" xfId="2" applyFont="1" applyBorder="1" applyAlignment="1">
      <alignment horizontal="left"/>
    </xf>
    <xf numFmtId="0" fontId="23" fillId="0" borderId="88" xfId="2" applyFont="1" applyBorder="1"/>
    <xf numFmtId="169" fontId="23" fillId="0" borderId="89" xfId="2" applyNumberFormat="1" applyFont="1" applyBorder="1" applyAlignment="1">
      <alignment horizontal="left"/>
    </xf>
    <xf numFmtId="0" fontId="24" fillId="0" borderId="90" xfId="2" applyFont="1" applyBorder="1" applyAlignment="1">
      <alignment horizontal="left"/>
    </xf>
    <xf numFmtId="170" fontId="23" fillId="0" borderId="89" xfId="2" applyNumberFormat="1" applyFont="1" applyBorder="1" applyAlignment="1">
      <alignment horizontal="left"/>
    </xf>
    <xf numFmtId="0" fontId="23" fillId="0" borderId="89" xfId="2" applyFont="1" applyBorder="1" applyAlignment="1">
      <alignment horizontal="left"/>
    </xf>
    <xf numFmtId="0" fontId="23" fillId="0" borderId="91" xfId="2" applyFont="1" applyBorder="1"/>
    <xf numFmtId="0" fontId="23" fillId="0" borderId="92" xfId="2" applyFont="1" applyBorder="1" applyAlignment="1">
      <alignment horizontal="left"/>
    </xf>
    <xf numFmtId="0" fontId="24" fillId="0" borderId="93" xfId="2" applyFont="1" applyBorder="1" applyAlignment="1">
      <alignment horizontal="left"/>
    </xf>
    <xf numFmtId="0" fontId="19" fillId="10" borderId="94" xfId="2" applyFont="1" applyFill="1" applyBorder="1"/>
    <xf numFmtId="0" fontId="19" fillId="10" borderId="42" xfId="2" applyFont="1" applyFill="1"/>
    <xf numFmtId="0" fontId="19" fillId="10" borderId="95" xfId="2" applyFont="1" applyFill="1" applyBorder="1"/>
    <xf numFmtId="0" fontId="25" fillId="0" borderId="42" xfId="2" applyFont="1" applyAlignment="1">
      <alignment horizontal="left"/>
    </xf>
    <xf numFmtId="0" fontId="25" fillId="0" borderId="42" xfId="2" applyFont="1"/>
    <xf numFmtId="0" fontId="23" fillId="0" borderId="42" xfId="2" applyFont="1" applyAlignment="1">
      <alignment shrinkToFit="1"/>
    </xf>
    <xf numFmtId="0" fontId="1" fillId="0" borderId="42" xfId="2" applyAlignment="1">
      <alignment horizontal="left" indent="1"/>
    </xf>
    <xf numFmtId="0" fontId="26" fillId="0" borderId="42" xfId="2" applyFont="1" applyAlignment="1">
      <alignment horizontal="right"/>
    </xf>
    <xf numFmtId="170" fontId="1" fillId="0" borderId="42" xfId="2" applyNumberFormat="1" applyAlignment="1">
      <alignment horizontal="left" indent="1"/>
    </xf>
    <xf numFmtId="170" fontId="23" fillId="0" borderId="42" xfId="2" applyNumberFormat="1" applyFont="1" applyAlignment="1">
      <alignment horizontal="left"/>
    </xf>
    <xf numFmtId="0" fontId="23" fillId="0" borderId="42" xfId="2" applyFont="1" applyAlignment="1">
      <alignment horizontal="left"/>
    </xf>
    <xf numFmtId="0" fontId="27" fillId="0" borderId="42" xfId="2" applyFont="1"/>
    <xf numFmtId="0" fontId="23" fillId="0" borderId="42" xfId="2" applyFont="1" applyAlignment="1">
      <alignment horizontal="left" indent="1"/>
    </xf>
    <xf numFmtId="49" fontId="23" fillId="0" borderId="42" xfId="2" applyNumberFormat="1" applyFont="1"/>
    <xf numFmtId="0" fontId="28" fillId="0" borderId="42" xfId="2" applyFont="1" applyAlignment="1">
      <alignment vertical="center"/>
    </xf>
    <xf numFmtId="0" fontId="29" fillId="0" borderId="42" xfId="2" applyFont="1" applyAlignment="1">
      <alignment vertical="center"/>
    </xf>
    <xf numFmtId="0" fontId="20" fillId="0" borderId="42" xfId="1" applyBorder="1"/>
    <xf numFmtId="49" fontId="20" fillId="0" borderId="42" xfId="1" applyNumberFormat="1" applyBorder="1"/>
    <xf numFmtId="166" fontId="2" fillId="0" borderId="70" xfId="0" applyNumberFormat="1" applyFont="1" applyBorder="1" applyAlignment="1">
      <alignment horizontal="center"/>
    </xf>
    <xf numFmtId="2" fontId="2" fillId="0" borderId="70" xfId="0" applyNumberFormat="1" applyFont="1" applyBorder="1" applyAlignment="1">
      <alignment horizontal="center"/>
    </xf>
    <xf numFmtId="0" fontId="2" fillId="3" borderId="66" xfId="0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/>
    </xf>
    <xf numFmtId="1" fontId="5" fillId="0" borderId="70" xfId="0" applyNumberFormat="1" applyFont="1" applyBorder="1" applyAlignment="1"/>
    <xf numFmtId="0" fontId="5" fillId="0" borderId="55" xfId="0" applyFont="1" applyBorder="1" applyAlignment="1"/>
    <xf numFmtId="0" fontId="3" fillId="0" borderId="96" xfId="0" applyFont="1" applyBorder="1" applyAlignment="1"/>
    <xf numFmtId="0" fontId="5" fillId="0" borderId="70" xfId="0" applyFont="1" applyBorder="1" applyAlignment="1"/>
    <xf numFmtId="0" fontId="3" fillId="0" borderId="70" xfId="0" applyFont="1" applyBorder="1" applyAlignment="1">
      <alignment horizontal="center"/>
    </xf>
    <xf numFmtId="1" fontId="3" fillId="0" borderId="70" xfId="0" applyNumberFormat="1" applyFont="1" applyBorder="1" applyAlignment="1"/>
    <xf numFmtId="0" fontId="3" fillId="0" borderId="68" xfId="0" applyFont="1" applyBorder="1" applyAlignment="1">
      <alignment horizontal="center"/>
    </xf>
    <xf numFmtId="164" fontId="0" fillId="0" borderId="70" xfId="0" applyNumberFormat="1" applyFont="1" applyBorder="1" applyAlignment="1"/>
    <xf numFmtId="1" fontId="2" fillId="0" borderId="28" xfId="0" applyNumberFormat="1" applyFont="1" applyBorder="1" applyAlignment="1">
      <alignment horizontal="center"/>
    </xf>
    <xf numFmtId="0" fontId="2" fillId="2" borderId="97" xfId="0" applyFont="1" applyFill="1" applyBorder="1" applyAlignment="1"/>
    <xf numFmtId="1" fontId="2" fillId="2" borderId="97" xfId="0" applyNumberFormat="1" applyFont="1" applyFill="1" applyBorder="1" applyAlignment="1"/>
    <xf numFmtId="2" fontId="5" fillId="0" borderId="97" xfId="0" applyNumberFormat="1" applyFont="1" applyBorder="1" applyAlignment="1">
      <alignment vertical="center"/>
    </xf>
    <xf numFmtId="0" fontId="5" fillId="0" borderId="97" xfId="0" applyFont="1" applyBorder="1" applyAlignment="1">
      <alignment vertical="center"/>
    </xf>
    <xf numFmtId="1" fontId="2" fillId="8" borderId="97" xfId="0" applyNumberFormat="1" applyFont="1" applyFill="1" applyBorder="1" applyAlignment="1">
      <alignment horizontal="center"/>
    </xf>
    <xf numFmtId="164" fontId="2" fillId="0" borderId="97" xfId="0" applyNumberFormat="1" applyFont="1" applyBorder="1" applyAlignment="1">
      <alignment horizontal="center"/>
    </xf>
    <xf numFmtId="1" fontId="2" fillId="0" borderId="56" xfId="0" applyNumberFormat="1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164" fontId="4" fillId="0" borderId="28" xfId="0" applyNumberFormat="1" applyFont="1" applyBorder="1" applyAlignment="1">
      <alignment horizontal="center"/>
    </xf>
    <xf numFmtId="164" fontId="6" fillId="0" borderId="28" xfId="0" applyNumberFormat="1" applyFont="1" applyBorder="1" applyAlignment="1">
      <alignment horizontal="center"/>
    </xf>
    <xf numFmtId="0" fontId="2" fillId="3" borderId="48" xfId="0" applyFont="1" applyFill="1" applyBorder="1" applyAlignment="1">
      <alignment horizontal="center"/>
    </xf>
    <xf numFmtId="1" fontId="7" fillId="0" borderId="10" xfId="0" applyNumberFormat="1" applyFont="1" applyBorder="1" applyAlignment="1">
      <alignment horizontal="center"/>
    </xf>
    <xf numFmtId="0" fontId="5" fillId="3" borderId="5" xfId="0" applyFont="1" applyFill="1" applyBorder="1" applyAlignment="1">
      <alignment vertical="center" textRotation="90"/>
    </xf>
    <xf numFmtId="0" fontId="3" fillId="0" borderId="11" xfId="0" applyFont="1" applyBorder="1" applyAlignment="1"/>
    <xf numFmtId="0" fontId="3" fillId="0" borderId="9" xfId="0" applyFont="1" applyBorder="1" applyAlignment="1"/>
    <xf numFmtId="0" fontId="2" fillId="0" borderId="40" xfId="0" applyFont="1" applyBorder="1" applyAlignment="1">
      <alignment horizontal="center"/>
    </xf>
    <xf numFmtId="0" fontId="3" fillId="0" borderId="98" xfId="0" applyFont="1" applyBorder="1" applyAlignment="1"/>
    <xf numFmtId="1" fontId="3" fillId="0" borderId="100" xfId="0" applyNumberFormat="1" applyFont="1" applyBorder="1" applyAlignment="1"/>
    <xf numFmtId="1" fontId="3" fillId="0" borderId="101" xfId="0" applyNumberFormat="1" applyFont="1" applyBorder="1" applyAlignment="1"/>
    <xf numFmtId="0" fontId="2" fillId="0" borderId="99" xfId="0" applyFont="1" applyBorder="1" applyAlignment="1"/>
    <xf numFmtId="0" fontId="3" fillId="0" borderId="99" xfId="0" applyFont="1" applyBorder="1" applyAlignment="1"/>
    <xf numFmtId="164" fontId="2" fillId="0" borderId="102" xfId="0" applyNumberFormat="1" applyFont="1" applyBorder="1" applyAlignment="1">
      <alignment horizontal="center"/>
    </xf>
    <xf numFmtId="164" fontId="5" fillId="0" borderId="97" xfId="0" applyNumberFormat="1" applyFont="1" applyBorder="1" applyAlignment="1">
      <alignment vertical="center"/>
    </xf>
    <xf numFmtId="1" fontId="0" fillId="0" borderId="70" xfId="0" applyNumberFormat="1" applyFont="1" applyBorder="1" applyAlignment="1">
      <alignment horizontal="center"/>
    </xf>
    <xf numFmtId="0" fontId="30" fillId="0" borderId="0" xfId="0" applyFont="1" applyAlignment="1"/>
    <xf numFmtId="0" fontId="5" fillId="0" borderId="28" xfId="0" applyFont="1" applyBorder="1" applyAlignment="1">
      <alignment horizontal="center"/>
    </xf>
    <xf numFmtId="1" fontId="0" fillId="0" borderId="70" xfId="0" applyNumberFormat="1" applyFont="1" applyBorder="1" applyAlignment="1"/>
    <xf numFmtId="0" fontId="0" fillId="0" borderId="106" xfId="0" applyFont="1" applyBorder="1" applyAlignment="1"/>
    <xf numFmtId="0" fontId="16" fillId="0" borderId="106" xfId="0" applyFont="1" applyBorder="1" applyAlignment="1"/>
    <xf numFmtId="0" fontId="5" fillId="12" borderId="108" xfId="0" applyFont="1" applyFill="1" applyBorder="1" applyAlignment="1"/>
    <xf numFmtId="0" fontId="5" fillId="12" borderId="74" xfId="0" applyFont="1" applyFill="1" applyBorder="1" applyAlignment="1">
      <alignment wrapText="1"/>
    </xf>
    <xf numFmtId="0" fontId="5" fillId="12" borderId="74" xfId="0" applyFont="1" applyFill="1" applyBorder="1" applyAlignment="1"/>
    <xf numFmtId="1" fontId="0" fillId="0" borderId="103" xfId="0" applyNumberFormat="1" applyFont="1" applyBorder="1" applyAlignment="1"/>
    <xf numFmtId="1" fontId="0" fillId="0" borderId="105" xfId="0" applyNumberFormat="1" applyFont="1" applyBorder="1" applyAlignment="1"/>
    <xf numFmtId="0" fontId="16" fillId="0" borderId="104" xfId="0" applyFont="1" applyBorder="1" applyAlignment="1"/>
    <xf numFmtId="0" fontId="16" fillId="0" borderId="107" xfId="0" applyFont="1" applyBorder="1" applyAlignment="1"/>
    <xf numFmtId="0" fontId="23" fillId="13" borderId="42" xfId="2" applyFont="1" applyFill="1" applyAlignment="1">
      <alignment wrapText="1"/>
    </xf>
    <xf numFmtId="49" fontId="23" fillId="13" borderId="42" xfId="2" applyNumberFormat="1" applyFont="1" applyFill="1" applyAlignment="1">
      <alignment wrapText="1"/>
    </xf>
    <xf numFmtId="171" fontId="23" fillId="13" borderId="42" xfId="2" applyNumberFormat="1" applyFont="1" applyFill="1" applyAlignment="1">
      <alignment wrapText="1"/>
    </xf>
    <xf numFmtId="172" fontId="23" fillId="13" borderId="42" xfId="2" applyNumberFormat="1" applyFont="1" applyFill="1" applyAlignment="1">
      <alignment wrapText="1"/>
    </xf>
    <xf numFmtId="49" fontId="1" fillId="13" borderId="42" xfId="2" applyNumberFormat="1" applyFill="1" applyAlignment="1">
      <alignment wrapText="1"/>
    </xf>
    <xf numFmtId="0" fontId="1" fillId="13" borderId="42" xfId="2" applyFill="1" applyAlignment="1">
      <alignment wrapText="1"/>
    </xf>
    <xf numFmtId="171" fontId="1" fillId="13" borderId="42" xfId="2" applyNumberFormat="1" applyFill="1" applyAlignment="1">
      <alignment wrapText="1"/>
    </xf>
    <xf numFmtId="49" fontId="1" fillId="14" borderId="42" xfId="2" applyNumberFormat="1" applyFill="1" applyAlignment="1">
      <alignment wrapText="1"/>
    </xf>
    <xf numFmtId="0" fontId="1" fillId="14" borderId="42" xfId="2" applyFill="1" applyAlignment="1">
      <alignment wrapText="1"/>
    </xf>
    <xf numFmtId="0" fontId="23" fillId="14" borderId="42" xfId="2" applyFont="1" applyFill="1" applyAlignment="1">
      <alignment wrapText="1"/>
    </xf>
    <xf numFmtId="171" fontId="23" fillId="14" borderId="42" xfId="2" applyNumberFormat="1" applyFont="1" applyFill="1" applyAlignment="1">
      <alignment wrapText="1"/>
    </xf>
    <xf numFmtId="172" fontId="23" fillId="14" borderId="42" xfId="2" applyNumberFormat="1" applyFont="1" applyFill="1" applyAlignment="1">
      <alignment wrapText="1"/>
    </xf>
    <xf numFmtId="49" fontId="23" fillId="14" borderId="42" xfId="2" applyNumberFormat="1" applyFont="1" applyFill="1" applyAlignment="1">
      <alignment wrapText="1"/>
    </xf>
    <xf numFmtId="2" fontId="1" fillId="15" borderId="42" xfId="0" applyNumberFormat="1" applyFont="1" applyFill="1" applyBorder="1" applyAlignment="1" applyProtection="1"/>
    <xf numFmtId="0" fontId="0" fillId="15" borderId="0" xfId="0" applyFont="1" applyFill="1" applyAlignment="1"/>
    <xf numFmtId="0" fontId="1" fillId="15" borderId="42" xfId="0" applyNumberFormat="1" applyFont="1" applyFill="1" applyBorder="1" applyAlignment="1" applyProtection="1"/>
    <xf numFmtId="171" fontId="1" fillId="15" borderId="42" xfId="0" applyNumberFormat="1" applyFont="1" applyFill="1" applyBorder="1" applyAlignment="1" applyProtection="1"/>
    <xf numFmtId="0" fontId="31" fillId="0" borderId="42" xfId="2" applyFont="1" applyAlignment="1">
      <alignment horizontal="left"/>
    </xf>
    <xf numFmtId="173" fontId="23" fillId="15" borderId="42" xfId="0" applyNumberFormat="1" applyFont="1" applyFill="1" applyBorder="1" applyAlignment="1" applyProtection="1"/>
    <xf numFmtId="173" fontId="1" fillId="0" borderId="42" xfId="2" applyNumberFormat="1"/>
    <xf numFmtId="174" fontId="23" fillId="14" borderId="42" xfId="2" applyNumberFormat="1" applyFont="1" applyFill="1" applyAlignment="1">
      <alignment wrapText="1"/>
    </xf>
    <xf numFmtId="174" fontId="23" fillId="13" borderId="42" xfId="2" applyNumberFormat="1" applyFont="1" applyFill="1" applyAlignment="1">
      <alignment wrapText="1"/>
    </xf>
    <xf numFmtId="174" fontId="1" fillId="13" borderId="42" xfId="2" applyNumberFormat="1" applyFill="1" applyAlignment="1">
      <alignment wrapText="1"/>
    </xf>
    <xf numFmtId="174" fontId="23" fillId="15" borderId="42" xfId="0" applyNumberFormat="1" applyFont="1" applyFill="1" applyBorder="1" applyAlignment="1" applyProtection="1"/>
    <xf numFmtId="0" fontId="2" fillId="3" borderId="6" xfId="0" applyFont="1" applyFill="1" applyBorder="1" applyAlignment="1">
      <alignment horizontal="center"/>
    </xf>
    <xf numFmtId="0" fontId="3" fillId="0" borderId="8" xfId="0" applyFont="1" applyBorder="1"/>
    <xf numFmtId="0" fontId="3" fillId="0" borderId="7" xfId="0" applyFont="1" applyBorder="1"/>
    <xf numFmtId="0" fontId="2" fillId="0" borderId="5" xfId="0" applyFont="1" applyBorder="1" applyAlignment="1">
      <alignment horizontal="center" vertical="center" wrapText="1"/>
    </xf>
    <xf numFmtId="0" fontId="3" fillId="0" borderId="11" xfId="0" applyFont="1" applyBorder="1"/>
    <xf numFmtId="0" fontId="3" fillId="0" borderId="9" xfId="0" applyFont="1" applyBorder="1"/>
    <xf numFmtId="0" fontId="2" fillId="0" borderId="17" xfId="0" applyFont="1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/>
    <xf numFmtId="0" fontId="4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1" fontId="5" fillId="0" borderId="55" xfId="0" applyNumberFormat="1" applyFont="1" applyBorder="1" applyAlignment="1">
      <alignment horizontal="center"/>
    </xf>
    <xf numFmtId="2" fontId="2" fillId="7" borderId="5" xfId="0" applyNumberFormat="1" applyFont="1" applyFill="1" applyBorder="1" applyAlignment="1">
      <alignment horizontal="center" vertical="center"/>
    </xf>
    <xf numFmtId="0" fontId="3" fillId="7" borderId="9" xfId="0" applyFont="1" applyFill="1" applyBorder="1"/>
    <xf numFmtId="0" fontId="4" fillId="0" borderId="14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2" fillId="0" borderId="14" xfId="0" applyFont="1" applyBorder="1" applyAlignment="1">
      <alignment horizontal="center"/>
    </xf>
    <xf numFmtId="0" fontId="3" fillId="0" borderId="66" xfId="0" applyFont="1" applyBorder="1"/>
    <xf numFmtId="0" fontId="2" fillId="0" borderId="5" xfId="0" applyFont="1" applyBorder="1" applyAlignment="1">
      <alignment horizontal="center" vertical="center"/>
    </xf>
    <xf numFmtId="0" fontId="3" fillId="0" borderId="69" xfId="0" applyFont="1" applyBorder="1"/>
    <xf numFmtId="0" fontId="3" fillId="0" borderId="56" xfId="0" applyFont="1" applyBorder="1"/>
    <xf numFmtId="0" fontId="2" fillId="0" borderId="28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 vertical="center" wrapText="1"/>
    </xf>
    <xf numFmtId="0" fontId="2" fillId="4" borderId="41" xfId="0" applyFont="1" applyFill="1" applyBorder="1" applyAlignment="1">
      <alignment horizontal="left"/>
    </xf>
    <xf numFmtId="0" fontId="3" fillId="0" borderId="42" xfId="0" applyFont="1" applyBorder="1"/>
    <xf numFmtId="0" fontId="3" fillId="0" borderId="43" xfId="0" applyFont="1" applyBorder="1"/>
    <xf numFmtId="0" fontId="2" fillId="3" borderId="25" xfId="0" applyFont="1" applyFill="1" applyBorder="1" applyAlignment="1">
      <alignment horizontal="center" vertical="center" wrapText="1"/>
    </xf>
    <xf numFmtId="0" fontId="16" fillId="0" borderId="77" xfId="0" applyFont="1" applyBorder="1" applyAlignment="1">
      <alignment horizontal="center" vertical="center" textRotation="255" wrapText="1"/>
    </xf>
    <xf numFmtId="0" fontId="0" fillId="0" borderId="77" xfId="0" applyFont="1" applyBorder="1" applyAlignment="1">
      <alignment horizontal="center" vertical="center" textRotation="255" wrapText="1"/>
    </xf>
    <xf numFmtId="0" fontId="2" fillId="3" borderId="22" xfId="0" applyFont="1" applyFill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2" fillId="3" borderId="21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6" xfId="0" applyFont="1" applyBorder="1"/>
    <xf numFmtId="0" fontId="2" fillId="4" borderId="44" xfId="0" applyFont="1" applyFill="1" applyBorder="1" applyAlignment="1">
      <alignment horizontal="left"/>
    </xf>
    <xf numFmtId="0" fontId="3" fillId="0" borderId="45" xfId="0" applyFont="1" applyBorder="1"/>
    <xf numFmtId="0" fontId="3" fillId="0" borderId="46" xfId="0" applyFont="1" applyBorder="1"/>
    <xf numFmtId="0" fontId="3" fillId="0" borderId="47" xfId="0" applyFont="1" applyBorder="1"/>
    <xf numFmtId="0" fontId="2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3" fillId="0" borderId="48" xfId="0" applyFont="1" applyBorder="1"/>
    <xf numFmtId="0" fontId="2" fillId="3" borderId="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5" fillId="2" borderId="109" xfId="0" applyFont="1" applyFill="1" applyBorder="1" applyAlignment="1">
      <alignment horizontal="center"/>
    </xf>
    <xf numFmtId="0" fontId="5" fillId="2" borderId="110" xfId="0" applyFont="1" applyFill="1" applyBorder="1" applyAlignment="1">
      <alignment horizontal="center"/>
    </xf>
    <xf numFmtId="0" fontId="5" fillId="2" borderId="111" xfId="0" applyFont="1" applyFill="1" applyBorder="1" applyAlignment="1">
      <alignment horizontal="center"/>
    </xf>
    <xf numFmtId="0" fontId="5" fillId="2" borderId="112" xfId="0" applyFont="1" applyFill="1" applyBorder="1" applyAlignment="1">
      <alignment horizontal="center"/>
    </xf>
    <xf numFmtId="0" fontId="5" fillId="2" borderId="113" xfId="0" applyFont="1" applyFill="1" applyBorder="1" applyAlignment="1">
      <alignment horizontal="center"/>
    </xf>
    <xf numFmtId="0" fontId="12" fillId="2" borderId="114" xfId="0" applyFont="1" applyFill="1" applyBorder="1" applyAlignment="1">
      <alignment horizontal="center"/>
    </xf>
    <xf numFmtId="0" fontId="12" fillId="2" borderId="115" xfId="0" applyFont="1" applyFill="1" applyBorder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5" fillId="3" borderId="6" xfId="0" applyFont="1" applyFill="1" applyBorder="1" applyAlignment="1">
      <alignment horizontal="left"/>
    </xf>
    <xf numFmtId="0" fontId="3" fillId="0" borderId="68" xfId="0" applyFont="1" applyBorder="1"/>
    <xf numFmtId="0" fontId="3" fillId="0" borderId="96" xfId="0" applyFont="1" applyBorder="1"/>
    <xf numFmtId="0" fontId="5" fillId="3" borderId="5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3" fillId="0" borderId="44" xfId="0" applyFont="1" applyBorder="1"/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5" fillId="3" borderId="6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left"/>
    </xf>
    <xf numFmtId="0" fontId="3" fillId="0" borderId="68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2" fillId="3" borderId="52" xfId="0" applyFont="1" applyFill="1" applyBorder="1" applyAlignment="1">
      <alignment horizontal="center" vertical="center" wrapText="1"/>
    </xf>
    <xf numFmtId="0" fontId="3" fillId="0" borderId="53" xfId="0" applyFont="1" applyBorder="1"/>
    <xf numFmtId="0" fontId="2" fillId="3" borderId="21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2" fillId="5" borderId="5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5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2" fillId="3" borderId="2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textRotation="90"/>
    </xf>
    <xf numFmtId="0" fontId="10" fillId="3" borderId="61" xfId="0" applyFont="1" applyFill="1" applyBorder="1" applyAlignment="1">
      <alignment horizontal="center" vertical="center" textRotation="90"/>
    </xf>
    <xf numFmtId="0" fontId="3" fillId="0" borderId="62" xfId="0" applyFont="1" applyBorder="1"/>
    <xf numFmtId="0" fontId="3" fillId="0" borderId="63" xfId="0" applyFont="1" applyBorder="1"/>
    <xf numFmtId="0" fontId="2" fillId="0" borderId="3" xfId="0" applyFont="1" applyBorder="1" applyAlignment="1">
      <alignment horizontal="left"/>
    </xf>
    <xf numFmtId="0" fontId="2" fillId="3" borderId="57" xfId="0" applyFont="1" applyFill="1" applyBorder="1" applyAlignment="1">
      <alignment horizontal="center" vertical="center" wrapText="1"/>
    </xf>
    <xf numFmtId="0" fontId="3" fillId="0" borderId="58" xfId="0" applyFont="1" applyBorder="1"/>
    <xf numFmtId="0" fontId="3" fillId="0" borderId="59" xfId="0" applyFont="1" applyBorder="1"/>
    <xf numFmtId="0" fontId="3" fillId="0" borderId="60" xfId="0" applyFont="1" applyBorder="1"/>
    <xf numFmtId="0" fontId="2" fillId="3" borderId="2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3" borderId="66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0" borderId="6" xfId="0" applyFont="1" applyBorder="1" applyAlignment="1">
      <alignment horizontal="right" vertical="center"/>
    </xf>
    <xf numFmtId="168" fontId="4" fillId="0" borderId="6" xfId="0" applyNumberFormat="1" applyFont="1" applyBorder="1" applyAlignment="1">
      <alignment horizontal="right"/>
    </xf>
    <xf numFmtId="0" fontId="12" fillId="3" borderId="5" xfId="0" applyFont="1" applyFill="1" applyBorder="1" applyAlignment="1">
      <alignment horizontal="center" vertical="center"/>
    </xf>
  </cellXfs>
  <cellStyles count="3">
    <cellStyle name="Hiperlink" xfId="1" builtinId="8"/>
    <cellStyle name="Normal" xfId="0" builtinId="0"/>
    <cellStyle name="Normal 2" xfId="2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3" formatCode="0\ &quot;KVA&quot;"/>
      <fill>
        <patternFill patternType="solid">
          <fgColor indexed="64"/>
          <bgColor theme="0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u val="none"/>
        <vertAlign val="baseline"/>
        <sz val="10"/>
        <color theme="1"/>
        <name val="Calibri"/>
        <scheme val="minor"/>
      </font>
      <numFmt numFmtId="172" formatCode="#,##0\ &quot;KVA&quot;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4" formatCode="&quot;KVA&quot;"/>
      <fill>
        <patternFill patternType="solid">
          <fgColor indexed="64"/>
          <bgColor theme="0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u val="none"/>
        <vertAlign val="baseline"/>
        <name val="Calibri"/>
        <scheme val="minor"/>
      </font>
      <numFmt numFmtId="174" formatCode="&quot;KVA&quot;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1" formatCode="_(&quot;R$&quot;* #,##0.00_);_(&quot;R$&quot;* \(#,##0.00\);_(&quot;R$&quot;* &quot;-&quot;??_);_(@_)"/>
      <fill>
        <patternFill patternType="solid">
          <fgColor indexed="64"/>
          <bgColor theme="0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u val="none"/>
        <vertAlign val="baseline"/>
        <name val="Calibri"/>
        <scheme val="minor"/>
      </font>
      <numFmt numFmtId="171" formatCode="_(&quot;R$&quot;* #,##0.00_);_(&quot;R$&quot;* \(#,##0.00\);_(&quot;R$&quot;* &quot;-&quot;??_);_(@_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u val="none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u val="none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0" tint="-0.249977111117893"/>
        </patternFill>
      </fill>
      <alignment horizontal="general" vertical="bottom" textRotation="0" wrapText="0" indent="0" justifyLastLine="0" shrinkToFit="0" readingOrder="0"/>
    </dxf>
    <dxf>
      <font>
        <u val="none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u val="none"/>
        <vertAlign val="baseline"/>
        <name val="Calibri"/>
        <scheme val="minor"/>
      </font>
      <numFmt numFmtId="30" formatCode="@"/>
      <alignment horizontal="general" vertical="bottom" textRotation="0" wrapText="1" indent="0" justifyLastLine="0" shrinkToFit="0" readingOrder="0"/>
    </dxf>
    <dxf>
      <font>
        <u val="none"/>
        <vertAlign val="baseline"/>
        <name val="Calibri"/>
        <scheme val="minor"/>
      </font>
      <fill>
        <patternFill patternType="solid">
          <fgColor indexed="64"/>
          <bgColor theme="0" tint="-0.249977111117893"/>
        </patternFill>
      </fill>
    </dxf>
    <dxf>
      <font>
        <u val="none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bottom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dialogsheet" Target="dialogsheets/sheet1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RowColHeaders="0" showZeros="0" showOutlineSymbols="0" workbookViewId="0"/>
  </sheetViews>
  <sheetFormatPr defaultColWidth="1" defaultRowHeight="5.25" customHeight="1" x14ac:dyDescent="0.2"/>
  <sheetProtection sheet="1"/>
  <pageMargins left="0.511811024" right="0.511811024" top="0.78740157499999996" bottom="0.78740157499999996" header="0.31496062000000002" footer="0.31496062000000002"/>
  <legacyDrawing r:id="rId1"/>
</dialog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0</xdr:colOff>
      <xdr:row>5</xdr:row>
      <xdr:rowOff>0</xdr:rowOff>
    </xdr:from>
    <xdr:to>
      <xdr:col>49</xdr:col>
      <xdr:colOff>514350</xdr:colOff>
      <xdr:row>25</xdr:row>
      <xdr:rowOff>142875</xdr:rowOff>
    </xdr:to>
    <xdr:pic>
      <xdr:nvPicPr>
        <xdr:cNvPr id="2" name="Imagem 1" descr="Ensinando como calcular corrente de projeto passo a passo.">
          <a:extLst>
            <a:ext uri="{FF2B5EF4-FFF2-40B4-BE49-F238E27FC236}">
              <a16:creationId xmlns:a16="http://schemas.microsoft.com/office/drawing/2014/main" xmlns="" id="{82E56F4C-56A8-4E2C-8715-D9DE9BFFE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5725" y="819150"/>
          <a:ext cx="6858000" cy="385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27</xdr:row>
      <xdr:rowOff>0</xdr:rowOff>
    </xdr:from>
    <xdr:to>
      <xdr:col>44</xdr:col>
      <xdr:colOff>733424</xdr:colOff>
      <xdr:row>54</xdr:row>
      <xdr:rowOff>38100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8A003275-5EE8-4DBE-95C7-8051D5C96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54975" y="4857750"/>
          <a:ext cx="2886075" cy="441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56</xdr:row>
      <xdr:rowOff>0</xdr:rowOff>
    </xdr:from>
    <xdr:to>
      <xdr:col>47</xdr:col>
      <xdr:colOff>752476</xdr:colOff>
      <xdr:row>89</xdr:row>
      <xdr:rowOff>66675</xdr:rowOff>
    </xdr:to>
    <xdr:pic>
      <xdr:nvPicPr>
        <xdr:cNvPr id="4" name="Imagem 3" descr="Projeto de Transformadores - Núcleo ATS Transformadores">
          <a:extLst>
            <a:ext uri="{FF2B5EF4-FFF2-40B4-BE49-F238E27FC236}">
              <a16:creationId xmlns:a16="http://schemas.microsoft.com/office/drawing/2014/main" xmlns="" id="{29620B47-B304-496F-B4DD-B79C0DBFD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3175" y="9563100"/>
          <a:ext cx="5419725" cy="5781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16</xdr:col>
      <xdr:colOff>420270</xdr:colOff>
      <xdr:row>87</xdr:row>
      <xdr:rowOff>124068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05D460E2-27FA-4E4B-92D3-600774B93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6800" y="13134975"/>
          <a:ext cx="8383170" cy="174331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13</xdr:col>
      <xdr:colOff>343870</xdr:colOff>
      <xdr:row>110</xdr:row>
      <xdr:rowOff>105196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2C11A9C1-3424-4A1D-8000-C6438D88F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6800" y="15240000"/>
          <a:ext cx="6954220" cy="301984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14:H21" totalsRowCount="1" headerRowDxfId="16" dataDxfId="15" totalsRowDxfId="14">
  <autoFilter ref="B14:H20"/>
  <tableColumns count="7">
    <tableColumn id="1" name="Quadro" totalsRowLabel="PADRÃO DE ENERGIA" dataDxfId="13" totalsRowDxfId="12"/>
    <tableColumn id="2" name="Proteção (A)" totalsRowFunction="custom" dataDxfId="11" totalsRowDxfId="10">
      <calculatedColumnFormula>'QC Final'!T34</calculatedColumnFormula>
      <totalsRowFormula>C20</totalsRowFormula>
    </tableColumn>
    <tableColumn id="3" name="Condutor / Fiação (mm²)" totalsRowLabel="95" dataDxfId="9" totalsRowDxfId="8">
      <calculatedColumnFormula>'QC Final'!S34</calculatedColumnFormula>
    </tableColumn>
    <tableColumn id="4" name="Corrente Máxima do Condutor" totalsRowLabel="207A" dataDxfId="7" totalsRowDxfId="6"/>
    <tableColumn id="5" name="Tipo" totalsRowLabel=" C9 Trifásico 220V " dataDxfId="5" totalsRowDxfId="4"/>
    <tableColumn id="6" name="Potência" totalsRowFunction="custom" dataDxfId="3" totalsRowDxfId="2">
      <totalsRowFormula>G20</totalsRowFormula>
    </tableColumn>
    <tableColumn id="7" name="GERADOR SUGERIDO" totalsRowFunction="custom" dataDxfId="1" totalsRowDxfId="0">
      <calculatedColumnFormula>47.63/0.599</calculatedColumnFormula>
      <totalsRowFormula>H20</totalsRowFormula>
    </tableColumn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2.xml"/><Relationship Id="rId2" Type="http://schemas.openxmlformats.org/officeDocument/2006/relationships/hyperlink" Target="http://www.designerengenharia.com.br/" TargetMode="External"/><Relationship Id="rId1" Type="http://schemas.openxmlformats.org/officeDocument/2006/relationships/hyperlink" Target="mailto:iuri.nogueira@designerengenharia.com.br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4.vml"/><Relationship Id="rId4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3"/>
  <sheetViews>
    <sheetView topLeftCell="A10" workbookViewId="0">
      <selection activeCell="U31" sqref="U31"/>
    </sheetView>
  </sheetViews>
  <sheetFormatPr defaultColWidth="12.5703125" defaultRowHeight="15" customHeight="1" x14ac:dyDescent="0.2"/>
  <cols>
    <col min="1" max="1" width="8" customWidth="1"/>
    <col min="2" max="2" width="10" customWidth="1"/>
    <col min="3" max="3" width="15.85546875" customWidth="1"/>
    <col min="4" max="4" width="8.85546875" customWidth="1"/>
    <col min="5" max="5" width="7" customWidth="1"/>
    <col min="6" max="6" width="4.5703125" customWidth="1"/>
    <col min="7" max="7" width="5.5703125" customWidth="1"/>
    <col min="8" max="8" width="4.85546875" customWidth="1"/>
    <col min="9" max="9" width="5.5703125" customWidth="1"/>
    <col min="10" max="10" width="9" customWidth="1"/>
    <col min="11" max="11" width="8" customWidth="1"/>
    <col min="12" max="12" width="7" customWidth="1"/>
    <col min="13" max="13" width="4.85546875" customWidth="1"/>
    <col min="14" max="16" width="5" customWidth="1"/>
    <col min="17" max="17" width="4.5703125" customWidth="1"/>
    <col min="18" max="18" width="5.28515625" customWidth="1"/>
    <col min="19" max="19" width="8" customWidth="1"/>
    <col min="20" max="20" width="11.42578125" customWidth="1"/>
    <col min="21" max="21" width="6.42578125" customWidth="1"/>
    <col min="22" max="22" width="10.85546875" customWidth="1"/>
    <col min="23" max="23" width="5.85546875" customWidth="1"/>
    <col min="24" max="24" width="8" customWidth="1"/>
    <col min="25" max="25" width="9.28515625" customWidth="1"/>
    <col min="26" max="26" width="15.42578125" customWidth="1"/>
    <col min="27" max="28" width="6.42578125" customWidth="1"/>
    <col min="29" max="29" width="6.7109375" customWidth="1"/>
    <col min="30" max="32" width="6.85546875" customWidth="1"/>
    <col min="33" max="33" width="8" customWidth="1"/>
    <col min="34" max="34" width="6.5703125" customWidth="1"/>
    <col min="35" max="35" width="6.85546875" customWidth="1"/>
    <col min="36" max="36" width="8.7109375" customWidth="1"/>
    <col min="37" max="39" width="8" customWidth="1"/>
  </cols>
  <sheetData>
    <row r="1" spans="1:4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46" ht="13.5" customHeight="1" thickBo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46" ht="13.5" customHeight="1" thickBot="1" x14ac:dyDescent="0.25">
      <c r="A3" s="1"/>
      <c r="B3" s="396" t="s">
        <v>406</v>
      </c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  <c r="Q3" s="397"/>
      <c r="R3" s="397"/>
      <c r="S3" s="397"/>
      <c r="T3" s="397"/>
      <c r="U3" s="397"/>
      <c r="V3" s="397"/>
      <c r="W3" s="398"/>
      <c r="X3" s="1"/>
      <c r="Y3" s="396" t="s">
        <v>385</v>
      </c>
      <c r="Z3" s="397"/>
      <c r="AA3" s="397"/>
      <c r="AB3" s="397"/>
      <c r="AC3" s="397"/>
      <c r="AD3" s="397"/>
      <c r="AE3" s="397"/>
      <c r="AF3" s="397"/>
      <c r="AG3" s="397"/>
      <c r="AH3" s="397"/>
      <c r="AI3" s="397"/>
      <c r="AJ3" s="397"/>
      <c r="AK3" s="397"/>
      <c r="AL3" s="397"/>
      <c r="AM3" s="397"/>
      <c r="AN3" s="397"/>
      <c r="AO3" s="397"/>
      <c r="AP3" s="397"/>
      <c r="AQ3" s="397"/>
      <c r="AR3" s="397"/>
      <c r="AS3" s="397"/>
      <c r="AT3" s="398"/>
    </row>
    <row r="4" spans="1:46" ht="12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46" ht="12.75" customHeight="1" x14ac:dyDescent="0.2">
      <c r="A5" s="1"/>
      <c r="B5" s="395" t="s">
        <v>0</v>
      </c>
      <c r="C5" s="395" t="s">
        <v>1</v>
      </c>
      <c r="D5" s="383" t="s">
        <v>2</v>
      </c>
      <c r="E5" s="385"/>
      <c r="F5" s="383" t="s">
        <v>3</v>
      </c>
      <c r="G5" s="384"/>
      <c r="H5" s="384"/>
      <c r="I5" s="384"/>
      <c r="J5" s="384"/>
      <c r="K5" s="385"/>
      <c r="L5" s="383" t="s">
        <v>4</v>
      </c>
      <c r="M5" s="384"/>
      <c r="N5" s="384"/>
      <c r="O5" s="384"/>
      <c r="P5" s="384"/>
      <c r="Q5" s="384"/>
      <c r="R5" s="384"/>
      <c r="S5" s="385"/>
      <c r="T5" s="383" t="s">
        <v>5</v>
      </c>
      <c r="U5" s="384"/>
      <c r="V5" s="384"/>
      <c r="W5" s="385"/>
      <c r="X5" s="1"/>
      <c r="Y5" s="395" t="s">
        <v>0</v>
      </c>
      <c r="Z5" s="395" t="s">
        <v>1</v>
      </c>
      <c r="AA5" s="383" t="s">
        <v>2</v>
      </c>
      <c r="AB5" s="385"/>
      <c r="AC5" s="383" t="s">
        <v>3</v>
      </c>
      <c r="AD5" s="384"/>
      <c r="AE5" s="384"/>
      <c r="AF5" s="384"/>
      <c r="AG5" s="384"/>
      <c r="AH5" s="385"/>
      <c r="AI5" s="383" t="s">
        <v>4</v>
      </c>
      <c r="AJ5" s="384"/>
      <c r="AK5" s="384"/>
      <c r="AL5" s="384"/>
      <c r="AM5" s="384"/>
      <c r="AN5" s="384"/>
      <c r="AO5" s="384"/>
      <c r="AP5" s="385"/>
      <c r="AQ5" s="383" t="s">
        <v>5</v>
      </c>
      <c r="AR5" s="384"/>
      <c r="AS5" s="384"/>
      <c r="AT5" s="385"/>
    </row>
    <row r="6" spans="1:46" ht="42.75" customHeight="1" x14ac:dyDescent="0.2">
      <c r="A6" s="1"/>
      <c r="B6" s="388"/>
      <c r="C6" s="388"/>
      <c r="D6" s="2" t="s">
        <v>6</v>
      </c>
      <c r="E6" s="2" t="s">
        <v>7</v>
      </c>
      <c r="F6" s="2" t="s">
        <v>8</v>
      </c>
      <c r="G6" s="2" t="s">
        <v>9</v>
      </c>
      <c r="H6" s="2" t="s">
        <v>8</v>
      </c>
      <c r="I6" s="2" t="s">
        <v>9</v>
      </c>
      <c r="J6" s="2" t="s">
        <v>10</v>
      </c>
      <c r="K6" s="2" t="s">
        <v>11</v>
      </c>
      <c r="L6" s="2" t="s">
        <v>12</v>
      </c>
      <c r="M6" s="2" t="s">
        <v>8</v>
      </c>
      <c r="N6" s="2" t="s">
        <v>9</v>
      </c>
      <c r="O6" s="2" t="s">
        <v>8</v>
      </c>
      <c r="P6" s="2" t="s">
        <v>9</v>
      </c>
      <c r="Q6" s="2" t="s">
        <v>8</v>
      </c>
      <c r="R6" s="2" t="s">
        <v>9</v>
      </c>
      <c r="S6" s="2" t="s">
        <v>11</v>
      </c>
      <c r="T6" s="2" t="s">
        <v>13</v>
      </c>
      <c r="U6" s="2" t="s">
        <v>14</v>
      </c>
      <c r="V6" s="2" t="s">
        <v>13</v>
      </c>
      <c r="W6" s="2" t="s">
        <v>14</v>
      </c>
      <c r="X6" s="1"/>
      <c r="Y6" s="388"/>
      <c r="Z6" s="388"/>
      <c r="AA6" s="2" t="s">
        <v>6</v>
      </c>
      <c r="AB6" s="2" t="s">
        <v>7</v>
      </c>
      <c r="AC6" s="2" t="s">
        <v>8</v>
      </c>
      <c r="AD6" s="2" t="s">
        <v>9</v>
      </c>
      <c r="AE6" s="2" t="s">
        <v>8</v>
      </c>
      <c r="AF6" s="2" t="s">
        <v>9</v>
      </c>
      <c r="AG6" s="2" t="s">
        <v>10</v>
      </c>
      <c r="AH6" s="2" t="s">
        <v>11</v>
      </c>
      <c r="AI6" s="2" t="s">
        <v>12</v>
      </c>
      <c r="AJ6" s="2" t="s">
        <v>8</v>
      </c>
      <c r="AK6" s="2" t="s">
        <v>9</v>
      </c>
      <c r="AL6" s="2" t="s">
        <v>8</v>
      </c>
      <c r="AM6" s="2" t="s">
        <v>9</v>
      </c>
      <c r="AN6" s="2" t="s">
        <v>8</v>
      </c>
      <c r="AO6" s="2" t="s">
        <v>9</v>
      </c>
      <c r="AP6" s="2" t="s">
        <v>11</v>
      </c>
      <c r="AQ6" s="174" t="s">
        <v>13</v>
      </c>
      <c r="AR6" s="174" t="s">
        <v>14</v>
      </c>
      <c r="AS6" s="174" t="s">
        <v>13</v>
      </c>
      <c r="AT6" s="174" t="s">
        <v>14</v>
      </c>
    </row>
    <row r="7" spans="1:46" ht="12.75" customHeight="1" x14ac:dyDescent="0.2">
      <c r="A7" s="1"/>
      <c r="B7" s="407" t="s">
        <v>378</v>
      </c>
      <c r="C7" s="3" t="s">
        <v>392</v>
      </c>
      <c r="D7" s="400">
        <v>34.195500000000003</v>
      </c>
      <c r="E7" s="159">
        <v>18.48</v>
      </c>
      <c r="F7" s="189">
        <v>1</v>
      </c>
      <c r="G7" s="5">
        <v>100</v>
      </c>
      <c r="H7" s="189">
        <v>2</v>
      </c>
      <c r="I7" s="5">
        <v>300</v>
      </c>
      <c r="J7" s="5">
        <v>0</v>
      </c>
      <c r="K7" s="6">
        <f t="shared" ref="K7:K17" si="0">F7*G7+H7*I7+J7*60</f>
        <v>700</v>
      </c>
      <c r="L7" s="6">
        <f t="shared" ref="L7:L16" si="1">IF(E7&lt;=6,1,ROUNDUP(E7/5,0))</f>
        <v>4</v>
      </c>
      <c r="M7" s="189">
        <v>6</v>
      </c>
      <c r="N7" s="5">
        <v>100</v>
      </c>
      <c r="O7" s="189">
        <v>1</v>
      </c>
      <c r="P7" s="5">
        <v>300</v>
      </c>
      <c r="Q7" s="5">
        <v>0</v>
      </c>
      <c r="R7" s="5">
        <v>0</v>
      </c>
      <c r="S7" s="6">
        <f t="shared" ref="S7:S17" si="2">M7*N7+O7*P7+Q7*R7</f>
        <v>900</v>
      </c>
      <c r="T7" s="410" t="s">
        <v>15</v>
      </c>
      <c r="U7" s="410">
        <v>3600</v>
      </c>
      <c r="V7" s="180" t="s">
        <v>22</v>
      </c>
      <c r="W7" s="192">
        <v>1500</v>
      </c>
      <c r="X7" s="1"/>
      <c r="Y7" s="386" t="s">
        <v>29</v>
      </c>
      <c r="Z7" s="3" t="s">
        <v>415</v>
      </c>
      <c r="AA7" s="159">
        <v>7.06</v>
      </c>
      <c r="AB7" s="160">
        <v>10.28</v>
      </c>
      <c r="AC7" s="189">
        <v>1</v>
      </c>
      <c r="AD7" s="5">
        <v>100</v>
      </c>
      <c r="AE7" s="5">
        <v>0</v>
      </c>
      <c r="AF7" s="5">
        <v>0</v>
      </c>
      <c r="AG7" s="5">
        <v>0</v>
      </c>
      <c r="AH7" s="6">
        <f>AC7*AD7+AE7*AF7+AG7*60</f>
        <v>100</v>
      </c>
      <c r="AI7" s="6">
        <f t="shared" ref="AI7:AI10" si="3">IF(AB7&lt;=6,1,ROUNDUP(AB7/5,0))</f>
        <v>3</v>
      </c>
      <c r="AJ7" s="189">
        <v>2</v>
      </c>
      <c r="AK7" s="5">
        <v>100</v>
      </c>
      <c r="AL7" s="5">
        <v>0</v>
      </c>
      <c r="AM7" s="5">
        <v>0</v>
      </c>
      <c r="AN7" s="5">
        <v>0</v>
      </c>
      <c r="AO7" s="5">
        <v>0</v>
      </c>
      <c r="AP7" s="173">
        <f>AJ7*AK7+AL7*AM7+AN7*AO7</f>
        <v>200</v>
      </c>
      <c r="AQ7" s="176"/>
      <c r="AR7" s="176"/>
      <c r="AS7" s="176"/>
      <c r="AT7" s="176"/>
    </row>
    <row r="8" spans="1:46" ht="12.75" customHeight="1" x14ac:dyDescent="0.2">
      <c r="A8" s="1"/>
      <c r="B8" s="387"/>
      <c r="C8" s="3" t="s">
        <v>391</v>
      </c>
      <c r="D8" s="401"/>
      <c r="E8" s="159">
        <v>14.68</v>
      </c>
      <c r="F8" s="189">
        <v>1</v>
      </c>
      <c r="G8" s="5">
        <v>150</v>
      </c>
      <c r="H8" s="5">
        <v>0</v>
      </c>
      <c r="I8" s="5">
        <v>0</v>
      </c>
      <c r="J8" s="5">
        <v>0</v>
      </c>
      <c r="K8" s="6">
        <f t="shared" si="0"/>
        <v>150</v>
      </c>
      <c r="L8" s="6">
        <f t="shared" si="1"/>
        <v>3</v>
      </c>
      <c r="M8" s="189">
        <v>3</v>
      </c>
      <c r="N8" s="5">
        <v>100</v>
      </c>
      <c r="O8" s="189">
        <v>1</v>
      </c>
      <c r="P8" s="5">
        <v>300</v>
      </c>
      <c r="Q8" s="5">
        <v>0</v>
      </c>
      <c r="R8" s="5">
        <v>0</v>
      </c>
      <c r="S8" s="6">
        <f t="shared" si="2"/>
        <v>600</v>
      </c>
      <c r="T8" s="411"/>
      <c r="U8" s="411"/>
      <c r="V8" s="5"/>
      <c r="W8" s="5"/>
      <c r="X8" s="1"/>
      <c r="Y8" s="387"/>
      <c r="Z8" s="3" t="s">
        <v>416</v>
      </c>
      <c r="AA8" s="159">
        <v>2.25</v>
      </c>
      <c r="AB8" s="160">
        <v>6</v>
      </c>
      <c r="AC8" s="189">
        <v>1</v>
      </c>
      <c r="AD8" s="5">
        <v>100</v>
      </c>
      <c r="AE8" s="5">
        <v>0</v>
      </c>
      <c r="AF8" s="5">
        <v>60</v>
      </c>
      <c r="AG8" s="5">
        <v>0</v>
      </c>
      <c r="AH8" s="6">
        <f>AC8*AD8+AE8*AF8+AG8*60</f>
        <v>100</v>
      </c>
      <c r="AI8" s="6">
        <f t="shared" si="3"/>
        <v>1</v>
      </c>
      <c r="AJ8" s="189">
        <v>1</v>
      </c>
      <c r="AK8" s="5">
        <v>100</v>
      </c>
      <c r="AL8" s="5">
        <v>0</v>
      </c>
      <c r="AM8" s="5">
        <v>0</v>
      </c>
      <c r="AN8" s="5">
        <v>0</v>
      </c>
      <c r="AO8" s="5">
        <v>0</v>
      </c>
      <c r="AP8" s="173">
        <f>AJ8*AK8+AL8*AM8+AN8*AO8</f>
        <v>100</v>
      </c>
      <c r="AQ8" s="188" t="s">
        <v>418</v>
      </c>
      <c r="AR8" s="188" t="s">
        <v>419</v>
      </c>
      <c r="AS8" s="177"/>
      <c r="AT8" s="177"/>
    </row>
    <row r="9" spans="1:46" ht="12.75" customHeight="1" x14ac:dyDescent="0.2">
      <c r="A9" s="1"/>
      <c r="B9" s="387"/>
      <c r="C9" s="3" t="s">
        <v>379</v>
      </c>
      <c r="D9" s="159">
        <v>12.8</v>
      </c>
      <c r="E9" s="159">
        <v>14.32</v>
      </c>
      <c r="F9" s="189">
        <v>7</v>
      </c>
      <c r="G9" s="5">
        <v>50</v>
      </c>
      <c r="H9" s="5">
        <v>0</v>
      </c>
      <c r="I9" s="5">
        <v>0</v>
      </c>
      <c r="J9" s="5">
        <v>0</v>
      </c>
      <c r="K9" s="6">
        <f t="shared" si="0"/>
        <v>350</v>
      </c>
      <c r="L9" s="6">
        <f t="shared" si="1"/>
        <v>3</v>
      </c>
      <c r="M9" s="189">
        <v>5</v>
      </c>
      <c r="N9" s="5">
        <v>100</v>
      </c>
      <c r="O9" s="5">
        <v>0</v>
      </c>
      <c r="P9" s="5">
        <v>500</v>
      </c>
      <c r="Q9" s="5">
        <v>0</v>
      </c>
      <c r="R9" s="5">
        <v>0</v>
      </c>
      <c r="S9" s="6">
        <f t="shared" si="2"/>
        <v>500</v>
      </c>
      <c r="T9" s="410" t="s">
        <v>15</v>
      </c>
      <c r="U9" s="410">
        <v>4500</v>
      </c>
      <c r="V9" s="5"/>
      <c r="W9" s="5"/>
      <c r="X9" s="1"/>
      <c r="Y9" s="387"/>
      <c r="Z9" s="3" t="s">
        <v>417</v>
      </c>
      <c r="AA9" s="159">
        <v>578.20000000000005</v>
      </c>
      <c r="AB9" s="4"/>
      <c r="AC9" s="189">
        <v>6</v>
      </c>
      <c r="AD9" s="5">
        <v>100</v>
      </c>
      <c r="AE9" s="5">
        <v>0</v>
      </c>
      <c r="AF9" s="5">
        <v>0</v>
      </c>
      <c r="AG9" s="189">
        <v>5</v>
      </c>
      <c r="AH9" s="6">
        <f>AC9*AD9+AE9*AF9+AG9*60</f>
        <v>900</v>
      </c>
      <c r="AI9" s="6">
        <f t="shared" si="3"/>
        <v>1</v>
      </c>
      <c r="AJ9" s="189">
        <v>1</v>
      </c>
      <c r="AK9" s="5">
        <v>100</v>
      </c>
      <c r="AL9" s="5">
        <v>0</v>
      </c>
      <c r="AM9" s="5">
        <v>0</v>
      </c>
      <c r="AN9" s="5">
        <v>0</v>
      </c>
      <c r="AO9" s="5">
        <v>0</v>
      </c>
      <c r="AP9" s="173">
        <f>AJ9*AK9+AL9*AM9+AN9*AO9</f>
        <v>100</v>
      </c>
      <c r="AQ9" s="175"/>
      <c r="AR9" s="175"/>
      <c r="AS9" s="175"/>
      <c r="AT9" s="175"/>
    </row>
    <row r="10" spans="1:46" ht="12.75" customHeight="1" x14ac:dyDescent="0.2">
      <c r="A10" s="1"/>
      <c r="B10" s="387"/>
      <c r="C10" s="3" t="s">
        <v>380</v>
      </c>
      <c r="D10" s="159">
        <v>9.59</v>
      </c>
      <c r="E10" s="159">
        <v>12.52</v>
      </c>
      <c r="F10" s="189">
        <v>4</v>
      </c>
      <c r="G10" s="5">
        <v>50</v>
      </c>
      <c r="H10" s="189">
        <v>1</v>
      </c>
      <c r="I10" s="5">
        <v>100</v>
      </c>
      <c r="J10" s="189">
        <v>2</v>
      </c>
      <c r="K10" s="6">
        <f t="shared" si="0"/>
        <v>420</v>
      </c>
      <c r="L10" s="6">
        <f t="shared" si="1"/>
        <v>3</v>
      </c>
      <c r="M10" s="189">
        <v>5</v>
      </c>
      <c r="N10" s="5">
        <v>100</v>
      </c>
      <c r="O10" s="5">
        <v>0</v>
      </c>
      <c r="P10" s="5">
        <v>300</v>
      </c>
      <c r="Q10" s="5">
        <v>0</v>
      </c>
      <c r="R10" s="5">
        <v>0</v>
      </c>
      <c r="S10" s="6">
        <f t="shared" si="2"/>
        <v>500</v>
      </c>
      <c r="T10" s="411"/>
      <c r="U10" s="411"/>
      <c r="V10" s="5"/>
      <c r="W10" s="5"/>
      <c r="X10" s="1"/>
      <c r="Y10" s="386" t="s">
        <v>413</v>
      </c>
      <c r="Z10" s="3" t="s">
        <v>386</v>
      </c>
      <c r="AA10" s="159">
        <v>47</v>
      </c>
      <c r="AB10" s="160">
        <v>27.7</v>
      </c>
      <c r="AC10" s="5">
        <v>0</v>
      </c>
      <c r="AD10" s="5">
        <v>100</v>
      </c>
      <c r="AE10" s="5">
        <v>0</v>
      </c>
      <c r="AF10" s="5">
        <v>100</v>
      </c>
      <c r="AG10" s="5">
        <v>0</v>
      </c>
      <c r="AH10" s="6">
        <f t="shared" ref="AH10:AH14" si="4">AC10*AD10+AE10*AF10+AG10*60</f>
        <v>0</v>
      </c>
      <c r="AI10" s="6">
        <f t="shared" si="3"/>
        <v>6</v>
      </c>
      <c r="AJ10" s="5">
        <v>0</v>
      </c>
      <c r="AK10" s="5">
        <v>100</v>
      </c>
      <c r="AL10" s="5">
        <v>0</v>
      </c>
      <c r="AM10" s="5">
        <v>600</v>
      </c>
      <c r="AN10" s="5">
        <v>0</v>
      </c>
      <c r="AO10" s="5">
        <v>0</v>
      </c>
      <c r="AP10" s="6">
        <f t="shared" ref="AP10:AP14" si="5">AJ10*AK10+AL10*AM10+AN10*AO10</f>
        <v>0</v>
      </c>
      <c r="AQ10" s="30"/>
      <c r="AR10" s="30"/>
      <c r="AS10" s="30"/>
      <c r="AT10" s="30"/>
    </row>
    <row r="11" spans="1:46" ht="12.75" customHeight="1" x14ac:dyDescent="0.2">
      <c r="A11" s="1"/>
      <c r="B11" s="387"/>
      <c r="C11" s="3" t="s">
        <v>381</v>
      </c>
      <c r="D11" s="159">
        <v>3.92</v>
      </c>
      <c r="E11" s="159">
        <v>7.92</v>
      </c>
      <c r="F11" s="189">
        <v>2</v>
      </c>
      <c r="G11" s="5">
        <v>60</v>
      </c>
      <c r="H11" s="5">
        <v>0</v>
      </c>
      <c r="I11" s="5">
        <v>0</v>
      </c>
      <c r="J11" s="5">
        <v>0</v>
      </c>
      <c r="K11" s="6">
        <f t="shared" si="0"/>
        <v>120</v>
      </c>
      <c r="L11" s="6">
        <f t="shared" si="1"/>
        <v>2</v>
      </c>
      <c r="M11" s="189">
        <v>1</v>
      </c>
      <c r="N11" s="5">
        <v>100</v>
      </c>
      <c r="O11" s="5">
        <v>0</v>
      </c>
      <c r="P11" s="5">
        <v>0</v>
      </c>
      <c r="Q11" s="5">
        <v>0</v>
      </c>
      <c r="R11" s="5">
        <v>0</v>
      </c>
      <c r="S11" s="6">
        <f t="shared" si="2"/>
        <v>100</v>
      </c>
      <c r="T11" s="5"/>
      <c r="U11" s="5"/>
      <c r="V11" s="5"/>
      <c r="W11" s="5"/>
      <c r="X11" s="1"/>
      <c r="Y11" s="387"/>
      <c r="Z11" s="3" t="s">
        <v>35</v>
      </c>
      <c r="AA11" s="159">
        <v>36.94</v>
      </c>
      <c r="AB11" s="160">
        <v>24.32</v>
      </c>
      <c r="AC11" s="189">
        <v>14</v>
      </c>
      <c r="AD11" s="5">
        <v>50</v>
      </c>
      <c r="AE11" s="5">
        <v>0</v>
      </c>
      <c r="AF11" s="5">
        <v>100</v>
      </c>
      <c r="AG11" s="189">
        <v>5</v>
      </c>
      <c r="AH11" s="6">
        <f t="shared" si="4"/>
        <v>1000</v>
      </c>
      <c r="AI11" s="6">
        <f>IF(AB11&lt;=6,1,ROUNDUP(AB11/3.5,0))</f>
        <v>7</v>
      </c>
      <c r="AJ11" s="189">
        <v>10</v>
      </c>
      <c r="AK11" s="5">
        <v>100</v>
      </c>
      <c r="AL11" s="189">
        <v>1</v>
      </c>
      <c r="AM11" s="5">
        <v>600</v>
      </c>
      <c r="AN11" s="5">
        <v>1</v>
      </c>
      <c r="AO11" s="189">
        <v>4400</v>
      </c>
      <c r="AP11" s="6">
        <f t="shared" si="5"/>
        <v>6000</v>
      </c>
      <c r="AQ11" s="5" t="s">
        <v>422</v>
      </c>
      <c r="AR11" s="189">
        <v>3600</v>
      </c>
      <c r="AS11" s="5" t="s">
        <v>22</v>
      </c>
      <c r="AT11" s="189">
        <v>1500</v>
      </c>
    </row>
    <row r="12" spans="1:46" ht="12.75" customHeight="1" x14ac:dyDescent="0.2">
      <c r="A12" s="1"/>
      <c r="B12" s="387"/>
      <c r="C12" s="3" t="s">
        <v>18</v>
      </c>
      <c r="D12" s="159">
        <v>4.87</v>
      </c>
      <c r="E12" s="159">
        <v>8.9600000000000009</v>
      </c>
      <c r="F12" s="189">
        <v>1</v>
      </c>
      <c r="G12" s="5">
        <v>100</v>
      </c>
      <c r="H12" s="5">
        <v>0</v>
      </c>
      <c r="I12" s="5">
        <v>0</v>
      </c>
      <c r="J12" s="189">
        <v>1</v>
      </c>
      <c r="K12" s="6">
        <f t="shared" si="0"/>
        <v>160</v>
      </c>
      <c r="L12" s="6">
        <f t="shared" si="1"/>
        <v>2</v>
      </c>
      <c r="M12" s="189">
        <v>1</v>
      </c>
      <c r="N12" s="5">
        <v>100</v>
      </c>
      <c r="O12" s="189">
        <v>1</v>
      </c>
      <c r="P12" s="5">
        <v>100</v>
      </c>
      <c r="Q12" s="5">
        <v>0</v>
      </c>
      <c r="R12" s="5">
        <v>0</v>
      </c>
      <c r="S12" s="6">
        <f t="shared" si="2"/>
        <v>200</v>
      </c>
      <c r="T12" s="5" t="s">
        <v>16</v>
      </c>
      <c r="U12" s="189">
        <v>7500</v>
      </c>
      <c r="V12" s="5" t="s">
        <v>412</v>
      </c>
      <c r="W12" s="189">
        <v>1500</v>
      </c>
      <c r="X12" s="1"/>
      <c r="Y12" s="387"/>
      <c r="Z12" s="3" t="s">
        <v>421</v>
      </c>
      <c r="AA12" s="159">
        <v>4</v>
      </c>
      <c r="AB12" s="160">
        <v>8.5399999999999991</v>
      </c>
      <c r="AC12" s="189">
        <v>1</v>
      </c>
      <c r="AD12" s="5">
        <v>100</v>
      </c>
      <c r="AE12" s="5">
        <v>0</v>
      </c>
      <c r="AF12" s="5">
        <v>0</v>
      </c>
      <c r="AG12" s="5">
        <v>0</v>
      </c>
      <c r="AH12" s="6">
        <f t="shared" si="4"/>
        <v>100</v>
      </c>
      <c r="AI12" s="6">
        <f t="shared" ref="AI12:AI14" si="6">IF(AB12&lt;=6,1,ROUNDUP(AB12/5,0))</f>
        <v>2</v>
      </c>
      <c r="AJ12" s="189">
        <v>1</v>
      </c>
      <c r="AK12" s="5">
        <v>100</v>
      </c>
      <c r="AL12" s="5">
        <v>0</v>
      </c>
      <c r="AM12" s="5">
        <v>0</v>
      </c>
      <c r="AN12" s="5">
        <v>0</v>
      </c>
      <c r="AO12" s="5">
        <v>0</v>
      </c>
      <c r="AP12" s="6">
        <f t="shared" si="5"/>
        <v>100</v>
      </c>
      <c r="AQ12" s="30"/>
      <c r="AR12" s="30"/>
      <c r="AS12" s="30"/>
      <c r="AT12" s="30"/>
    </row>
    <row r="13" spans="1:46" ht="12.75" customHeight="1" x14ac:dyDescent="0.2">
      <c r="A13" s="1"/>
      <c r="B13" s="387"/>
      <c r="C13" s="3" t="s">
        <v>382</v>
      </c>
      <c r="D13" s="159">
        <v>3.42</v>
      </c>
      <c r="E13" s="159">
        <v>7.86</v>
      </c>
      <c r="F13" s="189">
        <v>1</v>
      </c>
      <c r="G13" s="5">
        <v>100</v>
      </c>
      <c r="H13" s="5">
        <v>0</v>
      </c>
      <c r="I13" s="5">
        <v>0</v>
      </c>
      <c r="J13" s="189">
        <v>1</v>
      </c>
      <c r="K13" s="6">
        <f t="shared" si="0"/>
        <v>160</v>
      </c>
      <c r="L13" s="6">
        <f t="shared" si="1"/>
        <v>2</v>
      </c>
      <c r="M13" s="189">
        <v>1</v>
      </c>
      <c r="N13" s="5">
        <v>100</v>
      </c>
      <c r="O13" s="214">
        <v>0</v>
      </c>
      <c r="P13" s="5">
        <v>100</v>
      </c>
      <c r="Q13" s="5">
        <v>0</v>
      </c>
      <c r="R13" s="5">
        <v>0</v>
      </c>
      <c r="S13" s="6">
        <f t="shared" si="2"/>
        <v>100</v>
      </c>
      <c r="T13" s="5" t="s">
        <v>16</v>
      </c>
      <c r="U13" s="189"/>
      <c r="V13" s="5" t="s">
        <v>412</v>
      </c>
      <c r="W13" s="189">
        <v>1500</v>
      </c>
      <c r="X13" s="1"/>
      <c r="Y13" s="388"/>
      <c r="Z13" s="3" t="s">
        <v>420</v>
      </c>
      <c r="AA13" s="159">
        <v>3.59</v>
      </c>
      <c r="AB13" s="160">
        <v>7.94</v>
      </c>
      <c r="AC13" s="189">
        <v>1</v>
      </c>
      <c r="AD13" s="5">
        <v>100</v>
      </c>
      <c r="AE13" s="5">
        <v>0</v>
      </c>
      <c r="AF13" s="5">
        <v>0</v>
      </c>
      <c r="AG13" s="5">
        <v>0</v>
      </c>
      <c r="AH13" s="6">
        <f t="shared" si="4"/>
        <v>100</v>
      </c>
      <c r="AI13" s="6">
        <f t="shared" si="6"/>
        <v>2</v>
      </c>
      <c r="AJ13" s="189">
        <v>1</v>
      </c>
      <c r="AK13" s="5">
        <v>100</v>
      </c>
      <c r="AL13" s="5">
        <v>0</v>
      </c>
      <c r="AM13" s="5">
        <v>0</v>
      </c>
      <c r="AN13" s="5">
        <v>0</v>
      </c>
      <c r="AO13" s="5">
        <v>0</v>
      </c>
      <c r="AP13" s="6">
        <f t="shared" si="5"/>
        <v>100</v>
      </c>
      <c r="AQ13" s="5"/>
      <c r="AR13" s="5"/>
      <c r="AS13" s="5"/>
      <c r="AT13" s="5"/>
    </row>
    <row r="14" spans="1:46" ht="12.75" customHeight="1" x14ac:dyDescent="0.2">
      <c r="A14" s="1"/>
      <c r="B14" s="387"/>
      <c r="C14" s="3" t="s">
        <v>389</v>
      </c>
      <c r="D14" s="159">
        <v>9.2959999999999994</v>
      </c>
      <c r="E14" s="159">
        <v>14.82</v>
      </c>
      <c r="F14" s="189">
        <v>3</v>
      </c>
      <c r="G14" s="5">
        <v>50</v>
      </c>
      <c r="H14" s="5">
        <v>0</v>
      </c>
      <c r="I14" s="5">
        <v>0</v>
      </c>
      <c r="J14" s="189">
        <v>1</v>
      </c>
      <c r="K14" s="6">
        <f t="shared" si="0"/>
        <v>210</v>
      </c>
      <c r="L14" s="6">
        <f t="shared" si="1"/>
        <v>3</v>
      </c>
      <c r="M14" s="189">
        <v>3</v>
      </c>
      <c r="N14" s="5">
        <v>100</v>
      </c>
      <c r="O14" s="5">
        <v>0</v>
      </c>
      <c r="P14" s="5">
        <v>0</v>
      </c>
      <c r="Q14" s="5">
        <v>0</v>
      </c>
      <c r="R14" s="5">
        <v>0</v>
      </c>
      <c r="S14" s="6">
        <f t="shared" si="2"/>
        <v>300</v>
      </c>
      <c r="T14" s="5"/>
      <c r="U14" s="5"/>
      <c r="V14" s="5"/>
      <c r="W14" s="5"/>
      <c r="X14" s="1"/>
      <c r="Y14" s="31" t="s">
        <v>414</v>
      </c>
      <c r="Z14" s="3" t="s">
        <v>33</v>
      </c>
      <c r="AA14" s="32">
        <v>1017</v>
      </c>
      <c r="AB14" s="4"/>
      <c r="AC14" s="189">
        <v>16</v>
      </c>
      <c r="AD14" s="5">
        <v>50</v>
      </c>
      <c r="AE14" s="189">
        <v>3</v>
      </c>
      <c r="AF14" s="5">
        <v>60</v>
      </c>
      <c r="AG14" s="189">
        <v>2</v>
      </c>
      <c r="AH14" s="6">
        <f t="shared" si="4"/>
        <v>1100</v>
      </c>
      <c r="AI14" s="6">
        <f t="shared" si="6"/>
        <v>1</v>
      </c>
      <c r="AJ14" s="5">
        <v>2</v>
      </c>
      <c r="AK14" s="5">
        <v>100</v>
      </c>
      <c r="AL14" s="5">
        <v>0</v>
      </c>
      <c r="AM14" s="5">
        <v>500</v>
      </c>
      <c r="AN14" s="5">
        <v>0</v>
      </c>
      <c r="AO14" s="5">
        <v>0</v>
      </c>
      <c r="AP14" s="6">
        <f t="shared" si="5"/>
        <v>200</v>
      </c>
      <c r="AQ14" s="5"/>
      <c r="AR14" s="5"/>
      <c r="AS14" s="5"/>
      <c r="AT14" s="5"/>
    </row>
    <row r="15" spans="1:46" ht="12.75" customHeight="1" x14ac:dyDescent="0.2">
      <c r="A15" s="1"/>
      <c r="B15" s="387"/>
      <c r="C15" s="3" t="s">
        <v>19</v>
      </c>
      <c r="D15" s="159">
        <v>3.8</v>
      </c>
      <c r="E15" s="159">
        <v>9.44</v>
      </c>
      <c r="F15" s="189">
        <v>1</v>
      </c>
      <c r="G15" s="5">
        <v>150</v>
      </c>
      <c r="H15" s="5">
        <v>0</v>
      </c>
      <c r="I15" s="5">
        <v>0</v>
      </c>
      <c r="J15" s="5">
        <v>0</v>
      </c>
      <c r="K15" s="6">
        <f t="shared" si="0"/>
        <v>150</v>
      </c>
      <c r="L15" s="6">
        <f t="shared" si="1"/>
        <v>2</v>
      </c>
      <c r="M15" s="189">
        <v>2</v>
      </c>
      <c r="N15" s="5">
        <v>100</v>
      </c>
      <c r="O15" s="5">
        <v>0</v>
      </c>
      <c r="P15" s="5">
        <v>0</v>
      </c>
      <c r="Q15" s="5">
        <v>0</v>
      </c>
      <c r="R15" s="5">
        <v>0</v>
      </c>
      <c r="S15" s="6">
        <f t="shared" si="2"/>
        <v>200</v>
      </c>
      <c r="T15" s="6"/>
      <c r="U15" s="6"/>
      <c r="V15" s="5"/>
      <c r="W15" s="5"/>
      <c r="X15" s="1"/>
      <c r="Y15" s="20" t="s">
        <v>26</v>
      </c>
      <c r="Z15" s="389"/>
      <c r="AA15" s="390"/>
      <c r="AB15" s="390"/>
      <c r="AC15" s="390"/>
      <c r="AD15" s="390"/>
      <c r="AE15" s="390"/>
      <c r="AF15" s="390"/>
      <c r="AG15" s="391"/>
      <c r="AH15" s="21">
        <f>SUM(AH7:AH14)</f>
        <v>3400</v>
      </c>
      <c r="AI15" s="392"/>
      <c r="AJ15" s="390"/>
      <c r="AK15" s="390"/>
      <c r="AL15" s="390"/>
      <c r="AM15" s="390"/>
      <c r="AN15" s="390"/>
      <c r="AO15" s="391"/>
      <c r="AP15" s="21">
        <f>SUM(AP7:AP14)</f>
        <v>6800</v>
      </c>
      <c r="AQ15" s="22"/>
      <c r="AR15" s="21">
        <f>SUM(AR7:AR14)</f>
        <v>3600</v>
      </c>
      <c r="AS15" s="22"/>
      <c r="AT15" s="21">
        <f>SUM(AT7:AT14)</f>
        <v>1500</v>
      </c>
    </row>
    <row r="16" spans="1:46" ht="12.75" customHeight="1" x14ac:dyDescent="0.2">
      <c r="A16" s="1"/>
      <c r="B16" s="387"/>
      <c r="C16" s="178" t="s">
        <v>388</v>
      </c>
      <c r="D16" s="179">
        <v>8.44</v>
      </c>
      <c r="E16" s="179">
        <v>11.68</v>
      </c>
      <c r="F16" s="192">
        <v>1</v>
      </c>
      <c r="G16" s="180">
        <v>150</v>
      </c>
      <c r="H16" s="192">
        <v>6</v>
      </c>
      <c r="I16" s="180">
        <v>50</v>
      </c>
      <c r="J16" s="180">
        <v>0</v>
      </c>
      <c r="K16" s="171">
        <f t="shared" si="0"/>
        <v>450</v>
      </c>
      <c r="L16" s="171">
        <f t="shared" si="1"/>
        <v>3</v>
      </c>
      <c r="M16" s="192">
        <v>6</v>
      </c>
      <c r="N16" s="180">
        <v>100</v>
      </c>
      <c r="O16" s="192">
        <v>1</v>
      </c>
      <c r="P16" s="180">
        <v>300</v>
      </c>
      <c r="Q16" s="192">
        <v>1</v>
      </c>
      <c r="R16" s="180">
        <v>600</v>
      </c>
      <c r="S16" s="171">
        <f t="shared" si="2"/>
        <v>1500</v>
      </c>
      <c r="T16" s="180" t="s">
        <v>21</v>
      </c>
      <c r="U16" s="192">
        <v>1500</v>
      </c>
      <c r="V16" s="180" t="s">
        <v>411</v>
      </c>
      <c r="W16" s="192">
        <v>4400</v>
      </c>
      <c r="X16" s="1"/>
      <c r="Y16" s="393" t="s">
        <v>27</v>
      </c>
      <c r="Z16" s="385"/>
      <c r="AA16" s="154">
        <f>AH15+AP15+AR15+AT15</f>
        <v>15300</v>
      </c>
      <c r="AB16" s="394" t="s">
        <v>28</v>
      </c>
      <c r="AC16" s="384"/>
      <c r="AD16" s="384"/>
      <c r="AE16" s="384"/>
      <c r="AF16" s="384"/>
      <c r="AG16" s="384"/>
      <c r="AH16" s="384"/>
      <c r="AI16" s="384"/>
      <c r="AJ16" s="384"/>
      <c r="AK16" s="384"/>
      <c r="AL16" s="384"/>
      <c r="AM16" s="384"/>
      <c r="AN16" s="384"/>
      <c r="AO16" s="384"/>
      <c r="AP16" s="384"/>
      <c r="AQ16" s="384"/>
      <c r="AR16" s="384"/>
      <c r="AS16" s="384"/>
      <c r="AT16" s="385"/>
    </row>
    <row r="17" spans="1:46" s="157" customFormat="1" ht="12.75" customHeight="1" x14ac:dyDescent="0.2">
      <c r="A17" s="1"/>
      <c r="B17" s="408"/>
      <c r="C17" s="184" t="s">
        <v>387</v>
      </c>
      <c r="D17" s="185">
        <v>11.04</v>
      </c>
      <c r="E17" s="185">
        <v>13.88</v>
      </c>
      <c r="F17" s="190">
        <v>2</v>
      </c>
      <c r="G17" s="186">
        <v>60</v>
      </c>
      <c r="H17" s="186">
        <v>0</v>
      </c>
      <c r="I17" s="186">
        <v>0</v>
      </c>
      <c r="J17" s="186">
        <v>0</v>
      </c>
      <c r="K17" s="187">
        <f t="shared" si="0"/>
        <v>120</v>
      </c>
      <c r="L17" s="187">
        <f>IF(E17&lt;=6,1,ROUNDUP(E17/5,0))</f>
        <v>3</v>
      </c>
      <c r="M17" s="190">
        <v>3</v>
      </c>
      <c r="N17" s="186">
        <v>100</v>
      </c>
      <c r="O17" s="186">
        <v>0</v>
      </c>
      <c r="P17" s="186">
        <v>0</v>
      </c>
      <c r="Q17" s="186">
        <v>0</v>
      </c>
      <c r="R17" s="186">
        <v>0</v>
      </c>
      <c r="S17" s="187">
        <f t="shared" si="2"/>
        <v>300</v>
      </c>
      <c r="T17" s="186"/>
      <c r="U17" s="186"/>
      <c r="V17" s="186"/>
      <c r="W17" s="186"/>
      <c r="X17" s="1"/>
      <c r="Y17" s="8"/>
      <c r="Z17" s="14"/>
      <c r="AA17" s="10"/>
      <c r="AB17" s="11"/>
      <c r="AC17" s="12"/>
      <c r="AD17" s="12"/>
      <c r="AE17" s="12"/>
      <c r="AF17" s="12"/>
      <c r="AG17" s="12"/>
      <c r="AH17" s="13"/>
      <c r="AI17" s="13"/>
      <c r="AJ17" s="12"/>
      <c r="AK17" s="12"/>
      <c r="AL17" s="12"/>
      <c r="AM17" s="12"/>
    </row>
    <row r="18" spans="1:46" ht="12.75" customHeight="1" thickBot="1" x14ac:dyDescent="0.25">
      <c r="A18" s="1"/>
      <c r="B18" s="387"/>
      <c r="C18" s="181" t="s">
        <v>409</v>
      </c>
      <c r="D18" s="182">
        <v>10.08</v>
      </c>
      <c r="E18" s="182">
        <v>12.92</v>
      </c>
      <c r="F18" s="191">
        <v>3</v>
      </c>
      <c r="G18" s="50">
        <v>60</v>
      </c>
      <c r="H18" s="50">
        <v>0</v>
      </c>
      <c r="I18" s="50">
        <v>0</v>
      </c>
      <c r="J18" s="50">
        <v>0</v>
      </c>
      <c r="K18" s="183">
        <f t="shared" ref="K18" si="7">F18*G18+H18*I18+J18*60</f>
        <v>180</v>
      </c>
      <c r="L18" s="183">
        <f>IF(E18&lt;=6,1,ROUNDUP(E18/5,0))</f>
        <v>3</v>
      </c>
      <c r="M18" s="191">
        <v>7</v>
      </c>
      <c r="N18" s="50">
        <v>100</v>
      </c>
      <c r="O18" s="50">
        <v>0</v>
      </c>
      <c r="P18" s="50">
        <v>0</v>
      </c>
      <c r="Q18" s="50">
        <v>0</v>
      </c>
      <c r="R18" s="50">
        <v>0</v>
      </c>
      <c r="S18" s="183">
        <f t="shared" ref="S18" si="8">M18*N18+O18*P18+Q18*R18</f>
        <v>700</v>
      </c>
      <c r="T18" s="50" t="s">
        <v>410</v>
      </c>
      <c r="U18" s="191">
        <v>600</v>
      </c>
      <c r="V18" s="50" t="s">
        <v>25</v>
      </c>
      <c r="W18" s="191">
        <v>1500</v>
      </c>
      <c r="X18" s="1"/>
      <c r="Y18" s="8"/>
      <c r="Z18" s="14"/>
      <c r="AA18" s="10"/>
      <c r="AB18" s="11"/>
      <c r="AC18" s="12"/>
      <c r="AD18" s="12"/>
      <c r="AE18" s="12"/>
      <c r="AF18" s="12"/>
      <c r="AG18" s="12"/>
      <c r="AH18" s="13"/>
      <c r="AI18" s="13"/>
      <c r="AJ18" s="12"/>
      <c r="AK18" s="12"/>
      <c r="AL18" s="12"/>
      <c r="AM18" s="12"/>
    </row>
    <row r="19" spans="1:46" ht="13.5" customHeight="1" thickTop="1" thickBot="1" x14ac:dyDescent="0.25">
      <c r="A19" s="1"/>
      <c r="B19" s="20" t="s">
        <v>26</v>
      </c>
      <c r="C19" s="405"/>
      <c r="D19" s="403"/>
      <c r="E19" s="403"/>
      <c r="F19" s="403"/>
      <c r="G19" s="403"/>
      <c r="H19" s="403"/>
      <c r="I19" s="403"/>
      <c r="J19" s="404"/>
      <c r="K19" s="21">
        <f>SUM(K7:K18)</f>
        <v>3170</v>
      </c>
      <c r="L19" s="162"/>
      <c r="M19" s="163"/>
      <c r="N19" s="163"/>
      <c r="O19" s="163"/>
      <c r="P19" s="163"/>
      <c r="Q19" s="163"/>
      <c r="R19" s="164"/>
      <c r="S19" s="21">
        <f>SUM(S7:S18)</f>
        <v>5900</v>
      </c>
      <c r="T19" s="22"/>
      <c r="U19" s="21">
        <f>SUM(U7:U18)</f>
        <v>17700</v>
      </c>
      <c r="V19" s="22"/>
      <c r="W19" s="21">
        <f>SUM(W7:W18)</f>
        <v>10400</v>
      </c>
      <c r="X19" s="1"/>
      <c r="Y19" s="8"/>
      <c r="Z19" s="16" t="s">
        <v>387</v>
      </c>
      <c r="AA19" s="161">
        <v>11.04</v>
      </c>
      <c r="AB19" s="161">
        <v>13.88</v>
      </c>
      <c r="AC19" s="18">
        <v>3</v>
      </c>
      <c r="AD19" s="18">
        <v>60</v>
      </c>
      <c r="AE19" s="18">
        <v>0</v>
      </c>
      <c r="AF19" s="18">
        <v>0</v>
      </c>
      <c r="AG19" s="18">
        <v>0</v>
      </c>
      <c r="AH19" s="19">
        <f t="shared" ref="AH19:AH22" si="9">AC19*AD19+AE19*AF19+AG19*60</f>
        <v>180</v>
      </c>
      <c r="AI19" s="19">
        <f>IF(AB19&lt;=6,1,ROUNDUP(AB19/5,0))</f>
        <v>3</v>
      </c>
      <c r="AJ19" s="18">
        <v>3</v>
      </c>
      <c r="AK19" s="18">
        <v>100</v>
      </c>
      <c r="AL19" s="18">
        <v>0</v>
      </c>
      <c r="AM19" s="18">
        <v>0</v>
      </c>
      <c r="AN19" s="18">
        <v>0</v>
      </c>
      <c r="AO19" s="18">
        <v>0</v>
      </c>
      <c r="AP19" s="19">
        <f t="shared" ref="AP19:AP22" si="10">AJ19*AK19+AL19*AM19+AN19*AO19</f>
        <v>300</v>
      </c>
      <c r="AQ19" s="18"/>
      <c r="AR19" s="18"/>
      <c r="AS19" s="18"/>
      <c r="AT19" s="18"/>
    </row>
    <row r="20" spans="1:46" ht="12.75" customHeight="1" thickTop="1" x14ac:dyDescent="0.2">
      <c r="A20" s="1"/>
      <c r="B20" s="393" t="s">
        <v>27</v>
      </c>
      <c r="C20" s="409"/>
      <c r="D20" s="166">
        <f>K19+S19+U19+W19</f>
        <v>37170</v>
      </c>
      <c r="E20" s="399" t="s">
        <v>28</v>
      </c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5"/>
      <c r="X20" s="1"/>
      <c r="Y20" s="8"/>
      <c r="Z20" s="3" t="s">
        <v>23</v>
      </c>
      <c r="AA20" s="7">
        <v>5.13</v>
      </c>
      <c r="AB20" s="7"/>
      <c r="AC20" s="5">
        <v>1</v>
      </c>
      <c r="AD20" s="5">
        <v>100</v>
      </c>
      <c r="AE20" s="5">
        <v>0</v>
      </c>
      <c r="AF20" s="5">
        <v>0</v>
      </c>
      <c r="AG20" s="5">
        <v>0</v>
      </c>
      <c r="AH20" s="6">
        <f t="shared" si="9"/>
        <v>100</v>
      </c>
      <c r="AI20" s="6">
        <f t="shared" ref="AI20" si="11">IF(AB20&lt;=6,1,ROUNDUP(AB20/3.5,0))</f>
        <v>1</v>
      </c>
      <c r="AJ20" s="5">
        <v>1</v>
      </c>
      <c r="AK20" s="5">
        <v>800</v>
      </c>
      <c r="AL20" s="5">
        <v>0</v>
      </c>
      <c r="AM20" s="5">
        <v>0</v>
      </c>
      <c r="AN20" s="5">
        <v>0</v>
      </c>
      <c r="AO20" s="5">
        <v>0</v>
      </c>
      <c r="AP20" s="6">
        <f t="shared" si="10"/>
        <v>800</v>
      </c>
      <c r="AQ20" s="5" t="s">
        <v>24</v>
      </c>
      <c r="AR20" s="5">
        <v>1200</v>
      </c>
      <c r="AS20" s="15" t="s">
        <v>25</v>
      </c>
      <c r="AT20" s="5">
        <v>3500</v>
      </c>
    </row>
    <row r="21" spans="1:46" ht="12.75" customHeight="1" x14ac:dyDescent="0.2">
      <c r="A21" s="1"/>
      <c r="B21" s="24"/>
      <c r="C21" s="167" t="s">
        <v>386</v>
      </c>
      <c r="D21" s="168">
        <f>SUM(D7:D18)</f>
        <v>111.45150000000002</v>
      </c>
      <c r="E21" s="169" t="s">
        <v>402</v>
      </c>
      <c r="F21" s="28"/>
      <c r="G21" s="28"/>
      <c r="H21" s="28"/>
      <c r="I21" s="28"/>
      <c r="J21" s="28"/>
      <c r="K21" s="29"/>
      <c r="L21" s="29"/>
      <c r="M21" s="28"/>
      <c r="N21" s="28"/>
      <c r="O21" s="28"/>
      <c r="P21" s="28"/>
      <c r="Q21" s="28"/>
      <c r="R21" s="28"/>
      <c r="S21" s="29"/>
      <c r="T21" s="28"/>
      <c r="U21" s="28"/>
      <c r="V21" s="28"/>
      <c r="W21" s="28"/>
      <c r="X21" s="1"/>
      <c r="Y21" s="8"/>
      <c r="Z21" s="3" t="s">
        <v>35</v>
      </c>
      <c r="AA21" s="7">
        <v>65.98</v>
      </c>
      <c r="AB21" s="4">
        <v>45</v>
      </c>
      <c r="AC21" s="5">
        <v>6</v>
      </c>
      <c r="AD21" s="5">
        <v>150</v>
      </c>
      <c r="AE21" s="5">
        <v>1</v>
      </c>
      <c r="AF21" s="5">
        <v>100</v>
      </c>
      <c r="AG21" s="5">
        <v>0</v>
      </c>
      <c r="AH21" s="6">
        <f t="shared" si="9"/>
        <v>1000</v>
      </c>
      <c r="AI21" s="6">
        <f t="shared" ref="AI21" si="12">IF(AB21&lt;=6,1,ROUNDUP(AB21/5,0))</f>
        <v>9</v>
      </c>
      <c r="AJ21" s="5">
        <v>10</v>
      </c>
      <c r="AK21" s="5">
        <v>100</v>
      </c>
      <c r="AL21" s="5">
        <v>1</v>
      </c>
      <c r="AM21" s="5">
        <v>500</v>
      </c>
      <c r="AN21" s="5">
        <v>0</v>
      </c>
      <c r="AO21" s="5">
        <v>0</v>
      </c>
      <c r="AP21" s="6">
        <f t="shared" si="10"/>
        <v>1500</v>
      </c>
      <c r="AQ21" s="30"/>
      <c r="AR21" s="30"/>
      <c r="AS21" s="30"/>
      <c r="AT21" s="30"/>
    </row>
    <row r="22" spans="1:46" ht="13.5" customHeight="1" thickBot="1" x14ac:dyDescent="0.25">
      <c r="A22" s="1"/>
      <c r="B22" s="24"/>
      <c r="C22" s="25"/>
      <c r="D22" s="26"/>
      <c r="E22" s="27"/>
      <c r="F22" s="28"/>
      <c r="G22" s="28"/>
      <c r="H22" s="28"/>
      <c r="I22" s="28"/>
      <c r="J22" s="28"/>
      <c r="K22" s="29"/>
      <c r="L22" s="29"/>
      <c r="M22" s="28"/>
      <c r="N22" s="28"/>
      <c r="O22" s="28"/>
      <c r="P22" s="28"/>
      <c r="Q22" s="28"/>
      <c r="R22" s="28"/>
      <c r="S22" s="29"/>
      <c r="T22" s="28"/>
      <c r="U22" s="28"/>
      <c r="V22" s="28"/>
      <c r="W22" s="28"/>
      <c r="X22" s="1"/>
      <c r="Y22" s="8"/>
      <c r="Z22" s="3" t="s">
        <v>20</v>
      </c>
      <c r="AA22" s="7">
        <v>9</v>
      </c>
      <c r="AB22" s="4">
        <v>12</v>
      </c>
      <c r="AC22" s="5">
        <v>1</v>
      </c>
      <c r="AD22" s="5">
        <v>100</v>
      </c>
      <c r="AE22" s="5">
        <v>0</v>
      </c>
      <c r="AF22" s="5">
        <v>0</v>
      </c>
      <c r="AG22" s="5">
        <v>0</v>
      </c>
      <c r="AH22" s="6">
        <f t="shared" si="9"/>
        <v>100</v>
      </c>
      <c r="AI22" s="6">
        <f>IF(AB22&lt;=6,1,ROUNDUP(AB22/3.5,0))</f>
        <v>4</v>
      </c>
      <c r="AJ22" s="5">
        <v>2</v>
      </c>
      <c r="AK22" s="5">
        <v>100</v>
      </c>
      <c r="AL22" s="5">
        <v>2</v>
      </c>
      <c r="AM22" s="5">
        <v>300</v>
      </c>
      <c r="AN22" s="5">
        <v>1</v>
      </c>
      <c r="AO22" s="5">
        <v>600</v>
      </c>
      <c r="AP22" s="6">
        <f t="shared" si="10"/>
        <v>1400</v>
      </c>
      <c r="AQ22" s="5" t="s">
        <v>21</v>
      </c>
      <c r="AR22" s="5">
        <v>1200</v>
      </c>
      <c r="AS22" s="5" t="s">
        <v>22</v>
      </c>
      <c r="AT22" s="5">
        <v>1200</v>
      </c>
    </row>
    <row r="23" spans="1:46" ht="13.5" customHeight="1" thickBot="1" x14ac:dyDescent="0.25">
      <c r="A23" s="1"/>
      <c r="B23" s="396" t="s">
        <v>384</v>
      </c>
      <c r="C23" s="397"/>
      <c r="D23" s="397"/>
      <c r="E23" s="397"/>
      <c r="F23" s="397"/>
      <c r="G23" s="397"/>
      <c r="H23" s="397"/>
      <c r="I23" s="397"/>
      <c r="J23" s="397"/>
      <c r="K23" s="397"/>
      <c r="L23" s="397"/>
      <c r="M23" s="397"/>
      <c r="N23" s="397"/>
      <c r="O23" s="397"/>
      <c r="P23" s="397"/>
      <c r="Q23" s="397"/>
      <c r="R23" s="397"/>
      <c r="S23" s="397"/>
      <c r="T23" s="397"/>
      <c r="U23" s="397"/>
      <c r="V23" s="397"/>
      <c r="W23" s="398"/>
      <c r="X23" s="1"/>
      <c r="Y23" s="396" t="s">
        <v>385</v>
      </c>
      <c r="Z23" s="397"/>
      <c r="AA23" s="397"/>
      <c r="AB23" s="397"/>
      <c r="AC23" s="397"/>
      <c r="AD23" s="397"/>
      <c r="AE23" s="397"/>
      <c r="AF23" s="397"/>
      <c r="AG23" s="397"/>
      <c r="AH23" s="397"/>
      <c r="AI23" s="397"/>
      <c r="AJ23" s="397"/>
      <c r="AK23" s="397"/>
      <c r="AL23" s="397"/>
      <c r="AM23" s="397"/>
      <c r="AN23" s="397"/>
      <c r="AO23" s="397"/>
      <c r="AP23" s="397"/>
      <c r="AQ23" s="397"/>
      <c r="AR23" s="397"/>
      <c r="AS23" s="397"/>
      <c r="AT23" s="398"/>
    </row>
    <row r="24" spans="1:4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</row>
    <row r="25" spans="1:46" ht="12.75" customHeight="1" x14ac:dyDescent="0.2">
      <c r="A25" s="1"/>
      <c r="B25" s="395" t="s">
        <v>0</v>
      </c>
      <c r="C25" s="395" t="s">
        <v>1</v>
      </c>
      <c r="D25" s="383" t="s">
        <v>2</v>
      </c>
      <c r="E25" s="385"/>
      <c r="F25" s="383" t="s">
        <v>3</v>
      </c>
      <c r="G25" s="384"/>
      <c r="H25" s="384"/>
      <c r="I25" s="384"/>
      <c r="J25" s="384"/>
      <c r="K25" s="385"/>
      <c r="L25" s="383" t="s">
        <v>4</v>
      </c>
      <c r="M25" s="384"/>
      <c r="N25" s="384"/>
      <c r="O25" s="384"/>
      <c r="P25" s="384"/>
      <c r="Q25" s="384"/>
      <c r="R25" s="384"/>
      <c r="S25" s="385"/>
      <c r="T25" s="383" t="s">
        <v>5</v>
      </c>
      <c r="U25" s="384"/>
      <c r="V25" s="384"/>
      <c r="W25" s="385"/>
      <c r="X25" s="1"/>
      <c r="Y25" s="395"/>
      <c r="Z25" s="395"/>
      <c r="AA25" s="383"/>
      <c r="AB25" s="385"/>
      <c r="AC25" s="383"/>
      <c r="AD25" s="384"/>
      <c r="AE25" s="384"/>
      <c r="AF25" s="384"/>
      <c r="AG25" s="384"/>
      <c r="AH25" s="385"/>
      <c r="AI25" s="383"/>
      <c r="AJ25" s="384"/>
      <c r="AK25" s="384"/>
      <c r="AL25" s="384"/>
      <c r="AM25" s="384"/>
      <c r="AN25" s="384"/>
      <c r="AO25" s="384"/>
      <c r="AP25" s="385"/>
      <c r="AQ25" s="383"/>
      <c r="AR25" s="384"/>
      <c r="AS25" s="384"/>
      <c r="AT25" s="385"/>
    </row>
    <row r="26" spans="1:46" ht="51" customHeight="1" x14ac:dyDescent="0.2">
      <c r="A26" s="1"/>
      <c r="B26" s="406"/>
      <c r="C26" s="388"/>
      <c r="D26" s="2" t="s">
        <v>6</v>
      </c>
      <c r="E26" s="2" t="s">
        <v>7</v>
      </c>
      <c r="F26" s="2" t="s">
        <v>8</v>
      </c>
      <c r="G26" s="2" t="s">
        <v>9</v>
      </c>
      <c r="H26" s="2" t="s">
        <v>8</v>
      </c>
      <c r="I26" s="2" t="s">
        <v>9</v>
      </c>
      <c r="J26" s="2" t="s">
        <v>10</v>
      </c>
      <c r="K26" s="2" t="s">
        <v>11</v>
      </c>
      <c r="L26" s="2" t="s">
        <v>12</v>
      </c>
      <c r="M26" s="2" t="s">
        <v>8</v>
      </c>
      <c r="N26" s="2" t="s">
        <v>9</v>
      </c>
      <c r="O26" s="2" t="s">
        <v>8</v>
      </c>
      <c r="P26" s="2" t="s">
        <v>9</v>
      </c>
      <c r="Q26" s="2" t="s">
        <v>8</v>
      </c>
      <c r="R26" s="2" t="s">
        <v>9</v>
      </c>
      <c r="S26" s="2" t="s">
        <v>11</v>
      </c>
      <c r="T26" s="2" t="s">
        <v>13</v>
      </c>
      <c r="U26" s="2" t="s">
        <v>14</v>
      </c>
      <c r="V26" s="2" t="s">
        <v>13</v>
      </c>
      <c r="W26" s="2" t="s">
        <v>14</v>
      </c>
      <c r="X26" s="1"/>
      <c r="Y26" s="388"/>
      <c r="Z26" s="388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</row>
    <row r="27" spans="1:46" ht="12.75" customHeight="1" x14ac:dyDescent="0.2">
      <c r="A27" s="1"/>
      <c r="B27" s="412" t="s">
        <v>390</v>
      </c>
      <c r="C27" s="165" t="s">
        <v>393</v>
      </c>
      <c r="D27" s="159">
        <v>16.760000000000002</v>
      </c>
      <c r="E27" s="159">
        <v>18.399999999999999</v>
      </c>
      <c r="F27" s="189">
        <v>8</v>
      </c>
      <c r="G27" s="5">
        <v>50</v>
      </c>
      <c r="H27" s="189">
        <v>2</v>
      </c>
      <c r="I27" s="5">
        <v>100</v>
      </c>
      <c r="J27" s="5">
        <v>2</v>
      </c>
      <c r="K27" s="6">
        <f t="shared" ref="K27:K33" si="13">F27*G27+H27*I27+J27*60</f>
        <v>720</v>
      </c>
      <c r="L27" s="6">
        <f t="shared" ref="L27:L32" si="14">IF(E27&lt;=6,1,ROUNDUP(E27/5,0))</f>
        <v>4</v>
      </c>
      <c r="M27" s="189">
        <v>5</v>
      </c>
      <c r="N27" s="5">
        <v>100</v>
      </c>
      <c r="O27" s="5">
        <v>0</v>
      </c>
      <c r="P27" s="5">
        <v>300</v>
      </c>
      <c r="Q27" s="5">
        <v>0</v>
      </c>
      <c r="R27" s="5">
        <v>0</v>
      </c>
      <c r="S27" s="6">
        <f t="shared" ref="S27:S33" si="15">M27*N27+O27*P27+Q27*R27</f>
        <v>500</v>
      </c>
      <c r="T27" s="5" t="s">
        <v>15</v>
      </c>
      <c r="U27" s="5">
        <v>1500</v>
      </c>
      <c r="V27" s="5"/>
      <c r="W27" s="5"/>
      <c r="X27" s="1"/>
      <c r="Y27" s="386"/>
      <c r="Z27" s="3"/>
      <c r="AA27" s="7"/>
      <c r="AB27" s="4"/>
      <c r="AC27" s="5"/>
      <c r="AD27" s="5"/>
      <c r="AE27" s="5"/>
      <c r="AF27" s="5"/>
      <c r="AG27" s="5"/>
      <c r="AH27" s="6"/>
      <c r="AI27" s="6"/>
      <c r="AJ27" s="5"/>
      <c r="AK27" s="5"/>
      <c r="AL27" s="5"/>
      <c r="AM27" s="5"/>
      <c r="AN27" s="5"/>
      <c r="AO27" s="5"/>
      <c r="AP27" s="6"/>
      <c r="AQ27" s="407"/>
      <c r="AR27" s="407"/>
      <c r="AS27" s="407"/>
      <c r="AT27" s="407"/>
    </row>
    <row r="28" spans="1:46" ht="12.75" customHeight="1" x14ac:dyDescent="0.2">
      <c r="A28" s="1"/>
      <c r="B28" s="412"/>
      <c r="C28" s="165" t="s">
        <v>394</v>
      </c>
      <c r="D28" s="159">
        <v>16.98</v>
      </c>
      <c r="E28" s="159">
        <v>16.64</v>
      </c>
      <c r="F28" s="189">
        <v>8</v>
      </c>
      <c r="G28" s="5">
        <v>50</v>
      </c>
      <c r="H28" s="5">
        <v>0</v>
      </c>
      <c r="I28" s="5">
        <v>150</v>
      </c>
      <c r="J28" s="5">
        <v>2</v>
      </c>
      <c r="K28" s="6">
        <f t="shared" si="13"/>
        <v>520</v>
      </c>
      <c r="L28" s="6">
        <f t="shared" si="14"/>
        <v>4</v>
      </c>
      <c r="M28" s="189">
        <v>5</v>
      </c>
      <c r="N28" s="5">
        <v>100</v>
      </c>
      <c r="O28" s="5">
        <v>0</v>
      </c>
      <c r="P28" s="5">
        <v>300</v>
      </c>
      <c r="Q28" s="5">
        <v>0</v>
      </c>
      <c r="R28" s="5">
        <v>0</v>
      </c>
      <c r="S28" s="6">
        <f t="shared" si="15"/>
        <v>500</v>
      </c>
      <c r="T28" s="5" t="s">
        <v>15</v>
      </c>
      <c r="U28" s="5">
        <v>1500</v>
      </c>
      <c r="V28" s="5"/>
      <c r="W28" s="5"/>
      <c r="X28" s="1"/>
      <c r="Y28" s="387"/>
      <c r="Z28" s="3"/>
      <c r="AA28" s="7"/>
      <c r="AB28" s="4"/>
      <c r="AC28" s="5"/>
      <c r="AD28" s="5"/>
      <c r="AE28" s="5"/>
      <c r="AF28" s="5"/>
      <c r="AG28" s="5"/>
      <c r="AH28" s="6"/>
      <c r="AI28" s="6"/>
      <c r="AJ28" s="5"/>
      <c r="AK28" s="5"/>
      <c r="AL28" s="5"/>
      <c r="AM28" s="5"/>
      <c r="AN28" s="5"/>
      <c r="AO28" s="5"/>
      <c r="AP28" s="6"/>
      <c r="AQ28" s="388"/>
      <c r="AR28" s="388"/>
      <c r="AS28" s="388"/>
      <c r="AT28" s="388"/>
    </row>
    <row r="29" spans="1:46" ht="12.75" customHeight="1" x14ac:dyDescent="0.2">
      <c r="A29" s="1"/>
      <c r="B29" s="412"/>
      <c r="C29" s="165" t="s">
        <v>405</v>
      </c>
      <c r="D29" s="159">
        <v>4.08</v>
      </c>
      <c r="E29" s="159">
        <v>8.1999999999999993</v>
      </c>
      <c r="F29" s="189">
        <v>1</v>
      </c>
      <c r="G29" s="5">
        <v>100</v>
      </c>
      <c r="H29" s="5">
        <v>0</v>
      </c>
      <c r="I29" s="5">
        <v>0</v>
      </c>
      <c r="J29" s="5">
        <v>0</v>
      </c>
      <c r="K29" s="6">
        <f t="shared" si="13"/>
        <v>100</v>
      </c>
      <c r="L29" s="6">
        <f t="shared" ref="L29" si="16">IF(E29&lt;=6,1,ROUNDUP(E29/3.5,0))</f>
        <v>3</v>
      </c>
      <c r="M29" s="189">
        <v>1</v>
      </c>
      <c r="N29" s="5">
        <v>600</v>
      </c>
      <c r="O29" s="5">
        <v>0</v>
      </c>
      <c r="P29" s="5">
        <v>0</v>
      </c>
      <c r="Q29" s="5">
        <v>0</v>
      </c>
      <c r="R29" s="5">
        <v>0</v>
      </c>
      <c r="S29" s="6">
        <f t="shared" si="15"/>
        <v>600</v>
      </c>
      <c r="T29" s="5" t="s">
        <v>24</v>
      </c>
      <c r="U29" s="5">
        <v>1200</v>
      </c>
      <c r="V29" s="15"/>
      <c r="W29" s="5"/>
      <c r="X29" s="1"/>
      <c r="Y29" s="387"/>
      <c r="Z29" s="3"/>
      <c r="AA29" s="7"/>
      <c r="AB29" s="4"/>
      <c r="AC29" s="5"/>
      <c r="AD29" s="5"/>
      <c r="AE29" s="5"/>
      <c r="AF29" s="5"/>
      <c r="AG29" s="5"/>
      <c r="AH29" s="6"/>
      <c r="AI29" s="6"/>
      <c r="AJ29" s="5"/>
      <c r="AK29" s="5"/>
      <c r="AL29" s="5"/>
      <c r="AM29" s="5"/>
      <c r="AN29" s="5"/>
      <c r="AO29" s="5"/>
      <c r="AP29" s="6"/>
      <c r="AQ29" s="5"/>
      <c r="AR29" s="5"/>
      <c r="AS29" s="5"/>
      <c r="AT29" s="5"/>
    </row>
    <row r="30" spans="1:46" ht="12.75" customHeight="1" x14ac:dyDescent="0.2">
      <c r="A30" s="1"/>
      <c r="B30" s="412"/>
      <c r="C30" s="165" t="s">
        <v>36</v>
      </c>
      <c r="D30" s="159">
        <v>3.38</v>
      </c>
      <c r="E30" s="159">
        <v>7.64</v>
      </c>
      <c r="F30" s="189">
        <v>4</v>
      </c>
      <c r="G30" s="5">
        <v>50</v>
      </c>
      <c r="H30" s="5">
        <v>0</v>
      </c>
      <c r="I30" s="5">
        <v>0</v>
      </c>
      <c r="J30" s="5">
        <v>1</v>
      </c>
      <c r="K30" s="6">
        <f t="shared" si="13"/>
        <v>260</v>
      </c>
      <c r="L30" s="6">
        <f t="shared" si="14"/>
        <v>2</v>
      </c>
      <c r="M30" s="189">
        <v>2</v>
      </c>
      <c r="N30" s="5">
        <v>100</v>
      </c>
      <c r="O30" s="189">
        <v>1</v>
      </c>
      <c r="P30" s="5">
        <v>100</v>
      </c>
      <c r="Q30" s="5">
        <v>0</v>
      </c>
      <c r="R30" s="5">
        <v>0</v>
      </c>
      <c r="S30" s="6">
        <f t="shared" si="15"/>
        <v>300</v>
      </c>
      <c r="T30" s="5" t="s">
        <v>16</v>
      </c>
      <c r="U30" s="5">
        <v>5500</v>
      </c>
      <c r="V30" s="5" t="s">
        <v>412</v>
      </c>
      <c r="W30" s="5">
        <v>1500</v>
      </c>
      <c r="X30" s="1"/>
      <c r="Y30" s="386"/>
      <c r="Z30" s="3"/>
      <c r="AA30" s="7"/>
      <c r="AB30" s="4"/>
      <c r="AC30" s="5"/>
      <c r="AD30" s="5"/>
      <c r="AE30" s="5"/>
      <c r="AF30" s="5"/>
      <c r="AG30" s="5"/>
      <c r="AH30" s="6"/>
      <c r="AI30" s="6"/>
      <c r="AJ30" s="5"/>
      <c r="AK30" s="5"/>
      <c r="AL30" s="5"/>
      <c r="AM30" s="5"/>
      <c r="AN30" s="5"/>
      <c r="AO30" s="5"/>
      <c r="AP30" s="6"/>
      <c r="AQ30" s="30"/>
      <c r="AR30" s="30"/>
      <c r="AS30" s="30"/>
      <c r="AT30" s="30"/>
    </row>
    <row r="31" spans="1:46" ht="12.75" customHeight="1" x14ac:dyDescent="0.2">
      <c r="A31" s="1"/>
      <c r="B31" s="412"/>
      <c r="C31" s="165" t="s">
        <v>17</v>
      </c>
      <c r="D31" s="159">
        <v>3.91</v>
      </c>
      <c r="E31" s="159">
        <v>8.06</v>
      </c>
      <c r="F31" s="189">
        <v>4</v>
      </c>
      <c r="G31" s="5">
        <v>50</v>
      </c>
      <c r="H31" s="5">
        <v>0</v>
      </c>
      <c r="I31" s="5">
        <v>0</v>
      </c>
      <c r="J31" s="5">
        <v>1</v>
      </c>
      <c r="K31" s="6">
        <f t="shared" si="13"/>
        <v>260</v>
      </c>
      <c r="L31" s="6">
        <f t="shared" si="14"/>
        <v>2</v>
      </c>
      <c r="M31" s="189">
        <v>2</v>
      </c>
      <c r="N31" s="5">
        <v>100</v>
      </c>
      <c r="O31" s="189">
        <v>1</v>
      </c>
      <c r="P31" s="5">
        <v>100</v>
      </c>
      <c r="Q31" s="5">
        <v>0</v>
      </c>
      <c r="R31" s="5">
        <v>0</v>
      </c>
      <c r="S31" s="6">
        <f t="shared" si="15"/>
        <v>300</v>
      </c>
      <c r="T31" s="5" t="s">
        <v>16</v>
      </c>
      <c r="U31" s="5">
        <v>7500</v>
      </c>
      <c r="V31" s="5" t="s">
        <v>412</v>
      </c>
      <c r="W31" s="5">
        <v>1500</v>
      </c>
      <c r="X31" s="1"/>
      <c r="Y31" s="387"/>
      <c r="Z31" s="3"/>
      <c r="AA31" s="7"/>
      <c r="AB31" s="4"/>
      <c r="AC31" s="5"/>
      <c r="AD31" s="5"/>
      <c r="AE31" s="5"/>
      <c r="AF31" s="5"/>
      <c r="AG31" s="5"/>
      <c r="AH31" s="6"/>
      <c r="AI31" s="6"/>
      <c r="AJ31" s="5"/>
      <c r="AK31" s="5"/>
      <c r="AL31" s="5"/>
      <c r="AM31" s="5"/>
      <c r="AN31" s="5"/>
      <c r="AO31" s="5"/>
      <c r="AP31" s="6"/>
      <c r="AQ31" s="5"/>
      <c r="AR31" s="5"/>
      <c r="AS31" s="5"/>
      <c r="AT31" s="5"/>
    </row>
    <row r="32" spans="1:46" s="157" customFormat="1" ht="13.5" customHeight="1" x14ac:dyDescent="0.2">
      <c r="A32" s="1"/>
      <c r="B32" s="31" t="s">
        <v>37</v>
      </c>
      <c r="C32" s="3" t="s">
        <v>37</v>
      </c>
      <c r="D32" s="170">
        <v>66.78</v>
      </c>
      <c r="E32" s="160">
        <v>33.56</v>
      </c>
      <c r="F32" s="189">
        <v>2</v>
      </c>
      <c r="G32" s="5">
        <v>200</v>
      </c>
      <c r="H32" s="5">
        <v>0</v>
      </c>
      <c r="I32" s="5">
        <v>80</v>
      </c>
      <c r="J32" s="189">
        <v>24</v>
      </c>
      <c r="K32" s="6">
        <f t="shared" ref="K32" si="17">F32*G32+H32*I32+J32*60</f>
        <v>1840</v>
      </c>
      <c r="L32" s="6">
        <f t="shared" si="14"/>
        <v>7</v>
      </c>
      <c r="M32" s="5">
        <v>7</v>
      </c>
      <c r="N32" s="5">
        <v>100</v>
      </c>
      <c r="O32" s="5">
        <v>1</v>
      </c>
      <c r="P32" s="5">
        <v>500</v>
      </c>
      <c r="Q32" s="5">
        <v>0</v>
      </c>
      <c r="R32" s="5">
        <v>0</v>
      </c>
      <c r="S32" s="6">
        <f t="shared" ref="S32" si="18">M32*N32+O32*P32+Q32*R32</f>
        <v>1200</v>
      </c>
      <c r="T32" s="5"/>
      <c r="U32" s="5"/>
      <c r="V32" s="5"/>
      <c r="W32" s="5"/>
      <c r="X32" s="1"/>
      <c r="Y32" s="387"/>
      <c r="Z32" s="3"/>
      <c r="AA32" s="7"/>
      <c r="AB32" s="4"/>
      <c r="AC32" s="5"/>
      <c r="AD32" s="5"/>
      <c r="AE32" s="5"/>
      <c r="AF32" s="5"/>
      <c r="AG32" s="5"/>
      <c r="AH32" s="6"/>
      <c r="AI32" s="6"/>
      <c r="AJ32" s="5"/>
      <c r="AK32" s="5"/>
      <c r="AL32" s="5"/>
      <c r="AM32" s="5"/>
      <c r="AN32" s="5"/>
      <c r="AO32" s="5"/>
      <c r="AP32" s="6"/>
      <c r="AQ32" s="30"/>
      <c r="AR32" s="30"/>
      <c r="AS32" s="30"/>
      <c r="AT32" s="30"/>
    </row>
    <row r="33" spans="1:46" ht="22.5" customHeight="1" thickBot="1" x14ac:dyDescent="0.25">
      <c r="A33" s="1"/>
      <c r="B33" s="31" t="s">
        <v>403</v>
      </c>
      <c r="C33" s="3" t="s">
        <v>404</v>
      </c>
      <c r="D33" s="170">
        <v>102.34</v>
      </c>
      <c r="E33" s="160">
        <v>42.04</v>
      </c>
      <c r="F33" s="189">
        <v>6</v>
      </c>
      <c r="G33" s="5">
        <v>50</v>
      </c>
      <c r="H33" s="214">
        <v>0</v>
      </c>
      <c r="I33" s="5">
        <v>80</v>
      </c>
      <c r="J33" s="229">
        <v>20</v>
      </c>
      <c r="K33" s="19">
        <f t="shared" si="13"/>
        <v>1500</v>
      </c>
      <c r="L33" s="6">
        <f t="shared" ref="L33" si="19">IF(E33&lt;=6,1,ROUNDUP(E33/5,0))</f>
        <v>9</v>
      </c>
      <c r="M33" s="5">
        <v>6</v>
      </c>
      <c r="N33" s="5">
        <v>100</v>
      </c>
      <c r="O33" s="5">
        <v>1</v>
      </c>
      <c r="P33" s="5">
        <v>500</v>
      </c>
      <c r="Q33" s="5">
        <v>0</v>
      </c>
      <c r="R33" s="5">
        <v>0</v>
      </c>
      <c r="S33" s="6">
        <f t="shared" si="15"/>
        <v>1100</v>
      </c>
      <c r="T33" s="5"/>
      <c r="U33" s="5"/>
      <c r="V33" s="5"/>
      <c r="W33" s="5"/>
      <c r="X33" s="1"/>
      <c r="Y33" s="388"/>
      <c r="Z33" s="3"/>
      <c r="AA33" s="7"/>
      <c r="AB33" s="4"/>
      <c r="AC33" s="5"/>
      <c r="AD33" s="5"/>
      <c r="AE33" s="5"/>
      <c r="AF33" s="5"/>
      <c r="AG33" s="5"/>
      <c r="AH33" s="6"/>
      <c r="AI33" s="6"/>
      <c r="AJ33" s="5"/>
      <c r="AK33" s="5"/>
      <c r="AL33" s="5"/>
      <c r="AM33" s="5"/>
      <c r="AN33" s="5"/>
      <c r="AO33" s="5"/>
      <c r="AP33" s="6"/>
      <c r="AQ33" s="5"/>
      <c r="AR33" s="5"/>
      <c r="AS33" s="5"/>
      <c r="AT33" s="5"/>
    </row>
    <row r="34" spans="1:46" ht="13.5" customHeight="1" thickTop="1" x14ac:dyDescent="0.2">
      <c r="A34" s="1"/>
      <c r="B34" s="20" t="s">
        <v>26</v>
      </c>
      <c r="C34" s="405"/>
      <c r="D34" s="403"/>
      <c r="E34" s="403"/>
      <c r="F34" s="403"/>
      <c r="G34" s="403"/>
      <c r="H34" s="403"/>
      <c r="I34" s="403"/>
      <c r="J34" s="404"/>
      <c r="K34" s="21">
        <f>SUM(K27:K33)</f>
        <v>5200</v>
      </c>
      <c r="L34" s="402"/>
      <c r="M34" s="403"/>
      <c r="N34" s="403"/>
      <c r="O34" s="403"/>
      <c r="P34" s="403"/>
      <c r="Q34" s="403"/>
      <c r="R34" s="404"/>
      <c r="S34" s="21">
        <f>SUM(S27:S33)</f>
        <v>4500</v>
      </c>
      <c r="T34" s="22"/>
      <c r="U34" s="21">
        <f>SUM(U27:U33)</f>
        <v>17200</v>
      </c>
      <c r="V34" s="22"/>
      <c r="W34" s="21">
        <f>SUM(W27:W31)</f>
        <v>3000</v>
      </c>
      <c r="X34" s="1"/>
      <c r="Y34" s="31"/>
      <c r="Z34" s="3"/>
      <c r="AA34" s="32"/>
      <c r="AB34" s="4"/>
      <c r="AC34" s="5"/>
      <c r="AD34" s="5"/>
      <c r="AE34" s="5"/>
      <c r="AF34" s="5"/>
      <c r="AG34" s="5"/>
      <c r="AH34" s="6"/>
      <c r="AI34" s="6"/>
      <c r="AJ34" s="5"/>
      <c r="AK34" s="5"/>
      <c r="AL34" s="5"/>
      <c r="AM34" s="5"/>
      <c r="AN34" s="5"/>
      <c r="AO34" s="5"/>
      <c r="AP34" s="6"/>
      <c r="AQ34" s="5"/>
      <c r="AR34" s="5"/>
      <c r="AS34" s="5"/>
      <c r="AT34" s="5"/>
    </row>
    <row r="35" spans="1:46" ht="12.75" customHeight="1" x14ac:dyDescent="0.2">
      <c r="A35" s="1"/>
      <c r="B35" s="393" t="s">
        <v>27</v>
      </c>
      <c r="C35" s="385"/>
      <c r="D35" s="23">
        <f>K34+S34+U34+W34</f>
        <v>29900</v>
      </c>
      <c r="E35" s="394" t="s">
        <v>28</v>
      </c>
      <c r="F35" s="384"/>
      <c r="G35" s="384"/>
      <c r="H35" s="384"/>
      <c r="I35" s="384"/>
      <c r="J35" s="384"/>
      <c r="K35" s="384"/>
      <c r="L35" s="384"/>
      <c r="M35" s="384"/>
      <c r="N35" s="384"/>
      <c r="O35" s="384"/>
      <c r="P35" s="384"/>
      <c r="Q35" s="384"/>
      <c r="R35" s="384"/>
      <c r="S35" s="384"/>
      <c r="T35" s="384"/>
      <c r="U35" s="384"/>
      <c r="V35" s="384"/>
      <c r="W35" s="385"/>
      <c r="X35" s="1"/>
      <c r="Y35" s="20"/>
      <c r="Z35" s="389"/>
      <c r="AA35" s="390"/>
      <c r="AB35" s="390"/>
      <c r="AC35" s="390"/>
      <c r="AD35" s="390"/>
      <c r="AE35" s="390"/>
      <c r="AF35" s="390"/>
      <c r="AG35" s="391"/>
      <c r="AH35" s="21"/>
      <c r="AI35" s="392"/>
      <c r="AJ35" s="390"/>
      <c r="AK35" s="390"/>
      <c r="AL35" s="390"/>
      <c r="AM35" s="390"/>
      <c r="AN35" s="390"/>
      <c r="AO35" s="391"/>
      <c r="AP35" s="21"/>
      <c r="AQ35" s="22"/>
      <c r="AR35" s="21"/>
      <c r="AS35" s="22"/>
      <c r="AT35" s="21"/>
    </row>
    <row r="36" spans="1:46" ht="12.75" customHeight="1" x14ac:dyDescent="0.2">
      <c r="A36" s="1"/>
      <c r="B36" s="24"/>
      <c r="C36" s="167" t="s">
        <v>386</v>
      </c>
      <c r="D36" s="168">
        <f>SUM(D27:D33)</f>
        <v>214.23000000000002</v>
      </c>
      <c r="E36" s="169" t="s">
        <v>402</v>
      </c>
      <c r="F36" s="28"/>
      <c r="G36" s="28"/>
      <c r="H36" s="28"/>
      <c r="I36" s="28"/>
      <c r="J36" s="28"/>
      <c r="K36" s="29"/>
      <c r="L36" s="29"/>
      <c r="M36" s="28"/>
      <c r="N36" s="28"/>
      <c r="O36" s="28"/>
      <c r="P36" s="28"/>
      <c r="Q36" s="28"/>
      <c r="R36" s="28"/>
      <c r="S36" s="29"/>
      <c r="T36" s="29"/>
      <c r="U36" s="29"/>
      <c r="V36" s="28"/>
      <c r="W36" s="28"/>
      <c r="X36" s="1"/>
      <c r="Y36" s="393"/>
      <c r="Z36" s="385"/>
      <c r="AA36" s="156"/>
      <c r="AB36" s="394"/>
      <c r="AC36" s="384"/>
      <c r="AD36" s="384"/>
      <c r="AE36" s="384"/>
      <c r="AF36" s="384"/>
      <c r="AG36" s="384"/>
      <c r="AH36" s="384"/>
      <c r="AI36" s="384"/>
      <c r="AJ36" s="384"/>
      <c r="AK36" s="384"/>
      <c r="AL36" s="384"/>
      <c r="AM36" s="384"/>
      <c r="AN36" s="384"/>
      <c r="AO36" s="384"/>
      <c r="AP36" s="384"/>
      <c r="AQ36" s="384"/>
      <c r="AR36" s="384"/>
      <c r="AS36" s="384"/>
      <c r="AT36" s="385"/>
    </row>
    <row r="37" spans="1:46" ht="13.5" customHeight="1" thickBot="1" x14ac:dyDescent="0.25">
      <c r="A37" s="1"/>
      <c r="B37" s="24"/>
      <c r="C37" s="25"/>
      <c r="D37" s="26"/>
      <c r="E37" s="27"/>
      <c r="F37" s="28"/>
      <c r="G37" s="28"/>
      <c r="H37" s="28"/>
      <c r="I37" s="28"/>
      <c r="J37" s="28"/>
      <c r="K37" s="29"/>
      <c r="L37" s="29"/>
      <c r="M37" s="28"/>
      <c r="N37" s="28"/>
      <c r="O37" s="28"/>
      <c r="P37" s="28"/>
      <c r="Q37" s="28"/>
      <c r="R37" s="28"/>
      <c r="S37" s="29"/>
      <c r="T37" s="29"/>
      <c r="U37" s="29"/>
      <c r="V37" s="28"/>
      <c r="W37" s="28"/>
      <c r="X37" s="1"/>
    </row>
    <row r="38" spans="1:46" ht="13.5" customHeight="1" thickBot="1" x14ac:dyDescent="0.25">
      <c r="A38" s="1"/>
      <c r="B38" s="396" t="s">
        <v>395</v>
      </c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397"/>
      <c r="O38" s="397"/>
      <c r="P38" s="397"/>
      <c r="Q38" s="397"/>
      <c r="R38" s="397"/>
      <c r="S38" s="397"/>
      <c r="T38" s="397"/>
      <c r="U38" s="397"/>
      <c r="V38" s="397"/>
      <c r="W38" s="398"/>
      <c r="X38" s="1"/>
    </row>
    <row r="39" spans="1:4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46" ht="12.75" customHeight="1" x14ac:dyDescent="0.2">
      <c r="A40" s="1"/>
      <c r="B40" s="395" t="s">
        <v>0</v>
      </c>
      <c r="C40" s="395" t="s">
        <v>1</v>
      </c>
      <c r="D40" s="383" t="s">
        <v>2</v>
      </c>
      <c r="E40" s="385"/>
      <c r="F40" s="383" t="s">
        <v>3</v>
      </c>
      <c r="G40" s="384"/>
      <c r="H40" s="384"/>
      <c r="I40" s="384"/>
      <c r="J40" s="384"/>
      <c r="K40" s="385"/>
      <c r="L40" s="383" t="s">
        <v>4</v>
      </c>
      <c r="M40" s="384"/>
      <c r="N40" s="384"/>
      <c r="O40" s="384"/>
      <c r="P40" s="384"/>
      <c r="Q40" s="384"/>
      <c r="R40" s="384"/>
      <c r="S40" s="385"/>
      <c r="T40" s="383" t="s">
        <v>5</v>
      </c>
      <c r="U40" s="384"/>
      <c r="V40" s="384"/>
      <c r="W40" s="385"/>
      <c r="X40" s="1"/>
    </row>
    <row r="41" spans="1:46" ht="51" customHeight="1" x14ac:dyDescent="0.2">
      <c r="A41" s="1"/>
      <c r="B41" s="388"/>
      <c r="C41" s="388"/>
      <c r="D41" s="2" t="s">
        <v>6</v>
      </c>
      <c r="E41" s="2" t="s">
        <v>7</v>
      </c>
      <c r="F41" s="2" t="s">
        <v>8</v>
      </c>
      <c r="G41" s="2" t="s">
        <v>9</v>
      </c>
      <c r="H41" s="2" t="s">
        <v>8</v>
      </c>
      <c r="I41" s="2" t="s">
        <v>9</v>
      </c>
      <c r="J41" s="2" t="s">
        <v>10</v>
      </c>
      <c r="K41" s="2" t="s">
        <v>11</v>
      </c>
      <c r="L41" s="2" t="s">
        <v>12</v>
      </c>
      <c r="M41" s="2" t="s">
        <v>8</v>
      </c>
      <c r="N41" s="2" t="s">
        <v>9</v>
      </c>
      <c r="O41" s="2" t="s">
        <v>8</v>
      </c>
      <c r="P41" s="2" t="s">
        <v>9</v>
      </c>
      <c r="Q41" s="2" t="s">
        <v>8</v>
      </c>
      <c r="R41" s="2" t="s">
        <v>9</v>
      </c>
      <c r="S41" s="2" t="s">
        <v>11</v>
      </c>
      <c r="T41" s="174" t="s">
        <v>13</v>
      </c>
      <c r="U41" s="174" t="s">
        <v>14</v>
      </c>
      <c r="V41" s="174" t="s">
        <v>13</v>
      </c>
      <c r="W41" s="174" t="s">
        <v>14</v>
      </c>
      <c r="X41" s="1"/>
    </row>
    <row r="42" spans="1:46" ht="12.75" customHeight="1" x14ac:dyDescent="0.2">
      <c r="A42" s="1"/>
      <c r="B42" s="386" t="s">
        <v>396</v>
      </c>
      <c r="C42" s="165" t="s">
        <v>398</v>
      </c>
      <c r="D42" s="159">
        <v>12.69</v>
      </c>
      <c r="E42" s="159">
        <v>7.13</v>
      </c>
      <c r="F42" s="5">
        <v>6</v>
      </c>
      <c r="G42" s="5">
        <v>50</v>
      </c>
      <c r="H42" s="5">
        <v>1</v>
      </c>
      <c r="I42" s="5">
        <v>100</v>
      </c>
      <c r="J42" s="5">
        <v>2</v>
      </c>
      <c r="K42" s="6">
        <f>F42*G42+H42*I42+J42*60</f>
        <v>520</v>
      </c>
      <c r="L42" s="6">
        <f t="shared" ref="L42:L46" si="20">IF(E42&lt;=6,1,ROUNDUP(E42/5,0))</f>
        <v>2</v>
      </c>
      <c r="M42" s="189">
        <v>2</v>
      </c>
      <c r="N42" s="5">
        <v>100</v>
      </c>
      <c r="O42" s="5">
        <v>0</v>
      </c>
      <c r="P42" s="5">
        <v>0</v>
      </c>
      <c r="Q42" s="5">
        <v>0</v>
      </c>
      <c r="R42" s="5">
        <v>0</v>
      </c>
      <c r="S42" s="173">
        <f>M42*N42+O42*P42+Q42*R42</f>
        <v>200</v>
      </c>
      <c r="T42" s="176" t="s">
        <v>15</v>
      </c>
      <c r="U42" s="176"/>
      <c r="V42" s="176" t="s">
        <v>408</v>
      </c>
      <c r="W42" s="176"/>
      <c r="X42" s="1"/>
    </row>
    <row r="43" spans="1:46" ht="12.75" customHeight="1" x14ac:dyDescent="0.2">
      <c r="A43" s="1"/>
      <c r="B43" s="387"/>
      <c r="C43" s="165" t="s">
        <v>400</v>
      </c>
      <c r="D43" s="159">
        <v>9.57</v>
      </c>
      <c r="E43" s="159">
        <v>12.38</v>
      </c>
      <c r="F43" s="5">
        <v>6</v>
      </c>
      <c r="G43" s="5">
        <v>50</v>
      </c>
      <c r="H43" s="5">
        <v>0</v>
      </c>
      <c r="I43" s="5">
        <v>0</v>
      </c>
      <c r="J43" s="5">
        <v>1</v>
      </c>
      <c r="K43" s="6">
        <f>F43*G43+H43*I43+J43*60</f>
        <v>360</v>
      </c>
      <c r="L43" s="6">
        <f t="shared" si="20"/>
        <v>3</v>
      </c>
      <c r="M43" s="189">
        <v>3</v>
      </c>
      <c r="N43" s="5">
        <v>100</v>
      </c>
      <c r="O43" s="5">
        <v>0</v>
      </c>
      <c r="P43" s="5">
        <v>0</v>
      </c>
      <c r="Q43" s="5">
        <v>0</v>
      </c>
      <c r="R43" s="5">
        <v>0</v>
      </c>
      <c r="S43" s="173">
        <f>M43*N43+O43*P43+Q43*R43</f>
        <v>300</v>
      </c>
      <c r="T43" s="177"/>
      <c r="U43" s="177"/>
      <c r="V43" s="177"/>
      <c r="W43" s="177"/>
      <c r="X43" s="1"/>
    </row>
    <row r="44" spans="1:46" ht="12.75" customHeight="1" x14ac:dyDescent="0.2">
      <c r="A44" s="1"/>
      <c r="B44" s="387"/>
      <c r="C44" s="165" t="s">
        <v>399</v>
      </c>
      <c r="D44" s="159">
        <v>3.48</v>
      </c>
      <c r="E44" s="159">
        <v>7.9</v>
      </c>
      <c r="F44" s="5">
        <v>3</v>
      </c>
      <c r="G44" s="5">
        <v>50</v>
      </c>
      <c r="H44" s="5">
        <v>0</v>
      </c>
      <c r="I44" s="5">
        <v>0</v>
      </c>
      <c r="J44" s="5">
        <v>1</v>
      </c>
      <c r="K44" s="6">
        <f>F44*G44+H44*I44+J44*60</f>
        <v>210</v>
      </c>
      <c r="L44" s="6">
        <f t="shared" si="20"/>
        <v>2</v>
      </c>
      <c r="M44" s="189">
        <v>2</v>
      </c>
      <c r="N44" s="5">
        <v>100</v>
      </c>
      <c r="O44" s="189">
        <v>1</v>
      </c>
      <c r="P44" s="5">
        <v>100</v>
      </c>
      <c r="Q44" s="5">
        <v>0</v>
      </c>
      <c r="R44" s="5">
        <v>0</v>
      </c>
      <c r="S44" s="173">
        <f>M44*N44+O44*P44+Q44*R44</f>
        <v>300</v>
      </c>
      <c r="T44" s="5" t="s">
        <v>16</v>
      </c>
      <c r="U44" s="5"/>
      <c r="V44" s="175"/>
      <c r="W44" s="175"/>
      <c r="X44" s="1"/>
    </row>
    <row r="45" spans="1:46" s="157" customFormat="1" ht="12.75" customHeight="1" x14ac:dyDescent="0.2">
      <c r="A45" s="1"/>
      <c r="B45" s="413" t="s">
        <v>397</v>
      </c>
      <c r="C45" s="3" t="s">
        <v>401</v>
      </c>
      <c r="D45" s="159">
        <v>4.79</v>
      </c>
      <c r="E45" s="160">
        <v>8.76</v>
      </c>
      <c r="F45" s="5">
        <v>1</v>
      </c>
      <c r="G45" s="5">
        <v>100</v>
      </c>
      <c r="H45" s="5">
        <v>0</v>
      </c>
      <c r="I45" s="5">
        <v>0</v>
      </c>
      <c r="J45" s="5">
        <v>0</v>
      </c>
      <c r="K45" s="6">
        <f t="shared" ref="K45" si="21">F45*G45+H45*I45+J45*60</f>
        <v>100</v>
      </c>
      <c r="L45" s="6">
        <f t="shared" ref="L45" si="22">IF(E45&lt;=6,1,ROUNDUP(E45/5,0))</f>
        <v>2</v>
      </c>
      <c r="M45" s="189">
        <v>1</v>
      </c>
      <c r="N45" s="5">
        <v>100</v>
      </c>
      <c r="O45" s="5">
        <v>0</v>
      </c>
      <c r="P45" s="5">
        <v>0</v>
      </c>
      <c r="Q45" s="5">
        <v>0</v>
      </c>
      <c r="R45" s="5">
        <v>0</v>
      </c>
      <c r="S45" s="6">
        <f t="shared" ref="S45" si="23">M45*N45+O45*P45+Q45*R45</f>
        <v>100</v>
      </c>
      <c r="T45" s="30"/>
      <c r="U45" s="30"/>
      <c r="V45" s="30"/>
      <c r="W45" s="30"/>
      <c r="X45" s="1"/>
    </row>
    <row r="46" spans="1:46" ht="12.75" customHeight="1" x14ac:dyDescent="0.2">
      <c r="A46" s="1"/>
      <c r="B46" s="414"/>
      <c r="C46" s="3" t="s">
        <v>407</v>
      </c>
      <c r="D46" s="159"/>
      <c r="E46" s="160"/>
      <c r="F46" s="5">
        <v>6</v>
      </c>
      <c r="G46" s="5">
        <v>50</v>
      </c>
      <c r="H46" s="5">
        <v>0</v>
      </c>
      <c r="I46" s="5">
        <v>0</v>
      </c>
      <c r="J46" s="5">
        <v>0</v>
      </c>
      <c r="K46" s="6">
        <f t="shared" ref="K46" si="24">F46*G46+H46*I46+J46*60</f>
        <v>300</v>
      </c>
      <c r="L46" s="6">
        <f t="shared" si="20"/>
        <v>1</v>
      </c>
      <c r="M46" s="5">
        <v>0</v>
      </c>
      <c r="N46" s="5">
        <v>100</v>
      </c>
      <c r="O46" s="5">
        <v>0</v>
      </c>
      <c r="P46" s="5">
        <v>0</v>
      </c>
      <c r="Q46" s="5">
        <v>0</v>
      </c>
      <c r="R46" s="5">
        <v>0</v>
      </c>
      <c r="S46" s="6">
        <f t="shared" ref="S46" si="25">M46*N46+O46*P46+Q46*R46</f>
        <v>0</v>
      </c>
      <c r="T46" s="30"/>
      <c r="U46" s="30"/>
      <c r="V46" s="30"/>
      <c r="W46" s="30"/>
      <c r="X46" s="1"/>
    </row>
    <row r="47" spans="1:46" ht="12.75" customHeight="1" x14ac:dyDescent="0.2">
      <c r="A47" s="1"/>
      <c r="B47" s="20" t="s">
        <v>26</v>
      </c>
      <c r="C47" s="389"/>
      <c r="D47" s="390"/>
      <c r="E47" s="390"/>
      <c r="F47" s="390"/>
      <c r="G47" s="390"/>
      <c r="H47" s="390"/>
      <c r="I47" s="390"/>
      <c r="J47" s="391"/>
      <c r="K47" s="21">
        <f>SUM(K42:K46)</f>
        <v>1490</v>
      </c>
      <c r="L47" s="392"/>
      <c r="M47" s="390"/>
      <c r="N47" s="390"/>
      <c r="O47" s="390"/>
      <c r="P47" s="390"/>
      <c r="Q47" s="390"/>
      <c r="R47" s="391"/>
      <c r="S47" s="21">
        <f>SUM(S42:S46)</f>
        <v>900</v>
      </c>
      <c r="T47" s="22"/>
      <c r="U47" s="21">
        <f>SUM(U42:U46)</f>
        <v>0</v>
      </c>
      <c r="V47" s="22"/>
      <c r="W47" s="21">
        <f>SUM(W42:W46)</f>
        <v>0</v>
      </c>
      <c r="X47" s="1"/>
    </row>
    <row r="48" spans="1:46" ht="12.75" customHeight="1" x14ac:dyDescent="0.2">
      <c r="A48" s="1"/>
      <c r="B48" s="393" t="s">
        <v>27</v>
      </c>
      <c r="C48" s="385"/>
      <c r="D48" s="23">
        <f>K47+S47+U47+W47</f>
        <v>2390</v>
      </c>
      <c r="E48" s="394" t="s">
        <v>28</v>
      </c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5"/>
      <c r="X48" s="1"/>
    </row>
    <row r="49" spans="1:24" ht="12.75" customHeight="1" x14ac:dyDescent="0.2">
      <c r="A49" s="1"/>
      <c r="B49" s="1"/>
      <c r="C49" s="167" t="s">
        <v>386</v>
      </c>
      <c r="D49" s="168">
        <f>SUM(D40:D46)</f>
        <v>30.529999999999998</v>
      </c>
      <c r="E49" s="169" t="s">
        <v>402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2.75" customHeight="1" x14ac:dyDescent="0.2"/>
    <row r="51" spans="1:24" ht="12.75" customHeight="1" x14ac:dyDescent="0.2"/>
    <row r="52" spans="1:24" ht="12.75" customHeight="1" x14ac:dyDescent="0.2">
      <c r="E52" s="4">
        <v>31.4</v>
      </c>
    </row>
    <row r="53" spans="1:24" ht="12.75" customHeight="1" x14ac:dyDescent="0.2">
      <c r="E53" s="4">
        <v>12.8</v>
      </c>
    </row>
    <row r="54" spans="1:24" ht="12.75" customHeight="1" x14ac:dyDescent="0.2">
      <c r="E54" s="4">
        <v>17.3</v>
      </c>
    </row>
    <row r="55" spans="1:24" ht="12.75" customHeight="1" x14ac:dyDescent="0.2">
      <c r="E55" s="4">
        <v>15</v>
      </c>
    </row>
    <row r="56" spans="1:24" ht="12.75" customHeight="1" x14ac:dyDescent="0.2">
      <c r="E56" s="4">
        <v>21.3</v>
      </c>
    </row>
    <row r="57" spans="1:24" ht="12.75" customHeight="1" x14ac:dyDescent="0.2">
      <c r="E57" s="4">
        <v>9</v>
      </c>
    </row>
    <row r="58" spans="1:24" ht="12.75" customHeight="1" x14ac:dyDescent="0.2">
      <c r="E58" s="4">
        <v>9</v>
      </c>
    </row>
    <row r="59" spans="1:24" ht="12.75" customHeight="1" x14ac:dyDescent="0.2">
      <c r="E59" s="4">
        <v>8.4</v>
      </c>
    </row>
    <row r="60" spans="1:24" ht="12.75" customHeight="1" x14ac:dyDescent="0.2">
      <c r="E60" s="4">
        <v>11.5</v>
      </c>
    </row>
    <row r="61" spans="1:24" ht="12.75" customHeight="1" x14ac:dyDescent="0.2">
      <c r="E61" s="4">
        <v>15.7</v>
      </c>
    </row>
    <row r="62" spans="1:24" ht="12.75" customHeight="1" x14ac:dyDescent="0.2">
      <c r="E62" s="4">
        <v>9.3000000000000007</v>
      </c>
    </row>
    <row r="63" spans="1:24" ht="13.5" customHeight="1" x14ac:dyDescent="0.2">
      <c r="E63" s="17">
        <v>13</v>
      </c>
    </row>
    <row r="64" spans="1:24" ht="13.5" customHeight="1" x14ac:dyDescent="0.2">
      <c r="E64" s="33">
        <v>25.9</v>
      </c>
    </row>
    <row r="65" spans="5:5" ht="12.75" customHeight="1" x14ac:dyDescent="0.2">
      <c r="E65" s="4">
        <v>12.5</v>
      </c>
    </row>
    <row r="66" spans="5:5" ht="12.75" customHeight="1" x14ac:dyDescent="0.2">
      <c r="E66" s="4">
        <v>15.3</v>
      </c>
    </row>
    <row r="67" spans="5:5" ht="12.75" customHeight="1" x14ac:dyDescent="0.2">
      <c r="E67" s="4">
        <v>16.399999999999999</v>
      </c>
    </row>
    <row r="68" spans="5:5" ht="12.75" customHeight="1" x14ac:dyDescent="0.2">
      <c r="E68" s="4">
        <v>7.9</v>
      </c>
    </row>
    <row r="69" spans="5:5" ht="12.75" customHeight="1" x14ac:dyDescent="0.2">
      <c r="E69" s="4">
        <v>9.3000000000000007</v>
      </c>
    </row>
    <row r="70" spans="5:5" ht="12.75" customHeight="1" x14ac:dyDescent="0.2">
      <c r="E70" s="4">
        <v>8.4</v>
      </c>
    </row>
    <row r="71" spans="5:5" ht="12.75" customHeight="1" x14ac:dyDescent="0.2">
      <c r="E71" s="4">
        <v>11.6</v>
      </c>
    </row>
    <row r="72" spans="5:5" ht="12.75" customHeight="1" x14ac:dyDescent="0.2">
      <c r="E72" s="4">
        <v>16</v>
      </c>
    </row>
    <row r="73" spans="5:5" ht="12.75" customHeight="1" x14ac:dyDescent="0.2">
      <c r="E73" s="4">
        <v>9.6</v>
      </c>
    </row>
    <row r="74" spans="5:5" ht="13.5" customHeight="1" x14ac:dyDescent="0.2">
      <c r="E74" s="17">
        <v>15.1</v>
      </c>
    </row>
    <row r="75" spans="5:5" ht="13.5" customHeight="1" x14ac:dyDescent="0.2">
      <c r="E75" s="34">
        <v>11.7</v>
      </c>
    </row>
    <row r="76" spans="5:5" ht="12.75" customHeight="1" x14ac:dyDescent="0.2">
      <c r="E76" s="4">
        <v>0</v>
      </c>
    </row>
    <row r="77" spans="5:5" ht="12.75" customHeight="1" x14ac:dyDescent="0.2"/>
    <row r="78" spans="5:5" ht="12.75" customHeight="1" x14ac:dyDescent="0.2"/>
    <row r="79" spans="5:5" ht="12.75" customHeight="1" x14ac:dyDescent="0.2"/>
    <row r="80" spans="5: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</sheetData>
  <mergeCells count="71">
    <mergeCell ref="AB36:AT36"/>
    <mergeCell ref="B45:B46"/>
    <mergeCell ref="Y23:AT23"/>
    <mergeCell ref="Y25:Y26"/>
    <mergeCell ref="Z25:Z26"/>
    <mergeCell ref="AA25:AB25"/>
    <mergeCell ref="AC25:AH25"/>
    <mergeCell ref="AI25:AP25"/>
    <mergeCell ref="AQ25:AT25"/>
    <mergeCell ref="Y27:Y29"/>
    <mergeCell ref="AQ27:AQ28"/>
    <mergeCell ref="AR27:AR28"/>
    <mergeCell ref="AS27:AS28"/>
    <mergeCell ref="AT27:AT28"/>
    <mergeCell ref="Y30:Y33"/>
    <mergeCell ref="Z35:AG35"/>
    <mergeCell ref="AI35:AO35"/>
    <mergeCell ref="L47:R47"/>
    <mergeCell ref="E48:W48"/>
    <mergeCell ref="D25:E25"/>
    <mergeCell ref="L25:S25"/>
    <mergeCell ref="F25:K25"/>
    <mergeCell ref="C47:J47"/>
    <mergeCell ref="L40:S40"/>
    <mergeCell ref="D40:E40"/>
    <mergeCell ref="F40:K40"/>
    <mergeCell ref="B48:C48"/>
    <mergeCell ref="B27:B31"/>
    <mergeCell ref="B42:B44"/>
    <mergeCell ref="B35:C35"/>
    <mergeCell ref="C40:C41"/>
    <mergeCell ref="B40:B41"/>
    <mergeCell ref="Y3:AT3"/>
    <mergeCell ref="B7:B18"/>
    <mergeCell ref="B20:C20"/>
    <mergeCell ref="T40:W40"/>
    <mergeCell ref="B23:W23"/>
    <mergeCell ref="T25:W25"/>
    <mergeCell ref="F5:K5"/>
    <mergeCell ref="L5:S5"/>
    <mergeCell ref="B5:B6"/>
    <mergeCell ref="AA5:AB5"/>
    <mergeCell ref="Z5:Z6"/>
    <mergeCell ref="T7:T8"/>
    <mergeCell ref="U7:U8"/>
    <mergeCell ref="T9:T10"/>
    <mergeCell ref="U9:U10"/>
    <mergeCell ref="Y36:Z36"/>
    <mergeCell ref="B3:W3"/>
    <mergeCell ref="E20:W20"/>
    <mergeCell ref="B38:W38"/>
    <mergeCell ref="D5:E5"/>
    <mergeCell ref="D7:D8"/>
    <mergeCell ref="L34:R34"/>
    <mergeCell ref="C34:J34"/>
    <mergeCell ref="E35:W35"/>
    <mergeCell ref="B25:B26"/>
    <mergeCell ref="C25:C26"/>
    <mergeCell ref="C19:J19"/>
    <mergeCell ref="T5:W5"/>
    <mergeCell ref="C5:C6"/>
    <mergeCell ref="AI5:AP5"/>
    <mergeCell ref="Y10:Y13"/>
    <mergeCell ref="Z15:AG15"/>
    <mergeCell ref="AI15:AO15"/>
    <mergeCell ref="Y16:Z16"/>
    <mergeCell ref="AB16:AT16"/>
    <mergeCell ref="AC5:AH5"/>
    <mergeCell ref="AQ5:AT5"/>
    <mergeCell ref="Y7:Y9"/>
    <mergeCell ref="Y5:Y6"/>
  </mergeCells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49"/>
  <sheetViews>
    <sheetView topLeftCell="A97" workbookViewId="0">
      <selection activeCell="C103" sqref="C103"/>
    </sheetView>
  </sheetViews>
  <sheetFormatPr defaultColWidth="12.5703125" defaultRowHeight="15" customHeight="1" x14ac:dyDescent="0.2"/>
  <cols>
    <col min="1" max="2" width="8" customWidth="1"/>
    <col min="3" max="3" width="37" customWidth="1"/>
    <col min="4" max="4" width="8" customWidth="1"/>
    <col min="5" max="5" width="10.5703125" customWidth="1"/>
    <col min="6" max="7" width="8" customWidth="1"/>
    <col min="8" max="8" width="12" customWidth="1"/>
    <col min="9" max="12" width="8" customWidth="1"/>
    <col min="13" max="13" width="6.7109375" customWidth="1"/>
    <col min="14" max="14" width="4.85546875" customWidth="1"/>
    <col min="15" max="22" width="4.5703125" customWidth="1"/>
    <col min="23" max="23" width="4.85546875" customWidth="1"/>
    <col min="24" max="26" width="4.5703125" customWidth="1"/>
    <col min="27" max="28" width="4" customWidth="1"/>
    <col min="29" max="29" width="8" customWidth="1"/>
    <col min="30" max="32" width="5.5703125" customWidth="1"/>
    <col min="33" max="33" width="15" customWidth="1"/>
  </cols>
  <sheetData>
    <row r="1" spans="2:33" ht="12.75" customHeight="1" x14ac:dyDescent="0.2"/>
    <row r="2" spans="2:33" ht="13.5" customHeight="1" x14ac:dyDescent="0.2"/>
    <row r="3" spans="2:33" ht="13.5" customHeight="1" x14ac:dyDescent="0.2">
      <c r="B3" s="483" t="s">
        <v>215</v>
      </c>
      <c r="C3" s="397"/>
      <c r="D3" s="397"/>
      <c r="E3" s="397"/>
      <c r="F3" s="397"/>
      <c r="G3" s="397"/>
      <c r="H3" s="398"/>
    </row>
    <row r="4" spans="2:33" ht="12.75" customHeight="1" x14ac:dyDescent="0.2">
      <c r="B4" s="481" t="s">
        <v>216</v>
      </c>
      <c r="C4" s="481" t="s">
        <v>0</v>
      </c>
      <c r="D4" s="481" t="s">
        <v>217</v>
      </c>
      <c r="E4" s="481" t="s">
        <v>218</v>
      </c>
      <c r="F4" s="481" t="s">
        <v>219</v>
      </c>
      <c r="G4" s="481" t="s">
        <v>220</v>
      </c>
      <c r="H4" s="481" t="s">
        <v>221</v>
      </c>
      <c r="L4" s="120" t="s">
        <v>93</v>
      </c>
      <c r="M4" s="121">
        <v>1</v>
      </c>
      <c r="N4" s="121">
        <v>2</v>
      </c>
      <c r="O4" s="121">
        <v>3</v>
      </c>
      <c r="P4" s="121">
        <v>4</v>
      </c>
      <c r="Q4" s="121">
        <v>5</v>
      </c>
      <c r="R4" s="121">
        <v>6</v>
      </c>
      <c r="S4" s="121">
        <v>7</v>
      </c>
      <c r="T4" s="121">
        <v>8</v>
      </c>
      <c r="U4" s="121">
        <v>9</v>
      </c>
      <c r="V4" s="121">
        <v>10</v>
      </c>
      <c r="W4" s="121">
        <v>11</v>
      </c>
      <c r="X4" s="121">
        <v>12</v>
      </c>
      <c r="Y4" s="121">
        <v>13</v>
      </c>
      <c r="Z4" s="121">
        <v>14</v>
      </c>
      <c r="AA4" s="121">
        <v>15</v>
      </c>
      <c r="AB4" s="121">
        <v>16</v>
      </c>
      <c r="AD4" s="480" t="s">
        <v>222</v>
      </c>
      <c r="AE4" s="384"/>
      <c r="AF4" s="385"/>
      <c r="AG4" s="122" t="s">
        <v>223</v>
      </c>
    </row>
    <row r="5" spans="2:33" ht="12.75" customHeight="1" x14ac:dyDescent="0.2">
      <c r="B5" s="388"/>
      <c r="C5" s="388"/>
      <c r="D5" s="388"/>
      <c r="E5" s="388"/>
      <c r="F5" s="388"/>
      <c r="G5" s="388"/>
      <c r="H5" s="388"/>
      <c r="L5" s="120" t="s">
        <v>224</v>
      </c>
      <c r="M5" s="123" t="e">
        <f>#REF!</f>
        <v>#REF!</v>
      </c>
      <c r="N5" s="123" t="e">
        <f>#REF!</f>
        <v>#REF!</v>
      </c>
      <c r="O5" s="123" t="e">
        <f>#REF!</f>
        <v>#REF!</v>
      </c>
      <c r="P5" s="123" t="e">
        <f>#REF!</f>
        <v>#REF!</v>
      </c>
      <c r="Q5" s="123" t="e">
        <f>#REF!</f>
        <v>#REF!</v>
      </c>
      <c r="R5" s="123" t="e">
        <f>#REF!</f>
        <v>#REF!</v>
      </c>
      <c r="S5" s="123" t="e">
        <f>#REF!</f>
        <v>#REF!</v>
      </c>
      <c r="T5" s="123" t="e">
        <f>#REF!</f>
        <v>#REF!</v>
      </c>
      <c r="U5" s="123" t="e">
        <f>#REF!</f>
        <v>#REF!</v>
      </c>
      <c r="V5" s="123" t="e">
        <f>#REF!</f>
        <v>#REF!</v>
      </c>
      <c r="W5" s="123" t="e">
        <f>#REF!</f>
        <v>#REF!</v>
      </c>
      <c r="X5" s="123" t="e">
        <f>#REF!</f>
        <v>#REF!</v>
      </c>
      <c r="Y5" s="123" t="e">
        <f>#REF!</f>
        <v>#REF!</v>
      </c>
      <c r="Z5" s="123" t="e">
        <f>#REF!</f>
        <v>#REF!</v>
      </c>
      <c r="AA5" s="123" t="e">
        <f>#REF!</f>
        <v>#REF!</v>
      </c>
      <c r="AB5" s="123" t="e">
        <f>#REF!</f>
        <v>#REF!</v>
      </c>
      <c r="AD5" s="121">
        <v>1.5</v>
      </c>
      <c r="AE5" s="121">
        <v>2.5</v>
      </c>
      <c r="AF5" s="124">
        <v>4</v>
      </c>
      <c r="AG5" s="125"/>
    </row>
    <row r="6" spans="2:33" ht="12.75" customHeight="1" x14ac:dyDescent="0.2">
      <c r="B6" s="126">
        <v>1</v>
      </c>
      <c r="C6" s="127" t="s">
        <v>225</v>
      </c>
      <c r="D6" s="30" t="s">
        <v>226</v>
      </c>
      <c r="E6" s="5">
        <f>14+12</f>
        <v>26</v>
      </c>
      <c r="F6" s="7">
        <v>0.6</v>
      </c>
      <c r="G6" s="65">
        <f t="shared" ref="G6:G46" si="0">F6*E6</f>
        <v>15.6</v>
      </c>
      <c r="H6" s="65">
        <f t="shared" ref="H6:H44" si="1">5*G6</f>
        <v>78</v>
      </c>
      <c r="L6" s="120" t="s">
        <v>227</v>
      </c>
      <c r="M6" s="128">
        <v>57.13</v>
      </c>
      <c r="N6" s="128">
        <v>50.83</v>
      </c>
      <c r="O6" s="128">
        <v>7</v>
      </c>
      <c r="P6" s="128">
        <v>13</v>
      </c>
      <c r="Q6" s="128">
        <v>5.2</v>
      </c>
      <c r="R6" s="128">
        <v>10.65</v>
      </c>
      <c r="S6" s="128">
        <v>19.95</v>
      </c>
      <c r="T6" s="128">
        <v>12.61</v>
      </c>
      <c r="U6" s="128">
        <v>36.81</v>
      </c>
      <c r="V6" s="128">
        <v>83.9</v>
      </c>
      <c r="W6" s="128">
        <v>126.82</v>
      </c>
      <c r="X6" s="128">
        <v>10.16</v>
      </c>
      <c r="Y6" s="128">
        <v>20.34</v>
      </c>
      <c r="Z6" s="128">
        <v>17.14</v>
      </c>
      <c r="AA6" s="128">
        <v>16.32</v>
      </c>
      <c r="AB6" s="128">
        <v>11.13</v>
      </c>
      <c r="AC6" s="129" t="s">
        <v>228</v>
      </c>
      <c r="AD6" s="130">
        <f>SUM(M6:N6)</f>
        <v>107.96000000000001</v>
      </c>
      <c r="AE6" s="130">
        <f t="shared" ref="AE6:AE7" si="2">W6+X6+AB6</f>
        <v>148.10999999999999</v>
      </c>
      <c r="AF6" s="130">
        <f t="shared" ref="AF6:AF7" si="3">Q6+P6+O6+R6+S6+T6+U6+V6+Y6+Z6+AA6</f>
        <v>242.92000000000002</v>
      </c>
      <c r="AG6" s="131" t="s">
        <v>229</v>
      </c>
    </row>
    <row r="7" spans="2:33" ht="12.75" customHeight="1" x14ac:dyDescent="0.2">
      <c r="B7" s="126">
        <v>2</v>
      </c>
      <c r="C7" s="127" t="s">
        <v>230</v>
      </c>
      <c r="D7" s="30" t="s">
        <v>226</v>
      </c>
      <c r="E7" s="5">
        <f>68+62</f>
        <v>130</v>
      </c>
      <c r="F7" s="7">
        <v>0.35</v>
      </c>
      <c r="G7" s="65">
        <f t="shared" si="0"/>
        <v>45.5</v>
      </c>
      <c r="H7" s="65">
        <f t="shared" si="1"/>
        <v>227.5</v>
      </c>
      <c r="L7" s="120" t="s">
        <v>231</v>
      </c>
      <c r="M7" s="128">
        <v>41.5</v>
      </c>
      <c r="N7" s="128">
        <v>44.4</v>
      </c>
      <c r="O7" s="128">
        <v>7</v>
      </c>
      <c r="P7" s="128">
        <v>13</v>
      </c>
      <c r="Q7" s="128">
        <f t="shared" ref="Q7:AB7" si="4">Q6</f>
        <v>5.2</v>
      </c>
      <c r="R7" s="128">
        <f t="shared" si="4"/>
        <v>10.65</v>
      </c>
      <c r="S7" s="128">
        <f t="shared" si="4"/>
        <v>19.95</v>
      </c>
      <c r="T7" s="128">
        <f t="shared" si="4"/>
        <v>12.61</v>
      </c>
      <c r="U7" s="128">
        <f t="shared" si="4"/>
        <v>36.81</v>
      </c>
      <c r="V7" s="128">
        <f t="shared" si="4"/>
        <v>83.9</v>
      </c>
      <c r="W7" s="128">
        <f t="shared" si="4"/>
        <v>126.82</v>
      </c>
      <c r="X7" s="128">
        <f t="shared" si="4"/>
        <v>10.16</v>
      </c>
      <c r="Y7" s="128">
        <f t="shared" si="4"/>
        <v>20.34</v>
      </c>
      <c r="Z7" s="128">
        <f t="shared" si="4"/>
        <v>17.14</v>
      </c>
      <c r="AA7" s="128">
        <f t="shared" si="4"/>
        <v>16.32</v>
      </c>
      <c r="AB7" s="128">
        <f t="shared" si="4"/>
        <v>11.13</v>
      </c>
      <c r="AC7" s="129" t="s">
        <v>232</v>
      </c>
      <c r="AD7" s="130">
        <f t="shared" ref="AD7:AD8" si="5">M7+N7</f>
        <v>85.9</v>
      </c>
      <c r="AE7" s="130">
        <f t="shared" si="2"/>
        <v>148.10999999999999</v>
      </c>
      <c r="AF7" s="130">
        <f t="shared" si="3"/>
        <v>242.92000000000002</v>
      </c>
      <c r="AG7" s="132" t="s">
        <v>233</v>
      </c>
    </row>
    <row r="8" spans="2:33" ht="12.75" customHeight="1" x14ac:dyDescent="0.2">
      <c r="B8" s="126">
        <v>3</v>
      </c>
      <c r="C8" s="127" t="s">
        <v>234</v>
      </c>
      <c r="D8" s="30" t="s">
        <v>226</v>
      </c>
      <c r="E8" s="5">
        <v>5</v>
      </c>
      <c r="F8" s="7">
        <v>0.55000000000000004</v>
      </c>
      <c r="G8" s="65">
        <f t="shared" si="0"/>
        <v>2.75</v>
      </c>
      <c r="H8" s="65">
        <f t="shared" si="1"/>
        <v>13.75</v>
      </c>
      <c r="L8" s="120" t="s">
        <v>235</v>
      </c>
      <c r="M8" s="128">
        <v>129.19999999999999</v>
      </c>
      <c r="N8" s="128">
        <v>122.36</v>
      </c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9" t="s">
        <v>236</v>
      </c>
      <c r="AD8" s="130">
        <f t="shared" si="5"/>
        <v>251.56</v>
      </c>
      <c r="AE8" s="4" t="s">
        <v>185</v>
      </c>
      <c r="AF8" s="4" t="s">
        <v>185</v>
      </c>
      <c r="AG8" s="132" t="s">
        <v>237</v>
      </c>
    </row>
    <row r="9" spans="2:33" ht="12.75" customHeight="1" x14ac:dyDescent="0.2">
      <c r="B9" s="126">
        <v>4</v>
      </c>
      <c r="C9" s="127" t="s">
        <v>238</v>
      </c>
      <c r="D9" s="30" t="s">
        <v>226</v>
      </c>
      <c r="E9" s="5">
        <v>6</v>
      </c>
      <c r="F9" s="7">
        <v>3</v>
      </c>
      <c r="G9" s="65">
        <f t="shared" si="0"/>
        <v>18</v>
      </c>
      <c r="H9" s="65">
        <f t="shared" si="1"/>
        <v>90</v>
      </c>
      <c r="L9" s="120" t="s">
        <v>239</v>
      </c>
      <c r="M9" s="128"/>
      <c r="N9" s="128"/>
      <c r="O9" s="128">
        <v>7</v>
      </c>
      <c r="P9" s="128">
        <v>13</v>
      </c>
      <c r="Q9" s="128">
        <f t="shared" ref="Q9:AB9" si="6">Q6</f>
        <v>5.2</v>
      </c>
      <c r="R9" s="128">
        <f t="shared" si="6"/>
        <v>10.65</v>
      </c>
      <c r="S9" s="128">
        <f t="shared" si="6"/>
        <v>19.95</v>
      </c>
      <c r="T9" s="128">
        <f t="shared" si="6"/>
        <v>12.61</v>
      </c>
      <c r="U9" s="128">
        <f t="shared" si="6"/>
        <v>36.81</v>
      </c>
      <c r="V9" s="128">
        <f t="shared" si="6"/>
        <v>83.9</v>
      </c>
      <c r="W9" s="128">
        <f t="shared" si="6"/>
        <v>126.82</v>
      </c>
      <c r="X9" s="128">
        <f t="shared" si="6"/>
        <v>10.16</v>
      </c>
      <c r="Y9" s="128">
        <f t="shared" si="6"/>
        <v>20.34</v>
      </c>
      <c r="Z9" s="128">
        <f t="shared" si="6"/>
        <v>17.14</v>
      </c>
      <c r="AA9" s="128">
        <f t="shared" si="6"/>
        <v>16.32</v>
      </c>
      <c r="AB9" s="128">
        <f t="shared" si="6"/>
        <v>11.13</v>
      </c>
      <c r="AC9" s="129" t="s">
        <v>240</v>
      </c>
      <c r="AD9" s="5" t="s">
        <v>185</v>
      </c>
      <c r="AE9" s="130">
        <f>W9+X9+AB9</f>
        <v>148.10999999999999</v>
      </c>
      <c r="AF9" s="130">
        <f>Q9+P9+O9+R9+S9+T9+U9+V9+Y9+Z9+AA9</f>
        <v>242.92000000000002</v>
      </c>
      <c r="AG9" s="116" t="s">
        <v>241</v>
      </c>
    </row>
    <row r="10" spans="2:33" ht="12.75" customHeight="1" x14ac:dyDescent="0.2">
      <c r="B10" s="126">
        <v>5</v>
      </c>
      <c r="C10" s="127" t="s">
        <v>242</v>
      </c>
      <c r="D10" s="30" t="s">
        <v>226</v>
      </c>
      <c r="E10" s="5">
        <v>2</v>
      </c>
      <c r="F10" s="7">
        <v>4</v>
      </c>
      <c r="G10" s="65">
        <f t="shared" si="0"/>
        <v>8</v>
      </c>
      <c r="H10" s="65">
        <f t="shared" si="1"/>
        <v>40</v>
      </c>
      <c r="L10" s="133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29"/>
      <c r="AD10" s="12"/>
      <c r="AE10" s="135"/>
      <c r="AF10" s="135"/>
      <c r="AG10" s="9"/>
    </row>
    <row r="11" spans="2:33" ht="12.75" customHeight="1" x14ac:dyDescent="0.2">
      <c r="B11" s="126">
        <v>6</v>
      </c>
      <c r="C11" s="127" t="s">
        <v>243</v>
      </c>
      <c r="D11" s="30" t="s">
        <v>226</v>
      </c>
      <c r="E11" s="5">
        <v>1</v>
      </c>
      <c r="F11" s="7">
        <v>4.5</v>
      </c>
      <c r="G11" s="65">
        <f t="shared" si="0"/>
        <v>4.5</v>
      </c>
      <c r="H11" s="65">
        <f t="shared" si="1"/>
        <v>22.5</v>
      </c>
    </row>
    <row r="12" spans="2:33" ht="12.75" customHeight="1" x14ac:dyDescent="0.2">
      <c r="B12" s="126">
        <v>7</v>
      </c>
      <c r="C12" s="127" t="s">
        <v>244</v>
      </c>
      <c r="D12" s="30" t="s">
        <v>226</v>
      </c>
      <c r="E12" s="5">
        <v>7</v>
      </c>
      <c r="F12" s="7">
        <v>5</v>
      </c>
      <c r="G12" s="65">
        <f t="shared" si="0"/>
        <v>35</v>
      </c>
      <c r="H12" s="65">
        <f t="shared" si="1"/>
        <v>175</v>
      </c>
    </row>
    <row r="13" spans="2:33" ht="12.75" customHeight="1" x14ac:dyDescent="0.2">
      <c r="B13" s="126">
        <v>8</v>
      </c>
      <c r="C13" s="127" t="s">
        <v>245</v>
      </c>
      <c r="D13" s="30" t="s">
        <v>226</v>
      </c>
      <c r="E13" s="5">
        <v>17</v>
      </c>
      <c r="F13" s="7">
        <v>3.52</v>
      </c>
      <c r="G13" s="65">
        <f t="shared" si="0"/>
        <v>59.84</v>
      </c>
      <c r="H13" s="65">
        <f t="shared" si="1"/>
        <v>299.20000000000005</v>
      </c>
    </row>
    <row r="14" spans="2:33" ht="12.75" customHeight="1" x14ac:dyDescent="0.2">
      <c r="B14" s="126">
        <v>9</v>
      </c>
      <c r="C14" s="127" t="s">
        <v>246</v>
      </c>
      <c r="D14" s="30" t="s">
        <v>226</v>
      </c>
      <c r="E14" s="5">
        <v>7</v>
      </c>
      <c r="F14" s="7">
        <v>5.78</v>
      </c>
      <c r="G14" s="65">
        <f t="shared" si="0"/>
        <v>40.46</v>
      </c>
      <c r="H14" s="65">
        <f t="shared" si="1"/>
        <v>202.3</v>
      </c>
    </row>
    <row r="15" spans="2:33" ht="12.75" customHeight="1" x14ac:dyDescent="0.2">
      <c r="B15" s="126">
        <v>10</v>
      </c>
      <c r="C15" s="127" t="s">
        <v>247</v>
      </c>
      <c r="D15" s="30" t="s">
        <v>226</v>
      </c>
      <c r="E15" s="5">
        <v>2</v>
      </c>
      <c r="F15" s="7">
        <v>6.78</v>
      </c>
      <c r="G15" s="65">
        <f t="shared" si="0"/>
        <v>13.56</v>
      </c>
      <c r="H15" s="65">
        <f t="shared" si="1"/>
        <v>67.8</v>
      </c>
    </row>
    <row r="16" spans="2:33" ht="12.75" customHeight="1" x14ac:dyDescent="0.2">
      <c r="B16" s="126">
        <v>11</v>
      </c>
      <c r="C16" s="127" t="s">
        <v>248</v>
      </c>
      <c r="D16" s="30" t="s">
        <v>226</v>
      </c>
      <c r="E16" s="5">
        <v>2</v>
      </c>
      <c r="F16" s="7">
        <v>7.85</v>
      </c>
      <c r="G16" s="65">
        <f t="shared" si="0"/>
        <v>15.7</v>
      </c>
      <c r="H16" s="65">
        <f t="shared" si="1"/>
        <v>78.5</v>
      </c>
    </row>
    <row r="17" spans="2:18" ht="12.75" customHeight="1" x14ac:dyDescent="0.2">
      <c r="B17" s="126">
        <v>12</v>
      </c>
      <c r="C17" s="127" t="s">
        <v>249</v>
      </c>
      <c r="D17" s="30" t="s">
        <v>226</v>
      </c>
      <c r="E17" s="5">
        <v>2</v>
      </c>
      <c r="F17" s="7">
        <v>8.67</v>
      </c>
      <c r="G17" s="65">
        <f t="shared" si="0"/>
        <v>17.34</v>
      </c>
      <c r="H17" s="65">
        <f t="shared" si="1"/>
        <v>86.7</v>
      </c>
    </row>
    <row r="18" spans="2:18" ht="12.75" customHeight="1" x14ac:dyDescent="0.2">
      <c r="B18" s="126">
        <v>13</v>
      </c>
      <c r="C18" s="127" t="s">
        <v>250</v>
      </c>
      <c r="D18" s="30" t="s">
        <v>226</v>
      </c>
      <c r="E18" s="5">
        <f>53+45</f>
        <v>98</v>
      </c>
      <c r="F18" s="7">
        <v>3</v>
      </c>
      <c r="G18" s="65">
        <f t="shared" si="0"/>
        <v>294</v>
      </c>
      <c r="H18" s="65">
        <f t="shared" si="1"/>
        <v>1470</v>
      </c>
    </row>
    <row r="19" spans="2:18" ht="12.75" customHeight="1" x14ac:dyDescent="0.2">
      <c r="B19" s="126">
        <v>14</v>
      </c>
      <c r="C19" s="127" t="s">
        <v>251</v>
      </c>
      <c r="D19" s="30" t="s">
        <v>226</v>
      </c>
      <c r="E19" s="5">
        <f>6+6</f>
        <v>12</v>
      </c>
      <c r="F19" s="7">
        <v>10</v>
      </c>
      <c r="G19" s="65">
        <f t="shared" si="0"/>
        <v>120</v>
      </c>
      <c r="H19" s="65">
        <f t="shared" si="1"/>
        <v>600</v>
      </c>
    </row>
    <row r="20" spans="2:18" ht="12.75" customHeight="1" x14ac:dyDescent="0.2">
      <c r="B20" s="126">
        <v>15</v>
      </c>
      <c r="C20" s="127" t="s">
        <v>252</v>
      </c>
      <c r="D20" s="30" t="s">
        <v>226</v>
      </c>
      <c r="E20" s="5">
        <v>26</v>
      </c>
      <c r="F20" s="7">
        <v>1</v>
      </c>
      <c r="G20" s="65">
        <f t="shared" si="0"/>
        <v>26</v>
      </c>
      <c r="H20" s="65">
        <f t="shared" si="1"/>
        <v>130</v>
      </c>
    </row>
    <row r="21" spans="2:18" ht="12.75" customHeight="1" x14ac:dyDescent="0.2">
      <c r="B21" s="126">
        <v>16</v>
      </c>
      <c r="C21" s="127" t="s">
        <v>253</v>
      </c>
      <c r="D21" s="30" t="s">
        <v>226</v>
      </c>
      <c r="E21" s="5">
        <v>1</v>
      </c>
      <c r="F21" s="7">
        <v>170</v>
      </c>
      <c r="G21" s="65">
        <f t="shared" si="0"/>
        <v>170</v>
      </c>
      <c r="H21" s="65">
        <f t="shared" si="1"/>
        <v>850</v>
      </c>
      <c r="I21" s="136"/>
    </row>
    <row r="22" spans="2:18" ht="12.75" customHeight="1" x14ac:dyDescent="0.2">
      <c r="B22" s="126">
        <v>17</v>
      </c>
      <c r="C22" s="127" t="s">
        <v>254</v>
      </c>
      <c r="D22" s="30" t="s">
        <v>226</v>
      </c>
      <c r="E22" s="5">
        <v>1</v>
      </c>
      <c r="F22" s="7">
        <v>150</v>
      </c>
      <c r="G22" s="65">
        <f t="shared" si="0"/>
        <v>150</v>
      </c>
      <c r="H22" s="65">
        <f t="shared" si="1"/>
        <v>750</v>
      </c>
    </row>
    <row r="23" spans="2:18" ht="12.75" customHeight="1" x14ac:dyDescent="0.2">
      <c r="B23" s="126">
        <v>18</v>
      </c>
      <c r="C23" s="127" t="s">
        <v>255</v>
      </c>
      <c r="D23" s="30" t="s">
        <v>256</v>
      </c>
      <c r="E23" s="7">
        <f>AD6*Q23*2</f>
        <v>237.51200000000003</v>
      </c>
      <c r="F23" s="7">
        <v>0.34</v>
      </c>
      <c r="G23" s="65">
        <f t="shared" si="0"/>
        <v>80.754080000000016</v>
      </c>
      <c r="H23" s="65">
        <f t="shared" si="1"/>
        <v>403.77040000000011</v>
      </c>
      <c r="L23" s="137" t="s">
        <v>257</v>
      </c>
      <c r="M23" s="138"/>
      <c r="N23" s="138"/>
      <c r="O23" s="138"/>
      <c r="P23" s="138"/>
      <c r="Q23" s="482">
        <v>1.1000000000000001</v>
      </c>
      <c r="R23" s="385"/>
    </row>
    <row r="24" spans="2:18" ht="12.75" customHeight="1" x14ac:dyDescent="0.2">
      <c r="B24" s="126">
        <v>19</v>
      </c>
      <c r="C24" s="127" t="s">
        <v>258</v>
      </c>
      <c r="D24" s="30" t="s">
        <v>256</v>
      </c>
      <c r="E24" s="7">
        <f>AD8*Q23*2</f>
        <v>553.43200000000002</v>
      </c>
      <c r="F24" s="7">
        <v>0.34</v>
      </c>
      <c r="G24" s="65">
        <f t="shared" si="0"/>
        <v>188.16688000000002</v>
      </c>
      <c r="H24" s="65">
        <f t="shared" si="1"/>
        <v>940.83440000000007</v>
      </c>
    </row>
    <row r="25" spans="2:18" ht="12.75" customHeight="1" x14ac:dyDescent="0.2">
      <c r="B25" s="126">
        <v>20</v>
      </c>
      <c r="C25" s="127" t="s">
        <v>259</v>
      </c>
      <c r="D25" s="30" t="s">
        <v>256</v>
      </c>
      <c r="E25" s="7">
        <f>AD7*Q23*2</f>
        <v>188.98000000000002</v>
      </c>
      <c r="F25" s="7">
        <v>0.34</v>
      </c>
      <c r="G25" s="65">
        <f t="shared" si="0"/>
        <v>64.253200000000007</v>
      </c>
      <c r="H25" s="65">
        <f t="shared" si="1"/>
        <v>321.26600000000002</v>
      </c>
    </row>
    <row r="26" spans="2:18" ht="12.75" customHeight="1" x14ac:dyDescent="0.2">
      <c r="B26" s="126">
        <v>21</v>
      </c>
      <c r="C26" s="127" t="s">
        <v>260</v>
      </c>
      <c r="D26" s="30" t="s">
        <v>256</v>
      </c>
      <c r="E26" s="7">
        <f>AE6*Q23*2</f>
        <v>325.84199999999998</v>
      </c>
      <c r="F26" s="7">
        <v>0.52</v>
      </c>
      <c r="G26" s="65">
        <f t="shared" si="0"/>
        <v>169.43783999999999</v>
      </c>
      <c r="H26" s="65">
        <f t="shared" si="1"/>
        <v>847.18920000000003</v>
      </c>
    </row>
    <row r="27" spans="2:18" ht="12.75" customHeight="1" x14ac:dyDescent="0.2">
      <c r="B27" s="126">
        <v>22</v>
      </c>
      <c r="C27" s="127" t="s">
        <v>261</v>
      </c>
      <c r="D27" s="30" t="s">
        <v>256</v>
      </c>
      <c r="E27" s="7">
        <f>AE7*Q23*2</f>
        <v>325.84199999999998</v>
      </c>
      <c r="F27" s="7">
        <v>0.52</v>
      </c>
      <c r="G27" s="65">
        <f t="shared" si="0"/>
        <v>169.43783999999999</v>
      </c>
      <c r="H27" s="65">
        <f t="shared" si="1"/>
        <v>847.18920000000003</v>
      </c>
    </row>
    <row r="28" spans="2:18" ht="12.75" customHeight="1" x14ac:dyDescent="0.2">
      <c r="B28" s="126">
        <v>23</v>
      </c>
      <c r="C28" s="127" t="s">
        <v>262</v>
      </c>
      <c r="D28" s="30" t="s">
        <v>256</v>
      </c>
      <c r="E28" s="7">
        <f>AE9*Q23*2</f>
        <v>325.84199999999998</v>
      </c>
      <c r="F28" s="7">
        <v>0.52</v>
      </c>
      <c r="G28" s="65">
        <f t="shared" si="0"/>
        <v>169.43783999999999</v>
      </c>
      <c r="H28" s="65">
        <f t="shared" si="1"/>
        <v>847.18920000000003</v>
      </c>
    </row>
    <row r="29" spans="2:18" ht="12.75" customHeight="1" x14ac:dyDescent="0.2">
      <c r="B29" s="126">
        <v>24</v>
      </c>
      <c r="C29" s="127" t="s">
        <v>263</v>
      </c>
      <c r="D29" s="30" t="s">
        <v>256</v>
      </c>
      <c r="E29" s="7">
        <f>AF6*Q23*2</f>
        <v>534.42400000000009</v>
      </c>
      <c r="F29" s="7">
        <v>0.84</v>
      </c>
      <c r="G29" s="65">
        <f t="shared" si="0"/>
        <v>448.91616000000005</v>
      </c>
      <c r="H29" s="65">
        <f t="shared" si="1"/>
        <v>2244.5808000000002</v>
      </c>
    </row>
    <row r="30" spans="2:18" ht="12.75" customHeight="1" x14ac:dyDescent="0.2">
      <c r="B30" s="126">
        <v>25</v>
      </c>
      <c r="C30" s="127" t="s">
        <v>264</v>
      </c>
      <c r="D30" s="30" t="s">
        <v>256</v>
      </c>
      <c r="E30" s="7">
        <f>AF7*Q23*2</f>
        <v>534.42400000000009</v>
      </c>
      <c r="F30" s="7">
        <v>0.84</v>
      </c>
      <c r="G30" s="65">
        <f t="shared" si="0"/>
        <v>448.91616000000005</v>
      </c>
      <c r="H30" s="65">
        <f t="shared" si="1"/>
        <v>2244.5808000000002</v>
      </c>
    </row>
    <row r="31" spans="2:18" ht="12.75" customHeight="1" x14ac:dyDescent="0.2">
      <c r="B31" s="126">
        <v>26</v>
      </c>
      <c r="C31" s="127" t="s">
        <v>265</v>
      </c>
      <c r="D31" s="30" t="s">
        <v>256</v>
      </c>
      <c r="E31" s="7">
        <f>AF9*Q23*2</f>
        <v>534.42400000000009</v>
      </c>
      <c r="F31" s="7">
        <v>0.84</v>
      </c>
      <c r="G31" s="65">
        <f t="shared" si="0"/>
        <v>448.91616000000005</v>
      </c>
      <c r="H31" s="65">
        <f t="shared" si="1"/>
        <v>2244.5808000000002</v>
      </c>
    </row>
    <row r="32" spans="2:18" ht="12.75" customHeight="1" x14ac:dyDescent="0.2">
      <c r="B32" s="126">
        <v>27</v>
      </c>
      <c r="C32" s="127" t="s">
        <v>266</v>
      </c>
      <c r="D32" s="30" t="s">
        <v>256</v>
      </c>
      <c r="E32" s="7">
        <f>(K76+L76)*Q23</f>
        <v>373.46319999999986</v>
      </c>
      <c r="F32" s="7">
        <v>2.02</v>
      </c>
      <c r="G32" s="65">
        <f t="shared" si="0"/>
        <v>754.39566399999967</v>
      </c>
      <c r="H32" s="65">
        <f t="shared" si="1"/>
        <v>3771.9783199999983</v>
      </c>
      <c r="L32">
        <f>2*3.02</f>
        <v>6.04</v>
      </c>
    </row>
    <row r="33" spans="2:12" ht="12.75" customHeight="1" x14ac:dyDescent="0.2">
      <c r="B33" s="126">
        <v>28</v>
      </c>
      <c r="C33" s="127" t="s">
        <v>267</v>
      </c>
      <c r="D33" s="30" t="s">
        <v>256</v>
      </c>
      <c r="E33" s="7">
        <f>(33.59+12.78)*Q23</f>
        <v>51.007000000000012</v>
      </c>
      <c r="F33" s="7">
        <v>2.88</v>
      </c>
      <c r="G33" s="65">
        <f t="shared" si="0"/>
        <v>146.90016000000003</v>
      </c>
      <c r="H33" s="65">
        <f t="shared" si="1"/>
        <v>734.50080000000014</v>
      </c>
      <c r="L33">
        <v>2.61</v>
      </c>
    </row>
    <row r="34" spans="2:12" ht="12.75" customHeight="1" x14ac:dyDescent="0.2">
      <c r="B34" s="126">
        <v>29</v>
      </c>
      <c r="C34" s="127" t="s">
        <v>268</v>
      </c>
      <c r="D34" s="30" t="s">
        <v>256</v>
      </c>
      <c r="E34" s="7">
        <f>(3+10.27)*Q23</f>
        <v>14.597000000000001</v>
      </c>
      <c r="F34" s="7">
        <v>3.79</v>
      </c>
      <c r="G34" s="65">
        <f t="shared" si="0"/>
        <v>55.322630000000004</v>
      </c>
      <c r="H34" s="65">
        <f t="shared" si="1"/>
        <v>276.61315000000002</v>
      </c>
      <c r="L34">
        <v>5.33</v>
      </c>
    </row>
    <row r="35" spans="2:12" ht="12.75" customHeight="1" x14ac:dyDescent="0.2">
      <c r="B35" s="126">
        <v>30</v>
      </c>
      <c r="C35" s="127" t="s">
        <v>269</v>
      </c>
      <c r="D35" s="30" t="s">
        <v>226</v>
      </c>
      <c r="E35" s="32">
        <v>86</v>
      </c>
      <c r="F35" s="7">
        <v>0.7</v>
      </c>
      <c r="G35" s="65">
        <f t="shared" si="0"/>
        <v>60.199999999999996</v>
      </c>
      <c r="H35" s="65">
        <f t="shared" si="1"/>
        <v>301</v>
      </c>
      <c r="L35">
        <v>2.38</v>
      </c>
    </row>
    <row r="36" spans="2:12" ht="12.75" customHeight="1" x14ac:dyDescent="0.2">
      <c r="B36" s="126">
        <v>31</v>
      </c>
      <c r="C36" s="127" t="s">
        <v>270</v>
      </c>
      <c r="D36" s="30" t="s">
        <v>256</v>
      </c>
      <c r="E36" s="139">
        <v>0</v>
      </c>
      <c r="F36" s="7">
        <v>1.5</v>
      </c>
      <c r="G36" s="65">
        <f t="shared" si="0"/>
        <v>0</v>
      </c>
      <c r="H36" s="65">
        <f t="shared" si="1"/>
        <v>0</v>
      </c>
      <c r="L36">
        <v>5.0199999999999996</v>
      </c>
    </row>
    <row r="37" spans="2:12" ht="12.75" customHeight="1" x14ac:dyDescent="0.2">
      <c r="B37" s="126">
        <v>32</v>
      </c>
      <c r="C37" s="127" t="s">
        <v>271</v>
      </c>
      <c r="D37" s="30" t="s">
        <v>256</v>
      </c>
      <c r="E37" s="139">
        <v>0</v>
      </c>
      <c r="F37" s="7">
        <v>1.5</v>
      </c>
      <c r="G37" s="65">
        <f t="shared" si="0"/>
        <v>0</v>
      </c>
      <c r="H37" s="65">
        <f t="shared" si="1"/>
        <v>0</v>
      </c>
      <c r="L37">
        <v>2.65</v>
      </c>
    </row>
    <row r="38" spans="2:12" ht="12.75" customHeight="1" x14ac:dyDescent="0.2">
      <c r="B38" s="126">
        <v>33</v>
      </c>
      <c r="C38" s="127" t="s">
        <v>272</v>
      </c>
      <c r="D38" s="30" t="s">
        <v>256</v>
      </c>
      <c r="E38" s="139">
        <v>0</v>
      </c>
      <c r="F38" s="7">
        <v>1.5</v>
      </c>
      <c r="G38" s="65">
        <f t="shared" si="0"/>
        <v>0</v>
      </c>
      <c r="H38" s="65">
        <f t="shared" si="1"/>
        <v>0</v>
      </c>
      <c r="L38">
        <v>4.62</v>
      </c>
    </row>
    <row r="39" spans="2:12" ht="12.75" customHeight="1" x14ac:dyDescent="0.2">
      <c r="B39" s="126">
        <v>34</v>
      </c>
      <c r="C39" s="127" t="s">
        <v>273</v>
      </c>
      <c r="D39" s="30" t="s">
        <v>226</v>
      </c>
      <c r="E39" s="140">
        <f>3+2</f>
        <v>5</v>
      </c>
      <c r="F39" s="7">
        <v>4.08</v>
      </c>
      <c r="G39" s="65">
        <f t="shared" si="0"/>
        <v>20.399999999999999</v>
      </c>
      <c r="H39" s="65">
        <f t="shared" si="1"/>
        <v>102</v>
      </c>
      <c r="L39">
        <v>1.84</v>
      </c>
    </row>
    <row r="40" spans="2:12" ht="12.75" customHeight="1" x14ac:dyDescent="0.2">
      <c r="B40" s="126">
        <v>35</v>
      </c>
      <c r="C40" s="127" t="s">
        <v>274</v>
      </c>
      <c r="D40" s="30" t="s">
        <v>226</v>
      </c>
      <c r="E40" s="140">
        <f>7+6</f>
        <v>13</v>
      </c>
      <c r="F40" s="7">
        <v>4.08</v>
      </c>
      <c r="G40" s="65">
        <f t="shared" si="0"/>
        <v>53.04</v>
      </c>
      <c r="H40" s="65">
        <f t="shared" si="1"/>
        <v>265.2</v>
      </c>
      <c r="L40">
        <v>3.02</v>
      </c>
    </row>
    <row r="41" spans="2:12" ht="12.75" customHeight="1" x14ac:dyDescent="0.2">
      <c r="B41" s="126">
        <v>36</v>
      </c>
      <c r="C41" s="127" t="s">
        <v>275</v>
      </c>
      <c r="D41" s="30" t="s">
        <v>226</v>
      </c>
      <c r="E41" s="140">
        <f>2+2</f>
        <v>4</v>
      </c>
      <c r="F41" s="7">
        <v>7.85</v>
      </c>
      <c r="G41" s="65">
        <f t="shared" si="0"/>
        <v>31.4</v>
      </c>
      <c r="H41" s="65">
        <f t="shared" si="1"/>
        <v>157</v>
      </c>
      <c r="L41">
        <v>5.59</v>
      </c>
    </row>
    <row r="42" spans="2:12" ht="12.75" customHeight="1" x14ac:dyDescent="0.2">
      <c r="B42" s="126">
        <v>37</v>
      </c>
      <c r="C42" s="127" t="s">
        <v>276</v>
      </c>
      <c r="D42" s="30" t="s">
        <v>226</v>
      </c>
      <c r="E42" s="140">
        <f>3+3</f>
        <v>6</v>
      </c>
      <c r="F42" s="7">
        <v>22.95</v>
      </c>
      <c r="G42" s="65">
        <f t="shared" si="0"/>
        <v>137.69999999999999</v>
      </c>
      <c r="H42" s="65">
        <f t="shared" si="1"/>
        <v>688.5</v>
      </c>
      <c r="L42">
        <v>5.62</v>
      </c>
    </row>
    <row r="43" spans="2:12" ht="12.75" customHeight="1" x14ac:dyDescent="0.2">
      <c r="B43" s="126">
        <v>38</v>
      </c>
      <c r="C43" s="127" t="s">
        <v>277</v>
      </c>
      <c r="D43" s="30" t="s">
        <v>226</v>
      </c>
      <c r="E43" s="140">
        <v>4</v>
      </c>
      <c r="F43" s="7">
        <v>45</v>
      </c>
      <c r="G43" s="65">
        <f t="shared" si="0"/>
        <v>180</v>
      </c>
      <c r="H43" s="65">
        <f t="shared" si="1"/>
        <v>900</v>
      </c>
      <c r="L43">
        <v>5.66</v>
      </c>
    </row>
    <row r="44" spans="2:12" ht="12.75" customHeight="1" x14ac:dyDescent="0.2">
      <c r="B44" s="126">
        <v>39</v>
      </c>
      <c r="C44" s="127" t="s">
        <v>278</v>
      </c>
      <c r="D44" s="30" t="s">
        <v>226</v>
      </c>
      <c r="E44" s="140">
        <v>2</v>
      </c>
      <c r="F44" s="7">
        <v>57.8</v>
      </c>
      <c r="G44" s="65">
        <f t="shared" si="0"/>
        <v>115.6</v>
      </c>
      <c r="H44" s="65">
        <f t="shared" si="1"/>
        <v>578</v>
      </c>
      <c r="L44">
        <v>4.6500000000000004</v>
      </c>
    </row>
    <row r="45" spans="2:12" ht="12.75" customHeight="1" x14ac:dyDescent="0.2">
      <c r="B45" s="126">
        <v>40</v>
      </c>
      <c r="C45" s="127" t="s">
        <v>279</v>
      </c>
      <c r="D45" s="30" t="s">
        <v>226</v>
      </c>
      <c r="E45" s="140">
        <v>1</v>
      </c>
      <c r="F45" s="7">
        <v>66.84</v>
      </c>
      <c r="G45" s="65">
        <f t="shared" si="0"/>
        <v>66.84</v>
      </c>
      <c r="H45" s="65">
        <f t="shared" ref="H45:H46" si="7">G45</f>
        <v>66.84</v>
      </c>
      <c r="I45" s="136"/>
      <c r="L45">
        <v>4.7699999999999996</v>
      </c>
    </row>
    <row r="46" spans="2:12" ht="12.75" customHeight="1" x14ac:dyDescent="0.2">
      <c r="B46" s="126">
        <v>41</v>
      </c>
      <c r="C46" s="127" t="s">
        <v>280</v>
      </c>
      <c r="D46" s="30" t="s">
        <v>226</v>
      </c>
      <c r="E46" s="140">
        <v>3</v>
      </c>
      <c r="F46" s="7">
        <v>28.47</v>
      </c>
      <c r="G46" s="65">
        <f t="shared" si="0"/>
        <v>85.41</v>
      </c>
      <c r="H46" s="65">
        <f t="shared" si="7"/>
        <v>85.41</v>
      </c>
      <c r="L46">
        <v>1.86</v>
      </c>
    </row>
    <row r="47" spans="2:12" ht="12.75" customHeight="1" x14ac:dyDescent="0.2">
      <c r="B47" s="126"/>
      <c r="C47" s="484" t="s">
        <v>76</v>
      </c>
      <c r="D47" s="384"/>
      <c r="E47" s="385"/>
      <c r="F47" s="485">
        <f>SUM(G6:G46)</f>
        <v>4931.6946139999991</v>
      </c>
      <c r="G47" s="385"/>
      <c r="H47" s="141">
        <f>SUM(H6:H46)</f>
        <v>24049.47307</v>
      </c>
      <c r="L47">
        <v>4.87</v>
      </c>
    </row>
    <row r="48" spans="2:12" ht="13.5" customHeight="1" x14ac:dyDescent="0.2">
      <c r="L48">
        <v>6.1</v>
      </c>
    </row>
    <row r="49" spans="2:12" ht="13.5" customHeight="1" x14ac:dyDescent="0.2">
      <c r="B49" s="483" t="s">
        <v>281</v>
      </c>
      <c r="C49" s="397"/>
      <c r="D49" s="397"/>
      <c r="E49" s="397"/>
      <c r="F49" s="397"/>
      <c r="G49" s="398"/>
      <c r="H49" s="142"/>
      <c r="L49">
        <v>5.73</v>
      </c>
    </row>
    <row r="50" spans="2:12" ht="12.75" customHeight="1" x14ac:dyDescent="0.2">
      <c r="B50" s="481" t="s">
        <v>216</v>
      </c>
      <c r="C50" s="481" t="s">
        <v>0</v>
      </c>
      <c r="D50" s="481" t="s">
        <v>217</v>
      </c>
      <c r="E50" s="481" t="s">
        <v>218</v>
      </c>
      <c r="F50" s="481" t="s">
        <v>219</v>
      </c>
      <c r="G50" s="481" t="s">
        <v>220</v>
      </c>
      <c r="H50" s="143"/>
      <c r="L50">
        <v>5.44</v>
      </c>
    </row>
    <row r="51" spans="2:12" ht="12.75" customHeight="1" x14ac:dyDescent="0.2">
      <c r="B51" s="388"/>
      <c r="C51" s="388"/>
      <c r="D51" s="388"/>
      <c r="E51" s="388"/>
      <c r="F51" s="388"/>
      <c r="G51" s="388"/>
      <c r="H51" s="143"/>
      <c r="L51">
        <v>2.36</v>
      </c>
    </row>
    <row r="52" spans="2:12" ht="12.75" customHeight="1" x14ac:dyDescent="0.2">
      <c r="B52" s="126">
        <v>1</v>
      </c>
      <c r="C52" s="127" t="s">
        <v>225</v>
      </c>
      <c r="D52" s="30" t="s">
        <v>226</v>
      </c>
      <c r="E52" s="5">
        <v>28</v>
      </c>
      <c r="F52" s="7">
        <v>0.6</v>
      </c>
      <c r="G52" s="65">
        <f t="shared" ref="G52:G92" si="8">F52*E52</f>
        <v>16.8</v>
      </c>
      <c r="H52" s="89"/>
      <c r="L52">
        <v>3.88</v>
      </c>
    </row>
    <row r="53" spans="2:12" ht="12.75" customHeight="1" x14ac:dyDescent="0.2">
      <c r="B53" s="126">
        <v>2</v>
      </c>
      <c r="C53" s="127" t="s">
        <v>230</v>
      </c>
      <c r="D53" s="30" t="s">
        <v>226</v>
      </c>
      <c r="E53" s="5">
        <v>80</v>
      </c>
      <c r="F53" s="7">
        <v>0.35</v>
      </c>
      <c r="G53" s="65">
        <f t="shared" si="8"/>
        <v>28</v>
      </c>
      <c r="H53" s="89"/>
      <c r="L53">
        <v>3.08</v>
      </c>
    </row>
    <row r="54" spans="2:12" ht="12.75" customHeight="1" x14ac:dyDescent="0.2">
      <c r="B54" s="126">
        <v>3</v>
      </c>
      <c r="C54" s="127" t="s">
        <v>234</v>
      </c>
      <c r="D54" s="30" t="s">
        <v>226</v>
      </c>
      <c r="E54" s="5">
        <v>0</v>
      </c>
      <c r="F54" s="7">
        <v>0.55000000000000004</v>
      </c>
      <c r="G54" s="65">
        <f t="shared" si="8"/>
        <v>0</v>
      </c>
      <c r="H54" s="89"/>
      <c r="L54">
        <v>5.39</v>
      </c>
    </row>
    <row r="55" spans="2:12" ht="12.75" customHeight="1" x14ac:dyDescent="0.2">
      <c r="B55" s="126">
        <v>4</v>
      </c>
      <c r="C55" s="127" t="s">
        <v>238</v>
      </c>
      <c r="D55" s="30" t="s">
        <v>226</v>
      </c>
      <c r="E55" s="5">
        <v>3</v>
      </c>
      <c r="F55" s="7">
        <v>3</v>
      </c>
      <c r="G55" s="65">
        <f t="shared" si="8"/>
        <v>9</v>
      </c>
      <c r="H55" s="89"/>
      <c r="L55">
        <v>5.08</v>
      </c>
    </row>
    <row r="56" spans="2:12" ht="12.75" customHeight="1" x14ac:dyDescent="0.2">
      <c r="B56" s="126">
        <v>5</v>
      </c>
      <c r="C56" s="127" t="s">
        <v>282</v>
      </c>
      <c r="D56" s="30" t="s">
        <v>226</v>
      </c>
      <c r="E56" s="5">
        <v>8</v>
      </c>
      <c r="F56" s="7">
        <v>17.989999999999998</v>
      </c>
      <c r="G56" s="65">
        <f t="shared" si="8"/>
        <v>143.91999999999999</v>
      </c>
      <c r="H56" s="89"/>
      <c r="L56">
        <v>1.73</v>
      </c>
    </row>
    <row r="57" spans="2:12" ht="12.75" customHeight="1" x14ac:dyDescent="0.2">
      <c r="B57" s="126">
        <v>6</v>
      </c>
      <c r="C57" s="127" t="s">
        <v>243</v>
      </c>
      <c r="D57" s="30" t="s">
        <v>226</v>
      </c>
      <c r="E57" s="5">
        <v>0</v>
      </c>
      <c r="F57" s="7">
        <v>4.5</v>
      </c>
      <c r="G57" s="65">
        <f t="shared" si="8"/>
        <v>0</v>
      </c>
      <c r="H57" s="89"/>
      <c r="L57">
        <v>1.71</v>
      </c>
    </row>
    <row r="58" spans="2:12" ht="12.75" customHeight="1" x14ac:dyDescent="0.2">
      <c r="B58" s="126">
        <v>7</v>
      </c>
      <c r="C58" s="127" t="s">
        <v>244</v>
      </c>
      <c r="D58" s="30" t="s">
        <v>226</v>
      </c>
      <c r="E58" s="5">
        <v>2</v>
      </c>
      <c r="F58" s="7">
        <v>5</v>
      </c>
      <c r="G58" s="65">
        <f t="shared" si="8"/>
        <v>10</v>
      </c>
      <c r="H58" s="89"/>
      <c r="L58">
        <v>1.84</v>
      </c>
    </row>
    <row r="59" spans="2:12" ht="12.75" customHeight="1" x14ac:dyDescent="0.2">
      <c r="B59" s="126">
        <v>8</v>
      </c>
      <c r="C59" s="127" t="s">
        <v>245</v>
      </c>
      <c r="D59" s="30" t="s">
        <v>226</v>
      </c>
      <c r="E59" s="5">
        <v>16</v>
      </c>
      <c r="F59" s="7">
        <v>3.52</v>
      </c>
      <c r="G59" s="65">
        <f t="shared" si="8"/>
        <v>56.32</v>
      </c>
      <c r="H59" s="89"/>
      <c r="L59">
        <v>3.95</v>
      </c>
    </row>
    <row r="60" spans="2:12" ht="12.75" customHeight="1" x14ac:dyDescent="0.2">
      <c r="B60" s="126">
        <v>9</v>
      </c>
      <c r="C60" s="127" t="s">
        <v>246</v>
      </c>
      <c r="D60" s="30" t="s">
        <v>226</v>
      </c>
      <c r="E60" s="5">
        <v>0</v>
      </c>
      <c r="F60" s="7">
        <v>5.78</v>
      </c>
      <c r="G60" s="65">
        <f t="shared" si="8"/>
        <v>0</v>
      </c>
      <c r="H60" s="89"/>
      <c r="L60">
        <v>4.91</v>
      </c>
    </row>
    <row r="61" spans="2:12" ht="12.75" customHeight="1" x14ac:dyDescent="0.2">
      <c r="B61" s="126">
        <v>10</v>
      </c>
      <c r="C61" s="127" t="s">
        <v>247</v>
      </c>
      <c r="D61" s="30" t="s">
        <v>226</v>
      </c>
      <c r="E61" s="5">
        <v>3</v>
      </c>
      <c r="F61" s="7">
        <v>6.78</v>
      </c>
      <c r="G61" s="65">
        <f t="shared" si="8"/>
        <v>20.34</v>
      </c>
      <c r="H61" s="89"/>
      <c r="L61">
        <v>4.82</v>
      </c>
    </row>
    <row r="62" spans="2:12" ht="12.75" customHeight="1" x14ac:dyDescent="0.2">
      <c r="B62" s="126">
        <v>11</v>
      </c>
      <c r="C62" s="127" t="s">
        <v>248</v>
      </c>
      <c r="D62" s="30" t="s">
        <v>226</v>
      </c>
      <c r="E62" s="5">
        <v>0</v>
      </c>
      <c r="F62" s="7">
        <v>7.85</v>
      </c>
      <c r="G62" s="65">
        <f t="shared" si="8"/>
        <v>0</v>
      </c>
      <c r="H62" s="89"/>
      <c r="L62">
        <v>3.91</v>
      </c>
    </row>
    <row r="63" spans="2:12" ht="12.75" customHeight="1" x14ac:dyDescent="0.2">
      <c r="B63" s="126">
        <v>12</v>
      </c>
      <c r="C63" s="127" t="s">
        <v>249</v>
      </c>
      <c r="D63" s="30" t="s">
        <v>226</v>
      </c>
      <c r="E63" s="5">
        <v>0</v>
      </c>
      <c r="F63" s="7">
        <v>8.67</v>
      </c>
      <c r="G63" s="65">
        <f t="shared" si="8"/>
        <v>0</v>
      </c>
      <c r="H63" s="89"/>
      <c r="L63">
        <v>2.52</v>
      </c>
    </row>
    <row r="64" spans="2:12" ht="12.75" customHeight="1" x14ac:dyDescent="0.2">
      <c r="B64" s="126">
        <v>13</v>
      </c>
      <c r="C64" s="127" t="s">
        <v>250</v>
      </c>
      <c r="D64" s="30" t="s">
        <v>226</v>
      </c>
      <c r="E64" s="5">
        <v>44</v>
      </c>
      <c r="F64" s="7">
        <v>3</v>
      </c>
      <c r="G64" s="65">
        <f t="shared" si="8"/>
        <v>132</v>
      </c>
      <c r="H64" s="89"/>
      <c r="L64">
        <v>5.2</v>
      </c>
    </row>
    <row r="65" spans="2:12" ht="12.75" customHeight="1" x14ac:dyDescent="0.2">
      <c r="B65" s="126">
        <v>14</v>
      </c>
      <c r="C65" s="127" t="s">
        <v>251</v>
      </c>
      <c r="D65" s="30" t="s">
        <v>226</v>
      </c>
      <c r="E65" s="5">
        <v>31</v>
      </c>
      <c r="F65" s="7">
        <v>10</v>
      </c>
      <c r="G65" s="65">
        <f t="shared" si="8"/>
        <v>310</v>
      </c>
      <c r="H65" s="89"/>
      <c r="L65">
        <v>4.7300000000000004</v>
      </c>
    </row>
    <row r="66" spans="2:12" ht="12.75" customHeight="1" x14ac:dyDescent="0.2">
      <c r="B66" s="126">
        <v>15</v>
      </c>
      <c r="C66" s="127" t="s">
        <v>252</v>
      </c>
      <c r="D66" s="30" t="s">
        <v>226</v>
      </c>
      <c r="E66" s="5">
        <v>31</v>
      </c>
      <c r="F66" s="7">
        <v>1</v>
      </c>
      <c r="G66" s="65">
        <f t="shared" si="8"/>
        <v>31</v>
      </c>
      <c r="H66" s="89"/>
      <c r="L66">
        <v>4.37</v>
      </c>
    </row>
    <row r="67" spans="2:12" ht="12.75" customHeight="1" x14ac:dyDescent="0.2">
      <c r="B67" s="126">
        <v>16</v>
      </c>
      <c r="C67" s="127" t="s">
        <v>283</v>
      </c>
      <c r="D67" s="30" t="s">
        <v>226</v>
      </c>
      <c r="E67" s="5">
        <v>1</v>
      </c>
      <c r="F67" s="7">
        <v>27</v>
      </c>
      <c r="G67" s="65">
        <f t="shared" si="8"/>
        <v>27</v>
      </c>
      <c r="H67" s="89"/>
      <c r="L67">
        <v>5.2</v>
      </c>
    </row>
    <row r="68" spans="2:12" ht="12.75" customHeight="1" x14ac:dyDescent="0.2">
      <c r="B68" s="126">
        <v>17</v>
      </c>
      <c r="C68" s="127" t="s">
        <v>284</v>
      </c>
      <c r="D68" s="30" t="s">
        <v>226</v>
      </c>
      <c r="E68" s="5">
        <v>1</v>
      </c>
      <c r="F68" s="7">
        <v>18</v>
      </c>
      <c r="G68" s="65">
        <f t="shared" si="8"/>
        <v>18</v>
      </c>
      <c r="H68" s="89"/>
      <c r="L68">
        <v>3.89</v>
      </c>
    </row>
    <row r="69" spans="2:12" ht="12.75" customHeight="1" x14ac:dyDescent="0.2">
      <c r="B69" s="126">
        <v>18</v>
      </c>
      <c r="C69" s="127" t="s">
        <v>255</v>
      </c>
      <c r="D69" s="30" t="s">
        <v>256</v>
      </c>
      <c r="E69" s="7">
        <v>179</v>
      </c>
      <c r="F69" s="7">
        <v>0.34</v>
      </c>
      <c r="G69" s="65">
        <f t="shared" si="8"/>
        <v>60.860000000000007</v>
      </c>
      <c r="H69" s="89"/>
      <c r="L69">
        <v>3.29</v>
      </c>
    </row>
    <row r="70" spans="2:12" ht="12.75" customHeight="1" x14ac:dyDescent="0.2">
      <c r="B70" s="126">
        <v>19</v>
      </c>
      <c r="C70" s="127" t="s">
        <v>258</v>
      </c>
      <c r="D70" s="30" t="s">
        <v>256</v>
      </c>
      <c r="E70" s="7">
        <v>105</v>
      </c>
      <c r="F70" s="7">
        <v>0.34</v>
      </c>
      <c r="G70" s="65">
        <f t="shared" si="8"/>
        <v>35.700000000000003</v>
      </c>
      <c r="H70" s="89"/>
      <c r="L70">
        <v>3.65</v>
      </c>
    </row>
    <row r="71" spans="2:12" ht="12.75" customHeight="1" x14ac:dyDescent="0.2">
      <c r="B71" s="126">
        <v>20</v>
      </c>
      <c r="C71" s="127" t="s">
        <v>259</v>
      </c>
      <c r="D71" s="30" t="s">
        <v>256</v>
      </c>
      <c r="E71" s="7">
        <v>155</v>
      </c>
      <c r="F71" s="7">
        <v>0.34</v>
      </c>
      <c r="G71" s="65">
        <f t="shared" si="8"/>
        <v>52.7</v>
      </c>
      <c r="H71" s="89"/>
      <c r="L71">
        <v>3.5</v>
      </c>
    </row>
    <row r="72" spans="2:12" ht="12.75" customHeight="1" x14ac:dyDescent="0.2">
      <c r="B72" s="126">
        <v>21</v>
      </c>
      <c r="C72" s="127" t="s">
        <v>260</v>
      </c>
      <c r="D72" s="30" t="s">
        <v>256</v>
      </c>
      <c r="E72" s="7">
        <v>187</v>
      </c>
      <c r="F72" s="7">
        <v>0.52</v>
      </c>
      <c r="G72" s="65">
        <f t="shared" si="8"/>
        <v>97.240000000000009</v>
      </c>
      <c r="H72" s="89"/>
      <c r="L72">
        <v>5.85</v>
      </c>
    </row>
    <row r="73" spans="2:12" ht="12.75" customHeight="1" x14ac:dyDescent="0.2">
      <c r="B73" s="126">
        <v>22</v>
      </c>
      <c r="C73" s="127" t="s">
        <v>261</v>
      </c>
      <c r="D73" s="30" t="s">
        <v>256</v>
      </c>
      <c r="E73" s="7">
        <v>113</v>
      </c>
      <c r="F73" s="7">
        <v>0.52</v>
      </c>
      <c r="G73" s="65">
        <f t="shared" si="8"/>
        <v>58.760000000000005</v>
      </c>
      <c r="H73" s="89"/>
      <c r="L73">
        <v>4.03</v>
      </c>
    </row>
    <row r="74" spans="2:12" ht="12.75" customHeight="1" x14ac:dyDescent="0.2">
      <c r="B74" s="126">
        <v>23</v>
      </c>
      <c r="C74" s="127" t="s">
        <v>262</v>
      </c>
      <c r="D74" s="30" t="s">
        <v>256</v>
      </c>
      <c r="E74" s="7">
        <v>162</v>
      </c>
      <c r="F74" s="7">
        <v>0.52</v>
      </c>
      <c r="G74" s="65">
        <f t="shared" si="8"/>
        <v>84.240000000000009</v>
      </c>
      <c r="H74" s="89"/>
      <c r="L74">
        <v>5.13</v>
      </c>
    </row>
    <row r="75" spans="2:12" ht="12.75" customHeight="1" x14ac:dyDescent="0.2">
      <c r="B75" s="126">
        <v>24</v>
      </c>
      <c r="C75" s="127" t="s">
        <v>263</v>
      </c>
      <c r="D75" s="30" t="s">
        <v>256</v>
      </c>
      <c r="E75" s="7">
        <f>AF52*Q69*2</f>
        <v>0</v>
      </c>
      <c r="F75" s="7">
        <v>0.84</v>
      </c>
      <c r="G75" s="65">
        <f t="shared" si="8"/>
        <v>0</v>
      </c>
      <c r="H75" s="89"/>
      <c r="L75">
        <v>5.7</v>
      </c>
    </row>
    <row r="76" spans="2:12" ht="12.75" customHeight="1" x14ac:dyDescent="0.2">
      <c r="B76" s="126">
        <v>25</v>
      </c>
      <c r="C76" s="127" t="s">
        <v>264</v>
      </c>
      <c r="D76" s="30" t="s">
        <v>256</v>
      </c>
      <c r="E76" s="7">
        <f>AF53*Q69*2</f>
        <v>0</v>
      </c>
      <c r="F76" s="7">
        <v>0.84</v>
      </c>
      <c r="G76" s="65">
        <f t="shared" si="8"/>
        <v>0</v>
      </c>
      <c r="H76" s="89"/>
      <c r="K76" s="136">
        <f>L76*0.85</f>
        <v>155.99199999999993</v>
      </c>
      <c r="L76" s="136">
        <f>SUM(L32:L75)</f>
        <v>183.51999999999992</v>
      </c>
    </row>
    <row r="77" spans="2:12" ht="12.75" customHeight="1" x14ac:dyDescent="0.2">
      <c r="B77" s="126">
        <v>26</v>
      </c>
      <c r="C77" s="127" t="s">
        <v>265</v>
      </c>
      <c r="D77" s="30" t="s">
        <v>256</v>
      </c>
      <c r="E77" s="7">
        <f>AF55*Q69*2</f>
        <v>0</v>
      </c>
      <c r="F77" s="7">
        <v>0.84</v>
      </c>
      <c r="G77" s="65">
        <f t="shared" si="8"/>
        <v>0</v>
      </c>
      <c r="H77" s="89"/>
    </row>
    <row r="78" spans="2:12" ht="12.75" customHeight="1" x14ac:dyDescent="0.2">
      <c r="B78" s="126">
        <v>27</v>
      </c>
      <c r="C78" s="127" t="s">
        <v>266</v>
      </c>
      <c r="D78" s="30" t="s">
        <v>256</v>
      </c>
      <c r="E78" s="7">
        <f>141+15</f>
        <v>156</v>
      </c>
      <c r="F78" s="7">
        <v>2.02</v>
      </c>
      <c r="G78" s="65">
        <f t="shared" si="8"/>
        <v>315.12</v>
      </c>
      <c r="H78" s="89"/>
    </row>
    <row r="79" spans="2:12" ht="12.75" customHeight="1" x14ac:dyDescent="0.2">
      <c r="B79" s="126">
        <v>28</v>
      </c>
      <c r="C79" s="127" t="s">
        <v>268</v>
      </c>
      <c r="D79" s="30" t="s">
        <v>256</v>
      </c>
      <c r="E79" s="7">
        <v>38</v>
      </c>
      <c r="F79" s="7">
        <v>2.88</v>
      </c>
      <c r="G79" s="65">
        <f t="shared" si="8"/>
        <v>109.44</v>
      </c>
      <c r="H79" s="89"/>
    </row>
    <row r="80" spans="2:12" ht="12.75" customHeight="1" x14ac:dyDescent="0.2">
      <c r="B80" s="126">
        <v>29</v>
      </c>
      <c r="C80" s="127" t="s">
        <v>285</v>
      </c>
      <c r="D80" s="30" t="s">
        <v>256</v>
      </c>
      <c r="E80" s="7">
        <v>38</v>
      </c>
      <c r="F80" s="7">
        <v>3.79</v>
      </c>
      <c r="G80" s="65">
        <f t="shared" si="8"/>
        <v>144.02000000000001</v>
      </c>
      <c r="H80" s="89"/>
    </row>
    <row r="81" spans="2:8" ht="12.75" customHeight="1" x14ac:dyDescent="0.2">
      <c r="B81" s="126">
        <v>30</v>
      </c>
      <c r="C81" s="127" t="s">
        <v>269</v>
      </c>
      <c r="D81" s="30" t="s">
        <v>226</v>
      </c>
      <c r="E81" s="32">
        <v>43</v>
      </c>
      <c r="F81" s="7">
        <v>0.7</v>
      </c>
      <c r="G81" s="65">
        <f t="shared" si="8"/>
        <v>30.099999999999998</v>
      </c>
      <c r="H81" s="89"/>
    </row>
    <row r="82" spans="2:8" ht="12.75" customHeight="1" x14ac:dyDescent="0.2">
      <c r="B82" s="126">
        <v>31</v>
      </c>
      <c r="C82" s="127" t="s">
        <v>270</v>
      </c>
      <c r="D82" s="30" t="s">
        <v>256</v>
      </c>
      <c r="E82" s="139">
        <v>76</v>
      </c>
      <c r="F82" s="7">
        <v>1.5</v>
      </c>
      <c r="G82" s="65">
        <f t="shared" si="8"/>
        <v>114</v>
      </c>
      <c r="H82" s="89"/>
    </row>
    <row r="83" spans="2:8" ht="12.75" customHeight="1" x14ac:dyDescent="0.2">
      <c r="B83" s="126">
        <v>32</v>
      </c>
      <c r="C83" s="127" t="s">
        <v>271</v>
      </c>
      <c r="D83" s="30" t="s">
        <v>256</v>
      </c>
      <c r="E83" s="139">
        <v>38</v>
      </c>
      <c r="F83" s="7">
        <v>1.5</v>
      </c>
      <c r="G83" s="65">
        <f t="shared" si="8"/>
        <v>57</v>
      </c>
      <c r="H83" s="89"/>
    </row>
    <row r="84" spans="2:8" ht="12.75" customHeight="1" x14ac:dyDescent="0.2">
      <c r="B84" s="126">
        <v>33</v>
      </c>
      <c r="C84" s="127" t="s">
        <v>272</v>
      </c>
      <c r="D84" s="30" t="s">
        <v>256</v>
      </c>
      <c r="E84" s="139">
        <v>38</v>
      </c>
      <c r="F84" s="7">
        <v>1.5</v>
      </c>
      <c r="G84" s="65">
        <f t="shared" si="8"/>
        <v>57</v>
      </c>
      <c r="H84" s="89"/>
    </row>
    <row r="85" spans="2:8" ht="12.75" customHeight="1" x14ac:dyDescent="0.2">
      <c r="B85" s="126">
        <v>34</v>
      </c>
      <c r="C85" s="127" t="s">
        <v>273</v>
      </c>
      <c r="D85" s="30" t="s">
        <v>226</v>
      </c>
      <c r="E85" s="140">
        <v>4</v>
      </c>
      <c r="F85" s="7">
        <v>4.08</v>
      </c>
      <c r="G85" s="65">
        <f t="shared" si="8"/>
        <v>16.32</v>
      </c>
      <c r="H85" s="89"/>
    </row>
    <row r="86" spans="2:8" ht="12.75" customHeight="1" x14ac:dyDescent="0.2">
      <c r="B86" s="126">
        <v>35</v>
      </c>
      <c r="C86" s="127" t="s">
        <v>286</v>
      </c>
      <c r="D86" s="30" t="s">
        <v>226</v>
      </c>
      <c r="E86" s="140">
        <v>2</v>
      </c>
      <c r="F86" s="7">
        <v>4.5</v>
      </c>
      <c r="G86" s="65">
        <f t="shared" si="8"/>
        <v>9</v>
      </c>
      <c r="H86" s="89"/>
    </row>
    <row r="87" spans="2:8" ht="12.75" customHeight="1" x14ac:dyDescent="0.2">
      <c r="B87" s="126">
        <v>36</v>
      </c>
      <c r="C87" s="127" t="s">
        <v>287</v>
      </c>
      <c r="D87" s="30" t="s">
        <v>226</v>
      </c>
      <c r="E87" s="140">
        <v>8</v>
      </c>
      <c r="F87" s="7">
        <v>7.85</v>
      </c>
      <c r="G87" s="65">
        <f t="shared" si="8"/>
        <v>62.8</v>
      </c>
      <c r="H87" s="89"/>
    </row>
    <row r="88" spans="2:8" ht="12.75" customHeight="1" x14ac:dyDescent="0.2">
      <c r="B88" s="126">
        <v>37</v>
      </c>
      <c r="C88" s="127" t="s">
        <v>288</v>
      </c>
      <c r="D88" s="30" t="s">
        <v>226</v>
      </c>
      <c r="E88" s="140">
        <v>3</v>
      </c>
      <c r="F88" s="7">
        <v>22.95</v>
      </c>
      <c r="G88" s="65">
        <f t="shared" si="8"/>
        <v>68.849999999999994</v>
      </c>
      <c r="H88" s="89"/>
    </row>
    <row r="89" spans="2:8" ht="12.75" customHeight="1" x14ac:dyDescent="0.2">
      <c r="B89" s="126">
        <v>38</v>
      </c>
      <c r="C89" s="127" t="s">
        <v>277</v>
      </c>
      <c r="D89" s="30" t="s">
        <v>226</v>
      </c>
      <c r="E89" s="140">
        <v>0</v>
      </c>
      <c r="F89" s="7">
        <v>45</v>
      </c>
      <c r="G89" s="65">
        <f t="shared" si="8"/>
        <v>0</v>
      </c>
      <c r="H89" s="89"/>
    </row>
    <row r="90" spans="2:8" ht="12.75" customHeight="1" x14ac:dyDescent="0.2">
      <c r="B90" s="126">
        <v>39</v>
      </c>
      <c r="C90" s="127" t="s">
        <v>278</v>
      </c>
      <c r="D90" s="30" t="s">
        <v>226</v>
      </c>
      <c r="E90" s="140">
        <v>1</v>
      </c>
      <c r="F90" s="7">
        <v>57.8</v>
      </c>
      <c r="G90" s="65">
        <f t="shared" si="8"/>
        <v>57.8</v>
      </c>
      <c r="H90" s="89"/>
    </row>
    <row r="91" spans="2:8" ht="12.75" customHeight="1" x14ac:dyDescent="0.2">
      <c r="B91" s="126">
        <v>40</v>
      </c>
      <c r="C91" s="127" t="s">
        <v>279</v>
      </c>
      <c r="D91" s="30" t="s">
        <v>226</v>
      </c>
      <c r="E91" s="140">
        <v>0</v>
      </c>
      <c r="F91" s="7">
        <v>66.84</v>
      </c>
      <c r="G91" s="65">
        <f t="shared" si="8"/>
        <v>0</v>
      </c>
      <c r="H91" s="89"/>
    </row>
    <row r="92" spans="2:8" ht="12.75" customHeight="1" x14ac:dyDescent="0.2">
      <c r="B92" s="126">
        <v>41</v>
      </c>
      <c r="C92" s="127" t="s">
        <v>280</v>
      </c>
      <c r="D92" s="30" t="s">
        <v>226</v>
      </c>
      <c r="E92" s="140">
        <v>3</v>
      </c>
      <c r="F92" s="7">
        <v>28.47</v>
      </c>
      <c r="G92" s="65">
        <f t="shared" si="8"/>
        <v>85.41</v>
      </c>
      <c r="H92" s="89"/>
    </row>
    <row r="93" spans="2:8" ht="12.75" customHeight="1" x14ac:dyDescent="0.2">
      <c r="B93" s="126"/>
      <c r="C93" s="484" t="s">
        <v>76</v>
      </c>
      <c r="D93" s="384"/>
      <c r="E93" s="385"/>
      <c r="F93" s="485">
        <f>SUM(G52:G92)</f>
        <v>2318.7399999999998</v>
      </c>
      <c r="G93" s="385"/>
      <c r="H93" s="144"/>
    </row>
    <row r="94" spans="2:8" ht="12.75" customHeight="1" x14ac:dyDescent="0.2"/>
    <row r="95" spans="2:8" ht="12.75" customHeight="1" x14ac:dyDescent="0.2"/>
    <row r="96" spans="2:8" ht="12.75" customHeight="1" x14ac:dyDescent="0.2"/>
    <row r="97" spans="2:7" ht="12.75" customHeight="1" x14ac:dyDescent="0.2"/>
    <row r="98" spans="2:7" ht="12.75" customHeight="1" x14ac:dyDescent="0.2"/>
    <row r="99" spans="2:7" ht="12.75" customHeight="1" x14ac:dyDescent="0.2"/>
    <row r="100" spans="2:7" ht="12.75" customHeight="1" x14ac:dyDescent="0.2"/>
    <row r="101" spans="2:7" ht="13.5" customHeight="1" x14ac:dyDescent="0.2"/>
    <row r="102" spans="2:7" ht="13.5" customHeight="1" x14ac:dyDescent="0.2">
      <c r="C102" s="145" t="s">
        <v>570</v>
      </c>
    </row>
    <row r="103" spans="2:7" ht="12.75" customHeight="1" x14ac:dyDescent="0.2"/>
    <row r="104" spans="2:7" ht="12.75" customHeight="1" x14ac:dyDescent="0.2">
      <c r="B104" s="486" t="s">
        <v>289</v>
      </c>
      <c r="C104" s="486" t="s">
        <v>0</v>
      </c>
      <c r="D104" s="486" t="s">
        <v>290</v>
      </c>
      <c r="E104" s="486" t="s">
        <v>165</v>
      </c>
      <c r="F104" s="146" t="s">
        <v>291</v>
      </c>
      <c r="G104" s="146" t="s">
        <v>291</v>
      </c>
    </row>
    <row r="105" spans="2:7" ht="12.75" customHeight="1" x14ac:dyDescent="0.2">
      <c r="B105" s="388"/>
      <c r="C105" s="388"/>
      <c r="D105" s="388"/>
      <c r="E105" s="388"/>
      <c r="F105" s="146" t="s">
        <v>292</v>
      </c>
      <c r="G105" s="146" t="s">
        <v>76</v>
      </c>
    </row>
    <row r="106" spans="2:7" ht="12.75" customHeight="1" x14ac:dyDescent="0.2">
      <c r="B106" s="147">
        <v>1</v>
      </c>
      <c r="C106" s="147" t="s">
        <v>293</v>
      </c>
      <c r="D106" s="148"/>
      <c r="E106" s="149"/>
      <c r="F106" s="149"/>
      <c r="G106" s="150" t="str">
        <f t="shared" ref="G106:G149" si="9">IF(E106="","",E106*F106)</f>
        <v/>
      </c>
    </row>
    <row r="107" spans="2:7" ht="12.75" customHeight="1" x14ac:dyDescent="0.2">
      <c r="B107" s="149" t="s">
        <v>294</v>
      </c>
      <c r="C107" s="151" t="s">
        <v>295</v>
      </c>
      <c r="D107" s="148" t="s">
        <v>256</v>
      </c>
      <c r="E107" s="149"/>
      <c r="F107" s="149"/>
      <c r="G107" s="150" t="str">
        <f t="shared" si="9"/>
        <v/>
      </c>
    </row>
    <row r="108" spans="2:7" ht="12.75" customHeight="1" x14ac:dyDescent="0.2">
      <c r="B108" s="149" t="s">
        <v>296</v>
      </c>
      <c r="C108" s="151" t="s">
        <v>297</v>
      </c>
      <c r="D108" s="148" t="s">
        <v>256</v>
      </c>
      <c r="E108" s="149"/>
      <c r="F108" s="149"/>
      <c r="G108" s="150" t="str">
        <f t="shared" si="9"/>
        <v/>
      </c>
    </row>
    <row r="109" spans="2:7" ht="12.75" customHeight="1" x14ac:dyDescent="0.2">
      <c r="B109" s="149" t="s">
        <v>298</v>
      </c>
      <c r="C109" s="151" t="s">
        <v>299</v>
      </c>
      <c r="D109" s="148" t="s">
        <v>256</v>
      </c>
      <c r="E109" s="149"/>
      <c r="F109" s="149"/>
      <c r="G109" s="150" t="str">
        <f t="shared" si="9"/>
        <v/>
      </c>
    </row>
    <row r="110" spans="2:7" ht="12.75" customHeight="1" x14ac:dyDescent="0.2">
      <c r="B110" s="149" t="s">
        <v>300</v>
      </c>
      <c r="C110" s="151" t="s">
        <v>301</v>
      </c>
      <c r="D110" s="148" t="s">
        <v>256</v>
      </c>
      <c r="E110" s="149"/>
      <c r="F110" s="149"/>
      <c r="G110" s="150" t="str">
        <f t="shared" si="9"/>
        <v/>
      </c>
    </row>
    <row r="111" spans="2:7" ht="12.75" customHeight="1" x14ac:dyDescent="0.2">
      <c r="B111" s="149" t="s">
        <v>302</v>
      </c>
      <c r="C111" s="151" t="s">
        <v>303</v>
      </c>
      <c r="D111" s="148" t="s">
        <v>256</v>
      </c>
      <c r="E111" s="149"/>
      <c r="F111" s="149"/>
      <c r="G111" s="150" t="str">
        <f t="shared" si="9"/>
        <v/>
      </c>
    </row>
    <row r="112" spans="2:7" ht="12.75" customHeight="1" x14ac:dyDescent="0.2">
      <c r="B112" s="149" t="s">
        <v>304</v>
      </c>
      <c r="C112" s="151" t="s">
        <v>305</v>
      </c>
      <c r="D112" s="148" t="s">
        <v>256</v>
      </c>
      <c r="E112" s="149"/>
      <c r="F112" s="149"/>
      <c r="G112" s="150" t="str">
        <f t="shared" si="9"/>
        <v/>
      </c>
    </row>
    <row r="113" spans="2:7" ht="12.75" customHeight="1" x14ac:dyDescent="0.2">
      <c r="B113" s="149" t="s">
        <v>306</v>
      </c>
      <c r="C113" s="151" t="s">
        <v>307</v>
      </c>
      <c r="D113" s="148"/>
      <c r="E113" s="149"/>
      <c r="F113" s="149"/>
      <c r="G113" s="150" t="str">
        <f t="shared" si="9"/>
        <v/>
      </c>
    </row>
    <row r="114" spans="2:7" ht="12.75" customHeight="1" x14ac:dyDescent="0.2">
      <c r="B114" s="149" t="s">
        <v>308</v>
      </c>
      <c r="C114" s="151" t="s">
        <v>309</v>
      </c>
      <c r="D114" s="148" t="s">
        <v>310</v>
      </c>
      <c r="E114" s="149"/>
      <c r="F114" s="149"/>
      <c r="G114" s="150" t="str">
        <f t="shared" si="9"/>
        <v/>
      </c>
    </row>
    <row r="115" spans="2:7" ht="12.75" customHeight="1" x14ac:dyDescent="0.2">
      <c r="B115" s="149" t="s">
        <v>311</v>
      </c>
      <c r="C115" s="151" t="s">
        <v>312</v>
      </c>
      <c r="D115" s="148" t="s">
        <v>310</v>
      </c>
      <c r="E115" s="149"/>
      <c r="F115" s="149"/>
      <c r="G115" s="150" t="str">
        <f t="shared" si="9"/>
        <v/>
      </c>
    </row>
    <row r="116" spans="2:7" ht="12.75" customHeight="1" x14ac:dyDescent="0.2">
      <c r="B116" s="149" t="s">
        <v>313</v>
      </c>
      <c r="C116" s="151" t="s">
        <v>314</v>
      </c>
      <c r="D116" s="148" t="s">
        <v>310</v>
      </c>
      <c r="E116" s="149"/>
      <c r="F116" s="149"/>
      <c r="G116" s="150" t="str">
        <f t="shared" si="9"/>
        <v/>
      </c>
    </row>
    <row r="117" spans="2:7" ht="12.75" customHeight="1" x14ac:dyDescent="0.2">
      <c r="B117" s="149" t="s">
        <v>315</v>
      </c>
      <c r="C117" s="151" t="s">
        <v>316</v>
      </c>
      <c r="D117" s="148" t="s">
        <v>310</v>
      </c>
      <c r="E117" s="149"/>
      <c r="F117" s="149"/>
      <c r="G117" s="150" t="str">
        <f t="shared" si="9"/>
        <v/>
      </c>
    </row>
    <row r="118" spans="2:7" ht="12.75" customHeight="1" x14ac:dyDescent="0.2">
      <c r="B118" s="149" t="s">
        <v>317</v>
      </c>
      <c r="C118" s="151" t="s">
        <v>318</v>
      </c>
      <c r="D118" s="148" t="s">
        <v>310</v>
      </c>
      <c r="E118" s="149"/>
      <c r="F118" s="149"/>
      <c r="G118" s="150" t="str">
        <f t="shared" si="9"/>
        <v/>
      </c>
    </row>
    <row r="119" spans="2:7" ht="12.75" customHeight="1" x14ac:dyDescent="0.2">
      <c r="B119" s="149" t="s">
        <v>319</v>
      </c>
      <c r="C119" s="151" t="s">
        <v>320</v>
      </c>
      <c r="D119" s="148" t="s">
        <v>310</v>
      </c>
      <c r="E119" s="149"/>
      <c r="F119" s="149"/>
      <c r="G119" s="150" t="str">
        <f t="shared" si="9"/>
        <v/>
      </c>
    </row>
    <row r="120" spans="2:7" ht="12.75" customHeight="1" x14ac:dyDescent="0.2">
      <c r="B120" s="149" t="s">
        <v>321</v>
      </c>
      <c r="C120" s="151" t="s">
        <v>322</v>
      </c>
      <c r="D120" s="148" t="s">
        <v>310</v>
      </c>
      <c r="E120" s="149"/>
      <c r="F120" s="149"/>
      <c r="G120" s="150" t="str">
        <f t="shared" si="9"/>
        <v/>
      </c>
    </row>
    <row r="121" spans="2:7" ht="12.75" customHeight="1" x14ac:dyDescent="0.2">
      <c r="B121" s="149" t="s">
        <v>323</v>
      </c>
      <c r="C121" s="151" t="s">
        <v>324</v>
      </c>
      <c r="D121" s="148" t="s">
        <v>310</v>
      </c>
      <c r="E121" s="149"/>
      <c r="F121" s="149"/>
      <c r="G121" s="150" t="str">
        <f t="shared" si="9"/>
        <v/>
      </c>
    </row>
    <row r="122" spans="2:7" ht="36" customHeight="1" x14ac:dyDescent="0.2">
      <c r="B122" s="148" t="s">
        <v>325</v>
      </c>
      <c r="C122" s="152" t="s">
        <v>326</v>
      </c>
      <c r="D122" s="148"/>
      <c r="E122" s="149"/>
      <c r="F122" s="149"/>
      <c r="G122" s="150" t="str">
        <f t="shared" si="9"/>
        <v/>
      </c>
    </row>
    <row r="123" spans="2:7" ht="12.75" customHeight="1" x14ac:dyDescent="0.2">
      <c r="B123" s="149" t="s">
        <v>327</v>
      </c>
      <c r="C123" s="151" t="s">
        <v>305</v>
      </c>
      <c r="D123" s="148" t="s">
        <v>310</v>
      </c>
      <c r="E123" s="149"/>
      <c r="F123" s="149"/>
      <c r="G123" s="150" t="str">
        <f t="shared" si="9"/>
        <v/>
      </c>
    </row>
    <row r="124" spans="2:7" ht="12.75" customHeight="1" x14ac:dyDescent="0.2">
      <c r="B124" s="149" t="s">
        <v>328</v>
      </c>
      <c r="C124" s="151" t="s">
        <v>329</v>
      </c>
      <c r="D124" s="148" t="s">
        <v>310</v>
      </c>
      <c r="E124" s="149"/>
      <c r="F124" s="149"/>
      <c r="G124" s="150" t="str">
        <f t="shared" si="9"/>
        <v/>
      </c>
    </row>
    <row r="125" spans="2:7" ht="12.75" customHeight="1" x14ac:dyDescent="0.2">
      <c r="B125" s="149" t="s">
        <v>330</v>
      </c>
      <c r="C125" s="151" t="s">
        <v>331</v>
      </c>
      <c r="D125" s="148" t="s">
        <v>310</v>
      </c>
      <c r="E125" s="149"/>
      <c r="F125" s="149"/>
      <c r="G125" s="150" t="str">
        <f t="shared" si="9"/>
        <v/>
      </c>
    </row>
    <row r="126" spans="2:7" ht="12.75" customHeight="1" x14ac:dyDescent="0.2">
      <c r="B126" s="149" t="s">
        <v>332</v>
      </c>
      <c r="C126" s="151" t="s">
        <v>333</v>
      </c>
      <c r="D126" s="148" t="s">
        <v>310</v>
      </c>
      <c r="E126" s="149"/>
      <c r="F126" s="149"/>
      <c r="G126" s="150" t="str">
        <f t="shared" si="9"/>
        <v/>
      </c>
    </row>
    <row r="127" spans="2:7" ht="12.75" customHeight="1" x14ac:dyDescent="0.2">
      <c r="B127" s="149" t="s">
        <v>334</v>
      </c>
      <c r="C127" s="151" t="s">
        <v>335</v>
      </c>
      <c r="D127" s="148" t="s">
        <v>256</v>
      </c>
      <c r="E127" s="149"/>
      <c r="F127" s="149"/>
      <c r="G127" s="150" t="str">
        <f t="shared" si="9"/>
        <v/>
      </c>
    </row>
    <row r="128" spans="2:7" ht="12.75" customHeight="1" x14ac:dyDescent="0.2">
      <c r="B128" s="149" t="s">
        <v>336</v>
      </c>
      <c r="C128" s="151" t="s">
        <v>337</v>
      </c>
      <c r="D128" s="148" t="s">
        <v>338</v>
      </c>
      <c r="E128" s="149"/>
      <c r="F128" s="149"/>
      <c r="G128" s="150" t="str">
        <f t="shared" si="9"/>
        <v/>
      </c>
    </row>
    <row r="129" spans="2:7" ht="36" customHeight="1" x14ac:dyDescent="0.2">
      <c r="B129" s="148" t="s">
        <v>339</v>
      </c>
      <c r="C129" s="152" t="s">
        <v>340</v>
      </c>
      <c r="D129" s="148" t="s">
        <v>310</v>
      </c>
      <c r="E129" s="149"/>
      <c r="F129" s="149"/>
      <c r="G129" s="150" t="str">
        <f t="shared" si="9"/>
        <v/>
      </c>
    </row>
    <row r="130" spans="2:7" ht="12.75" customHeight="1" x14ac:dyDescent="0.2">
      <c r="B130" s="147">
        <v>2</v>
      </c>
      <c r="C130" s="147" t="s">
        <v>341</v>
      </c>
      <c r="D130" s="148"/>
      <c r="E130" s="149"/>
      <c r="F130" s="149"/>
      <c r="G130" s="150" t="str">
        <f t="shared" si="9"/>
        <v/>
      </c>
    </row>
    <row r="131" spans="2:7" ht="48" customHeight="1" x14ac:dyDescent="0.2">
      <c r="B131" s="153" t="s">
        <v>342</v>
      </c>
      <c r="C131" s="152" t="s">
        <v>343</v>
      </c>
      <c r="D131" s="148" t="s">
        <v>344</v>
      </c>
      <c r="E131" s="149"/>
      <c r="F131" s="149"/>
      <c r="G131" s="150" t="str">
        <f t="shared" si="9"/>
        <v/>
      </c>
    </row>
    <row r="132" spans="2:7" ht="48" customHeight="1" x14ac:dyDescent="0.2">
      <c r="B132" s="148" t="s">
        <v>345</v>
      </c>
      <c r="C132" s="152" t="s">
        <v>346</v>
      </c>
      <c r="D132" s="148" t="s">
        <v>344</v>
      </c>
      <c r="E132" s="149"/>
      <c r="F132" s="149"/>
      <c r="G132" s="150" t="str">
        <f t="shared" si="9"/>
        <v/>
      </c>
    </row>
    <row r="133" spans="2:7" ht="24" customHeight="1" x14ac:dyDescent="0.2">
      <c r="B133" s="148" t="s">
        <v>347</v>
      </c>
      <c r="C133" s="152" t="s">
        <v>348</v>
      </c>
      <c r="D133" s="148"/>
      <c r="E133" s="149"/>
      <c r="F133" s="149"/>
      <c r="G133" s="150" t="str">
        <f t="shared" si="9"/>
        <v/>
      </c>
    </row>
    <row r="134" spans="2:7" ht="12.75" customHeight="1" x14ac:dyDescent="0.2">
      <c r="B134" s="149" t="s">
        <v>349</v>
      </c>
      <c r="C134" s="151" t="s">
        <v>350</v>
      </c>
      <c r="D134" s="148" t="s">
        <v>310</v>
      </c>
      <c r="E134" s="149"/>
      <c r="F134" s="149"/>
      <c r="G134" s="150" t="str">
        <f t="shared" si="9"/>
        <v/>
      </c>
    </row>
    <row r="135" spans="2:7" ht="12.75" customHeight="1" x14ac:dyDescent="0.2">
      <c r="B135" s="149" t="s">
        <v>351</v>
      </c>
      <c r="C135" s="151" t="s">
        <v>352</v>
      </c>
      <c r="D135" s="148" t="s">
        <v>310</v>
      </c>
      <c r="E135" s="149"/>
      <c r="F135" s="149"/>
      <c r="G135" s="150" t="str">
        <f t="shared" si="9"/>
        <v/>
      </c>
    </row>
    <row r="136" spans="2:7" ht="12.75" customHeight="1" x14ac:dyDescent="0.2">
      <c r="B136" s="149" t="s">
        <v>353</v>
      </c>
      <c r="C136" s="151" t="s">
        <v>354</v>
      </c>
      <c r="D136" s="148" t="s">
        <v>310</v>
      </c>
      <c r="E136" s="149"/>
      <c r="F136" s="149"/>
      <c r="G136" s="150" t="str">
        <f t="shared" si="9"/>
        <v/>
      </c>
    </row>
    <row r="137" spans="2:7" ht="12.75" customHeight="1" x14ac:dyDescent="0.2">
      <c r="B137" s="149" t="s">
        <v>355</v>
      </c>
      <c r="C137" s="151" t="s">
        <v>356</v>
      </c>
      <c r="D137" s="148" t="s">
        <v>310</v>
      </c>
      <c r="E137" s="149"/>
      <c r="F137" s="149"/>
      <c r="G137" s="150" t="str">
        <f t="shared" si="9"/>
        <v/>
      </c>
    </row>
    <row r="138" spans="2:7" ht="24" customHeight="1" x14ac:dyDescent="0.2">
      <c r="B138" s="148" t="s">
        <v>357</v>
      </c>
      <c r="C138" s="152" t="s">
        <v>348</v>
      </c>
      <c r="D138" s="148"/>
      <c r="E138" s="149"/>
      <c r="F138" s="149"/>
      <c r="G138" s="150" t="str">
        <f t="shared" si="9"/>
        <v/>
      </c>
    </row>
    <row r="139" spans="2:7" ht="12.75" customHeight="1" x14ac:dyDescent="0.2">
      <c r="B139" s="149" t="s">
        <v>358</v>
      </c>
      <c r="C139" s="151" t="s">
        <v>354</v>
      </c>
      <c r="D139" s="148" t="s">
        <v>310</v>
      </c>
      <c r="E139" s="149"/>
      <c r="F139" s="149"/>
      <c r="G139" s="150" t="str">
        <f t="shared" si="9"/>
        <v/>
      </c>
    </row>
    <row r="140" spans="2:7" ht="24" customHeight="1" x14ac:dyDescent="0.2">
      <c r="B140" s="148" t="s">
        <v>359</v>
      </c>
      <c r="C140" s="152" t="s">
        <v>348</v>
      </c>
      <c r="D140" s="148"/>
      <c r="E140" s="149"/>
      <c r="F140" s="149"/>
      <c r="G140" s="150" t="str">
        <f t="shared" si="9"/>
        <v/>
      </c>
    </row>
    <row r="141" spans="2:7" ht="12.75" customHeight="1" x14ac:dyDescent="0.2">
      <c r="B141" s="149" t="s">
        <v>360</v>
      </c>
      <c r="C141" s="151" t="s">
        <v>361</v>
      </c>
      <c r="D141" s="148" t="s">
        <v>310</v>
      </c>
      <c r="E141" s="149"/>
      <c r="F141" s="149"/>
      <c r="G141" s="150" t="str">
        <f t="shared" si="9"/>
        <v/>
      </c>
    </row>
    <row r="142" spans="2:7" ht="12.75" customHeight="1" x14ac:dyDescent="0.2">
      <c r="B142" s="149" t="s">
        <v>362</v>
      </c>
      <c r="C142" s="151" t="s">
        <v>363</v>
      </c>
      <c r="D142" s="148" t="s">
        <v>310</v>
      </c>
      <c r="E142" s="149"/>
      <c r="F142" s="149"/>
      <c r="G142" s="150" t="str">
        <f t="shared" si="9"/>
        <v/>
      </c>
    </row>
    <row r="143" spans="2:7" ht="12.75" customHeight="1" x14ac:dyDescent="0.2">
      <c r="B143" s="149" t="s">
        <v>364</v>
      </c>
      <c r="C143" s="151" t="s">
        <v>365</v>
      </c>
      <c r="D143" s="148" t="s">
        <v>310</v>
      </c>
      <c r="E143" s="149"/>
      <c r="F143" s="149"/>
      <c r="G143" s="150" t="str">
        <f t="shared" si="9"/>
        <v/>
      </c>
    </row>
    <row r="144" spans="2:7" ht="36" customHeight="1" x14ac:dyDescent="0.2">
      <c r="B144" s="148" t="s">
        <v>366</v>
      </c>
      <c r="C144" s="152" t="s">
        <v>367</v>
      </c>
      <c r="D144" s="148" t="s">
        <v>310</v>
      </c>
      <c r="E144" s="149"/>
      <c r="F144" s="149"/>
      <c r="G144" s="150" t="str">
        <f t="shared" si="9"/>
        <v/>
      </c>
    </row>
    <row r="145" spans="2:7" ht="36" customHeight="1" x14ac:dyDescent="0.2">
      <c r="B145" s="148" t="s">
        <v>368</v>
      </c>
      <c r="C145" s="152" t="s">
        <v>369</v>
      </c>
      <c r="D145" s="148" t="s">
        <v>310</v>
      </c>
      <c r="E145" s="149"/>
      <c r="F145" s="149"/>
      <c r="G145" s="150" t="str">
        <f t="shared" si="9"/>
        <v/>
      </c>
    </row>
    <row r="146" spans="2:7" ht="24" customHeight="1" x14ac:dyDescent="0.2">
      <c r="B146" s="148" t="s">
        <v>370</v>
      </c>
      <c r="C146" s="152" t="s">
        <v>371</v>
      </c>
      <c r="D146" s="148" t="s">
        <v>310</v>
      </c>
      <c r="E146" s="149"/>
      <c r="F146" s="149"/>
      <c r="G146" s="150" t="str">
        <f t="shared" si="9"/>
        <v/>
      </c>
    </row>
    <row r="147" spans="2:7" ht="24" customHeight="1" x14ac:dyDescent="0.2">
      <c r="B147" s="148" t="s">
        <v>372</v>
      </c>
      <c r="C147" s="152" t="s">
        <v>373</v>
      </c>
      <c r="D147" s="148" t="s">
        <v>310</v>
      </c>
      <c r="E147" s="149"/>
      <c r="F147" s="149"/>
      <c r="G147" s="150" t="str">
        <f t="shared" si="9"/>
        <v/>
      </c>
    </row>
    <row r="148" spans="2:7" ht="36" customHeight="1" x14ac:dyDescent="0.2">
      <c r="B148" s="148" t="s">
        <v>374</v>
      </c>
      <c r="C148" s="152" t="s">
        <v>375</v>
      </c>
      <c r="D148" s="148" t="s">
        <v>310</v>
      </c>
      <c r="E148" s="149"/>
      <c r="F148" s="149"/>
      <c r="G148" s="150" t="str">
        <f t="shared" si="9"/>
        <v/>
      </c>
    </row>
    <row r="149" spans="2:7" ht="12.75" customHeight="1" x14ac:dyDescent="0.2">
      <c r="B149" s="149" t="s">
        <v>376</v>
      </c>
      <c r="C149" s="151" t="s">
        <v>377</v>
      </c>
      <c r="D149" s="148" t="s">
        <v>310</v>
      </c>
      <c r="E149" s="149"/>
      <c r="F149" s="149"/>
      <c r="G149" s="150" t="str">
        <f t="shared" si="9"/>
        <v/>
      </c>
    </row>
  </sheetData>
  <mergeCells count="25">
    <mergeCell ref="C93:E93"/>
    <mergeCell ref="F93:G93"/>
    <mergeCell ref="B104:B105"/>
    <mergeCell ref="C104:C105"/>
    <mergeCell ref="D104:D105"/>
    <mergeCell ref="E104:E105"/>
    <mergeCell ref="C47:E47"/>
    <mergeCell ref="F47:G47"/>
    <mergeCell ref="B49:G49"/>
    <mergeCell ref="B50:B51"/>
    <mergeCell ref="C50:C51"/>
    <mergeCell ref="D50:D51"/>
    <mergeCell ref="E50:E51"/>
    <mergeCell ref="F50:F51"/>
    <mergeCell ref="G50:G51"/>
    <mergeCell ref="Q23:R23"/>
    <mergeCell ref="F4:F5"/>
    <mergeCell ref="G4:G5"/>
    <mergeCell ref="B3:H3"/>
    <mergeCell ref="H4:H5"/>
    <mergeCell ref="AD4:AF4"/>
    <mergeCell ref="B4:B5"/>
    <mergeCell ref="C4:C5"/>
    <mergeCell ref="D4:D5"/>
    <mergeCell ref="E4:E5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9"/>
  <sheetViews>
    <sheetView workbookViewId="0">
      <selection activeCell="C10" sqref="C10"/>
    </sheetView>
  </sheetViews>
  <sheetFormatPr defaultRowHeight="12.75" x14ac:dyDescent="0.2"/>
  <cols>
    <col min="2" max="2" width="21.42578125" bestFit="1" customWidth="1"/>
    <col min="4" max="5" width="17.42578125" bestFit="1" customWidth="1"/>
  </cols>
  <sheetData>
    <row r="6" spans="2:6" x14ac:dyDescent="0.2">
      <c r="B6" t="s">
        <v>488</v>
      </c>
      <c r="C6" t="s">
        <v>489</v>
      </c>
      <c r="D6" t="s">
        <v>490</v>
      </c>
      <c r="E6" t="s">
        <v>491</v>
      </c>
      <c r="F6" t="s">
        <v>492</v>
      </c>
    </row>
    <row r="7" spans="2:6" x14ac:dyDescent="0.2">
      <c r="B7" s="264">
        <f>(C7*D7*E7)/F7</f>
        <v>2160</v>
      </c>
      <c r="C7">
        <v>3000</v>
      </c>
      <c r="D7">
        <v>24</v>
      </c>
      <c r="E7">
        <v>30</v>
      </c>
      <c r="F7">
        <v>1000</v>
      </c>
    </row>
    <row r="8" spans="2:6" x14ac:dyDescent="0.2">
      <c r="B8">
        <v>2160</v>
      </c>
      <c r="C8" s="264">
        <f>B8/D8*E8/1000</f>
        <v>2.7</v>
      </c>
      <c r="D8">
        <v>24</v>
      </c>
      <c r="E8">
        <v>30</v>
      </c>
      <c r="F8">
        <v>1000</v>
      </c>
    </row>
    <row r="9" spans="2:6" x14ac:dyDescent="0.2">
      <c r="B9" s="264">
        <f>(C9*D9*E9)/F9</f>
        <v>16</v>
      </c>
      <c r="C9" s="253">
        <v>1000</v>
      </c>
      <c r="D9" s="253">
        <v>8</v>
      </c>
      <c r="E9" s="253">
        <v>2</v>
      </c>
      <c r="F9" s="253">
        <v>1000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3"/>
  <sheetViews>
    <sheetView topLeftCell="AA22" workbookViewId="0">
      <selection activeCell="AR11" activeCellId="4" sqref="U7:U8 U9:U10 U27 U28 AR11"/>
    </sheetView>
  </sheetViews>
  <sheetFormatPr defaultColWidth="12.5703125" defaultRowHeight="15" customHeight="1" x14ac:dyDescent="0.2"/>
  <cols>
    <col min="1" max="1" width="8" style="157" customWidth="1"/>
    <col min="2" max="2" width="10" style="157" customWidth="1"/>
    <col min="3" max="3" width="15.85546875" style="157" customWidth="1"/>
    <col min="4" max="4" width="8.85546875" style="157" customWidth="1"/>
    <col min="5" max="5" width="7" style="157" customWidth="1"/>
    <col min="6" max="6" width="4.5703125" style="157" customWidth="1"/>
    <col min="7" max="7" width="5.5703125" style="157" customWidth="1"/>
    <col min="8" max="8" width="4.85546875" style="157" customWidth="1"/>
    <col min="9" max="9" width="5.5703125" style="157" customWidth="1"/>
    <col min="10" max="10" width="9" style="157" customWidth="1"/>
    <col min="11" max="11" width="8" style="157" customWidth="1"/>
    <col min="12" max="12" width="7" style="157" customWidth="1"/>
    <col min="13" max="13" width="4.85546875" style="157" customWidth="1"/>
    <col min="14" max="16" width="5" style="157" customWidth="1"/>
    <col min="17" max="17" width="4.5703125" style="157" customWidth="1"/>
    <col min="18" max="18" width="5.28515625" style="157" customWidth="1"/>
    <col min="19" max="19" width="8" style="157" customWidth="1"/>
    <col min="20" max="20" width="11.42578125" style="157" customWidth="1"/>
    <col min="21" max="21" width="6.42578125" style="157" customWidth="1"/>
    <col min="22" max="22" width="10.85546875" style="157" customWidth="1"/>
    <col min="23" max="23" width="5.85546875" style="157" customWidth="1"/>
    <col min="24" max="24" width="8" style="157" customWidth="1"/>
    <col min="25" max="25" width="9.28515625" style="157" customWidth="1"/>
    <col min="26" max="26" width="15.42578125" style="157" customWidth="1"/>
    <col min="27" max="28" width="6.42578125" style="157" customWidth="1"/>
    <col min="29" max="29" width="6.7109375" style="157" customWidth="1"/>
    <col min="30" max="32" width="6.85546875" style="157" customWidth="1"/>
    <col min="33" max="33" width="8" style="157" customWidth="1"/>
    <col min="34" max="34" width="6.5703125" style="157" customWidth="1"/>
    <col min="35" max="35" width="6.85546875" style="157" customWidth="1"/>
    <col min="36" max="36" width="8.7109375" style="157" customWidth="1"/>
    <col min="37" max="39" width="8" style="157" customWidth="1"/>
    <col min="40" max="16384" width="12.5703125" style="157"/>
  </cols>
  <sheetData>
    <row r="1" spans="1:4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46" ht="13.5" customHeight="1" thickBo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46" ht="13.5" customHeight="1" thickBot="1" x14ac:dyDescent="0.25">
      <c r="A3" s="1"/>
      <c r="B3" s="396" t="s">
        <v>406</v>
      </c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  <c r="Q3" s="397"/>
      <c r="R3" s="397"/>
      <c r="S3" s="397"/>
      <c r="T3" s="397"/>
      <c r="U3" s="397"/>
      <c r="V3" s="397"/>
      <c r="W3" s="398"/>
      <c r="X3" s="1"/>
      <c r="Y3" s="396" t="s">
        <v>385</v>
      </c>
      <c r="Z3" s="397"/>
      <c r="AA3" s="397"/>
      <c r="AB3" s="397"/>
      <c r="AC3" s="397"/>
      <c r="AD3" s="397"/>
      <c r="AE3" s="397"/>
      <c r="AF3" s="397"/>
      <c r="AG3" s="397"/>
      <c r="AH3" s="397"/>
      <c r="AI3" s="397"/>
      <c r="AJ3" s="397"/>
      <c r="AK3" s="397"/>
      <c r="AL3" s="397"/>
      <c r="AM3" s="397"/>
      <c r="AN3" s="397"/>
      <c r="AO3" s="397"/>
      <c r="AP3" s="397"/>
      <c r="AQ3" s="397"/>
      <c r="AR3" s="397"/>
      <c r="AS3" s="397"/>
      <c r="AT3" s="398"/>
    </row>
    <row r="4" spans="1:46" ht="12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46" ht="12.75" customHeight="1" x14ac:dyDescent="0.2">
      <c r="A5" s="1"/>
      <c r="B5" s="395" t="s">
        <v>0</v>
      </c>
      <c r="C5" s="395" t="s">
        <v>1</v>
      </c>
      <c r="D5" s="383" t="s">
        <v>2</v>
      </c>
      <c r="E5" s="385"/>
      <c r="F5" s="383" t="s">
        <v>3</v>
      </c>
      <c r="G5" s="384"/>
      <c r="H5" s="384"/>
      <c r="I5" s="384"/>
      <c r="J5" s="384"/>
      <c r="K5" s="385"/>
      <c r="L5" s="383" t="s">
        <v>4</v>
      </c>
      <c r="M5" s="384"/>
      <c r="N5" s="384"/>
      <c r="O5" s="384"/>
      <c r="P5" s="384"/>
      <c r="Q5" s="384"/>
      <c r="R5" s="384"/>
      <c r="S5" s="385"/>
      <c r="T5" s="383" t="s">
        <v>5</v>
      </c>
      <c r="U5" s="384"/>
      <c r="V5" s="384"/>
      <c r="W5" s="385"/>
      <c r="X5" s="1"/>
      <c r="Y5" s="395" t="s">
        <v>0</v>
      </c>
      <c r="Z5" s="395" t="s">
        <v>1</v>
      </c>
      <c r="AA5" s="383" t="s">
        <v>2</v>
      </c>
      <c r="AB5" s="385"/>
      <c r="AC5" s="383" t="s">
        <v>3</v>
      </c>
      <c r="AD5" s="384"/>
      <c r="AE5" s="384"/>
      <c r="AF5" s="384"/>
      <c r="AG5" s="384"/>
      <c r="AH5" s="385"/>
      <c r="AI5" s="383" t="s">
        <v>4</v>
      </c>
      <c r="AJ5" s="384"/>
      <c r="AK5" s="384"/>
      <c r="AL5" s="384"/>
      <c r="AM5" s="384"/>
      <c r="AN5" s="384"/>
      <c r="AO5" s="384"/>
      <c r="AP5" s="385"/>
      <c r="AQ5" s="383" t="s">
        <v>5</v>
      </c>
      <c r="AR5" s="384"/>
      <c r="AS5" s="384"/>
      <c r="AT5" s="385"/>
    </row>
    <row r="6" spans="1:46" ht="42.75" customHeight="1" x14ac:dyDescent="0.2">
      <c r="A6" s="1"/>
      <c r="B6" s="388"/>
      <c r="C6" s="388"/>
      <c r="D6" s="2" t="s">
        <v>6</v>
      </c>
      <c r="E6" s="2" t="s">
        <v>7</v>
      </c>
      <c r="F6" s="2" t="s">
        <v>8</v>
      </c>
      <c r="G6" s="2" t="s">
        <v>9</v>
      </c>
      <c r="H6" s="2" t="s">
        <v>8</v>
      </c>
      <c r="I6" s="2" t="s">
        <v>9</v>
      </c>
      <c r="J6" s="2" t="s">
        <v>10</v>
      </c>
      <c r="K6" s="2" t="s">
        <v>11</v>
      </c>
      <c r="L6" s="2" t="s">
        <v>12</v>
      </c>
      <c r="M6" s="2" t="s">
        <v>8</v>
      </c>
      <c r="N6" s="2" t="s">
        <v>9</v>
      </c>
      <c r="O6" s="2" t="s">
        <v>8</v>
      </c>
      <c r="P6" s="2" t="s">
        <v>9</v>
      </c>
      <c r="Q6" s="2" t="s">
        <v>8</v>
      </c>
      <c r="R6" s="2" t="s">
        <v>9</v>
      </c>
      <c r="S6" s="2" t="s">
        <v>11</v>
      </c>
      <c r="T6" s="2" t="s">
        <v>13</v>
      </c>
      <c r="U6" s="2" t="s">
        <v>14</v>
      </c>
      <c r="V6" s="2" t="s">
        <v>13</v>
      </c>
      <c r="W6" s="2" t="s">
        <v>14</v>
      </c>
      <c r="X6" s="1"/>
      <c r="Y6" s="388"/>
      <c r="Z6" s="388"/>
      <c r="AA6" s="2" t="s">
        <v>6</v>
      </c>
      <c r="AB6" s="2" t="s">
        <v>7</v>
      </c>
      <c r="AC6" s="2" t="s">
        <v>8</v>
      </c>
      <c r="AD6" s="2" t="s">
        <v>9</v>
      </c>
      <c r="AE6" s="2" t="s">
        <v>8</v>
      </c>
      <c r="AF6" s="2" t="s">
        <v>9</v>
      </c>
      <c r="AG6" s="2" t="s">
        <v>10</v>
      </c>
      <c r="AH6" s="2" t="s">
        <v>11</v>
      </c>
      <c r="AI6" s="2" t="s">
        <v>12</v>
      </c>
      <c r="AJ6" s="2" t="s">
        <v>8</v>
      </c>
      <c r="AK6" s="2" t="s">
        <v>9</v>
      </c>
      <c r="AL6" s="2" t="s">
        <v>8</v>
      </c>
      <c r="AM6" s="2" t="s">
        <v>9</v>
      </c>
      <c r="AN6" s="2" t="s">
        <v>8</v>
      </c>
      <c r="AO6" s="2" t="s">
        <v>9</v>
      </c>
      <c r="AP6" s="2" t="s">
        <v>11</v>
      </c>
      <c r="AQ6" s="174" t="s">
        <v>13</v>
      </c>
      <c r="AR6" s="174" t="s">
        <v>14</v>
      </c>
      <c r="AS6" s="174" t="s">
        <v>13</v>
      </c>
      <c r="AT6" s="174" t="s">
        <v>14</v>
      </c>
    </row>
    <row r="7" spans="1:46" ht="12.75" customHeight="1" x14ac:dyDescent="0.2">
      <c r="A7" s="1"/>
      <c r="B7" s="407" t="s">
        <v>378</v>
      </c>
      <c r="C7" s="3" t="s">
        <v>392</v>
      </c>
      <c r="D7" s="400">
        <v>34.195500000000003</v>
      </c>
      <c r="E7" s="159">
        <v>18.48</v>
      </c>
      <c r="F7" s="189">
        <v>1</v>
      </c>
      <c r="G7" s="5">
        <v>100</v>
      </c>
      <c r="H7" s="5">
        <v>2</v>
      </c>
      <c r="I7" s="5">
        <v>300</v>
      </c>
      <c r="J7" s="5">
        <v>0</v>
      </c>
      <c r="K7" s="6">
        <f t="shared" ref="K7:K18" si="0">F7*G7+H7*I7+J7*60</f>
        <v>700</v>
      </c>
      <c r="L7" s="6">
        <f t="shared" ref="L7:L16" si="1">IF(E7&lt;=6,1,ROUNDUP(E7/5,0))</f>
        <v>4</v>
      </c>
      <c r="M7" s="5">
        <v>6</v>
      </c>
      <c r="N7" s="5">
        <v>100</v>
      </c>
      <c r="O7" s="5">
        <v>1</v>
      </c>
      <c r="P7" s="5">
        <v>300</v>
      </c>
      <c r="Q7" s="5">
        <v>0</v>
      </c>
      <c r="R7" s="5">
        <v>0</v>
      </c>
      <c r="S7" s="6">
        <f t="shared" ref="S7:S18" si="2">M7*N7+O7*P7+Q7*R7</f>
        <v>900</v>
      </c>
      <c r="T7" s="410" t="s">
        <v>15</v>
      </c>
      <c r="U7" s="410">
        <v>3600</v>
      </c>
      <c r="V7" s="180" t="s">
        <v>22</v>
      </c>
      <c r="W7" s="180">
        <v>1200</v>
      </c>
      <c r="X7" s="1"/>
      <c r="Y7" s="386" t="s">
        <v>29</v>
      </c>
      <c r="Z7" s="3" t="s">
        <v>415</v>
      </c>
      <c r="AA7" s="159">
        <v>7.06</v>
      </c>
      <c r="AB7" s="160">
        <v>10.28</v>
      </c>
      <c r="AC7" s="5">
        <v>1</v>
      </c>
      <c r="AD7" s="5">
        <v>100</v>
      </c>
      <c r="AE7" s="5">
        <v>0</v>
      </c>
      <c r="AF7" s="5">
        <v>0</v>
      </c>
      <c r="AG7" s="5">
        <v>0</v>
      </c>
      <c r="AH7" s="6">
        <f>AC7*AD7+AE7*AF7+AG7*60</f>
        <v>100</v>
      </c>
      <c r="AI7" s="6">
        <f t="shared" ref="AI7:AI10" si="3">IF(AB7&lt;=6,1,ROUNDUP(AB7/5,0))</f>
        <v>3</v>
      </c>
      <c r="AJ7" s="5">
        <v>2</v>
      </c>
      <c r="AK7" s="5">
        <v>100</v>
      </c>
      <c r="AL7" s="5">
        <v>0</v>
      </c>
      <c r="AM7" s="5">
        <v>0</v>
      </c>
      <c r="AN7" s="5">
        <v>0</v>
      </c>
      <c r="AO7" s="5">
        <v>0</v>
      </c>
      <c r="AP7" s="173">
        <f>AJ7*AK7+AL7*AM7+AN7*AO7</f>
        <v>200</v>
      </c>
      <c r="AQ7" s="176"/>
      <c r="AR7" s="176"/>
      <c r="AS7" s="176"/>
      <c r="AT7" s="176"/>
    </row>
    <row r="8" spans="1:46" ht="12.75" customHeight="1" x14ac:dyDescent="0.2">
      <c r="A8" s="1"/>
      <c r="B8" s="387"/>
      <c r="C8" s="3" t="s">
        <v>391</v>
      </c>
      <c r="D8" s="401"/>
      <c r="E8" s="159">
        <v>14.68</v>
      </c>
      <c r="F8" s="189">
        <v>1</v>
      </c>
      <c r="G8" s="5">
        <v>150</v>
      </c>
      <c r="H8" s="5">
        <v>0</v>
      </c>
      <c r="I8" s="5">
        <v>0</v>
      </c>
      <c r="J8" s="5">
        <v>0</v>
      </c>
      <c r="K8" s="6">
        <f t="shared" si="0"/>
        <v>150</v>
      </c>
      <c r="L8" s="6">
        <f t="shared" si="1"/>
        <v>3</v>
      </c>
      <c r="M8" s="5">
        <v>3</v>
      </c>
      <c r="N8" s="5">
        <v>100</v>
      </c>
      <c r="O8" s="5">
        <v>2</v>
      </c>
      <c r="P8" s="5">
        <v>300</v>
      </c>
      <c r="Q8" s="5">
        <v>0</v>
      </c>
      <c r="R8" s="5">
        <v>0</v>
      </c>
      <c r="S8" s="6">
        <f t="shared" si="2"/>
        <v>900</v>
      </c>
      <c r="T8" s="411"/>
      <c r="U8" s="411"/>
      <c r="V8" s="5"/>
      <c r="W8" s="5"/>
      <c r="X8" s="1"/>
      <c r="Y8" s="387"/>
      <c r="Z8" s="3" t="s">
        <v>416</v>
      </c>
      <c r="AA8" s="159">
        <v>2.25</v>
      </c>
      <c r="AB8" s="160">
        <v>6</v>
      </c>
      <c r="AC8" s="5">
        <v>1</v>
      </c>
      <c r="AD8" s="5">
        <v>100</v>
      </c>
      <c r="AE8" s="5">
        <v>0</v>
      </c>
      <c r="AF8" s="5">
        <v>60</v>
      </c>
      <c r="AG8" s="5">
        <v>0</v>
      </c>
      <c r="AH8" s="6">
        <f>AC8*AD8+AE8*AF8+AG8*60</f>
        <v>100</v>
      </c>
      <c r="AI8" s="6">
        <f t="shared" si="3"/>
        <v>1</v>
      </c>
      <c r="AJ8" s="5">
        <v>1</v>
      </c>
      <c r="AK8" s="5">
        <v>100</v>
      </c>
      <c r="AL8" s="5">
        <v>0</v>
      </c>
      <c r="AM8" s="5">
        <v>0</v>
      </c>
      <c r="AN8" s="5">
        <v>0</v>
      </c>
      <c r="AO8" s="5">
        <v>0</v>
      </c>
      <c r="AP8" s="173">
        <f>AJ8*AK8+AL8*AM8+AN8*AO8</f>
        <v>100</v>
      </c>
      <c r="AQ8" s="188" t="s">
        <v>418</v>
      </c>
      <c r="AR8" s="188" t="s">
        <v>419</v>
      </c>
      <c r="AS8" s="177"/>
      <c r="AT8" s="177"/>
    </row>
    <row r="9" spans="1:46" ht="12.75" customHeight="1" x14ac:dyDescent="0.2">
      <c r="A9" s="1"/>
      <c r="B9" s="387"/>
      <c r="C9" s="3" t="s">
        <v>379</v>
      </c>
      <c r="D9" s="159">
        <v>12.8</v>
      </c>
      <c r="E9" s="159">
        <v>14.32</v>
      </c>
      <c r="F9" s="189">
        <v>7</v>
      </c>
      <c r="G9" s="5">
        <v>50</v>
      </c>
      <c r="H9" s="5">
        <v>0</v>
      </c>
      <c r="I9" s="5">
        <v>0</v>
      </c>
      <c r="J9" s="5">
        <v>0</v>
      </c>
      <c r="K9" s="6">
        <f t="shared" si="0"/>
        <v>350</v>
      </c>
      <c r="L9" s="6">
        <f t="shared" si="1"/>
        <v>3</v>
      </c>
      <c r="M9" s="5">
        <v>5</v>
      </c>
      <c r="N9" s="5">
        <v>100</v>
      </c>
      <c r="O9" s="5">
        <v>0</v>
      </c>
      <c r="P9" s="5">
        <v>500</v>
      </c>
      <c r="Q9" s="5">
        <v>0</v>
      </c>
      <c r="R9" s="5">
        <v>0</v>
      </c>
      <c r="S9" s="6">
        <f t="shared" si="2"/>
        <v>500</v>
      </c>
      <c r="T9" s="410" t="s">
        <v>15</v>
      </c>
      <c r="U9" s="410">
        <v>4500</v>
      </c>
      <c r="V9" s="5"/>
      <c r="W9" s="5"/>
      <c r="X9" s="1"/>
      <c r="Y9" s="387"/>
      <c r="Z9" s="3" t="s">
        <v>417</v>
      </c>
      <c r="AA9" s="159">
        <v>578.20000000000005</v>
      </c>
      <c r="AB9" s="4"/>
      <c r="AC9" s="5">
        <v>6</v>
      </c>
      <c r="AD9" s="5">
        <v>100</v>
      </c>
      <c r="AE9" s="5">
        <v>0</v>
      </c>
      <c r="AF9" s="5">
        <v>0</v>
      </c>
      <c r="AG9" s="5">
        <v>4</v>
      </c>
      <c r="AH9" s="6">
        <f>AC9*AD9+AE9*AF9+AG9*60</f>
        <v>840</v>
      </c>
      <c r="AI9" s="6">
        <f t="shared" si="3"/>
        <v>1</v>
      </c>
      <c r="AJ9" s="5">
        <v>1</v>
      </c>
      <c r="AK9" s="5">
        <v>100</v>
      </c>
      <c r="AL9" s="5">
        <v>0</v>
      </c>
      <c r="AM9" s="5">
        <v>0</v>
      </c>
      <c r="AN9" s="5">
        <v>0</v>
      </c>
      <c r="AO9" s="5">
        <v>0</v>
      </c>
      <c r="AP9" s="173">
        <f>AJ9*AK9+AL9*AM9+AN9*AO9</f>
        <v>100</v>
      </c>
      <c r="AQ9" s="175"/>
      <c r="AR9" s="175"/>
      <c r="AS9" s="175"/>
      <c r="AT9" s="175"/>
    </row>
    <row r="10" spans="1:46" ht="12.75" customHeight="1" x14ac:dyDescent="0.2">
      <c r="A10" s="1"/>
      <c r="B10" s="387"/>
      <c r="C10" s="3" t="s">
        <v>380</v>
      </c>
      <c r="D10" s="159">
        <v>9.59</v>
      </c>
      <c r="E10" s="159">
        <v>12.52</v>
      </c>
      <c r="F10" s="189">
        <v>4</v>
      </c>
      <c r="G10" s="5">
        <v>50</v>
      </c>
      <c r="H10" s="189">
        <v>1</v>
      </c>
      <c r="I10" s="5">
        <v>100</v>
      </c>
      <c r="J10" s="189">
        <v>2</v>
      </c>
      <c r="K10" s="6">
        <f t="shared" si="0"/>
        <v>420</v>
      </c>
      <c r="L10" s="6">
        <f t="shared" si="1"/>
        <v>3</v>
      </c>
      <c r="M10" s="5">
        <v>5</v>
      </c>
      <c r="N10" s="5">
        <v>100</v>
      </c>
      <c r="O10" s="5">
        <v>0</v>
      </c>
      <c r="P10" s="5">
        <v>300</v>
      </c>
      <c r="Q10" s="5">
        <v>0</v>
      </c>
      <c r="R10" s="5">
        <v>0</v>
      </c>
      <c r="S10" s="6">
        <f t="shared" si="2"/>
        <v>500</v>
      </c>
      <c r="T10" s="411"/>
      <c r="U10" s="411"/>
      <c r="V10" s="5"/>
      <c r="W10" s="5"/>
      <c r="X10" s="1"/>
      <c r="Y10" s="386" t="s">
        <v>413</v>
      </c>
      <c r="Z10" s="3" t="s">
        <v>386</v>
      </c>
      <c r="AA10" s="159">
        <v>47</v>
      </c>
      <c r="AB10" s="160">
        <v>27.7</v>
      </c>
      <c r="AC10" s="5">
        <v>0</v>
      </c>
      <c r="AD10" s="5">
        <v>100</v>
      </c>
      <c r="AE10" s="5">
        <v>0</v>
      </c>
      <c r="AF10" s="5">
        <v>100</v>
      </c>
      <c r="AG10" s="5">
        <v>0</v>
      </c>
      <c r="AH10" s="6">
        <f t="shared" ref="AH10:AH14" si="4">AC10*AD10+AE10*AF10+AG10*60</f>
        <v>0</v>
      </c>
      <c r="AI10" s="6">
        <f t="shared" si="3"/>
        <v>6</v>
      </c>
      <c r="AJ10" s="5">
        <v>0</v>
      </c>
      <c r="AK10" s="5">
        <v>100</v>
      </c>
      <c r="AL10" s="5">
        <v>0</v>
      </c>
      <c r="AM10" s="5">
        <v>600</v>
      </c>
      <c r="AN10" s="5">
        <v>0</v>
      </c>
      <c r="AO10" s="5">
        <v>0</v>
      </c>
      <c r="AP10" s="6">
        <f t="shared" ref="AP10:AP14" si="5">AJ10*AK10+AL10*AM10+AN10*AO10</f>
        <v>0</v>
      </c>
      <c r="AQ10" s="30"/>
      <c r="AR10" s="30"/>
      <c r="AS10" s="30"/>
      <c r="AT10" s="30"/>
    </row>
    <row r="11" spans="1:46" ht="12.75" customHeight="1" x14ac:dyDescent="0.2">
      <c r="A11" s="1"/>
      <c r="B11" s="387"/>
      <c r="C11" s="3" t="s">
        <v>381</v>
      </c>
      <c r="D11" s="159">
        <v>3.92</v>
      </c>
      <c r="E11" s="159">
        <v>7.92</v>
      </c>
      <c r="F11" s="189">
        <v>2</v>
      </c>
      <c r="G11" s="5">
        <v>60</v>
      </c>
      <c r="H11" s="5">
        <v>0</v>
      </c>
      <c r="I11" s="5">
        <v>0</v>
      </c>
      <c r="J11" s="5">
        <v>0</v>
      </c>
      <c r="K11" s="6">
        <f t="shared" si="0"/>
        <v>120</v>
      </c>
      <c r="L11" s="6">
        <f t="shared" si="1"/>
        <v>2</v>
      </c>
      <c r="M11" s="5">
        <v>1</v>
      </c>
      <c r="N11" s="5">
        <v>100</v>
      </c>
      <c r="O11" s="5">
        <v>0</v>
      </c>
      <c r="P11" s="5">
        <v>0</v>
      </c>
      <c r="Q11" s="5">
        <v>0</v>
      </c>
      <c r="R11" s="5">
        <v>0</v>
      </c>
      <c r="S11" s="6">
        <f t="shared" si="2"/>
        <v>100</v>
      </c>
      <c r="T11" s="5"/>
      <c r="U11" s="5"/>
      <c r="V11" s="5"/>
      <c r="W11" s="5"/>
      <c r="X11" s="1"/>
      <c r="Y11" s="387"/>
      <c r="Z11" s="3" t="s">
        <v>35</v>
      </c>
      <c r="AA11" s="159">
        <v>36.94</v>
      </c>
      <c r="AB11" s="160">
        <v>24.32</v>
      </c>
      <c r="AC11" s="5">
        <v>1</v>
      </c>
      <c r="AD11" s="5">
        <v>100</v>
      </c>
      <c r="AE11" s="5">
        <v>1</v>
      </c>
      <c r="AF11" s="5">
        <v>100</v>
      </c>
      <c r="AG11" s="5">
        <v>2</v>
      </c>
      <c r="AH11" s="6">
        <f t="shared" si="4"/>
        <v>320</v>
      </c>
      <c r="AI11" s="6">
        <f>IF(AB11&lt;=6,1,ROUNDUP(AB11/3.5,0))</f>
        <v>7</v>
      </c>
      <c r="AJ11" s="5">
        <v>10</v>
      </c>
      <c r="AK11" s="5">
        <v>100</v>
      </c>
      <c r="AL11" s="5">
        <v>1</v>
      </c>
      <c r="AM11" s="5">
        <v>600</v>
      </c>
      <c r="AN11" s="5">
        <v>1</v>
      </c>
      <c r="AO11" s="5">
        <v>4400</v>
      </c>
      <c r="AP11" s="6">
        <f t="shared" si="5"/>
        <v>6000</v>
      </c>
      <c r="AQ11" s="5" t="s">
        <v>422</v>
      </c>
      <c r="AR11" s="5">
        <v>3600</v>
      </c>
      <c r="AS11" s="5" t="s">
        <v>22</v>
      </c>
      <c r="AT11" s="5">
        <v>1200</v>
      </c>
    </row>
    <row r="12" spans="1:46" ht="12.75" customHeight="1" x14ac:dyDescent="0.2">
      <c r="A12" s="1"/>
      <c r="B12" s="387"/>
      <c r="C12" s="3" t="s">
        <v>18</v>
      </c>
      <c r="D12" s="159">
        <v>4.87</v>
      </c>
      <c r="E12" s="159">
        <v>8.9600000000000009</v>
      </c>
      <c r="F12" s="189">
        <v>1</v>
      </c>
      <c r="G12" s="5">
        <v>100</v>
      </c>
      <c r="H12" s="5">
        <v>0</v>
      </c>
      <c r="I12" s="5">
        <v>0</v>
      </c>
      <c r="J12" s="189">
        <v>1</v>
      </c>
      <c r="K12" s="6">
        <f t="shared" si="0"/>
        <v>160</v>
      </c>
      <c r="L12" s="6">
        <f t="shared" si="1"/>
        <v>2</v>
      </c>
      <c r="M12" s="5">
        <v>2</v>
      </c>
      <c r="N12" s="5">
        <v>100</v>
      </c>
      <c r="O12" s="5">
        <v>1</v>
      </c>
      <c r="P12" s="5">
        <v>100</v>
      </c>
      <c r="Q12" s="5">
        <v>0</v>
      </c>
      <c r="R12" s="5">
        <v>0</v>
      </c>
      <c r="S12" s="6">
        <f t="shared" si="2"/>
        <v>300</v>
      </c>
      <c r="T12" s="5" t="s">
        <v>16</v>
      </c>
      <c r="U12" s="5">
        <v>7500</v>
      </c>
      <c r="V12" s="5" t="s">
        <v>412</v>
      </c>
      <c r="W12" s="5">
        <v>2000</v>
      </c>
      <c r="X12" s="1"/>
      <c r="Y12" s="387"/>
      <c r="Z12" s="3" t="s">
        <v>421</v>
      </c>
      <c r="AA12" s="159">
        <v>4</v>
      </c>
      <c r="AB12" s="160">
        <v>8.5399999999999991</v>
      </c>
      <c r="AC12" s="5">
        <v>1</v>
      </c>
      <c r="AD12" s="5">
        <v>100</v>
      </c>
      <c r="AE12" s="5">
        <v>0</v>
      </c>
      <c r="AF12" s="5">
        <v>0</v>
      </c>
      <c r="AG12" s="5">
        <v>0</v>
      </c>
      <c r="AH12" s="6">
        <f t="shared" si="4"/>
        <v>100</v>
      </c>
      <c r="AI12" s="6">
        <f t="shared" ref="AI12:AI14" si="6">IF(AB12&lt;=6,1,ROUNDUP(AB12/5,0))</f>
        <v>2</v>
      </c>
      <c r="AJ12" s="5">
        <v>1</v>
      </c>
      <c r="AK12" s="5">
        <v>600</v>
      </c>
      <c r="AL12" s="5">
        <v>0</v>
      </c>
      <c r="AM12" s="5">
        <v>0</v>
      </c>
      <c r="AN12" s="5">
        <v>0</v>
      </c>
      <c r="AO12" s="5">
        <v>0</v>
      </c>
      <c r="AP12" s="6">
        <f t="shared" si="5"/>
        <v>600</v>
      </c>
      <c r="AQ12" s="30"/>
      <c r="AR12" s="30"/>
      <c r="AS12" s="30"/>
      <c r="AT12" s="30"/>
    </row>
    <row r="13" spans="1:46" ht="12.75" customHeight="1" x14ac:dyDescent="0.2">
      <c r="A13" s="1"/>
      <c r="B13" s="387"/>
      <c r="C13" s="3" t="s">
        <v>382</v>
      </c>
      <c r="D13" s="159">
        <v>3.42</v>
      </c>
      <c r="E13" s="159">
        <v>7.86</v>
      </c>
      <c r="F13" s="189">
        <v>1</v>
      </c>
      <c r="G13" s="5">
        <v>100</v>
      </c>
      <c r="H13" s="5">
        <v>0</v>
      </c>
      <c r="I13" s="5">
        <v>0</v>
      </c>
      <c r="J13" s="189">
        <v>1</v>
      </c>
      <c r="K13" s="6">
        <f t="shared" si="0"/>
        <v>160</v>
      </c>
      <c r="L13" s="6">
        <f t="shared" si="1"/>
        <v>2</v>
      </c>
      <c r="M13" s="5">
        <v>2</v>
      </c>
      <c r="N13" s="5">
        <v>100</v>
      </c>
      <c r="O13" s="5">
        <v>1</v>
      </c>
      <c r="P13" s="5">
        <v>100</v>
      </c>
      <c r="Q13" s="5">
        <v>0</v>
      </c>
      <c r="R13" s="5">
        <v>0</v>
      </c>
      <c r="S13" s="6">
        <f t="shared" si="2"/>
        <v>300</v>
      </c>
      <c r="T13" s="5" t="s">
        <v>16</v>
      </c>
      <c r="U13" s="5">
        <v>7500</v>
      </c>
      <c r="V13" s="5" t="s">
        <v>412</v>
      </c>
      <c r="W13" s="5">
        <v>2000</v>
      </c>
      <c r="X13" s="1"/>
      <c r="Y13" s="388"/>
      <c r="Z13" s="3" t="s">
        <v>420</v>
      </c>
      <c r="AA13" s="159">
        <v>3.59</v>
      </c>
      <c r="AB13" s="160">
        <v>7.94</v>
      </c>
      <c r="AC13" s="5">
        <v>1</v>
      </c>
      <c r="AD13" s="5">
        <v>100</v>
      </c>
      <c r="AE13" s="5">
        <v>0</v>
      </c>
      <c r="AF13" s="5">
        <v>0</v>
      </c>
      <c r="AG13" s="5">
        <v>0</v>
      </c>
      <c r="AH13" s="6">
        <f t="shared" si="4"/>
        <v>100</v>
      </c>
      <c r="AI13" s="6">
        <f t="shared" si="6"/>
        <v>2</v>
      </c>
      <c r="AJ13" s="5">
        <v>1</v>
      </c>
      <c r="AK13" s="5">
        <v>100</v>
      </c>
      <c r="AL13" s="5">
        <v>0</v>
      </c>
      <c r="AM13" s="5">
        <v>0</v>
      </c>
      <c r="AN13" s="5">
        <v>0</v>
      </c>
      <c r="AO13" s="5">
        <v>0</v>
      </c>
      <c r="AP13" s="6">
        <f t="shared" si="5"/>
        <v>100</v>
      </c>
      <c r="AQ13" s="5"/>
      <c r="AR13" s="5"/>
      <c r="AS13" s="5"/>
      <c r="AT13" s="5"/>
    </row>
    <row r="14" spans="1:46" ht="12.75" customHeight="1" x14ac:dyDescent="0.2">
      <c r="A14" s="1"/>
      <c r="B14" s="387"/>
      <c r="C14" s="3" t="s">
        <v>389</v>
      </c>
      <c r="D14" s="159">
        <v>9.2959999999999994</v>
      </c>
      <c r="E14" s="159">
        <v>14.82</v>
      </c>
      <c r="F14" s="189">
        <v>3</v>
      </c>
      <c r="G14" s="5">
        <v>50</v>
      </c>
      <c r="H14" s="5">
        <v>0</v>
      </c>
      <c r="I14" s="5">
        <v>0</v>
      </c>
      <c r="J14" s="189">
        <v>1</v>
      </c>
      <c r="K14" s="6">
        <f t="shared" si="0"/>
        <v>210</v>
      </c>
      <c r="L14" s="6">
        <f t="shared" si="1"/>
        <v>3</v>
      </c>
      <c r="M14" s="5">
        <v>3</v>
      </c>
      <c r="N14" s="5">
        <v>100</v>
      </c>
      <c r="O14" s="5">
        <v>0</v>
      </c>
      <c r="P14" s="5">
        <v>0</v>
      </c>
      <c r="Q14" s="5">
        <v>0</v>
      </c>
      <c r="R14" s="5">
        <v>0</v>
      </c>
      <c r="S14" s="6">
        <f t="shared" si="2"/>
        <v>300</v>
      </c>
      <c r="T14" s="5"/>
      <c r="U14" s="5"/>
      <c r="V14" s="5"/>
      <c r="W14" s="5"/>
      <c r="X14" s="1"/>
      <c r="Y14" s="31" t="s">
        <v>414</v>
      </c>
      <c r="Z14" s="3" t="s">
        <v>33</v>
      </c>
      <c r="AA14" s="32">
        <v>1017</v>
      </c>
      <c r="AB14" s="4"/>
      <c r="AC14" s="5">
        <v>16</v>
      </c>
      <c r="AD14" s="5">
        <v>50</v>
      </c>
      <c r="AE14" s="5">
        <v>2</v>
      </c>
      <c r="AF14" s="5">
        <v>60</v>
      </c>
      <c r="AG14" s="5">
        <v>2</v>
      </c>
      <c r="AH14" s="6">
        <f t="shared" si="4"/>
        <v>1040</v>
      </c>
      <c r="AI14" s="6">
        <f t="shared" si="6"/>
        <v>1</v>
      </c>
      <c r="AJ14" s="5">
        <v>2</v>
      </c>
      <c r="AK14" s="5">
        <v>100</v>
      </c>
      <c r="AL14" s="5">
        <v>0</v>
      </c>
      <c r="AM14" s="5">
        <v>500</v>
      </c>
      <c r="AN14" s="5">
        <v>0</v>
      </c>
      <c r="AO14" s="5">
        <v>0</v>
      </c>
      <c r="AP14" s="6">
        <f t="shared" si="5"/>
        <v>200</v>
      </c>
      <c r="AQ14" s="5"/>
      <c r="AR14" s="5"/>
      <c r="AS14" s="5"/>
      <c r="AT14" s="5"/>
    </row>
    <row r="15" spans="1:46" ht="12.75" customHeight="1" x14ac:dyDescent="0.2">
      <c r="A15" s="1"/>
      <c r="B15" s="387"/>
      <c r="C15" s="3" t="s">
        <v>19</v>
      </c>
      <c r="D15" s="159">
        <v>3.8</v>
      </c>
      <c r="E15" s="159">
        <v>9.44</v>
      </c>
      <c r="F15" s="189">
        <v>1</v>
      </c>
      <c r="G15" s="5">
        <v>150</v>
      </c>
      <c r="H15" s="5">
        <v>0</v>
      </c>
      <c r="I15" s="5">
        <v>0</v>
      </c>
      <c r="J15" s="5">
        <v>0</v>
      </c>
      <c r="K15" s="6">
        <f t="shared" si="0"/>
        <v>150</v>
      </c>
      <c r="L15" s="6">
        <f t="shared" si="1"/>
        <v>2</v>
      </c>
      <c r="M15" s="5">
        <v>2</v>
      </c>
      <c r="N15" s="5">
        <v>100</v>
      </c>
      <c r="O15" s="5">
        <v>0</v>
      </c>
      <c r="P15" s="5">
        <v>0</v>
      </c>
      <c r="Q15" s="5">
        <v>0</v>
      </c>
      <c r="R15" s="5">
        <v>0</v>
      </c>
      <c r="S15" s="6">
        <f t="shared" si="2"/>
        <v>200</v>
      </c>
      <c r="T15" s="6"/>
      <c r="U15" s="6"/>
      <c r="V15" s="5"/>
      <c r="W15" s="5"/>
      <c r="X15" s="1"/>
      <c r="Y15" s="20" t="s">
        <v>26</v>
      </c>
      <c r="Z15" s="389"/>
      <c r="AA15" s="390"/>
      <c r="AB15" s="390"/>
      <c r="AC15" s="390"/>
      <c r="AD15" s="390"/>
      <c r="AE15" s="390"/>
      <c r="AF15" s="390"/>
      <c r="AG15" s="391"/>
      <c r="AH15" s="21">
        <f>SUM(AH7:AH14)</f>
        <v>2600</v>
      </c>
      <c r="AI15" s="392"/>
      <c r="AJ15" s="390"/>
      <c r="AK15" s="390"/>
      <c r="AL15" s="390"/>
      <c r="AM15" s="390"/>
      <c r="AN15" s="390"/>
      <c r="AO15" s="391"/>
      <c r="AP15" s="21">
        <f>SUM(AP7:AP14)</f>
        <v>7300</v>
      </c>
      <c r="AQ15" s="22"/>
      <c r="AR15" s="21">
        <f>SUM(AR7:AR14)</f>
        <v>3600</v>
      </c>
      <c r="AS15" s="22"/>
      <c r="AT15" s="21">
        <f>SUM(AT7:AT14)</f>
        <v>1200</v>
      </c>
    </row>
    <row r="16" spans="1:46" ht="12.75" customHeight="1" x14ac:dyDescent="0.2">
      <c r="A16" s="1"/>
      <c r="B16" s="387"/>
      <c r="C16" s="178" t="s">
        <v>388</v>
      </c>
      <c r="D16" s="179">
        <v>8.44</v>
      </c>
      <c r="E16" s="179">
        <v>11.68</v>
      </c>
      <c r="F16" s="192">
        <v>1</v>
      </c>
      <c r="G16" s="180">
        <v>150</v>
      </c>
      <c r="H16" s="192">
        <v>6</v>
      </c>
      <c r="I16" s="180">
        <v>50</v>
      </c>
      <c r="J16" s="180">
        <v>0</v>
      </c>
      <c r="K16" s="171">
        <f t="shared" si="0"/>
        <v>450</v>
      </c>
      <c r="L16" s="171">
        <f t="shared" si="1"/>
        <v>3</v>
      </c>
      <c r="M16" s="180">
        <v>6</v>
      </c>
      <c r="N16" s="180">
        <v>100</v>
      </c>
      <c r="O16" s="180">
        <v>1</v>
      </c>
      <c r="P16" s="180">
        <v>100</v>
      </c>
      <c r="Q16" s="180">
        <v>1</v>
      </c>
      <c r="R16" s="180">
        <v>600</v>
      </c>
      <c r="S16" s="171">
        <f t="shared" si="2"/>
        <v>1300</v>
      </c>
      <c r="T16" s="180" t="s">
        <v>21</v>
      </c>
      <c r="U16" s="180">
        <v>1200</v>
      </c>
      <c r="V16" s="180" t="s">
        <v>411</v>
      </c>
      <c r="W16" s="180">
        <v>5500</v>
      </c>
      <c r="X16" s="1"/>
      <c r="Y16" s="393" t="s">
        <v>27</v>
      </c>
      <c r="Z16" s="385"/>
      <c r="AA16" s="156">
        <f>AH15+AP15+AR15+AT15</f>
        <v>14700</v>
      </c>
      <c r="AB16" s="394" t="s">
        <v>28</v>
      </c>
      <c r="AC16" s="384"/>
      <c r="AD16" s="384"/>
      <c r="AE16" s="384"/>
      <c r="AF16" s="384"/>
      <c r="AG16" s="384"/>
      <c r="AH16" s="384"/>
      <c r="AI16" s="384"/>
      <c r="AJ16" s="384"/>
      <c r="AK16" s="384"/>
      <c r="AL16" s="384"/>
      <c r="AM16" s="384"/>
      <c r="AN16" s="384"/>
      <c r="AO16" s="384"/>
      <c r="AP16" s="384"/>
      <c r="AQ16" s="384"/>
      <c r="AR16" s="384"/>
      <c r="AS16" s="384"/>
      <c r="AT16" s="385"/>
    </row>
    <row r="17" spans="1:46" ht="12.75" customHeight="1" x14ac:dyDescent="0.2">
      <c r="A17" s="1"/>
      <c r="B17" s="408"/>
      <c r="C17" s="184" t="s">
        <v>387</v>
      </c>
      <c r="D17" s="185">
        <v>11.04</v>
      </c>
      <c r="E17" s="185">
        <v>13.88</v>
      </c>
      <c r="F17" s="190">
        <v>2</v>
      </c>
      <c r="G17" s="186">
        <v>60</v>
      </c>
      <c r="H17" s="186">
        <v>0</v>
      </c>
      <c r="I17" s="186">
        <v>0</v>
      </c>
      <c r="J17" s="186">
        <v>0</v>
      </c>
      <c r="K17" s="187">
        <f t="shared" si="0"/>
        <v>120</v>
      </c>
      <c r="L17" s="187">
        <f>IF(E17&lt;=6,1,ROUNDUP(E17/5,0))</f>
        <v>3</v>
      </c>
      <c r="M17" s="186">
        <v>3</v>
      </c>
      <c r="N17" s="186">
        <v>100</v>
      </c>
      <c r="O17" s="186">
        <v>0</v>
      </c>
      <c r="P17" s="186">
        <v>0</v>
      </c>
      <c r="Q17" s="186">
        <v>0</v>
      </c>
      <c r="R17" s="186">
        <v>0</v>
      </c>
      <c r="S17" s="187">
        <f t="shared" si="2"/>
        <v>300</v>
      </c>
      <c r="T17" s="186"/>
      <c r="U17" s="186"/>
      <c r="V17" s="186"/>
      <c r="W17" s="186"/>
      <c r="X17" s="1"/>
      <c r="Y17" s="8"/>
      <c r="Z17" s="14"/>
      <c r="AA17" s="10"/>
      <c r="AB17" s="11"/>
      <c r="AC17" s="12"/>
      <c r="AD17" s="12"/>
      <c r="AE17" s="12"/>
      <c r="AF17" s="12"/>
      <c r="AG17" s="12"/>
      <c r="AH17" s="13"/>
      <c r="AI17" s="13"/>
      <c r="AJ17" s="12"/>
      <c r="AK17" s="12"/>
      <c r="AL17" s="12"/>
      <c r="AM17" s="12"/>
    </row>
    <row r="18" spans="1:46" ht="12.75" customHeight="1" thickBot="1" x14ac:dyDescent="0.25">
      <c r="A18" s="1"/>
      <c r="B18" s="387"/>
      <c r="C18" s="181" t="s">
        <v>409</v>
      </c>
      <c r="D18" s="182">
        <v>10.08</v>
      </c>
      <c r="E18" s="182">
        <v>12.92</v>
      </c>
      <c r="F18" s="191">
        <v>3</v>
      </c>
      <c r="G18" s="50">
        <v>60</v>
      </c>
      <c r="H18" s="50">
        <v>0</v>
      </c>
      <c r="I18" s="50">
        <v>0</v>
      </c>
      <c r="J18" s="50">
        <v>0</v>
      </c>
      <c r="K18" s="183">
        <f t="shared" si="0"/>
        <v>180</v>
      </c>
      <c r="L18" s="183">
        <f>IF(E18&lt;=6,1,ROUNDUP(E18/5,0))</f>
        <v>3</v>
      </c>
      <c r="M18" s="50">
        <v>7</v>
      </c>
      <c r="N18" s="50">
        <v>100</v>
      </c>
      <c r="O18" s="50">
        <v>0</v>
      </c>
      <c r="P18" s="50">
        <v>0</v>
      </c>
      <c r="Q18" s="50">
        <v>0</v>
      </c>
      <c r="R18" s="50">
        <v>0</v>
      </c>
      <c r="S18" s="183">
        <f t="shared" si="2"/>
        <v>700</v>
      </c>
      <c r="T18" s="50" t="s">
        <v>410</v>
      </c>
      <c r="U18" s="50">
        <v>600</v>
      </c>
      <c r="V18" s="50" t="s">
        <v>25</v>
      </c>
      <c r="W18" s="50">
        <v>1500</v>
      </c>
      <c r="X18" s="1"/>
      <c r="Y18" s="8"/>
      <c r="Z18" s="14"/>
      <c r="AA18" s="10"/>
      <c r="AB18" s="11"/>
      <c r="AC18" s="12"/>
      <c r="AD18" s="12"/>
      <c r="AE18" s="12"/>
      <c r="AF18" s="12"/>
      <c r="AG18" s="12"/>
      <c r="AH18" s="13"/>
      <c r="AI18" s="13"/>
      <c r="AJ18" s="12"/>
      <c r="AK18" s="12"/>
      <c r="AL18" s="12"/>
      <c r="AM18" s="12"/>
    </row>
    <row r="19" spans="1:46" ht="13.5" customHeight="1" thickTop="1" thickBot="1" x14ac:dyDescent="0.25">
      <c r="A19" s="1"/>
      <c r="B19" s="20" t="s">
        <v>26</v>
      </c>
      <c r="C19" s="405"/>
      <c r="D19" s="403"/>
      <c r="E19" s="403"/>
      <c r="F19" s="403"/>
      <c r="G19" s="403"/>
      <c r="H19" s="403"/>
      <c r="I19" s="403"/>
      <c r="J19" s="404"/>
      <c r="K19" s="21">
        <f>SUM(K7:K18)</f>
        <v>3170</v>
      </c>
      <c r="L19" s="162"/>
      <c r="M19" s="163"/>
      <c r="N19" s="163"/>
      <c r="O19" s="163"/>
      <c r="P19" s="163"/>
      <c r="Q19" s="163"/>
      <c r="R19" s="164"/>
      <c r="S19" s="21">
        <f>SUM(S7:S18)</f>
        <v>6300</v>
      </c>
      <c r="T19" s="22"/>
      <c r="U19" s="21">
        <f>SUM(U7:U18)</f>
        <v>24900</v>
      </c>
      <c r="V19" s="22"/>
      <c r="W19" s="21">
        <f>SUM(W7:W18)</f>
        <v>12200</v>
      </c>
      <c r="X19" s="1"/>
      <c r="Y19" s="8"/>
      <c r="Z19" s="16" t="s">
        <v>387</v>
      </c>
      <c r="AA19" s="161">
        <v>11.04</v>
      </c>
      <c r="AB19" s="161">
        <v>13.88</v>
      </c>
      <c r="AC19" s="18">
        <v>3</v>
      </c>
      <c r="AD19" s="18">
        <v>60</v>
      </c>
      <c r="AE19" s="18">
        <v>0</v>
      </c>
      <c r="AF19" s="18">
        <v>0</v>
      </c>
      <c r="AG19" s="18">
        <v>0</v>
      </c>
      <c r="AH19" s="19">
        <f t="shared" ref="AH19:AH22" si="7">AC19*AD19+AE19*AF19+AG19*60</f>
        <v>180</v>
      </c>
      <c r="AI19" s="19">
        <f>IF(AB19&lt;=6,1,ROUNDUP(AB19/5,0))</f>
        <v>3</v>
      </c>
      <c r="AJ19" s="18">
        <v>3</v>
      </c>
      <c r="AK19" s="18">
        <v>100</v>
      </c>
      <c r="AL19" s="18">
        <v>0</v>
      </c>
      <c r="AM19" s="18">
        <v>0</v>
      </c>
      <c r="AN19" s="18">
        <v>0</v>
      </c>
      <c r="AO19" s="18">
        <v>0</v>
      </c>
      <c r="AP19" s="19">
        <f t="shared" ref="AP19:AP22" si="8">AJ19*AK19+AL19*AM19+AN19*AO19</f>
        <v>300</v>
      </c>
      <c r="AQ19" s="18"/>
      <c r="AR19" s="18"/>
      <c r="AS19" s="18"/>
      <c r="AT19" s="18"/>
    </row>
    <row r="20" spans="1:46" ht="12.75" customHeight="1" thickTop="1" x14ac:dyDescent="0.2">
      <c r="A20" s="1"/>
      <c r="B20" s="393" t="s">
        <v>27</v>
      </c>
      <c r="C20" s="409"/>
      <c r="D20" s="166">
        <f>K19+S19+U19+W19</f>
        <v>46570</v>
      </c>
      <c r="E20" s="399" t="s">
        <v>28</v>
      </c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5"/>
      <c r="X20" s="1"/>
      <c r="Y20" s="8"/>
      <c r="Z20" s="3" t="s">
        <v>23</v>
      </c>
      <c r="AA20" s="7">
        <v>5.13</v>
      </c>
      <c r="AB20" s="7"/>
      <c r="AC20" s="5">
        <v>1</v>
      </c>
      <c r="AD20" s="5">
        <v>100</v>
      </c>
      <c r="AE20" s="5">
        <v>0</v>
      </c>
      <c r="AF20" s="5">
        <v>0</v>
      </c>
      <c r="AG20" s="5">
        <v>0</v>
      </c>
      <c r="AH20" s="6">
        <f t="shared" si="7"/>
        <v>100</v>
      </c>
      <c r="AI20" s="6">
        <f t="shared" ref="AI20" si="9">IF(AB20&lt;=6,1,ROUNDUP(AB20/3.5,0))</f>
        <v>1</v>
      </c>
      <c r="AJ20" s="5">
        <v>1</v>
      </c>
      <c r="AK20" s="5">
        <v>800</v>
      </c>
      <c r="AL20" s="5">
        <v>0</v>
      </c>
      <c r="AM20" s="5">
        <v>0</v>
      </c>
      <c r="AN20" s="5">
        <v>0</v>
      </c>
      <c r="AO20" s="5">
        <v>0</v>
      </c>
      <c r="AP20" s="6">
        <f t="shared" si="8"/>
        <v>800</v>
      </c>
      <c r="AQ20" s="5" t="s">
        <v>24</v>
      </c>
      <c r="AR20" s="5">
        <v>1200</v>
      </c>
      <c r="AS20" s="15" t="s">
        <v>25</v>
      </c>
      <c r="AT20" s="5">
        <v>3500</v>
      </c>
    </row>
    <row r="21" spans="1:46" ht="12.75" customHeight="1" x14ac:dyDescent="0.2">
      <c r="A21" s="1"/>
      <c r="B21" s="24"/>
      <c r="C21" s="167" t="s">
        <v>386</v>
      </c>
      <c r="D21" s="168">
        <f>SUM(D7:D18)</f>
        <v>111.45150000000002</v>
      </c>
      <c r="E21" s="169" t="s">
        <v>402</v>
      </c>
      <c r="F21" s="28"/>
      <c r="G21" s="28"/>
      <c r="H21" s="28"/>
      <c r="I21" s="28"/>
      <c r="J21" s="28"/>
      <c r="K21" s="29"/>
      <c r="L21" s="29"/>
      <c r="M21" s="28"/>
      <c r="N21" s="28"/>
      <c r="O21" s="28"/>
      <c r="P21" s="28"/>
      <c r="Q21" s="28"/>
      <c r="R21" s="28"/>
      <c r="S21" s="29"/>
      <c r="T21" s="28"/>
      <c r="U21" s="28"/>
      <c r="V21" s="28"/>
      <c r="W21" s="28"/>
      <c r="X21" s="1"/>
      <c r="Y21" s="8"/>
      <c r="Z21" s="3" t="s">
        <v>35</v>
      </c>
      <c r="AA21" s="7">
        <v>65.98</v>
      </c>
      <c r="AB21" s="4">
        <v>45</v>
      </c>
      <c r="AC21" s="5">
        <v>6</v>
      </c>
      <c r="AD21" s="5">
        <v>150</v>
      </c>
      <c r="AE21" s="5">
        <v>1</v>
      </c>
      <c r="AF21" s="5">
        <v>100</v>
      </c>
      <c r="AG21" s="5">
        <v>0</v>
      </c>
      <c r="AH21" s="6">
        <f t="shared" si="7"/>
        <v>1000</v>
      </c>
      <c r="AI21" s="6">
        <f t="shared" ref="AI21" si="10">IF(AB21&lt;=6,1,ROUNDUP(AB21/5,0))</f>
        <v>9</v>
      </c>
      <c r="AJ21" s="5">
        <v>10</v>
      </c>
      <c r="AK21" s="5">
        <v>100</v>
      </c>
      <c r="AL21" s="5">
        <v>1</v>
      </c>
      <c r="AM21" s="5">
        <v>500</v>
      </c>
      <c r="AN21" s="5">
        <v>0</v>
      </c>
      <c r="AO21" s="5">
        <v>0</v>
      </c>
      <c r="AP21" s="6">
        <f t="shared" si="8"/>
        <v>1500</v>
      </c>
      <c r="AQ21" s="30"/>
      <c r="AR21" s="30"/>
      <c r="AS21" s="30"/>
      <c r="AT21" s="30"/>
    </row>
    <row r="22" spans="1:46" ht="13.5" customHeight="1" thickBot="1" x14ac:dyDescent="0.25">
      <c r="A22" s="1"/>
      <c r="B22" s="24"/>
      <c r="C22" s="25"/>
      <c r="D22" s="26"/>
      <c r="E22" s="27"/>
      <c r="F22" s="28"/>
      <c r="G22" s="28"/>
      <c r="H22" s="28"/>
      <c r="I22" s="28"/>
      <c r="J22" s="28"/>
      <c r="K22" s="29"/>
      <c r="L22" s="29"/>
      <c r="M22" s="28"/>
      <c r="N22" s="28"/>
      <c r="O22" s="28"/>
      <c r="P22" s="28"/>
      <c r="Q22" s="28"/>
      <c r="R22" s="28"/>
      <c r="S22" s="29"/>
      <c r="T22" s="28"/>
      <c r="U22" s="28"/>
      <c r="V22" s="28"/>
      <c r="W22" s="28"/>
      <c r="X22" s="1"/>
      <c r="Y22" s="8"/>
      <c r="Z22" s="3" t="s">
        <v>20</v>
      </c>
      <c r="AA22" s="7">
        <v>9</v>
      </c>
      <c r="AB22" s="4">
        <v>12</v>
      </c>
      <c r="AC22" s="5">
        <v>1</v>
      </c>
      <c r="AD22" s="5">
        <v>100</v>
      </c>
      <c r="AE22" s="5">
        <v>0</v>
      </c>
      <c r="AF22" s="5">
        <v>0</v>
      </c>
      <c r="AG22" s="5">
        <v>0</v>
      </c>
      <c r="AH22" s="6">
        <f t="shared" si="7"/>
        <v>100</v>
      </c>
      <c r="AI22" s="6">
        <f>IF(AB22&lt;=6,1,ROUNDUP(AB22/3.5,0))</f>
        <v>4</v>
      </c>
      <c r="AJ22" s="5">
        <v>2</v>
      </c>
      <c r="AK22" s="5">
        <v>100</v>
      </c>
      <c r="AL22" s="5">
        <v>2</v>
      </c>
      <c r="AM22" s="5">
        <v>300</v>
      </c>
      <c r="AN22" s="5">
        <v>1</v>
      </c>
      <c r="AO22" s="5">
        <v>600</v>
      </c>
      <c r="AP22" s="6">
        <f t="shared" si="8"/>
        <v>1400</v>
      </c>
      <c r="AQ22" s="5" t="s">
        <v>21</v>
      </c>
      <c r="AR22" s="5">
        <v>1200</v>
      </c>
      <c r="AS22" s="5" t="s">
        <v>22</v>
      </c>
      <c r="AT22" s="5">
        <v>1200</v>
      </c>
    </row>
    <row r="23" spans="1:46" ht="13.5" customHeight="1" thickBot="1" x14ac:dyDescent="0.25">
      <c r="A23" s="1"/>
      <c r="B23" s="396" t="s">
        <v>384</v>
      </c>
      <c r="C23" s="397"/>
      <c r="D23" s="397"/>
      <c r="E23" s="397"/>
      <c r="F23" s="397"/>
      <c r="G23" s="397"/>
      <c r="H23" s="397"/>
      <c r="I23" s="397"/>
      <c r="J23" s="397"/>
      <c r="K23" s="397"/>
      <c r="L23" s="397"/>
      <c r="M23" s="397"/>
      <c r="N23" s="397"/>
      <c r="O23" s="397"/>
      <c r="P23" s="397"/>
      <c r="Q23" s="397"/>
      <c r="R23" s="397"/>
      <c r="S23" s="397"/>
      <c r="T23" s="397"/>
      <c r="U23" s="397"/>
      <c r="V23" s="397"/>
      <c r="W23" s="398"/>
      <c r="X23" s="1"/>
      <c r="Y23" s="396" t="s">
        <v>385</v>
      </c>
      <c r="Z23" s="397"/>
      <c r="AA23" s="397"/>
      <c r="AB23" s="397"/>
      <c r="AC23" s="397"/>
      <c r="AD23" s="397"/>
      <c r="AE23" s="397"/>
      <c r="AF23" s="397"/>
      <c r="AG23" s="397"/>
      <c r="AH23" s="397"/>
      <c r="AI23" s="397"/>
      <c r="AJ23" s="397"/>
      <c r="AK23" s="397"/>
      <c r="AL23" s="397"/>
      <c r="AM23" s="397"/>
      <c r="AN23" s="397"/>
      <c r="AO23" s="397"/>
      <c r="AP23" s="397"/>
      <c r="AQ23" s="397"/>
      <c r="AR23" s="397"/>
      <c r="AS23" s="397"/>
      <c r="AT23" s="398"/>
    </row>
    <row r="24" spans="1:4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46" ht="12.75" customHeight="1" x14ac:dyDescent="0.2">
      <c r="A25" s="1"/>
      <c r="B25" s="395" t="s">
        <v>0</v>
      </c>
      <c r="C25" s="395" t="s">
        <v>1</v>
      </c>
      <c r="D25" s="383" t="s">
        <v>2</v>
      </c>
      <c r="E25" s="385"/>
      <c r="F25" s="383" t="s">
        <v>3</v>
      </c>
      <c r="G25" s="384"/>
      <c r="H25" s="384"/>
      <c r="I25" s="384"/>
      <c r="J25" s="384"/>
      <c r="K25" s="385"/>
      <c r="L25" s="383" t="s">
        <v>4</v>
      </c>
      <c r="M25" s="384"/>
      <c r="N25" s="384"/>
      <c r="O25" s="384"/>
      <c r="P25" s="384"/>
      <c r="Q25" s="384"/>
      <c r="R25" s="384"/>
      <c r="S25" s="385"/>
      <c r="T25" s="383" t="s">
        <v>5</v>
      </c>
      <c r="U25" s="384"/>
      <c r="V25" s="384"/>
      <c r="W25" s="385"/>
      <c r="X25" s="1"/>
      <c r="Y25" s="395" t="s">
        <v>0</v>
      </c>
      <c r="Z25" s="395" t="s">
        <v>1</v>
      </c>
      <c r="AA25" s="383" t="s">
        <v>2</v>
      </c>
      <c r="AB25" s="385"/>
      <c r="AC25" s="383" t="s">
        <v>3</v>
      </c>
      <c r="AD25" s="384"/>
      <c r="AE25" s="384"/>
      <c r="AF25" s="384"/>
      <c r="AG25" s="384"/>
      <c r="AH25" s="385"/>
      <c r="AI25" s="383" t="s">
        <v>4</v>
      </c>
      <c r="AJ25" s="384"/>
      <c r="AK25" s="384"/>
      <c r="AL25" s="384"/>
      <c r="AM25" s="384"/>
      <c r="AN25" s="384"/>
      <c r="AO25" s="384"/>
      <c r="AP25" s="385"/>
      <c r="AQ25" s="383" t="s">
        <v>5</v>
      </c>
      <c r="AR25" s="384"/>
      <c r="AS25" s="384"/>
      <c r="AT25" s="385"/>
    </row>
    <row r="26" spans="1:46" ht="51" customHeight="1" x14ac:dyDescent="0.2">
      <c r="A26" s="1"/>
      <c r="B26" s="406"/>
      <c r="C26" s="388"/>
      <c r="D26" s="2" t="s">
        <v>6</v>
      </c>
      <c r="E26" s="2" t="s">
        <v>7</v>
      </c>
      <c r="F26" s="2" t="s">
        <v>8</v>
      </c>
      <c r="G26" s="2" t="s">
        <v>9</v>
      </c>
      <c r="H26" s="2" t="s">
        <v>8</v>
      </c>
      <c r="I26" s="2" t="s">
        <v>9</v>
      </c>
      <c r="J26" s="2" t="s">
        <v>10</v>
      </c>
      <c r="K26" s="2" t="s">
        <v>11</v>
      </c>
      <c r="L26" s="2" t="s">
        <v>12</v>
      </c>
      <c r="M26" s="2" t="s">
        <v>8</v>
      </c>
      <c r="N26" s="2" t="s">
        <v>9</v>
      </c>
      <c r="O26" s="2" t="s">
        <v>8</v>
      </c>
      <c r="P26" s="2" t="s">
        <v>9</v>
      </c>
      <c r="Q26" s="2" t="s">
        <v>8</v>
      </c>
      <c r="R26" s="2" t="s">
        <v>9</v>
      </c>
      <c r="S26" s="2" t="s">
        <v>11</v>
      </c>
      <c r="T26" s="2" t="s">
        <v>13</v>
      </c>
      <c r="U26" s="2" t="s">
        <v>14</v>
      </c>
      <c r="V26" s="2" t="s">
        <v>13</v>
      </c>
      <c r="W26" s="2" t="s">
        <v>14</v>
      </c>
      <c r="X26" s="1"/>
      <c r="Y26" s="388"/>
      <c r="Z26" s="388"/>
      <c r="AA26" s="2" t="s">
        <v>6</v>
      </c>
      <c r="AB26" s="2" t="s">
        <v>7</v>
      </c>
      <c r="AC26" s="2" t="s">
        <v>8</v>
      </c>
      <c r="AD26" s="2" t="s">
        <v>9</v>
      </c>
      <c r="AE26" s="2" t="s">
        <v>8</v>
      </c>
      <c r="AF26" s="2" t="s">
        <v>9</v>
      </c>
      <c r="AG26" s="2" t="s">
        <v>10</v>
      </c>
      <c r="AH26" s="2" t="s">
        <v>11</v>
      </c>
      <c r="AI26" s="2" t="s">
        <v>12</v>
      </c>
      <c r="AJ26" s="2" t="s">
        <v>8</v>
      </c>
      <c r="AK26" s="2" t="s">
        <v>9</v>
      </c>
      <c r="AL26" s="2" t="s">
        <v>8</v>
      </c>
      <c r="AM26" s="2" t="s">
        <v>9</v>
      </c>
      <c r="AN26" s="2" t="s">
        <v>8</v>
      </c>
      <c r="AO26" s="2" t="s">
        <v>9</v>
      </c>
      <c r="AP26" s="2" t="s">
        <v>11</v>
      </c>
      <c r="AQ26" s="2" t="s">
        <v>13</v>
      </c>
      <c r="AR26" s="2" t="s">
        <v>14</v>
      </c>
      <c r="AS26" s="2" t="s">
        <v>13</v>
      </c>
      <c r="AT26" s="2" t="s">
        <v>14</v>
      </c>
    </row>
    <row r="27" spans="1:46" ht="12.75" customHeight="1" x14ac:dyDescent="0.2">
      <c r="A27" s="1"/>
      <c r="B27" s="412" t="s">
        <v>390</v>
      </c>
      <c r="C27" s="165" t="s">
        <v>393</v>
      </c>
      <c r="D27" s="159">
        <v>16.760000000000002</v>
      </c>
      <c r="E27" s="159">
        <v>18.399999999999999</v>
      </c>
      <c r="F27" s="5">
        <v>8</v>
      </c>
      <c r="G27" s="5">
        <v>50</v>
      </c>
      <c r="H27" s="5">
        <v>2</v>
      </c>
      <c r="I27" s="5">
        <v>100</v>
      </c>
      <c r="J27" s="5">
        <v>2</v>
      </c>
      <c r="K27" s="6">
        <f t="shared" ref="K27:K33" si="11">F27*G27+H27*I27+J27*60</f>
        <v>720</v>
      </c>
      <c r="L27" s="6">
        <f t="shared" ref="L27:L33" si="12">IF(E27&lt;=6,1,ROUNDUP(E27/5,0))</f>
        <v>4</v>
      </c>
      <c r="M27" s="5">
        <v>5</v>
      </c>
      <c r="N27" s="5">
        <v>100</v>
      </c>
      <c r="O27" s="5">
        <v>0</v>
      </c>
      <c r="P27" s="5">
        <v>300</v>
      </c>
      <c r="Q27" s="5">
        <v>0</v>
      </c>
      <c r="R27" s="5">
        <v>0</v>
      </c>
      <c r="S27" s="6">
        <f t="shared" ref="S27:S33" si="13">M27*N27+O27*P27+Q27*R27</f>
        <v>500</v>
      </c>
      <c r="T27" s="5" t="s">
        <v>15</v>
      </c>
      <c r="U27" s="5">
        <v>1500</v>
      </c>
      <c r="V27" s="5"/>
      <c r="W27" s="5"/>
      <c r="X27" s="1"/>
      <c r="Y27" s="386" t="s">
        <v>29</v>
      </c>
      <c r="Z27" s="3" t="s">
        <v>30</v>
      </c>
      <c r="AA27" s="7">
        <v>8.5500000000000007</v>
      </c>
      <c r="AB27" s="4"/>
      <c r="AC27" s="5">
        <v>1</v>
      </c>
      <c r="AD27" s="5">
        <v>100</v>
      </c>
      <c r="AE27" s="5">
        <v>0</v>
      </c>
      <c r="AF27" s="5">
        <v>0</v>
      </c>
      <c r="AG27" s="5">
        <v>0</v>
      </c>
      <c r="AH27" s="6">
        <f>5*(AC27*AD27+AE27*AF27+AG27*60)</f>
        <v>500</v>
      </c>
      <c r="AI27" s="6">
        <f t="shared" ref="AI27:AI30" si="14">IF(AB27&lt;=6,1,ROUNDUP(AB27/5,0))</f>
        <v>1</v>
      </c>
      <c r="AJ27" s="5">
        <v>2</v>
      </c>
      <c r="AK27" s="5">
        <v>100</v>
      </c>
      <c r="AL27" s="5">
        <v>0</v>
      </c>
      <c r="AM27" s="5">
        <v>0</v>
      </c>
      <c r="AN27" s="5">
        <v>0</v>
      </c>
      <c r="AO27" s="5">
        <v>0</v>
      </c>
      <c r="AP27" s="6">
        <f>5*(AJ27*AK27+AL27*AM27+AN27*AO27)</f>
        <v>1000</v>
      </c>
      <c r="AQ27" s="407" t="s">
        <v>31</v>
      </c>
      <c r="AR27" s="407">
        <v>7500</v>
      </c>
      <c r="AS27" s="407" t="s">
        <v>31</v>
      </c>
      <c r="AT27" s="407">
        <v>7500</v>
      </c>
    </row>
    <row r="28" spans="1:46" ht="12.75" customHeight="1" x14ac:dyDescent="0.2">
      <c r="A28" s="1"/>
      <c r="B28" s="412"/>
      <c r="C28" s="165" t="s">
        <v>394</v>
      </c>
      <c r="D28" s="159">
        <v>16.98</v>
      </c>
      <c r="E28" s="159">
        <v>16.64</v>
      </c>
      <c r="F28" s="5">
        <v>8</v>
      </c>
      <c r="G28" s="5">
        <v>50</v>
      </c>
      <c r="H28" s="5">
        <v>0</v>
      </c>
      <c r="I28" s="5">
        <v>150</v>
      </c>
      <c r="J28" s="5">
        <v>2</v>
      </c>
      <c r="K28" s="6">
        <f t="shared" si="11"/>
        <v>520</v>
      </c>
      <c r="L28" s="6">
        <f t="shared" si="12"/>
        <v>4</v>
      </c>
      <c r="M28" s="5">
        <v>5</v>
      </c>
      <c r="N28" s="5">
        <v>100</v>
      </c>
      <c r="O28" s="5">
        <v>0</v>
      </c>
      <c r="P28" s="5">
        <v>300</v>
      </c>
      <c r="Q28" s="5">
        <v>0</v>
      </c>
      <c r="R28" s="5">
        <v>0</v>
      </c>
      <c r="S28" s="6">
        <f t="shared" si="13"/>
        <v>500</v>
      </c>
      <c r="T28" s="5" t="s">
        <v>15</v>
      </c>
      <c r="U28" s="5">
        <v>1500</v>
      </c>
      <c r="V28" s="5"/>
      <c r="W28" s="5"/>
      <c r="X28" s="1"/>
      <c r="Y28" s="387"/>
      <c r="Z28" s="3" t="s">
        <v>32</v>
      </c>
      <c r="AA28" s="7">
        <v>11.82</v>
      </c>
      <c r="AB28" s="4"/>
      <c r="AC28" s="5">
        <v>1</v>
      </c>
      <c r="AD28" s="5">
        <v>160</v>
      </c>
      <c r="AE28" s="5">
        <v>1</v>
      </c>
      <c r="AF28" s="5">
        <v>60</v>
      </c>
      <c r="AG28" s="5">
        <v>0</v>
      </c>
      <c r="AH28" s="6">
        <f>AC28*AD28+AE28*AF28+AG28*60</f>
        <v>220</v>
      </c>
      <c r="AI28" s="6">
        <f t="shared" si="14"/>
        <v>1</v>
      </c>
      <c r="AJ28" s="5">
        <v>2</v>
      </c>
      <c r="AK28" s="5">
        <v>100</v>
      </c>
      <c r="AL28" s="5">
        <v>0</v>
      </c>
      <c r="AM28" s="5">
        <v>0</v>
      </c>
      <c r="AN28" s="5">
        <v>0</v>
      </c>
      <c r="AO28" s="5">
        <v>0</v>
      </c>
      <c r="AP28" s="6">
        <f>AJ28*AK28+AL28*AM28+AN28*AO28</f>
        <v>200</v>
      </c>
      <c r="AQ28" s="388"/>
      <c r="AR28" s="388"/>
      <c r="AS28" s="388"/>
      <c r="AT28" s="388"/>
    </row>
    <row r="29" spans="1:46" ht="12.75" customHeight="1" x14ac:dyDescent="0.2">
      <c r="A29" s="1"/>
      <c r="B29" s="412"/>
      <c r="C29" s="165" t="s">
        <v>405</v>
      </c>
      <c r="D29" s="159">
        <v>4.08</v>
      </c>
      <c r="E29" s="159">
        <v>8.1999999999999993</v>
      </c>
      <c r="F29" s="5">
        <v>1</v>
      </c>
      <c r="G29" s="5">
        <v>100</v>
      </c>
      <c r="H29" s="5">
        <v>0</v>
      </c>
      <c r="I29" s="5">
        <v>0</v>
      </c>
      <c r="J29" s="5">
        <v>0</v>
      </c>
      <c r="K29" s="6">
        <f t="shared" si="11"/>
        <v>100</v>
      </c>
      <c r="L29" s="6">
        <f t="shared" ref="L29" si="15">IF(E29&lt;=6,1,ROUNDUP(E29/3.5,0))</f>
        <v>3</v>
      </c>
      <c r="M29" s="5">
        <v>1</v>
      </c>
      <c r="N29" s="5">
        <v>800</v>
      </c>
      <c r="O29" s="5">
        <v>0</v>
      </c>
      <c r="P29" s="5">
        <v>0</v>
      </c>
      <c r="Q29" s="5">
        <v>0</v>
      </c>
      <c r="R29" s="5">
        <v>0</v>
      </c>
      <c r="S29" s="6">
        <f t="shared" si="13"/>
        <v>800</v>
      </c>
      <c r="T29" s="5" t="s">
        <v>24</v>
      </c>
      <c r="U29" s="5">
        <v>1200</v>
      </c>
      <c r="V29" s="15"/>
      <c r="W29" s="5"/>
      <c r="X29" s="1"/>
      <c r="Y29" s="387"/>
      <c r="Z29" s="3" t="s">
        <v>33</v>
      </c>
      <c r="AA29" s="7">
        <v>12.38</v>
      </c>
      <c r="AB29" s="4"/>
      <c r="AC29" s="5">
        <v>0</v>
      </c>
      <c r="AD29" s="5">
        <v>0</v>
      </c>
      <c r="AE29" s="5">
        <v>0</v>
      </c>
      <c r="AF29" s="5">
        <v>0</v>
      </c>
      <c r="AG29" s="5">
        <v>4</v>
      </c>
      <c r="AH29" s="6">
        <f>7*(AC29*AD29+AE29*AF29+AG29*60)</f>
        <v>1680</v>
      </c>
      <c r="AI29" s="6">
        <f t="shared" si="14"/>
        <v>1</v>
      </c>
      <c r="AJ29" s="5">
        <v>1</v>
      </c>
      <c r="AK29" s="5">
        <v>100</v>
      </c>
      <c r="AL29" s="5">
        <v>0</v>
      </c>
      <c r="AM29" s="5">
        <v>0</v>
      </c>
      <c r="AN29" s="5">
        <v>0</v>
      </c>
      <c r="AO29" s="5">
        <v>0</v>
      </c>
      <c r="AP29" s="6">
        <f>7*(AJ29*AK29+AL29*AM29+AN29*AO29)</f>
        <v>700</v>
      </c>
      <c r="AQ29" s="5"/>
      <c r="AR29" s="5"/>
      <c r="AS29" s="5"/>
      <c r="AT29" s="5"/>
    </row>
    <row r="30" spans="1:46" ht="12.75" customHeight="1" x14ac:dyDescent="0.2">
      <c r="A30" s="1"/>
      <c r="B30" s="412"/>
      <c r="C30" s="165" t="s">
        <v>36</v>
      </c>
      <c r="D30" s="159">
        <v>3.38</v>
      </c>
      <c r="E30" s="159">
        <v>7.64</v>
      </c>
      <c r="F30" s="5">
        <v>4</v>
      </c>
      <c r="G30" s="5">
        <v>50</v>
      </c>
      <c r="H30" s="5">
        <v>0</v>
      </c>
      <c r="I30" s="5">
        <v>0</v>
      </c>
      <c r="J30" s="5">
        <v>1</v>
      </c>
      <c r="K30" s="6">
        <f t="shared" si="11"/>
        <v>260</v>
      </c>
      <c r="L30" s="6">
        <f t="shared" si="12"/>
        <v>2</v>
      </c>
      <c r="M30" s="5">
        <v>2</v>
      </c>
      <c r="N30" s="5">
        <v>100</v>
      </c>
      <c r="O30" s="5">
        <v>1</v>
      </c>
      <c r="P30" s="5">
        <v>100</v>
      </c>
      <c r="Q30" s="5">
        <v>0</v>
      </c>
      <c r="R30" s="5">
        <v>0</v>
      </c>
      <c r="S30" s="6">
        <f t="shared" si="13"/>
        <v>300</v>
      </c>
      <c r="T30" s="5" t="s">
        <v>16</v>
      </c>
      <c r="U30" s="5">
        <v>7500</v>
      </c>
      <c r="V30" s="5" t="s">
        <v>412</v>
      </c>
      <c r="W30" s="5">
        <v>2000</v>
      </c>
      <c r="X30" s="1"/>
      <c r="Y30" s="386" t="s">
        <v>34</v>
      </c>
      <c r="Z30" s="3" t="s">
        <v>35</v>
      </c>
      <c r="AA30" s="7">
        <v>65.98</v>
      </c>
      <c r="AB30" s="4">
        <v>45</v>
      </c>
      <c r="AC30" s="5">
        <v>6</v>
      </c>
      <c r="AD30" s="5">
        <v>150</v>
      </c>
      <c r="AE30" s="5">
        <v>1</v>
      </c>
      <c r="AF30" s="5">
        <v>100</v>
      </c>
      <c r="AG30" s="5">
        <v>0</v>
      </c>
      <c r="AH30" s="6">
        <f t="shared" ref="AH30:AH34" si="16">AC30*AD30+AE30*AF30+AG30*60</f>
        <v>1000</v>
      </c>
      <c r="AI30" s="6">
        <f t="shared" si="14"/>
        <v>9</v>
      </c>
      <c r="AJ30" s="5">
        <v>10</v>
      </c>
      <c r="AK30" s="5">
        <v>100</v>
      </c>
      <c r="AL30" s="5">
        <v>1</v>
      </c>
      <c r="AM30" s="5">
        <v>500</v>
      </c>
      <c r="AN30" s="5">
        <v>0</v>
      </c>
      <c r="AO30" s="5">
        <v>0</v>
      </c>
      <c r="AP30" s="6">
        <f t="shared" ref="AP30:AP34" si="17">AJ30*AK30+AL30*AM30+AN30*AO30</f>
        <v>1500</v>
      </c>
      <c r="AQ30" s="30"/>
      <c r="AR30" s="30"/>
      <c r="AS30" s="30"/>
      <c r="AT30" s="30"/>
    </row>
    <row r="31" spans="1:46" ht="12.75" customHeight="1" x14ac:dyDescent="0.2">
      <c r="A31" s="1"/>
      <c r="B31" s="412"/>
      <c r="C31" s="165" t="s">
        <v>17</v>
      </c>
      <c r="D31" s="159">
        <v>3.91</v>
      </c>
      <c r="E31" s="159">
        <v>8.06</v>
      </c>
      <c r="F31" s="5">
        <v>4</v>
      </c>
      <c r="G31" s="5">
        <v>50</v>
      </c>
      <c r="H31" s="5">
        <v>0</v>
      </c>
      <c r="I31" s="5">
        <v>0</v>
      </c>
      <c r="J31" s="5">
        <v>1</v>
      </c>
      <c r="K31" s="6">
        <f t="shared" si="11"/>
        <v>260</v>
      </c>
      <c r="L31" s="6">
        <f t="shared" si="12"/>
        <v>2</v>
      </c>
      <c r="M31" s="5">
        <v>2</v>
      </c>
      <c r="N31" s="5">
        <v>100</v>
      </c>
      <c r="O31" s="5">
        <v>1</v>
      </c>
      <c r="P31" s="5">
        <v>100</v>
      </c>
      <c r="Q31" s="5">
        <v>0</v>
      </c>
      <c r="R31" s="5">
        <v>0</v>
      </c>
      <c r="S31" s="6">
        <f t="shared" si="13"/>
        <v>300</v>
      </c>
      <c r="T31" s="5" t="s">
        <v>16</v>
      </c>
      <c r="U31" s="5">
        <v>7500</v>
      </c>
      <c r="V31" s="5" t="s">
        <v>412</v>
      </c>
      <c r="W31" s="5">
        <v>2000</v>
      </c>
      <c r="X31" s="1"/>
      <c r="Y31" s="387"/>
      <c r="Z31" s="3" t="s">
        <v>20</v>
      </c>
      <c r="AA31" s="7">
        <v>9</v>
      </c>
      <c r="AB31" s="4">
        <v>12</v>
      </c>
      <c r="AC31" s="5">
        <v>1</v>
      </c>
      <c r="AD31" s="5">
        <v>100</v>
      </c>
      <c r="AE31" s="5">
        <v>0</v>
      </c>
      <c r="AF31" s="5">
        <v>0</v>
      </c>
      <c r="AG31" s="5">
        <v>0</v>
      </c>
      <c r="AH31" s="6">
        <f t="shared" si="16"/>
        <v>100</v>
      </c>
      <c r="AI31" s="6">
        <f>IF(AB31&lt;=6,1,ROUNDUP(AB31/3.5,0))</f>
        <v>4</v>
      </c>
      <c r="AJ31" s="5">
        <v>2</v>
      </c>
      <c r="AK31" s="5">
        <v>100</v>
      </c>
      <c r="AL31" s="5">
        <v>2</v>
      </c>
      <c r="AM31" s="5">
        <v>300</v>
      </c>
      <c r="AN31" s="5">
        <v>1</v>
      </c>
      <c r="AO31" s="5">
        <v>600</v>
      </c>
      <c r="AP31" s="6">
        <f t="shared" si="17"/>
        <v>1400</v>
      </c>
      <c r="AQ31" s="5" t="s">
        <v>21</v>
      </c>
      <c r="AR31" s="5">
        <v>1200</v>
      </c>
      <c r="AS31" s="5" t="s">
        <v>22</v>
      </c>
      <c r="AT31" s="5">
        <v>1200</v>
      </c>
    </row>
    <row r="32" spans="1:46" ht="13.5" customHeight="1" x14ac:dyDescent="0.2">
      <c r="A32" s="1"/>
      <c r="B32" s="31" t="s">
        <v>37</v>
      </c>
      <c r="C32" s="3" t="s">
        <v>37</v>
      </c>
      <c r="D32" s="170">
        <v>66.78</v>
      </c>
      <c r="E32" s="160">
        <v>33.56</v>
      </c>
      <c r="F32" s="5">
        <v>2</v>
      </c>
      <c r="G32" s="5">
        <v>200</v>
      </c>
      <c r="H32" s="5">
        <v>2</v>
      </c>
      <c r="I32" s="5">
        <v>80</v>
      </c>
      <c r="J32" s="5">
        <v>24</v>
      </c>
      <c r="K32" s="6">
        <f t="shared" si="11"/>
        <v>2000</v>
      </c>
      <c r="L32" s="6">
        <f t="shared" si="12"/>
        <v>7</v>
      </c>
      <c r="M32" s="5">
        <v>7</v>
      </c>
      <c r="N32" s="5">
        <v>100</v>
      </c>
      <c r="O32" s="5">
        <v>1</v>
      </c>
      <c r="P32" s="5">
        <v>500</v>
      </c>
      <c r="Q32" s="5">
        <v>0</v>
      </c>
      <c r="R32" s="5">
        <v>0</v>
      </c>
      <c r="S32" s="6">
        <f t="shared" si="13"/>
        <v>1200</v>
      </c>
      <c r="T32" s="5"/>
      <c r="U32" s="5"/>
      <c r="V32" s="5"/>
      <c r="W32" s="5"/>
      <c r="X32" s="1"/>
      <c r="Y32" s="387"/>
      <c r="Z32" s="3" t="s">
        <v>36</v>
      </c>
      <c r="AA32" s="7">
        <v>2.48</v>
      </c>
      <c r="AB32" s="4"/>
      <c r="AC32" s="5">
        <v>1</v>
      </c>
      <c r="AD32" s="5">
        <v>100</v>
      </c>
      <c r="AE32" s="5">
        <v>0</v>
      </c>
      <c r="AF32" s="5">
        <v>0</v>
      </c>
      <c r="AG32" s="5">
        <v>0</v>
      </c>
      <c r="AH32" s="6">
        <f t="shared" si="16"/>
        <v>100</v>
      </c>
      <c r="AI32" s="6">
        <f t="shared" ref="AI32:AI34" si="18">IF(AB32&lt;=6,1,ROUNDUP(AB32/5,0))</f>
        <v>1</v>
      </c>
      <c r="AJ32" s="5">
        <v>1</v>
      </c>
      <c r="AK32" s="5">
        <v>600</v>
      </c>
      <c r="AL32" s="5">
        <v>0</v>
      </c>
      <c r="AM32" s="5">
        <v>0</v>
      </c>
      <c r="AN32" s="5">
        <v>0</v>
      </c>
      <c r="AO32" s="5">
        <v>0</v>
      </c>
      <c r="AP32" s="6">
        <f t="shared" si="17"/>
        <v>600</v>
      </c>
      <c r="AQ32" s="30"/>
      <c r="AR32" s="30"/>
      <c r="AS32" s="30"/>
      <c r="AT32" s="30"/>
    </row>
    <row r="33" spans="1:46" ht="22.5" customHeight="1" thickBot="1" x14ac:dyDescent="0.25">
      <c r="A33" s="1"/>
      <c r="B33" s="31" t="s">
        <v>403</v>
      </c>
      <c r="C33" s="3" t="s">
        <v>404</v>
      </c>
      <c r="D33" s="170">
        <v>102.34</v>
      </c>
      <c r="E33" s="160">
        <v>42.04</v>
      </c>
      <c r="F33" s="5">
        <v>0</v>
      </c>
      <c r="G33" s="5">
        <v>200</v>
      </c>
      <c r="H33" s="5">
        <v>6</v>
      </c>
      <c r="I33" s="5">
        <v>80</v>
      </c>
      <c r="J33" s="18">
        <v>20</v>
      </c>
      <c r="K33" s="19">
        <f t="shared" si="11"/>
        <v>1680</v>
      </c>
      <c r="L33" s="6">
        <f t="shared" si="12"/>
        <v>9</v>
      </c>
      <c r="M33" s="5">
        <v>6</v>
      </c>
      <c r="N33" s="5">
        <v>100</v>
      </c>
      <c r="O33" s="5">
        <v>1</v>
      </c>
      <c r="P33" s="5">
        <v>500</v>
      </c>
      <c r="Q33" s="5">
        <v>0</v>
      </c>
      <c r="R33" s="5">
        <v>0</v>
      </c>
      <c r="S33" s="6">
        <f t="shared" si="13"/>
        <v>1100</v>
      </c>
      <c r="T33" s="5"/>
      <c r="U33" s="5"/>
      <c r="V33" s="5"/>
      <c r="W33" s="5"/>
      <c r="X33" s="1"/>
      <c r="Y33" s="388"/>
      <c r="Z33" s="3" t="s">
        <v>17</v>
      </c>
      <c r="AA33" s="7">
        <v>2.48</v>
      </c>
      <c r="AB33" s="4"/>
      <c r="AC33" s="5">
        <v>1</v>
      </c>
      <c r="AD33" s="5">
        <v>100</v>
      </c>
      <c r="AE33" s="5">
        <v>0</v>
      </c>
      <c r="AF33" s="5">
        <v>0</v>
      </c>
      <c r="AG33" s="5">
        <v>0</v>
      </c>
      <c r="AH33" s="6">
        <f t="shared" si="16"/>
        <v>100</v>
      </c>
      <c r="AI33" s="6">
        <f t="shared" si="18"/>
        <v>1</v>
      </c>
      <c r="AJ33" s="5">
        <v>1</v>
      </c>
      <c r="AK33" s="5">
        <v>600</v>
      </c>
      <c r="AL33" s="5">
        <v>0</v>
      </c>
      <c r="AM33" s="5">
        <v>0</v>
      </c>
      <c r="AN33" s="5">
        <v>0</v>
      </c>
      <c r="AO33" s="5">
        <v>0</v>
      </c>
      <c r="AP33" s="6">
        <f t="shared" si="17"/>
        <v>600</v>
      </c>
      <c r="AQ33" s="5"/>
      <c r="AR33" s="5"/>
      <c r="AS33" s="5"/>
      <c r="AT33" s="5"/>
    </row>
    <row r="34" spans="1:46" ht="13.5" customHeight="1" thickTop="1" x14ac:dyDescent="0.2">
      <c r="A34" s="1"/>
      <c r="B34" s="20" t="s">
        <v>26</v>
      </c>
      <c r="C34" s="405"/>
      <c r="D34" s="403"/>
      <c r="E34" s="403"/>
      <c r="F34" s="403"/>
      <c r="G34" s="403"/>
      <c r="H34" s="403"/>
      <c r="I34" s="403"/>
      <c r="J34" s="404"/>
      <c r="K34" s="21">
        <f>SUM(K27:K33)</f>
        <v>5540</v>
      </c>
      <c r="L34" s="402"/>
      <c r="M34" s="403"/>
      <c r="N34" s="403"/>
      <c r="O34" s="403"/>
      <c r="P34" s="403"/>
      <c r="Q34" s="403"/>
      <c r="R34" s="404"/>
      <c r="S34" s="21">
        <f>SUM(S27:S33)</f>
        <v>4700</v>
      </c>
      <c r="T34" s="22"/>
      <c r="U34" s="21">
        <f>SUM(U27:U33)</f>
        <v>19200</v>
      </c>
      <c r="V34" s="22"/>
      <c r="W34" s="21">
        <f>SUM(W27:W31)</f>
        <v>4000</v>
      </c>
      <c r="X34" s="1"/>
      <c r="Y34" s="31" t="s">
        <v>37</v>
      </c>
      <c r="Z34" s="3" t="s">
        <v>37</v>
      </c>
      <c r="AA34" s="32">
        <v>1017</v>
      </c>
      <c r="AB34" s="4"/>
      <c r="AC34" s="5">
        <v>14</v>
      </c>
      <c r="AD34" s="5">
        <v>200</v>
      </c>
      <c r="AE34" s="5">
        <v>2</v>
      </c>
      <c r="AF34" s="5">
        <v>80</v>
      </c>
      <c r="AG34" s="5">
        <v>3</v>
      </c>
      <c r="AH34" s="6">
        <f t="shared" si="16"/>
        <v>3140</v>
      </c>
      <c r="AI34" s="6">
        <f t="shared" si="18"/>
        <v>1</v>
      </c>
      <c r="AJ34" s="5">
        <v>6</v>
      </c>
      <c r="AK34" s="5">
        <v>100</v>
      </c>
      <c r="AL34" s="5">
        <v>1</v>
      </c>
      <c r="AM34" s="5">
        <v>500</v>
      </c>
      <c r="AN34" s="5">
        <v>0</v>
      </c>
      <c r="AO34" s="5">
        <v>0</v>
      </c>
      <c r="AP34" s="6">
        <f t="shared" si="17"/>
        <v>1100</v>
      </c>
      <c r="AQ34" s="5"/>
      <c r="AR34" s="5"/>
      <c r="AS34" s="5"/>
      <c r="AT34" s="5"/>
    </row>
    <row r="35" spans="1:46" ht="12.75" customHeight="1" x14ac:dyDescent="0.2">
      <c r="A35" s="1"/>
      <c r="B35" s="393" t="s">
        <v>27</v>
      </c>
      <c r="C35" s="385"/>
      <c r="D35" s="156">
        <f>K34+S34+U34+W34</f>
        <v>33440</v>
      </c>
      <c r="E35" s="394" t="s">
        <v>28</v>
      </c>
      <c r="F35" s="384"/>
      <c r="G35" s="384"/>
      <c r="H35" s="384"/>
      <c r="I35" s="384"/>
      <c r="J35" s="384"/>
      <c r="K35" s="384"/>
      <c r="L35" s="384"/>
      <c r="M35" s="384"/>
      <c r="N35" s="384"/>
      <c r="O35" s="384"/>
      <c r="P35" s="384"/>
      <c r="Q35" s="384"/>
      <c r="R35" s="384"/>
      <c r="S35" s="384"/>
      <c r="T35" s="384"/>
      <c r="U35" s="384"/>
      <c r="V35" s="384"/>
      <c r="W35" s="385"/>
      <c r="X35" s="1"/>
      <c r="Y35" s="20" t="s">
        <v>26</v>
      </c>
      <c r="Z35" s="389"/>
      <c r="AA35" s="390"/>
      <c r="AB35" s="390"/>
      <c r="AC35" s="390"/>
      <c r="AD35" s="390"/>
      <c r="AE35" s="390"/>
      <c r="AF35" s="390"/>
      <c r="AG35" s="391"/>
      <c r="AH35" s="21">
        <f>SUM(AH27:AH34)</f>
        <v>6840</v>
      </c>
      <c r="AI35" s="392"/>
      <c r="AJ35" s="390"/>
      <c r="AK35" s="390"/>
      <c r="AL35" s="390"/>
      <c r="AM35" s="390"/>
      <c r="AN35" s="390"/>
      <c r="AO35" s="391"/>
      <c r="AP35" s="21">
        <f>SUM(AP27:AP34)</f>
        <v>7100</v>
      </c>
      <c r="AQ35" s="22"/>
      <c r="AR35" s="21">
        <f>SUM(AR27:AR34)</f>
        <v>8700</v>
      </c>
      <c r="AS35" s="22"/>
      <c r="AT35" s="21">
        <f>SUM(AT27:AT34)</f>
        <v>8700</v>
      </c>
    </row>
    <row r="36" spans="1:46" ht="12.75" customHeight="1" x14ac:dyDescent="0.2">
      <c r="A36" s="1"/>
      <c r="B36" s="24"/>
      <c r="C36" s="167" t="s">
        <v>386</v>
      </c>
      <c r="D36" s="168">
        <f>SUM(D27:D33)</f>
        <v>214.23000000000002</v>
      </c>
      <c r="E36" s="169" t="s">
        <v>402</v>
      </c>
      <c r="F36" s="28"/>
      <c r="G36" s="28"/>
      <c r="H36" s="28"/>
      <c r="I36" s="28"/>
      <c r="J36" s="28"/>
      <c r="K36" s="29"/>
      <c r="L36" s="29"/>
      <c r="M36" s="28"/>
      <c r="N36" s="28"/>
      <c r="O36" s="28"/>
      <c r="P36" s="28"/>
      <c r="Q36" s="28"/>
      <c r="R36" s="28"/>
      <c r="S36" s="29"/>
      <c r="T36" s="29"/>
      <c r="U36" s="29"/>
      <c r="V36" s="28"/>
      <c r="W36" s="28"/>
      <c r="X36" s="1"/>
      <c r="Y36" s="393" t="s">
        <v>27</v>
      </c>
      <c r="Z36" s="385"/>
      <c r="AA36" s="156">
        <f>AH35+AP35+AR35+AT35</f>
        <v>31340</v>
      </c>
      <c r="AB36" s="394" t="s">
        <v>28</v>
      </c>
      <c r="AC36" s="384"/>
      <c r="AD36" s="384"/>
      <c r="AE36" s="384"/>
      <c r="AF36" s="384"/>
      <c r="AG36" s="384"/>
      <c r="AH36" s="384"/>
      <c r="AI36" s="384"/>
      <c r="AJ36" s="384"/>
      <c r="AK36" s="384"/>
      <c r="AL36" s="384"/>
      <c r="AM36" s="384"/>
      <c r="AN36" s="384"/>
      <c r="AO36" s="384"/>
      <c r="AP36" s="384"/>
      <c r="AQ36" s="384"/>
      <c r="AR36" s="384"/>
      <c r="AS36" s="384"/>
      <c r="AT36" s="385"/>
    </row>
    <row r="37" spans="1:46" ht="13.5" customHeight="1" thickBot="1" x14ac:dyDescent="0.25">
      <c r="A37" s="1"/>
      <c r="B37" s="24"/>
      <c r="C37" s="25"/>
      <c r="D37" s="26"/>
      <c r="E37" s="27"/>
      <c r="F37" s="28"/>
      <c r="G37" s="28"/>
      <c r="H37" s="28"/>
      <c r="I37" s="28"/>
      <c r="J37" s="28"/>
      <c r="K37" s="29"/>
      <c r="L37" s="29"/>
      <c r="M37" s="28"/>
      <c r="N37" s="28"/>
      <c r="O37" s="28"/>
      <c r="P37" s="28"/>
      <c r="Q37" s="28"/>
      <c r="R37" s="28"/>
      <c r="S37" s="29"/>
      <c r="T37" s="29"/>
      <c r="U37" s="29"/>
      <c r="V37" s="28"/>
      <c r="W37" s="28"/>
      <c r="X37" s="1"/>
    </row>
    <row r="38" spans="1:46" ht="13.5" customHeight="1" thickBot="1" x14ac:dyDescent="0.25">
      <c r="A38" s="1"/>
      <c r="B38" s="396" t="s">
        <v>395</v>
      </c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397"/>
      <c r="O38" s="397"/>
      <c r="P38" s="397"/>
      <c r="Q38" s="397"/>
      <c r="R38" s="397"/>
      <c r="S38" s="397"/>
      <c r="T38" s="397"/>
      <c r="U38" s="397"/>
      <c r="V38" s="397"/>
      <c r="W38" s="398"/>
      <c r="X38" s="1"/>
    </row>
    <row r="39" spans="1:4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46" ht="12.75" customHeight="1" x14ac:dyDescent="0.2">
      <c r="A40" s="1"/>
      <c r="B40" s="395" t="s">
        <v>0</v>
      </c>
      <c r="C40" s="395" t="s">
        <v>1</v>
      </c>
      <c r="D40" s="383" t="s">
        <v>2</v>
      </c>
      <c r="E40" s="385"/>
      <c r="F40" s="383" t="s">
        <v>3</v>
      </c>
      <c r="G40" s="384"/>
      <c r="H40" s="384"/>
      <c r="I40" s="384"/>
      <c r="J40" s="384"/>
      <c r="K40" s="385"/>
      <c r="L40" s="383" t="s">
        <v>4</v>
      </c>
      <c r="M40" s="384"/>
      <c r="N40" s="384"/>
      <c r="O40" s="384"/>
      <c r="P40" s="384"/>
      <c r="Q40" s="384"/>
      <c r="R40" s="384"/>
      <c r="S40" s="385"/>
      <c r="T40" s="383" t="s">
        <v>5</v>
      </c>
      <c r="U40" s="384"/>
      <c r="V40" s="384"/>
      <c r="W40" s="385"/>
      <c r="X40" s="1"/>
    </row>
    <row r="41" spans="1:46" ht="51" customHeight="1" x14ac:dyDescent="0.2">
      <c r="A41" s="1"/>
      <c r="B41" s="388"/>
      <c r="C41" s="388"/>
      <c r="D41" s="2" t="s">
        <v>6</v>
      </c>
      <c r="E41" s="2" t="s">
        <v>7</v>
      </c>
      <c r="F41" s="2" t="s">
        <v>8</v>
      </c>
      <c r="G41" s="2" t="s">
        <v>9</v>
      </c>
      <c r="H41" s="2" t="s">
        <v>8</v>
      </c>
      <c r="I41" s="2" t="s">
        <v>9</v>
      </c>
      <c r="J41" s="2" t="s">
        <v>10</v>
      </c>
      <c r="K41" s="2" t="s">
        <v>11</v>
      </c>
      <c r="L41" s="2" t="s">
        <v>12</v>
      </c>
      <c r="M41" s="2" t="s">
        <v>8</v>
      </c>
      <c r="N41" s="2" t="s">
        <v>9</v>
      </c>
      <c r="O41" s="2" t="s">
        <v>8</v>
      </c>
      <c r="P41" s="2" t="s">
        <v>9</v>
      </c>
      <c r="Q41" s="2" t="s">
        <v>8</v>
      </c>
      <c r="R41" s="2" t="s">
        <v>9</v>
      </c>
      <c r="S41" s="2" t="s">
        <v>11</v>
      </c>
      <c r="T41" s="174" t="s">
        <v>13</v>
      </c>
      <c r="U41" s="174" t="s">
        <v>14</v>
      </c>
      <c r="V41" s="174" t="s">
        <v>13</v>
      </c>
      <c r="W41" s="174" t="s">
        <v>14</v>
      </c>
      <c r="X41" s="1"/>
    </row>
    <row r="42" spans="1:46" ht="12.75" customHeight="1" x14ac:dyDescent="0.2">
      <c r="A42" s="1"/>
      <c r="B42" s="386" t="s">
        <v>396</v>
      </c>
      <c r="C42" s="165" t="s">
        <v>398</v>
      </c>
      <c r="D42" s="159">
        <v>12.69</v>
      </c>
      <c r="E42" s="159">
        <v>7.13</v>
      </c>
      <c r="F42" s="5">
        <v>6</v>
      </c>
      <c r="G42" s="5">
        <v>50</v>
      </c>
      <c r="H42" s="5">
        <v>1</v>
      </c>
      <c r="I42" s="5">
        <v>100</v>
      </c>
      <c r="J42" s="5">
        <v>2</v>
      </c>
      <c r="K42" s="6">
        <f>5*(F42*G42+H42*I42+J42*60)</f>
        <v>2600</v>
      </c>
      <c r="L42" s="6">
        <f t="shared" ref="L42:L46" si="19">IF(E42&lt;=6,1,ROUNDUP(E42/5,0))</f>
        <v>2</v>
      </c>
      <c r="M42" s="5">
        <v>2</v>
      </c>
      <c r="N42" s="5">
        <v>100</v>
      </c>
      <c r="O42" s="5">
        <v>0</v>
      </c>
      <c r="P42" s="5">
        <v>0</v>
      </c>
      <c r="Q42" s="5">
        <v>0</v>
      </c>
      <c r="R42" s="5">
        <v>0</v>
      </c>
      <c r="S42" s="173">
        <f>M42*N42+O42*P42+Q42*R42</f>
        <v>200</v>
      </c>
      <c r="T42" s="176" t="s">
        <v>15</v>
      </c>
      <c r="U42" s="176"/>
      <c r="V42" s="176" t="s">
        <v>408</v>
      </c>
      <c r="W42" s="176"/>
      <c r="X42" s="1"/>
    </row>
    <row r="43" spans="1:46" ht="12.75" customHeight="1" x14ac:dyDescent="0.2">
      <c r="A43" s="1"/>
      <c r="B43" s="387"/>
      <c r="C43" s="165" t="s">
        <v>400</v>
      </c>
      <c r="D43" s="159">
        <v>9.57</v>
      </c>
      <c r="E43" s="159">
        <v>12.38</v>
      </c>
      <c r="F43" s="5">
        <v>6</v>
      </c>
      <c r="G43" s="5">
        <v>50</v>
      </c>
      <c r="H43" s="5">
        <v>0</v>
      </c>
      <c r="I43" s="5">
        <v>0</v>
      </c>
      <c r="J43" s="5">
        <v>1</v>
      </c>
      <c r="K43" s="6">
        <f>F43*G43+H43*I43+J43*60</f>
        <v>360</v>
      </c>
      <c r="L43" s="6">
        <f t="shared" si="19"/>
        <v>3</v>
      </c>
      <c r="M43" s="5">
        <v>3</v>
      </c>
      <c r="N43" s="5">
        <v>100</v>
      </c>
      <c r="O43" s="5">
        <v>0</v>
      </c>
      <c r="P43" s="5">
        <v>0</v>
      </c>
      <c r="Q43" s="5">
        <v>0</v>
      </c>
      <c r="R43" s="5">
        <v>0</v>
      </c>
      <c r="S43" s="173">
        <f>M43*N43+O43*P43+Q43*R43</f>
        <v>300</v>
      </c>
      <c r="T43" s="177"/>
      <c r="U43" s="177"/>
      <c r="V43" s="177"/>
      <c r="W43" s="177"/>
      <c r="X43" s="1"/>
    </row>
    <row r="44" spans="1:46" ht="12.75" customHeight="1" x14ac:dyDescent="0.2">
      <c r="A44" s="1"/>
      <c r="B44" s="387"/>
      <c r="C44" s="165" t="s">
        <v>399</v>
      </c>
      <c r="D44" s="159">
        <v>3.48</v>
      </c>
      <c r="E44" s="159">
        <v>7.9</v>
      </c>
      <c r="F44" s="5">
        <v>3</v>
      </c>
      <c r="G44" s="5">
        <v>50</v>
      </c>
      <c r="H44" s="5">
        <v>0</v>
      </c>
      <c r="I44" s="5">
        <v>0</v>
      </c>
      <c r="J44" s="5">
        <v>1</v>
      </c>
      <c r="K44" s="6">
        <f>F44*G44+H44*I44+J44*60</f>
        <v>210</v>
      </c>
      <c r="L44" s="6">
        <f t="shared" si="19"/>
        <v>2</v>
      </c>
      <c r="M44" s="5">
        <v>2</v>
      </c>
      <c r="N44" s="5">
        <v>100</v>
      </c>
      <c r="O44" s="5">
        <v>1</v>
      </c>
      <c r="P44" s="5">
        <v>100</v>
      </c>
      <c r="Q44" s="5">
        <v>0</v>
      </c>
      <c r="R44" s="5">
        <v>0</v>
      </c>
      <c r="S44" s="173">
        <f>M44*N44+O44*P44+Q44*R44</f>
        <v>300</v>
      </c>
      <c r="T44" s="5" t="s">
        <v>16</v>
      </c>
      <c r="U44" s="5">
        <v>7500</v>
      </c>
      <c r="V44" s="175"/>
      <c r="W44" s="175"/>
      <c r="X44" s="1"/>
    </row>
    <row r="45" spans="1:46" ht="12.75" customHeight="1" x14ac:dyDescent="0.2">
      <c r="A45" s="1"/>
      <c r="B45" s="413" t="s">
        <v>397</v>
      </c>
      <c r="C45" s="3" t="s">
        <v>401</v>
      </c>
      <c r="D45" s="159">
        <v>4.79</v>
      </c>
      <c r="E45" s="160">
        <v>8.76</v>
      </c>
      <c r="F45" s="5">
        <v>1</v>
      </c>
      <c r="G45" s="5">
        <v>100</v>
      </c>
      <c r="H45" s="5">
        <v>0</v>
      </c>
      <c r="I45" s="5">
        <v>0</v>
      </c>
      <c r="J45" s="5">
        <v>0</v>
      </c>
      <c r="K45" s="6">
        <f t="shared" ref="K45:K46" si="20">F45*G45+H45*I45+J45*60</f>
        <v>100</v>
      </c>
      <c r="L45" s="6">
        <f t="shared" si="19"/>
        <v>2</v>
      </c>
      <c r="M45" s="5">
        <v>1</v>
      </c>
      <c r="N45" s="5">
        <v>100</v>
      </c>
      <c r="O45" s="5">
        <v>0</v>
      </c>
      <c r="P45" s="5">
        <v>0</v>
      </c>
      <c r="Q45" s="5">
        <v>0</v>
      </c>
      <c r="R45" s="5">
        <v>0</v>
      </c>
      <c r="S45" s="6">
        <f t="shared" ref="S45:S46" si="21">M45*N45+O45*P45+Q45*R45</f>
        <v>100</v>
      </c>
      <c r="T45" s="30"/>
      <c r="U45" s="30"/>
      <c r="V45" s="30"/>
      <c r="W45" s="30"/>
      <c r="X45" s="1"/>
    </row>
    <row r="46" spans="1:46" ht="12.75" customHeight="1" x14ac:dyDescent="0.2">
      <c r="A46" s="1"/>
      <c r="B46" s="414"/>
      <c r="C46" s="3" t="s">
        <v>407</v>
      </c>
      <c r="D46" s="159"/>
      <c r="E46" s="160"/>
      <c r="F46" s="5">
        <v>12</v>
      </c>
      <c r="G46" s="5">
        <v>50</v>
      </c>
      <c r="H46" s="5">
        <v>0</v>
      </c>
      <c r="I46" s="5">
        <v>0</v>
      </c>
      <c r="J46" s="5">
        <v>0</v>
      </c>
      <c r="K46" s="6">
        <f t="shared" si="20"/>
        <v>600</v>
      </c>
      <c r="L46" s="6">
        <f t="shared" si="19"/>
        <v>1</v>
      </c>
      <c r="M46" s="5">
        <v>0</v>
      </c>
      <c r="N46" s="5">
        <v>100</v>
      </c>
      <c r="O46" s="5">
        <v>0</v>
      </c>
      <c r="P46" s="5">
        <v>0</v>
      </c>
      <c r="Q46" s="5">
        <v>0</v>
      </c>
      <c r="R46" s="5">
        <v>0</v>
      </c>
      <c r="S46" s="6">
        <f t="shared" si="21"/>
        <v>0</v>
      </c>
      <c r="T46" s="30"/>
      <c r="U46" s="30"/>
      <c r="V46" s="30"/>
      <c r="W46" s="30"/>
      <c r="X46" s="1"/>
    </row>
    <row r="47" spans="1:46" ht="12.75" customHeight="1" x14ac:dyDescent="0.2">
      <c r="A47" s="1"/>
      <c r="B47" s="20" t="s">
        <v>26</v>
      </c>
      <c r="C47" s="389"/>
      <c r="D47" s="390"/>
      <c r="E47" s="390"/>
      <c r="F47" s="390"/>
      <c r="G47" s="390"/>
      <c r="H47" s="390"/>
      <c r="I47" s="390"/>
      <c r="J47" s="391"/>
      <c r="K47" s="21">
        <f>SUM(K42:K46)</f>
        <v>3870</v>
      </c>
      <c r="L47" s="392"/>
      <c r="M47" s="390"/>
      <c r="N47" s="390"/>
      <c r="O47" s="390"/>
      <c r="P47" s="390"/>
      <c r="Q47" s="390"/>
      <c r="R47" s="391"/>
      <c r="S47" s="21">
        <f>SUM(S42:S46)</f>
        <v>900</v>
      </c>
      <c r="T47" s="22"/>
      <c r="U47" s="21">
        <f>SUM(U42:U46)</f>
        <v>7500</v>
      </c>
      <c r="V47" s="22"/>
      <c r="W47" s="21">
        <f>SUM(W42:W46)</f>
        <v>0</v>
      </c>
      <c r="X47" s="1"/>
    </row>
    <row r="48" spans="1:46" ht="12.75" customHeight="1" x14ac:dyDescent="0.2">
      <c r="A48" s="1"/>
      <c r="B48" s="393" t="s">
        <v>27</v>
      </c>
      <c r="C48" s="385"/>
      <c r="D48" s="156">
        <f>K47+S47+U47+W47</f>
        <v>12270</v>
      </c>
      <c r="E48" s="394" t="s">
        <v>28</v>
      </c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5"/>
      <c r="X48" s="1"/>
    </row>
    <row r="49" spans="1:24" ht="12.75" customHeight="1" x14ac:dyDescent="0.2">
      <c r="A49" s="1"/>
      <c r="B49" s="1"/>
      <c r="C49" s="167" t="s">
        <v>386</v>
      </c>
      <c r="D49" s="168">
        <f>SUM(D40:D46)</f>
        <v>30.529999999999998</v>
      </c>
      <c r="E49" s="169" t="s">
        <v>402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2.75" customHeight="1" x14ac:dyDescent="0.2"/>
    <row r="51" spans="1:24" ht="12.75" customHeight="1" x14ac:dyDescent="0.2"/>
    <row r="52" spans="1:24" ht="12.75" customHeight="1" x14ac:dyDescent="0.2">
      <c r="E52" s="4">
        <v>31.4</v>
      </c>
    </row>
    <row r="53" spans="1:24" ht="12.75" customHeight="1" x14ac:dyDescent="0.2">
      <c r="E53" s="4">
        <v>12.8</v>
      </c>
    </row>
    <row r="54" spans="1:24" ht="12.75" customHeight="1" x14ac:dyDescent="0.2">
      <c r="E54" s="4">
        <v>17.3</v>
      </c>
    </row>
    <row r="55" spans="1:24" ht="12.75" customHeight="1" x14ac:dyDescent="0.2">
      <c r="E55" s="4">
        <v>15</v>
      </c>
    </row>
    <row r="56" spans="1:24" ht="12.75" customHeight="1" x14ac:dyDescent="0.2">
      <c r="E56" s="4">
        <v>21.3</v>
      </c>
    </row>
    <row r="57" spans="1:24" ht="12.75" customHeight="1" x14ac:dyDescent="0.2">
      <c r="E57" s="4">
        <v>9</v>
      </c>
    </row>
    <row r="58" spans="1:24" ht="12.75" customHeight="1" x14ac:dyDescent="0.2">
      <c r="E58" s="4">
        <v>9</v>
      </c>
    </row>
    <row r="59" spans="1:24" ht="12.75" customHeight="1" x14ac:dyDescent="0.2">
      <c r="E59" s="4">
        <v>8.4</v>
      </c>
    </row>
    <row r="60" spans="1:24" ht="12.75" customHeight="1" x14ac:dyDescent="0.2">
      <c r="E60" s="4">
        <v>11.5</v>
      </c>
    </row>
    <row r="61" spans="1:24" ht="12.75" customHeight="1" x14ac:dyDescent="0.2">
      <c r="E61" s="4">
        <v>15.7</v>
      </c>
    </row>
    <row r="62" spans="1:24" ht="12.75" customHeight="1" x14ac:dyDescent="0.2">
      <c r="E62" s="4">
        <v>9.3000000000000007</v>
      </c>
    </row>
    <row r="63" spans="1:24" ht="13.5" customHeight="1" thickBot="1" x14ac:dyDescent="0.25">
      <c r="E63" s="17">
        <v>13</v>
      </c>
    </row>
    <row r="64" spans="1:24" ht="13.5" customHeight="1" thickTop="1" x14ac:dyDescent="0.2">
      <c r="E64" s="33">
        <v>25.9</v>
      </c>
    </row>
    <row r="65" spans="5:5" ht="12.75" customHeight="1" x14ac:dyDescent="0.2">
      <c r="E65" s="4">
        <v>12.5</v>
      </c>
    </row>
    <row r="66" spans="5:5" ht="12.75" customHeight="1" x14ac:dyDescent="0.2">
      <c r="E66" s="4">
        <v>15.3</v>
      </c>
    </row>
    <row r="67" spans="5:5" ht="12.75" customHeight="1" x14ac:dyDescent="0.2">
      <c r="E67" s="4">
        <v>16.399999999999999</v>
      </c>
    </row>
    <row r="68" spans="5:5" ht="12.75" customHeight="1" x14ac:dyDescent="0.2">
      <c r="E68" s="4">
        <v>7.9</v>
      </c>
    </row>
    <row r="69" spans="5:5" ht="12.75" customHeight="1" x14ac:dyDescent="0.2">
      <c r="E69" s="4">
        <v>9.3000000000000007</v>
      </c>
    </row>
    <row r="70" spans="5:5" ht="12.75" customHeight="1" x14ac:dyDescent="0.2">
      <c r="E70" s="4">
        <v>8.4</v>
      </c>
    </row>
    <row r="71" spans="5:5" ht="12.75" customHeight="1" x14ac:dyDescent="0.2">
      <c r="E71" s="4">
        <v>11.6</v>
      </c>
    </row>
    <row r="72" spans="5:5" ht="12.75" customHeight="1" x14ac:dyDescent="0.2">
      <c r="E72" s="4">
        <v>16</v>
      </c>
    </row>
    <row r="73" spans="5:5" ht="12.75" customHeight="1" x14ac:dyDescent="0.2">
      <c r="E73" s="4">
        <v>9.6</v>
      </c>
    </row>
    <row r="74" spans="5:5" ht="13.5" customHeight="1" thickBot="1" x14ac:dyDescent="0.25">
      <c r="E74" s="17">
        <v>15.1</v>
      </c>
    </row>
    <row r="75" spans="5:5" ht="13.5" customHeight="1" thickTop="1" x14ac:dyDescent="0.2">
      <c r="E75" s="34">
        <v>11.7</v>
      </c>
    </row>
    <row r="76" spans="5:5" ht="12.75" customHeight="1" x14ac:dyDescent="0.2">
      <c r="E76" s="4">
        <v>0</v>
      </c>
    </row>
    <row r="77" spans="5:5" ht="12.75" customHeight="1" x14ac:dyDescent="0.2"/>
    <row r="78" spans="5:5" ht="12.75" customHeight="1" x14ac:dyDescent="0.2"/>
    <row r="79" spans="5:5" ht="12.75" customHeight="1" x14ac:dyDescent="0.2"/>
    <row r="80" spans="5: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</sheetData>
  <mergeCells count="71">
    <mergeCell ref="B42:B44"/>
    <mergeCell ref="B45:B46"/>
    <mergeCell ref="C47:J47"/>
    <mergeCell ref="L47:R47"/>
    <mergeCell ref="B48:C48"/>
    <mergeCell ref="E48:W48"/>
    <mergeCell ref="Y36:Z36"/>
    <mergeCell ref="AB36:AT36"/>
    <mergeCell ref="B38:W38"/>
    <mergeCell ref="B40:B41"/>
    <mergeCell ref="C40:C41"/>
    <mergeCell ref="D40:E40"/>
    <mergeCell ref="F40:K40"/>
    <mergeCell ref="L40:S40"/>
    <mergeCell ref="T40:W40"/>
    <mergeCell ref="C34:J34"/>
    <mergeCell ref="L34:R34"/>
    <mergeCell ref="B35:C35"/>
    <mergeCell ref="E35:W35"/>
    <mergeCell ref="Z35:AG35"/>
    <mergeCell ref="AI35:AO35"/>
    <mergeCell ref="AQ25:AT25"/>
    <mergeCell ref="B27:B31"/>
    <mergeCell ref="Y27:Y29"/>
    <mergeCell ref="AQ27:AQ28"/>
    <mergeCell ref="AR27:AR28"/>
    <mergeCell ref="AS27:AS28"/>
    <mergeCell ref="AT27:AT28"/>
    <mergeCell ref="Y30:Y33"/>
    <mergeCell ref="T25:W25"/>
    <mergeCell ref="Y25:Y26"/>
    <mergeCell ref="Z25:Z26"/>
    <mergeCell ref="AA25:AB25"/>
    <mergeCell ref="AC25:AH25"/>
    <mergeCell ref="AI25:AP25"/>
    <mergeCell ref="B25:B26"/>
    <mergeCell ref="Z15:AG15"/>
    <mergeCell ref="AI15:AO15"/>
    <mergeCell ref="Y16:Z16"/>
    <mergeCell ref="AB16:AT16"/>
    <mergeCell ref="C25:C26"/>
    <mergeCell ref="D25:E25"/>
    <mergeCell ref="F25:K25"/>
    <mergeCell ref="L25:S25"/>
    <mergeCell ref="C19:J19"/>
    <mergeCell ref="B20:C20"/>
    <mergeCell ref="E20:W20"/>
    <mergeCell ref="B23:W23"/>
    <mergeCell ref="Y23:AT23"/>
    <mergeCell ref="B7:B18"/>
    <mergeCell ref="D7:D8"/>
    <mergeCell ref="T7:T8"/>
    <mergeCell ref="U7:U8"/>
    <mergeCell ref="Y7:Y9"/>
    <mergeCell ref="T9:T10"/>
    <mergeCell ref="Y10:Y13"/>
    <mergeCell ref="U9:U10"/>
    <mergeCell ref="B3:W3"/>
    <mergeCell ref="Y3:AT3"/>
    <mergeCell ref="B5:B6"/>
    <mergeCell ref="C5:C6"/>
    <mergeCell ref="D5:E5"/>
    <mergeCell ref="F5:K5"/>
    <mergeCell ref="L5:S5"/>
    <mergeCell ref="T5:W5"/>
    <mergeCell ref="Y5:Y6"/>
    <mergeCell ref="Z5:Z6"/>
    <mergeCell ref="AA5:AB5"/>
    <mergeCell ref="AC5:AH5"/>
    <mergeCell ref="AI5:AP5"/>
    <mergeCell ref="AQ5:AT5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10"/>
  <sheetViews>
    <sheetView workbookViewId="0">
      <selection activeCell="P35" sqref="P35"/>
    </sheetView>
  </sheetViews>
  <sheetFormatPr defaultColWidth="12.5703125" defaultRowHeight="15" customHeight="1" x14ac:dyDescent="0.2"/>
  <cols>
    <col min="1" max="1" width="6.7109375" customWidth="1"/>
    <col min="2" max="2" width="44.140625" customWidth="1"/>
    <col min="3" max="3" width="3.85546875" customWidth="1"/>
    <col min="4" max="4" width="3.7109375" customWidth="1"/>
    <col min="5" max="6" width="3.85546875" customWidth="1"/>
    <col min="7" max="10" width="3.7109375" customWidth="1"/>
    <col min="11" max="11" width="6" customWidth="1"/>
    <col min="12" max="12" width="3.7109375" customWidth="1"/>
    <col min="13" max="13" width="7.140625" customWidth="1"/>
    <col min="14" max="18" width="8" customWidth="1"/>
    <col min="19" max="19" width="7.28515625" customWidth="1"/>
    <col min="20" max="20" width="7.7109375" customWidth="1"/>
    <col min="21" max="21" width="7.42578125" customWidth="1"/>
    <col min="22" max="22" width="8" customWidth="1"/>
    <col min="23" max="23" width="6.85546875" customWidth="1"/>
    <col min="24" max="24" width="8" customWidth="1"/>
    <col min="25" max="26" width="6.42578125" customWidth="1"/>
    <col min="27" max="27" width="7.42578125" customWidth="1"/>
    <col min="28" max="28" width="9.140625" customWidth="1"/>
    <col min="29" max="29" width="9" customWidth="1"/>
    <col min="30" max="30" width="8.5703125" customWidth="1"/>
    <col min="31" max="31" width="8" customWidth="1"/>
    <col min="32" max="33" width="3.7109375" customWidth="1"/>
    <col min="34" max="34" width="3.85546875" customWidth="1"/>
    <col min="35" max="39" width="8" customWidth="1"/>
  </cols>
  <sheetData>
    <row r="1" spans="1:27" ht="12.75" customHeight="1" x14ac:dyDescent="0.2"/>
    <row r="2" spans="1:27" ht="12.75" customHeight="1" x14ac:dyDescent="0.2"/>
    <row r="3" spans="1:27" ht="13.5" customHeight="1" x14ac:dyDescent="0.2"/>
    <row r="4" spans="1:27" ht="13.5" customHeight="1" x14ac:dyDescent="0.2">
      <c r="B4" s="396" t="s">
        <v>596</v>
      </c>
      <c r="C4" s="397"/>
      <c r="D4" s="397"/>
      <c r="E4" s="397"/>
      <c r="F4" s="397"/>
      <c r="G4" s="397"/>
      <c r="H4" s="397"/>
      <c r="I4" s="397"/>
      <c r="J4" s="397"/>
      <c r="K4" s="397"/>
      <c r="L4" s="397"/>
      <c r="M4" s="397"/>
      <c r="N4" s="397"/>
      <c r="O4" s="397"/>
      <c r="P4" s="397"/>
      <c r="Q4" s="397"/>
      <c r="R4" s="397"/>
      <c r="S4" s="397"/>
      <c r="T4" s="397"/>
      <c r="U4" s="398"/>
    </row>
    <row r="5" spans="1:27" ht="13.5" customHeight="1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230" t="s">
        <v>597</v>
      </c>
    </row>
    <row r="6" spans="1:27" ht="12.75" customHeight="1" x14ac:dyDescent="0.2">
      <c r="B6" s="424" t="s">
        <v>38</v>
      </c>
      <c r="C6" s="421" t="s">
        <v>487</v>
      </c>
      <c r="D6" s="422"/>
      <c r="E6" s="422"/>
      <c r="F6" s="422"/>
      <c r="G6" s="422"/>
      <c r="H6" s="423"/>
      <c r="I6" s="421" t="s">
        <v>40</v>
      </c>
      <c r="J6" s="422"/>
      <c r="K6" s="422"/>
      <c r="L6" s="422"/>
      <c r="M6" s="423"/>
      <c r="N6" s="418" t="s">
        <v>41</v>
      </c>
      <c r="O6" s="418" t="s">
        <v>42</v>
      </c>
      <c r="P6" s="418" t="s">
        <v>43</v>
      </c>
      <c r="Q6" s="418" t="s">
        <v>44</v>
      </c>
      <c r="R6" s="418" t="s">
        <v>45</v>
      </c>
      <c r="S6" s="421" t="s">
        <v>46</v>
      </c>
      <c r="T6" s="422"/>
      <c r="U6" s="426"/>
      <c r="V6" s="230" t="s">
        <v>518</v>
      </c>
      <c r="W6" s="230" t="s">
        <v>598</v>
      </c>
    </row>
    <row r="7" spans="1:27" ht="13.5" customHeight="1" thickBot="1" x14ac:dyDescent="0.25">
      <c r="B7" s="425"/>
      <c r="C7" s="35">
        <v>20</v>
      </c>
      <c r="D7" s="35">
        <v>12</v>
      </c>
      <c r="E7" s="35">
        <v>100</v>
      </c>
      <c r="F7" s="35">
        <v>150</v>
      </c>
      <c r="G7" s="35">
        <v>200</v>
      </c>
      <c r="H7" s="35">
        <v>300</v>
      </c>
      <c r="I7" s="35">
        <v>100</v>
      </c>
      <c r="J7" s="35">
        <v>300</v>
      </c>
      <c r="K7" s="35">
        <v>1500</v>
      </c>
      <c r="L7" s="35">
        <v>600</v>
      </c>
      <c r="M7" s="35">
        <v>1200</v>
      </c>
      <c r="N7" s="387"/>
      <c r="O7" s="387"/>
      <c r="P7" s="387"/>
      <c r="Q7" s="387"/>
      <c r="R7" s="387"/>
      <c r="S7" s="35" t="s">
        <v>47</v>
      </c>
      <c r="T7" s="35" t="s">
        <v>48</v>
      </c>
      <c r="U7" s="36" t="s">
        <v>49</v>
      </c>
      <c r="X7" s="37" t="s">
        <v>383</v>
      </c>
    </row>
    <row r="8" spans="1:27" ht="15" customHeight="1" x14ac:dyDescent="0.2">
      <c r="A8" s="419" t="s">
        <v>378</v>
      </c>
      <c r="B8" s="38" t="s">
        <v>424</v>
      </c>
      <c r="C8" s="39">
        <v>4</v>
      </c>
      <c r="D8" s="39">
        <v>5</v>
      </c>
      <c r="E8" s="39">
        <v>3</v>
      </c>
      <c r="F8" s="39">
        <v>2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210">
        <f t="shared" ref="N8:N33" si="0">$C$7*C8+$D$7*D8+$E$7*E8+$F$7*F8+$G$7*G8+$H$7*H8+$I$7*I8+$J$7*J8+$K$7*K8+$L$7*L8+$M$7*M8</f>
        <v>740</v>
      </c>
      <c r="O8" s="39">
        <v>127</v>
      </c>
      <c r="P8" s="41">
        <f t="shared" ref="P8:P33" si="1">N8/O8</f>
        <v>5.8267716535433074</v>
      </c>
      <c r="Q8" s="224">
        <f>IF(P8&lt;15,1.5,2.5)</f>
        <v>1.5</v>
      </c>
      <c r="R8" s="39">
        <v>10</v>
      </c>
      <c r="S8" s="39">
        <f>N8</f>
        <v>740</v>
      </c>
      <c r="T8" s="39"/>
      <c r="U8" s="42"/>
      <c r="V8" s="9">
        <v>3</v>
      </c>
      <c r="W8">
        <v>6</v>
      </c>
      <c r="X8" s="155">
        <f t="shared" ref="X8:X35" si="2">1.25*P8</f>
        <v>7.2834645669291342</v>
      </c>
      <c r="Y8">
        <v>1200</v>
      </c>
    </row>
    <row r="9" spans="1:27" ht="15" customHeight="1" x14ac:dyDescent="0.2">
      <c r="A9" s="420"/>
      <c r="B9" s="43" t="s">
        <v>478</v>
      </c>
      <c r="C9" s="5">
        <v>11</v>
      </c>
      <c r="D9" s="5">
        <v>4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211">
        <f t="shared" si="0"/>
        <v>368</v>
      </c>
      <c r="O9" s="5">
        <v>127</v>
      </c>
      <c r="P9" s="203">
        <f t="shared" si="1"/>
        <v>2.8976377952755907</v>
      </c>
      <c r="Q9" s="196">
        <f>IF(P9&lt;15,1.5,2.5)</f>
        <v>1.5</v>
      </c>
      <c r="R9" s="197">
        <v>10</v>
      </c>
      <c r="S9" s="5"/>
      <c r="T9" s="5">
        <f>N9</f>
        <v>368</v>
      </c>
      <c r="U9" s="45"/>
      <c r="V9" s="9">
        <v>5</v>
      </c>
      <c r="W9">
        <v>10</v>
      </c>
      <c r="X9" s="155">
        <f t="shared" si="2"/>
        <v>3.6220472440944884</v>
      </c>
      <c r="Z9" s="157">
        <v>890</v>
      </c>
    </row>
    <row r="10" spans="1:27" s="157" customFormat="1" ht="15" customHeight="1" x14ac:dyDescent="0.2">
      <c r="A10" s="420"/>
      <c r="B10" s="212" t="s">
        <v>423</v>
      </c>
      <c r="C10" s="5">
        <v>3</v>
      </c>
      <c r="D10" s="5">
        <v>3</v>
      </c>
      <c r="E10" s="5">
        <v>1</v>
      </c>
      <c r="F10" s="5">
        <v>1</v>
      </c>
      <c r="G10" s="5">
        <v>0</v>
      </c>
      <c r="H10" s="5">
        <v>2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211">
        <f t="shared" ref="N10:N13" si="3">$C$7*C10+$D$7*D10+$E$7*E10+$F$7*F10+$G$7*G10+$H$7*H10+$I$7*I10+$J$7*J10+$K$7*K10+$L$7*L10+$M$7*M10</f>
        <v>946</v>
      </c>
      <c r="O10" s="5">
        <v>127</v>
      </c>
      <c r="P10" s="203">
        <f t="shared" ref="P10:P13" si="4">N10/O10</f>
        <v>7.4488188976377954</v>
      </c>
      <c r="Q10" s="196">
        <f t="shared" ref="Q10:Q15" si="5">IF(P10&lt;15,1.5,2.5)</f>
        <v>1.5</v>
      </c>
      <c r="R10" s="197">
        <v>10</v>
      </c>
      <c r="S10" s="5"/>
      <c r="T10" s="5"/>
      <c r="U10" s="45">
        <f>N10</f>
        <v>946</v>
      </c>
      <c r="V10" s="9">
        <v>7</v>
      </c>
      <c r="W10" s="157">
        <v>16</v>
      </c>
      <c r="X10" s="155">
        <f t="shared" ref="X10:X13" si="6">1.25*P10</f>
        <v>9.3110236220472444</v>
      </c>
      <c r="AA10" s="157">
        <v>1180</v>
      </c>
    </row>
    <row r="11" spans="1:27" s="157" customFormat="1" ht="25.5" customHeight="1" x14ac:dyDescent="0.2">
      <c r="A11" s="419" t="s">
        <v>437</v>
      </c>
      <c r="B11" s="228" t="s">
        <v>449</v>
      </c>
      <c r="C11" s="5">
        <v>24</v>
      </c>
      <c r="D11" s="5">
        <v>6</v>
      </c>
      <c r="E11" s="5">
        <v>3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211">
        <f t="shared" si="3"/>
        <v>852</v>
      </c>
      <c r="O11" s="5">
        <v>127</v>
      </c>
      <c r="P11" s="203">
        <f t="shared" si="4"/>
        <v>6.7086614173228343</v>
      </c>
      <c r="Q11" s="196">
        <f t="shared" si="5"/>
        <v>1.5</v>
      </c>
      <c r="R11" s="197">
        <v>10</v>
      </c>
      <c r="S11" s="5">
        <f>N11</f>
        <v>852</v>
      </c>
      <c r="T11" s="5"/>
      <c r="U11" s="45"/>
      <c r="V11" s="9">
        <v>8</v>
      </c>
      <c r="W11" s="157">
        <v>20</v>
      </c>
      <c r="X11" s="155">
        <f t="shared" si="6"/>
        <v>8.3858267716535426</v>
      </c>
      <c r="AA11" s="157">
        <v>1180</v>
      </c>
    </row>
    <row r="12" spans="1:27" s="157" customFormat="1" ht="18" customHeight="1" x14ac:dyDescent="0.2">
      <c r="A12" s="420"/>
      <c r="B12" s="212" t="s">
        <v>450</v>
      </c>
      <c r="C12" s="5">
        <v>0</v>
      </c>
      <c r="D12" s="5">
        <v>24</v>
      </c>
      <c r="E12" s="5">
        <v>0</v>
      </c>
      <c r="F12" s="5">
        <v>0</v>
      </c>
      <c r="G12" s="5">
        <v>2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211">
        <f t="shared" si="3"/>
        <v>688</v>
      </c>
      <c r="O12" s="5">
        <v>127</v>
      </c>
      <c r="P12" s="203">
        <f t="shared" si="4"/>
        <v>5.4173228346456694</v>
      </c>
      <c r="Q12" s="196">
        <f t="shared" si="5"/>
        <v>1.5</v>
      </c>
      <c r="R12" s="197">
        <v>10</v>
      </c>
      <c r="S12" s="5"/>
      <c r="T12" s="5"/>
      <c r="U12" s="45">
        <f>N12</f>
        <v>688</v>
      </c>
      <c r="V12" s="9">
        <v>10</v>
      </c>
      <c r="W12" s="157">
        <v>25</v>
      </c>
      <c r="X12" s="155">
        <f t="shared" si="6"/>
        <v>6.771653543307087</v>
      </c>
      <c r="AA12" s="157">
        <v>1180</v>
      </c>
    </row>
    <row r="13" spans="1:27" s="157" customFormat="1" ht="18" customHeight="1" x14ac:dyDescent="0.2">
      <c r="A13" s="420"/>
      <c r="B13" s="212" t="s">
        <v>451</v>
      </c>
      <c r="C13" s="5">
        <v>6</v>
      </c>
      <c r="D13" s="5">
        <v>20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211">
        <f t="shared" si="3"/>
        <v>360</v>
      </c>
      <c r="O13" s="5">
        <v>127</v>
      </c>
      <c r="P13" s="203">
        <f t="shared" si="4"/>
        <v>2.8346456692913384</v>
      </c>
      <c r="Q13" s="196">
        <f t="shared" si="5"/>
        <v>1.5</v>
      </c>
      <c r="R13" s="197">
        <v>10</v>
      </c>
      <c r="S13" s="5">
        <f>N13</f>
        <v>360</v>
      </c>
      <c r="T13" s="5"/>
      <c r="U13" s="45"/>
      <c r="V13" s="9">
        <v>12</v>
      </c>
      <c r="W13" s="262">
        <v>32</v>
      </c>
      <c r="X13" s="155">
        <f t="shared" si="6"/>
        <v>3.5433070866141732</v>
      </c>
      <c r="AA13" s="157">
        <v>1180</v>
      </c>
    </row>
    <row r="14" spans="1:27" ht="12.75" customHeight="1" x14ac:dyDescent="0.2">
      <c r="A14" s="230" t="s">
        <v>453</v>
      </c>
      <c r="B14" s="212" t="s">
        <v>452</v>
      </c>
      <c r="C14" s="5">
        <v>27</v>
      </c>
      <c r="D14" s="5">
        <v>4</v>
      </c>
      <c r="E14" s="5">
        <v>2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211">
        <f t="shared" si="0"/>
        <v>788</v>
      </c>
      <c r="O14" s="5">
        <v>127</v>
      </c>
      <c r="P14" s="203">
        <f t="shared" si="1"/>
        <v>6.2047244094488185</v>
      </c>
      <c r="Q14" s="196">
        <f t="shared" si="5"/>
        <v>1.5</v>
      </c>
      <c r="R14" s="197">
        <v>10</v>
      </c>
      <c r="S14" s="5"/>
      <c r="T14" s="5"/>
      <c r="U14" s="45">
        <f>N14</f>
        <v>788</v>
      </c>
      <c r="V14" s="9"/>
      <c r="W14" s="262">
        <v>40</v>
      </c>
      <c r="X14" s="155">
        <f t="shared" si="2"/>
        <v>7.7559055118110232</v>
      </c>
      <c r="AA14" s="157">
        <v>1180</v>
      </c>
    </row>
    <row r="15" spans="1:27" ht="12.75" customHeight="1" x14ac:dyDescent="0.2">
      <c r="A15" s="419" t="s">
        <v>378</v>
      </c>
      <c r="B15" s="213" t="s">
        <v>454</v>
      </c>
      <c r="C15" s="5"/>
      <c r="D15" s="5"/>
      <c r="E15" s="5"/>
      <c r="F15" s="5"/>
      <c r="G15" s="5"/>
      <c r="H15" s="5"/>
      <c r="I15" s="5">
        <v>16</v>
      </c>
      <c r="J15" s="5">
        <v>1</v>
      </c>
      <c r="K15" s="5">
        <v>0</v>
      </c>
      <c r="L15" s="5">
        <v>1</v>
      </c>
      <c r="M15" s="5">
        <v>0</v>
      </c>
      <c r="N15" s="211">
        <f t="shared" si="0"/>
        <v>2500</v>
      </c>
      <c r="O15" s="5">
        <v>127</v>
      </c>
      <c r="P15" s="203">
        <f t="shared" si="1"/>
        <v>19.685039370078741</v>
      </c>
      <c r="Q15" s="196">
        <f t="shared" si="5"/>
        <v>2.5</v>
      </c>
      <c r="R15" s="197">
        <v>25</v>
      </c>
      <c r="S15" s="5"/>
      <c r="T15" s="5">
        <f>N15</f>
        <v>2500</v>
      </c>
      <c r="U15" s="45"/>
      <c r="V15" s="9"/>
      <c r="W15" s="262">
        <v>50</v>
      </c>
      <c r="X15" s="155">
        <f t="shared" si="2"/>
        <v>24.606299212598426</v>
      </c>
      <c r="Z15">
        <v>1800</v>
      </c>
    </row>
    <row r="16" spans="1:27" ht="12.75" customHeight="1" x14ac:dyDescent="0.2">
      <c r="A16" s="419"/>
      <c r="B16" s="43" t="s">
        <v>455</v>
      </c>
      <c r="C16" s="5"/>
      <c r="D16" s="5"/>
      <c r="E16" s="5"/>
      <c r="F16" s="5"/>
      <c r="G16" s="5"/>
      <c r="H16" s="5"/>
      <c r="I16" s="5">
        <v>13</v>
      </c>
      <c r="J16" s="5">
        <v>0</v>
      </c>
      <c r="K16" s="5">
        <v>0</v>
      </c>
      <c r="L16" s="5">
        <v>0</v>
      </c>
      <c r="M16" s="5">
        <v>0</v>
      </c>
      <c r="N16" s="211">
        <f t="shared" si="0"/>
        <v>1300</v>
      </c>
      <c r="O16" s="5">
        <v>127</v>
      </c>
      <c r="P16" s="203">
        <f t="shared" si="1"/>
        <v>10.236220472440944</v>
      </c>
      <c r="Q16" s="225">
        <v>2.5</v>
      </c>
      <c r="R16" s="197">
        <v>16</v>
      </c>
      <c r="S16" s="5"/>
      <c r="T16" s="5"/>
      <c r="U16" s="45">
        <f>N16</f>
        <v>1300</v>
      </c>
      <c r="V16" s="9"/>
      <c r="X16" s="155">
        <f t="shared" si="2"/>
        <v>12.795275590551181</v>
      </c>
      <c r="AA16">
        <v>1800</v>
      </c>
    </row>
    <row r="17" spans="1:29" ht="12.75" customHeight="1" x14ac:dyDescent="0.2">
      <c r="A17" s="419"/>
      <c r="B17" s="43" t="s">
        <v>456</v>
      </c>
      <c r="C17" s="5"/>
      <c r="D17" s="5"/>
      <c r="E17" s="5"/>
      <c r="F17" s="5"/>
      <c r="G17" s="5"/>
      <c r="H17" s="5"/>
      <c r="I17" s="5">
        <v>15</v>
      </c>
      <c r="J17" s="5">
        <v>0</v>
      </c>
      <c r="K17" s="5">
        <v>0</v>
      </c>
      <c r="L17" s="5">
        <v>0</v>
      </c>
      <c r="M17" s="5">
        <v>0</v>
      </c>
      <c r="N17" s="211">
        <f t="shared" si="0"/>
        <v>1500</v>
      </c>
      <c r="O17" s="5">
        <v>127</v>
      </c>
      <c r="P17" s="203">
        <f t="shared" si="1"/>
        <v>11.811023622047244</v>
      </c>
      <c r="Q17" s="225">
        <v>2.5</v>
      </c>
      <c r="R17" s="197">
        <v>20</v>
      </c>
      <c r="S17" s="5"/>
      <c r="T17" s="5">
        <f>N17</f>
        <v>1500</v>
      </c>
      <c r="U17" s="45"/>
      <c r="V17" s="9"/>
      <c r="X17" s="155">
        <f t="shared" si="2"/>
        <v>14.763779527559056</v>
      </c>
      <c r="AA17">
        <v>1700</v>
      </c>
    </row>
    <row r="18" spans="1:29" ht="12.75" customHeight="1" x14ac:dyDescent="0.2">
      <c r="A18" s="419"/>
      <c r="B18" s="43" t="s">
        <v>457</v>
      </c>
      <c r="C18" s="5"/>
      <c r="D18" s="5"/>
      <c r="E18" s="5"/>
      <c r="F18" s="5"/>
      <c r="G18" s="5"/>
      <c r="H18" s="5"/>
      <c r="I18" s="5">
        <v>0</v>
      </c>
      <c r="J18" s="5">
        <v>0</v>
      </c>
      <c r="K18" s="5">
        <v>0</v>
      </c>
      <c r="L18" s="5">
        <v>0</v>
      </c>
      <c r="M18" s="5">
        <v>1</v>
      </c>
      <c r="N18" s="211">
        <f t="shared" si="0"/>
        <v>1200</v>
      </c>
      <c r="O18" s="189">
        <v>220</v>
      </c>
      <c r="P18" s="203">
        <f t="shared" si="1"/>
        <v>5.4545454545454541</v>
      </c>
      <c r="Q18" s="225">
        <v>2.5</v>
      </c>
      <c r="R18" s="197">
        <v>16</v>
      </c>
      <c r="S18" s="5">
        <f>N18/2</f>
        <v>600</v>
      </c>
      <c r="T18" s="5">
        <f>N18/2</f>
        <v>600</v>
      </c>
      <c r="U18" s="45"/>
      <c r="V18" s="9"/>
      <c r="X18" s="155">
        <f t="shared" si="2"/>
        <v>6.8181818181818175</v>
      </c>
      <c r="Y18">
        <v>1800</v>
      </c>
    </row>
    <row r="19" spans="1:29" ht="12.75" customHeight="1" x14ac:dyDescent="0.2">
      <c r="A19" s="419"/>
      <c r="B19" s="43" t="s">
        <v>458</v>
      </c>
      <c r="C19" s="5"/>
      <c r="D19" s="5"/>
      <c r="E19" s="5"/>
      <c r="F19" s="5"/>
      <c r="G19" s="5"/>
      <c r="H19" s="5"/>
      <c r="I19" s="5">
        <v>0</v>
      </c>
      <c r="J19" s="5">
        <v>0</v>
      </c>
      <c r="K19" s="5">
        <v>0</v>
      </c>
      <c r="L19" s="5">
        <v>0</v>
      </c>
      <c r="M19" s="5">
        <v>1</v>
      </c>
      <c r="N19" s="211">
        <f t="shared" si="0"/>
        <v>1200</v>
      </c>
      <c r="O19" s="5">
        <v>127</v>
      </c>
      <c r="P19" s="203">
        <f t="shared" si="1"/>
        <v>9.4488188976377945</v>
      </c>
      <c r="Q19" s="225">
        <f>IF(P19&lt;9,1.5,2.5)</f>
        <v>2.5</v>
      </c>
      <c r="R19" s="197">
        <v>16</v>
      </c>
      <c r="S19" s="5"/>
      <c r="T19" s="5">
        <f>N19</f>
        <v>1200</v>
      </c>
      <c r="U19" s="45"/>
      <c r="V19" s="9"/>
      <c r="X19" s="155">
        <f t="shared" si="2"/>
        <v>11.811023622047243</v>
      </c>
      <c r="Y19">
        <v>1500</v>
      </c>
    </row>
    <row r="20" spans="1:29" ht="12.75" customHeight="1" x14ac:dyDescent="0.2">
      <c r="A20" s="419"/>
      <c r="B20" s="43" t="s">
        <v>459</v>
      </c>
      <c r="C20" s="5"/>
      <c r="D20" s="5"/>
      <c r="E20" s="5"/>
      <c r="F20" s="5"/>
      <c r="G20" s="5"/>
      <c r="H20" s="5"/>
      <c r="I20" s="5">
        <v>0</v>
      </c>
      <c r="J20" s="5">
        <v>0</v>
      </c>
      <c r="K20" s="5">
        <v>1</v>
      </c>
      <c r="L20" s="5">
        <v>1</v>
      </c>
      <c r="M20" s="5">
        <v>0</v>
      </c>
      <c r="N20" s="211">
        <f t="shared" si="0"/>
        <v>2100</v>
      </c>
      <c r="O20" s="189">
        <v>220</v>
      </c>
      <c r="P20" s="203">
        <f t="shared" si="1"/>
        <v>9.545454545454545</v>
      </c>
      <c r="Q20" s="225">
        <v>2.5</v>
      </c>
      <c r="R20" s="197">
        <v>16</v>
      </c>
      <c r="S20" s="5"/>
      <c r="T20" s="5">
        <f>N20/2</f>
        <v>1050</v>
      </c>
      <c r="U20" s="45">
        <f>N20/2</f>
        <v>1050</v>
      </c>
      <c r="V20" s="9"/>
      <c r="X20" s="155">
        <f t="shared" si="2"/>
        <v>11.931818181818182</v>
      </c>
      <c r="Z20">
        <v>800</v>
      </c>
    </row>
    <row r="21" spans="1:29" s="157" customFormat="1" ht="12.75" customHeight="1" x14ac:dyDescent="0.2">
      <c r="A21" s="419"/>
      <c r="B21" s="43" t="s">
        <v>460</v>
      </c>
      <c r="C21" s="5"/>
      <c r="D21" s="5"/>
      <c r="E21" s="5"/>
      <c r="F21" s="5"/>
      <c r="G21" s="5"/>
      <c r="H21" s="5"/>
      <c r="I21" s="5">
        <v>0</v>
      </c>
      <c r="J21" s="5">
        <v>0</v>
      </c>
      <c r="K21" s="5">
        <v>1</v>
      </c>
      <c r="L21" s="5">
        <v>0</v>
      </c>
      <c r="M21" s="5">
        <v>0</v>
      </c>
      <c r="N21" s="255">
        <f>($C$7*C21+$D$7*D21+$E$7*E21+$F$7*F21+$G$7*G21+$H$7*H21+$I$7*I21+$J$7*J21+$K$7*K21+$L$7*L21+$M$7*M21)*2.9333</f>
        <v>4399.95</v>
      </c>
      <c r="O21" s="189">
        <v>220</v>
      </c>
      <c r="P21" s="203">
        <f t="shared" ref="P21" si="7">N21/O21</f>
        <v>19.999772727272727</v>
      </c>
      <c r="Q21" s="225">
        <f>IF(P21&lt;28,4,6)</f>
        <v>4</v>
      </c>
      <c r="R21" s="197">
        <v>25</v>
      </c>
      <c r="S21" s="5"/>
      <c r="T21" s="5">
        <f>N21/2</f>
        <v>2199.9749999999999</v>
      </c>
      <c r="U21" s="45">
        <f>N21/2</f>
        <v>2199.9749999999999</v>
      </c>
      <c r="V21" s="9"/>
      <c r="X21" s="155">
        <f t="shared" ref="X21" si="8">1.25*P21</f>
        <v>24.999715909090909</v>
      </c>
      <c r="Z21" s="157">
        <v>2800</v>
      </c>
    </row>
    <row r="22" spans="1:29" ht="12.75" customHeight="1" x14ac:dyDescent="0.2">
      <c r="A22" s="419"/>
      <c r="B22" s="43" t="s">
        <v>461</v>
      </c>
      <c r="C22" s="5"/>
      <c r="D22" s="5"/>
      <c r="E22" s="5"/>
      <c r="F22" s="5"/>
      <c r="G22" s="5"/>
      <c r="H22" s="5"/>
      <c r="I22" s="5">
        <v>0</v>
      </c>
      <c r="J22" s="5">
        <v>0</v>
      </c>
      <c r="K22" s="5">
        <v>1</v>
      </c>
      <c r="L22" s="5">
        <v>0</v>
      </c>
      <c r="M22" s="5">
        <v>0</v>
      </c>
      <c r="N22" s="211">
        <f t="shared" si="0"/>
        <v>1500</v>
      </c>
      <c r="O22" s="5">
        <v>127</v>
      </c>
      <c r="P22" s="203">
        <f t="shared" si="1"/>
        <v>11.811023622047244</v>
      </c>
      <c r="Q22" s="196">
        <f t="shared" ref="Q22:Q33" si="9">IF(P22&lt;10,1.5,2.5)</f>
        <v>2.5</v>
      </c>
      <c r="R22" s="197">
        <v>20</v>
      </c>
      <c r="S22" s="5">
        <f>N22</f>
        <v>1500</v>
      </c>
      <c r="T22" s="5"/>
      <c r="U22" s="45"/>
      <c r="V22" s="9"/>
      <c r="X22" s="221">
        <f t="shared" si="2"/>
        <v>14.763779527559056</v>
      </c>
      <c r="Z22">
        <v>2800</v>
      </c>
    </row>
    <row r="23" spans="1:29" ht="12.75" customHeight="1" x14ac:dyDescent="0.2">
      <c r="A23" s="419"/>
      <c r="B23" s="43" t="s">
        <v>462</v>
      </c>
      <c r="C23" s="5"/>
      <c r="D23" s="5"/>
      <c r="E23" s="5"/>
      <c r="F23" s="5"/>
      <c r="G23" s="5"/>
      <c r="H23" s="5"/>
      <c r="I23" s="5">
        <v>0</v>
      </c>
      <c r="J23" s="5">
        <v>0</v>
      </c>
      <c r="K23" s="5">
        <v>1</v>
      </c>
      <c r="L23" s="5">
        <v>0</v>
      </c>
      <c r="M23" s="5">
        <v>0</v>
      </c>
      <c r="N23" s="211">
        <f t="shared" si="0"/>
        <v>1500</v>
      </c>
      <c r="O23" s="5">
        <v>127</v>
      </c>
      <c r="P23" s="203">
        <f t="shared" si="1"/>
        <v>11.811023622047244</v>
      </c>
      <c r="Q23" s="196">
        <f t="shared" si="9"/>
        <v>2.5</v>
      </c>
      <c r="R23" s="197">
        <v>20</v>
      </c>
      <c r="S23" s="5"/>
      <c r="T23" s="5">
        <f>N23</f>
        <v>1500</v>
      </c>
      <c r="U23" s="45"/>
      <c r="V23" s="9"/>
      <c r="X23" s="221">
        <f t="shared" si="2"/>
        <v>14.763779527559056</v>
      </c>
      <c r="Z23">
        <v>1400</v>
      </c>
    </row>
    <row r="24" spans="1:29" ht="12.75" customHeight="1" x14ac:dyDescent="0.2">
      <c r="A24" s="419"/>
      <c r="B24" s="43" t="s">
        <v>484</v>
      </c>
      <c r="C24" s="5"/>
      <c r="D24" s="5"/>
      <c r="E24" s="5"/>
      <c r="F24" s="5"/>
      <c r="G24" s="5"/>
      <c r="H24" s="5"/>
      <c r="I24" s="5">
        <v>0</v>
      </c>
      <c r="J24" s="5">
        <v>0</v>
      </c>
      <c r="K24" s="5">
        <v>1</v>
      </c>
      <c r="L24" s="5">
        <v>0</v>
      </c>
      <c r="M24" s="5">
        <v>0</v>
      </c>
      <c r="N24" s="255">
        <f>($C$7*C24+$D$7*D24+$E$7*E24+$F$7*F24+$G$7*G24+$H$7*H24+$I$7*I24+$J$7*J24+$K$7*K24+$L$7*L24+$M$7*M24)*2</f>
        <v>3000</v>
      </c>
      <c r="O24" s="189">
        <v>220</v>
      </c>
      <c r="P24" s="203">
        <f t="shared" si="1"/>
        <v>13.636363636363637</v>
      </c>
      <c r="Q24" s="225">
        <f>IF(P24&lt;28,4,6)</f>
        <v>4</v>
      </c>
      <c r="R24" s="197">
        <v>25</v>
      </c>
      <c r="S24" s="5">
        <f>N24/2</f>
        <v>1500</v>
      </c>
      <c r="T24" s="5"/>
      <c r="U24" s="261">
        <f>N24/2</f>
        <v>1500</v>
      </c>
      <c r="V24" s="9"/>
      <c r="X24" s="155">
        <f t="shared" si="2"/>
        <v>17.045454545454547</v>
      </c>
      <c r="Y24">
        <v>2800</v>
      </c>
      <c r="AA24">
        <v>2800</v>
      </c>
      <c r="AC24">
        <f>7.5/2</f>
        <v>3.75</v>
      </c>
    </row>
    <row r="25" spans="1:29" ht="12.75" customHeight="1" x14ac:dyDescent="0.2">
      <c r="A25" s="419"/>
      <c r="B25" s="43" t="s">
        <v>471</v>
      </c>
      <c r="C25" s="5"/>
      <c r="D25" s="5"/>
      <c r="E25" s="5"/>
      <c r="F25" s="5"/>
      <c r="G25" s="5"/>
      <c r="H25" s="5"/>
      <c r="I25" s="5">
        <v>9</v>
      </c>
      <c r="J25" s="5">
        <v>0</v>
      </c>
      <c r="K25" s="5">
        <v>0</v>
      </c>
      <c r="L25" s="5">
        <v>0</v>
      </c>
      <c r="M25" s="5">
        <v>0</v>
      </c>
      <c r="N25" s="211">
        <f>($C$7*C25+$D$7*D25+$E$7*E25+$F$7*F25+$G$7*G25+$H$7*H25+$I$7*I25+$J$7*J25+$K$7*K25+$L$7*L25+$M$7*M25)</f>
        <v>900</v>
      </c>
      <c r="O25" s="214">
        <v>127</v>
      </c>
      <c r="P25" s="203">
        <f t="shared" si="1"/>
        <v>7.0866141732283463</v>
      </c>
      <c r="Q25" s="225">
        <v>2.5</v>
      </c>
      <c r="R25" s="197">
        <v>10</v>
      </c>
      <c r="S25" s="5"/>
      <c r="T25" s="5">
        <f>N25/2</f>
        <v>450</v>
      </c>
      <c r="U25" s="45">
        <f>N25/2</f>
        <v>450</v>
      </c>
      <c r="V25" s="9"/>
      <c r="X25" s="155">
        <f t="shared" si="2"/>
        <v>8.8582677165354333</v>
      </c>
      <c r="Z25">
        <v>2800</v>
      </c>
      <c r="AA25">
        <v>2800</v>
      </c>
    </row>
    <row r="26" spans="1:29" s="157" customFormat="1" ht="14.25" customHeight="1" x14ac:dyDescent="0.2">
      <c r="A26" s="419" t="s">
        <v>437</v>
      </c>
      <c r="B26" s="231" t="s">
        <v>498</v>
      </c>
      <c r="C26" s="5"/>
      <c r="D26" s="5"/>
      <c r="E26" s="5"/>
      <c r="F26" s="5"/>
      <c r="G26" s="5"/>
      <c r="H26" s="5"/>
      <c r="I26" s="5">
        <v>16</v>
      </c>
      <c r="J26" s="5">
        <v>0</v>
      </c>
      <c r="K26" s="5">
        <v>0</v>
      </c>
      <c r="L26" s="5">
        <v>1</v>
      </c>
      <c r="M26" s="5">
        <v>0</v>
      </c>
      <c r="N26" s="211">
        <f t="shared" ref="N26" si="10">$C$7*C26+$D$7*D26+$E$7*E26+$F$7*F26+$G$7*G26+$H$7*H26+$I$7*I26+$J$7*J26+$K$7*K26+$L$7*L26+$M$7*M26</f>
        <v>2200</v>
      </c>
      <c r="O26" s="5">
        <v>127</v>
      </c>
      <c r="P26" s="203">
        <f t="shared" ref="P26:P28" si="11">N26/O26</f>
        <v>17.322834645669293</v>
      </c>
      <c r="Q26" s="196">
        <f>IF(P26&lt;10,1.5,2.5)</f>
        <v>2.5</v>
      </c>
      <c r="R26" s="197">
        <v>25</v>
      </c>
      <c r="S26" s="5">
        <f>N26</f>
        <v>2200</v>
      </c>
      <c r="T26" s="5"/>
      <c r="U26" s="45"/>
      <c r="V26" s="9"/>
      <c r="X26" s="155">
        <f t="shared" ref="X26:X28" si="12">1.25*P26</f>
        <v>21.653543307086615</v>
      </c>
      <c r="AA26" s="157">
        <v>1800</v>
      </c>
    </row>
    <row r="27" spans="1:29" s="157" customFormat="1" ht="14.25" customHeight="1" x14ac:dyDescent="0.2">
      <c r="A27" s="419"/>
      <c r="B27" s="43" t="s">
        <v>485</v>
      </c>
      <c r="C27" s="5"/>
      <c r="D27" s="5"/>
      <c r="E27" s="5"/>
      <c r="F27" s="5"/>
      <c r="G27" s="5"/>
      <c r="H27" s="5"/>
      <c r="I27" s="5">
        <v>0</v>
      </c>
      <c r="J27" s="5">
        <v>0</v>
      </c>
      <c r="K27" s="5">
        <v>1</v>
      </c>
      <c r="L27" s="5">
        <v>0</v>
      </c>
      <c r="M27" s="5">
        <v>0</v>
      </c>
      <c r="N27" s="255">
        <f>($C$7*C27+$D$7*D27+$E$7*E27+$F$7*F27+$G$7*G27+$H$7*H27+$I$7*I27+$J$7*J27+$K$7*K27+$L$7*L27+$M$7*M27)*2.9335</f>
        <v>4400.25</v>
      </c>
      <c r="O27" s="189">
        <v>220</v>
      </c>
      <c r="P27" s="203">
        <f t="shared" si="11"/>
        <v>20.001136363636363</v>
      </c>
      <c r="Q27" s="225">
        <f t="shared" ref="Q27:Q28" si="13">IF(P27&lt;28,4,6)</f>
        <v>4</v>
      </c>
      <c r="R27" s="197">
        <v>32</v>
      </c>
      <c r="S27" s="32">
        <f>N27/2</f>
        <v>2200.125</v>
      </c>
      <c r="T27" s="5"/>
      <c r="U27" s="261">
        <f>N27/2</f>
        <v>2200.125</v>
      </c>
      <c r="V27" s="9"/>
      <c r="X27" s="155">
        <f t="shared" si="12"/>
        <v>25.001420454545453</v>
      </c>
      <c r="AA27" s="157">
        <v>1700</v>
      </c>
    </row>
    <row r="28" spans="1:29" s="157" customFormat="1" ht="14.25" customHeight="1" x14ac:dyDescent="0.2">
      <c r="A28" s="419"/>
      <c r="B28" s="43" t="s">
        <v>486</v>
      </c>
      <c r="C28" s="5"/>
      <c r="D28" s="5"/>
      <c r="E28" s="5"/>
      <c r="F28" s="5"/>
      <c r="G28" s="5"/>
      <c r="H28" s="5"/>
      <c r="I28" s="5">
        <v>0</v>
      </c>
      <c r="J28" s="5">
        <v>0</v>
      </c>
      <c r="K28" s="5">
        <v>1</v>
      </c>
      <c r="L28" s="5">
        <v>0</v>
      </c>
      <c r="M28" s="5">
        <v>0</v>
      </c>
      <c r="N28" s="255">
        <f>($C$7*C28+$D$7*D28+$E$7*E28+$F$7*F28+$G$7*G28+$H$7*H28+$I$7*I28+$J$7*J28+$K$7*K28+$L$7*L28+$M$7*M28)*2.9335</f>
        <v>4400.25</v>
      </c>
      <c r="O28" s="189">
        <v>220</v>
      </c>
      <c r="P28" s="203">
        <f t="shared" si="11"/>
        <v>20.001136363636363</v>
      </c>
      <c r="Q28" s="225">
        <f t="shared" si="13"/>
        <v>4</v>
      </c>
      <c r="R28" s="197">
        <v>32</v>
      </c>
      <c r="S28" s="32">
        <f>N28/2</f>
        <v>2200.125</v>
      </c>
      <c r="T28" s="32">
        <f>N28/2</f>
        <v>2200.125</v>
      </c>
      <c r="U28" s="45"/>
      <c r="V28" s="9"/>
      <c r="X28" s="155">
        <f t="shared" si="12"/>
        <v>25.001420454545453</v>
      </c>
      <c r="Y28" s="157">
        <v>1800</v>
      </c>
    </row>
    <row r="29" spans="1:29" ht="12.75" customHeight="1" x14ac:dyDescent="0.2">
      <c r="A29" s="419"/>
      <c r="B29" s="43" t="s">
        <v>479</v>
      </c>
      <c r="C29" s="5"/>
      <c r="D29" s="5"/>
      <c r="E29" s="5"/>
      <c r="F29" s="5"/>
      <c r="G29" s="5"/>
      <c r="H29" s="5"/>
      <c r="I29" s="5">
        <v>0</v>
      </c>
      <c r="J29" s="5">
        <v>0</v>
      </c>
      <c r="K29" s="5">
        <v>0</v>
      </c>
      <c r="L29" s="5">
        <v>0</v>
      </c>
      <c r="M29" s="5">
        <v>1</v>
      </c>
      <c r="N29" s="211">
        <f t="shared" si="0"/>
        <v>1200</v>
      </c>
      <c r="O29" s="5">
        <v>127</v>
      </c>
      <c r="P29" s="203">
        <f t="shared" si="1"/>
        <v>9.4488188976377945</v>
      </c>
      <c r="Q29" s="225">
        <v>2.5</v>
      </c>
      <c r="R29" s="197">
        <v>20</v>
      </c>
      <c r="S29" s="5"/>
      <c r="T29" s="5"/>
      <c r="U29" s="45">
        <f>N29</f>
        <v>1200</v>
      </c>
      <c r="V29" s="9"/>
      <c r="X29" s="155">
        <f t="shared" si="2"/>
        <v>11.811023622047243</v>
      </c>
      <c r="Y29">
        <v>2800</v>
      </c>
      <c r="AA29">
        <v>2800</v>
      </c>
    </row>
    <row r="30" spans="1:29" s="157" customFormat="1" ht="12.75" customHeight="1" x14ac:dyDescent="0.2">
      <c r="B30" s="43" t="s">
        <v>463</v>
      </c>
      <c r="C30" s="5"/>
      <c r="D30" s="5"/>
      <c r="E30" s="5"/>
      <c r="F30" s="5"/>
      <c r="G30" s="5"/>
      <c r="H30" s="5"/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211">
        <f t="shared" ref="N30:N31" si="14">$C$7*C30+$D$7*D30+$E$7*E30+$F$7*F30+$G$7*G30+$H$7*H30+$I$7*I30+$J$7*J30+$K$7*K30+$L$7*L30+$M$7*M30</f>
        <v>0</v>
      </c>
      <c r="O30" s="5">
        <v>127</v>
      </c>
      <c r="P30" s="203">
        <f t="shared" ref="P30:P31" si="15">N30/O30</f>
        <v>0</v>
      </c>
      <c r="Q30" s="196">
        <f t="shared" si="9"/>
        <v>1.5</v>
      </c>
      <c r="R30" s="197">
        <v>30</v>
      </c>
      <c r="S30" s="5"/>
      <c r="T30" s="5"/>
      <c r="U30" s="45"/>
      <c r="V30" s="9"/>
      <c r="X30" s="155">
        <f t="shared" ref="X30:X31" si="16">1.25*P30</f>
        <v>0</v>
      </c>
      <c r="Z30" s="157">
        <v>3600</v>
      </c>
    </row>
    <row r="31" spans="1:29" s="157" customFormat="1" ht="13.5" customHeight="1" x14ac:dyDescent="0.2">
      <c r="B31" s="236" t="s">
        <v>464</v>
      </c>
      <c r="C31" s="237"/>
      <c r="D31" s="237"/>
      <c r="E31" s="237"/>
      <c r="F31" s="237"/>
      <c r="G31" s="237"/>
      <c r="H31" s="237"/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238">
        <f t="shared" si="14"/>
        <v>0</v>
      </c>
      <c r="O31" s="237">
        <v>127</v>
      </c>
      <c r="P31" s="239">
        <f t="shared" si="15"/>
        <v>0</v>
      </c>
      <c r="Q31" s="240">
        <f t="shared" si="9"/>
        <v>1.5</v>
      </c>
      <c r="R31" s="237">
        <v>30</v>
      </c>
      <c r="S31" s="237"/>
      <c r="T31" s="237"/>
      <c r="U31" s="241"/>
      <c r="V31" s="9"/>
      <c r="X31" s="155">
        <f t="shared" si="16"/>
        <v>0</v>
      </c>
      <c r="Y31" s="157">
        <v>3500</v>
      </c>
    </row>
    <row r="32" spans="1:29" ht="12.75" customHeight="1" x14ac:dyDescent="0.2">
      <c r="B32" s="232" t="s">
        <v>465</v>
      </c>
      <c r="C32" s="175"/>
      <c r="D32" s="175"/>
      <c r="E32" s="175"/>
      <c r="F32" s="175"/>
      <c r="G32" s="175"/>
      <c r="H32" s="175"/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233">
        <f t="shared" si="0"/>
        <v>0</v>
      </c>
      <c r="O32" s="175">
        <v>127</v>
      </c>
      <c r="P32" s="223">
        <f t="shared" si="1"/>
        <v>0</v>
      </c>
      <c r="Q32" s="205">
        <f t="shared" si="9"/>
        <v>1.5</v>
      </c>
      <c r="R32" s="234">
        <v>30</v>
      </c>
      <c r="S32" s="175"/>
      <c r="T32" s="175"/>
      <c r="U32" s="235"/>
      <c r="V32" s="9"/>
      <c r="X32" s="155">
        <f t="shared" si="2"/>
        <v>0</v>
      </c>
      <c r="Z32">
        <v>3600</v>
      </c>
    </row>
    <row r="33" spans="2:27" ht="13.5" customHeight="1" thickBot="1" x14ac:dyDescent="0.25">
      <c r="B33" s="46" t="s">
        <v>466</v>
      </c>
      <c r="C33" s="47"/>
      <c r="D33" s="47"/>
      <c r="E33" s="47"/>
      <c r="F33" s="47"/>
      <c r="G33" s="47"/>
      <c r="H33" s="47"/>
      <c r="I33" s="47">
        <v>0</v>
      </c>
      <c r="J33" s="47">
        <v>0</v>
      </c>
      <c r="K33" s="47">
        <v>0</v>
      </c>
      <c r="L33" s="47">
        <v>0</v>
      </c>
      <c r="M33" s="47">
        <v>0</v>
      </c>
      <c r="N33" s="211">
        <f t="shared" si="0"/>
        <v>0</v>
      </c>
      <c r="O33" s="47">
        <v>127</v>
      </c>
      <c r="P33" s="48">
        <f t="shared" si="1"/>
        <v>0</v>
      </c>
      <c r="Q33" s="344">
        <f t="shared" si="9"/>
        <v>1.5</v>
      </c>
      <c r="R33" s="47">
        <v>30</v>
      </c>
      <c r="S33" s="47"/>
      <c r="T33" s="47"/>
      <c r="U33" s="49"/>
      <c r="V33" s="9"/>
      <c r="X33" s="155">
        <f t="shared" si="2"/>
        <v>0</v>
      </c>
      <c r="Y33">
        <v>3500</v>
      </c>
    </row>
    <row r="34" spans="2:27" ht="13.5" customHeight="1" thickBot="1" x14ac:dyDescent="0.25">
      <c r="B34" s="215" t="s">
        <v>469</v>
      </c>
      <c r="C34" s="216"/>
      <c r="D34" s="216"/>
      <c r="E34" s="216"/>
      <c r="F34" s="216"/>
      <c r="G34" s="216"/>
      <c r="H34" s="216"/>
      <c r="I34" s="216"/>
      <c r="J34" s="216"/>
      <c r="K34" s="216"/>
      <c r="L34" s="216"/>
      <c r="M34" s="216"/>
      <c r="N34" s="340">
        <f>SUM(N8:N33)</f>
        <v>38042.449999999997</v>
      </c>
      <c r="O34" s="342">
        <v>220</v>
      </c>
      <c r="P34" s="341">
        <f>SUM(P8:P33)/3</f>
        <v>78.212803030303022</v>
      </c>
      <c r="Q34" s="343">
        <v>35</v>
      </c>
      <c r="R34" s="339">
        <v>80</v>
      </c>
      <c r="S34" s="338">
        <f t="shared" ref="S34:U34" si="17">SUM(S8:S33)</f>
        <v>12152.25</v>
      </c>
      <c r="T34" s="50">
        <f t="shared" si="17"/>
        <v>13568.1</v>
      </c>
      <c r="U34" s="50">
        <f t="shared" si="17"/>
        <v>12322.1</v>
      </c>
      <c r="V34" s="155">
        <f>S34+T34+U34</f>
        <v>38042.449999999997</v>
      </c>
      <c r="X34" s="155">
        <f t="shared" si="2"/>
        <v>97.766003787878773</v>
      </c>
      <c r="Y34">
        <f t="shared" ref="Y34:AA34" si="18">SUM(Y8:Y33)</f>
        <v>18900</v>
      </c>
      <c r="Z34">
        <f t="shared" si="18"/>
        <v>20490</v>
      </c>
      <c r="AA34">
        <f t="shared" si="18"/>
        <v>21300</v>
      </c>
    </row>
    <row r="35" spans="2:27" ht="14.25" customHeight="1" thickTop="1" thickBot="1" x14ac:dyDescent="0.25">
      <c r="B35" s="215" t="s">
        <v>441</v>
      </c>
      <c r="C35" s="216"/>
      <c r="D35" s="216"/>
      <c r="E35" s="216"/>
      <c r="F35" s="216"/>
      <c r="G35" s="216"/>
      <c r="H35" s="216"/>
      <c r="I35" s="216"/>
      <c r="J35" s="216"/>
      <c r="K35" s="216"/>
      <c r="L35" s="216"/>
      <c r="M35" s="216"/>
      <c r="N35" s="340">
        <f>S35+T35+U35</f>
        <v>47553.0625</v>
      </c>
      <c r="O35" s="343">
        <v>220</v>
      </c>
      <c r="P35" s="340">
        <f>'QC Final'!AE35*1.2</f>
        <v>99.311885473850154</v>
      </c>
      <c r="Q35" s="343">
        <v>50</v>
      </c>
      <c r="R35" s="339">
        <v>100</v>
      </c>
      <c r="S35" s="338">
        <f>S34/0.8</f>
        <v>15190.3125</v>
      </c>
      <c r="T35" s="50">
        <f>T34/0.8</f>
        <v>16960.125</v>
      </c>
      <c r="U35" s="50">
        <f>U34/0.8</f>
        <v>15402.625</v>
      </c>
      <c r="X35" s="155">
        <f t="shared" si="2"/>
        <v>124.1398568423127</v>
      </c>
      <c r="Y35">
        <f t="shared" ref="Y35:AA35" si="19">5*Y34</f>
        <v>94500</v>
      </c>
      <c r="Z35">
        <f t="shared" si="19"/>
        <v>102450</v>
      </c>
      <c r="AA35">
        <f t="shared" si="19"/>
        <v>106500</v>
      </c>
    </row>
    <row r="36" spans="2:27" ht="13.5" customHeight="1" thickTop="1" x14ac:dyDescent="0.2">
      <c r="B36" s="415" t="str">
        <f t="shared" ref="B36:B60" si="20">B8</f>
        <v>1 - Iluminação Copa WCs e Lavanderia</v>
      </c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6"/>
      <c r="U36" s="417"/>
    </row>
    <row r="37" spans="2:27" ht="12.75" customHeight="1" x14ac:dyDescent="0.2">
      <c r="B37" s="415" t="str">
        <f t="shared" si="20"/>
        <v>2 - Iluminação Dorms 3 e 4 Térreo e Closet</v>
      </c>
      <c r="C37" s="416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16"/>
      <c r="O37" s="416"/>
      <c r="P37" s="416"/>
      <c r="Q37" s="416"/>
      <c r="R37" s="416"/>
      <c r="S37" s="416"/>
      <c r="T37" s="416"/>
      <c r="U37" s="417"/>
    </row>
    <row r="38" spans="2:27" ht="12.75" customHeight="1" x14ac:dyDescent="0.2">
      <c r="B38" s="415" t="str">
        <f t="shared" si="20"/>
        <v>3 - Iluminação Salas e Varandas</v>
      </c>
      <c r="C38" s="416"/>
      <c r="D38" s="416"/>
      <c r="E38" s="416"/>
      <c r="F38" s="416"/>
      <c r="G38" s="416"/>
      <c r="H38" s="416"/>
      <c r="I38" s="416"/>
      <c r="J38" s="416"/>
      <c r="K38" s="416"/>
      <c r="L38" s="416"/>
      <c r="M38" s="416"/>
      <c r="N38" s="416"/>
      <c r="O38" s="416"/>
      <c r="P38" s="416"/>
      <c r="Q38" s="416"/>
      <c r="R38" s="416"/>
      <c r="S38" s="416"/>
      <c r="T38" s="416"/>
      <c r="U38" s="417"/>
    </row>
    <row r="39" spans="2:27" ht="12.75" customHeight="1" x14ac:dyDescent="0.2">
      <c r="B39" s="415" t="str">
        <f t="shared" si="20"/>
        <v>4 - Iluminação Dorms 1 e 2 e WCs Piso Inferior</v>
      </c>
      <c r="C39" s="416"/>
      <c r="D39" s="416"/>
      <c r="E39" s="416"/>
      <c r="F39" s="416"/>
      <c r="G39" s="416"/>
      <c r="H39" s="416"/>
      <c r="I39" s="416"/>
      <c r="J39" s="416"/>
      <c r="K39" s="416"/>
      <c r="L39" s="416"/>
      <c r="M39" s="416"/>
      <c r="N39" s="416"/>
      <c r="O39" s="416"/>
      <c r="P39" s="416"/>
      <c r="Q39" s="416"/>
      <c r="R39" s="416"/>
      <c r="S39" s="416"/>
      <c r="T39" s="416"/>
      <c r="U39" s="417"/>
    </row>
    <row r="40" spans="2:27" ht="12.75" customHeight="1" x14ac:dyDescent="0.2">
      <c r="B40" s="415" t="str">
        <f t="shared" si="20"/>
        <v>5 - Iluminação Garagem</v>
      </c>
      <c r="C40" s="416"/>
      <c r="D40" s="416"/>
      <c r="E40" s="416"/>
      <c r="F40" s="416"/>
      <c r="G40" s="416"/>
      <c r="H40" s="416"/>
      <c r="I40" s="416"/>
      <c r="J40" s="416"/>
      <c r="K40" s="416"/>
      <c r="L40" s="416"/>
      <c r="M40" s="416"/>
      <c r="N40" s="416"/>
      <c r="O40" s="416"/>
      <c r="P40" s="416"/>
      <c r="Q40" s="416"/>
      <c r="R40" s="416"/>
      <c r="S40" s="416"/>
      <c r="T40" s="416"/>
      <c r="U40" s="417"/>
    </row>
    <row r="41" spans="2:27" ht="12.75" customHeight="1" x14ac:dyDescent="0.2">
      <c r="B41" s="415" t="str">
        <f t="shared" si="20"/>
        <v>6 - Iluminação Jardim Entrada</v>
      </c>
      <c r="C41" s="416"/>
      <c r="D41" s="416"/>
      <c r="E41" s="416"/>
      <c r="F41" s="416"/>
      <c r="G41" s="416"/>
      <c r="H41" s="416"/>
      <c r="I41" s="416"/>
      <c r="J41" s="416"/>
      <c r="K41" s="416"/>
      <c r="L41" s="416"/>
      <c r="M41" s="416"/>
      <c r="N41" s="416"/>
      <c r="O41" s="416"/>
      <c r="P41" s="416"/>
      <c r="Q41" s="416"/>
      <c r="R41" s="416"/>
      <c r="S41" s="416"/>
      <c r="T41" s="416"/>
      <c r="U41" s="417"/>
    </row>
    <row r="42" spans="2:27" ht="12.75" customHeight="1" x14ac:dyDescent="0.2">
      <c r="B42" s="415" t="str">
        <f t="shared" si="20"/>
        <v>7 - Iluminação Dorm 5 e Escritório</v>
      </c>
      <c r="C42" s="416"/>
      <c r="D42" s="416"/>
      <c r="E42" s="416"/>
      <c r="F42" s="416"/>
      <c r="G42" s="416"/>
      <c r="H42" s="416"/>
      <c r="I42" s="416"/>
      <c r="J42" s="416"/>
      <c r="K42" s="416"/>
      <c r="L42" s="416"/>
      <c r="M42" s="416"/>
      <c r="N42" s="416"/>
      <c r="O42" s="416"/>
      <c r="P42" s="416"/>
      <c r="Q42" s="416"/>
      <c r="R42" s="416"/>
      <c r="S42" s="416"/>
      <c r="T42" s="416"/>
      <c r="U42" s="417"/>
    </row>
    <row r="43" spans="2:27" ht="12.75" customHeight="1" x14ac:dyDescent="0.2">
      <c r="B43" s="415" t="str">
        <f t="shared" si="20"/>
        <v>8 - TUGs Copa WCs e Lavanderia</v>
      </c>
      <c r="C43" s="416"/>
      <c r="D43" s="416"/>
      <c r="E43" s="416"/>
      <c r="F43" s="416"/>
      <c r="G43" s="416"/>
      <c r="H43" s="416"/>
      <c r="I43" s="416"/>
      <c r="J43" s="416"/>
      <c r="K43" s="416"/>
      <c r="L43" s="416"/>
      <c r="M43" s="416"/>
      <c r="N43" s="416"/>
      <c r="O43" s="416"/>
      <c r="P43" s="416"/>
      <c r="Q43" s="416"/>
      <c r="R43" s="416"/>
      <c r="S43" s="416"/>
      <c r="T43" s="416"/>
      <c r="U43" s="417"/>
      <c r="X43">
        <f>SQRT(4*89.1/0.33/3.14)</f>
        <v>18.545863274217979</v>
      </c>
    </row>
    <row r="44" spans="2:27" ht="12.75" customHeight="1" x14ac:dyDescent="0.2">
      <c r="B44" s="415" t="str">
        <f t="shared" si="20"/>
        <v>9 - T.U.G. Dorms 3 e 4 Circ. e Closet</v>
      </c>
      <c r="C44" s="416"/>
      <c r="D44" s="416"/>
      <c r="E44" s="416"/>
      <c r="F44" s="416"/>
      <c r="G44" s="416"/>
      <c r="H44" s="416"/>
      <c r="I44" s="416"/>
      <c r="J44" s="416"/>
      <c r="K44" s="416"/>
      <c r="L44" s="416"/>
      <c r="M44" s="416"/>
      <c r="N44" s="416"/>
      <c r="O44" s="416"/>
      <c r="P44" s="416"/>
      <c r="Q44" s="416"/>
      <c r="R44" s="416"/>
      <c r="S44" s="416"/>
      <c r="T44" s="416"/>
      <c r="U44" s="417"/>
    </row>
    <row r="45" spans="2:27" ht="12.75" customHeight="1" x14ac:dyDescent="0.2">
      <c r="B45" s="415" t="str">
        <f t="shared" si="20"/>
        <v>10 - T.U.G. Salas e Varandas</v>
      </c>
      <c r="C45" s="416"/>
      <c r="D45" s="416"/>
      <c r="E45" s="416"/>
      <c r="F45" s="416"/>
      <c r="G45" s="416"/>
      <c r="H45" s="416"/>
      <c r="I45" s="416"/>
      <c r="J45" s="416"/>
      <c r="K45" s="416"/>
      <c r="L45" s="416"/>
      <c r="M45" s="416"/>
      <c r="N45" s="416"/>
      <c r="O45" s="416"/>
      <c r="P45" s="416"/>
      <c r="Q45" s="416"/>
      <c r="R45" s="416"/>
      <c r="S45" s="416"/>
      <c r="T45" s="416"/>
      <c r="U45" s="417"/>
    </row>
    <row r="46" spans="2:27" ht="12.75" customHeight="1" x14ac:dyDescent="0.2">
      <c r="B46" s="415" t="str">
        <f t="shared" si="20"/>
        <v>11 - T.U.E. Lava Louças</v>
      </c>
      <c r="C46" s="416"/>
      <c r="D46" s="416"/>
      <c r="E46" s="416"/>
      <c r="F46" s="416"/>
      <c r="G46" s="41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  <c r="T46" s="416"/>
      <c r="U46" s="417"/>
    </row>
    <row r="47" spans="2:27" ht="12.75" customHeight="1" x14ac:dyDescent="0.2">
      <c r="B47" s="415" t="str">
        <f t="shared" si="20"/>
        <v>12 - T.U.E. Microondas</v>
      </c>
      <c r="C47" s="416"/>
      <c r="D47" s="416"/>
      <c r="E47" s="416"/>
      <c r="F47" s="416"/>
      <c r="G47" s="416"/>
      <c r="H47" s="416"/>
      <c r="I47" s="416"/>
      <c r="J47" s="416"/>
      <c r="K47" s="416"/>
      <c r="L47" s="416"/>
      <c r="M47" s="416"/>
      <c r="N47" s="416"/>
      <c r="O47" s="416"/>
      <c r="P47" s="416"/>
      <c r="Q47" s="416"/>
      <c r="R47" s="416"/>
      <c r="S47" s="416"/>
      <c r="T47" s="416"/>
      <c r="U47" s="417"/>
    </row>
    <row r="48" spans="2:27" ht="12.75" customHeight="1" x14ac:dyDescent="0.2">
      <c r="B48" s="415" t="str">
        <f t="shared" si="20"/>
        <v>13 - T.U.E. Lava Roupas e Secadora</v>
      </c>
      <c r="C48" s="416"/>
      <c r="D48" s="416"/>
      <c r="E48" s="416"/>
      <c r="F48" s="416"/>
      <c r="G48" s="416"/>
      <c r="H48" s="416"/>
      <c r="I48" s="416"/>
      <c r="J48" s="416"/>
      <c r="K48" s="416"/>
      <c r="L48" s="416"/>
      <c r="M48" s="416"/>
      <c r="N48" s="416"/>
      <c r="O48" s="416"/>
      <c r="P48" s="416"/>
      <c r="Q48" s="416"/>
      <c r="R48" s="416"/>
      <c r="S48" s="416"/>
      <c r="T48" s="416"/>
      <c r="U48" s="417"/>
    </row>
    <row r="49" spans="2:39" ht="12.75" customHeight="1" x14ac:dyDescent="0.2">
      <c r="B49" s="415" t="str">
        <f t="shared" si="20"/>
        <v>14 - T.U.E. Torneira Elétrica</v>
      </c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16"/>
      <c r="O49" s="416"/>
      <c r="P49" s="416"/>
      <c r="Q49" s="416"/>
      <c r="R49" s="416"/>
      <c r="S49" s="416"/>
      <c r="T49" s="416"/>
      <c r="U49" s="417"/>
      <c r="AM49" s="12"/>
    </row>
    <row r="50" spans="2:39" ht="12.75" customHeight="1" x14ac:dyDescent="0.2">
      <c r="B50" s="415" t="str">
        <f t="shared" si="20"/>
        <v>15 - T.U.E. Secador Cabelo WC3</v>
      </c>
      <c r="C50" s="416"/>
      <c r="D50" s="416"/>
      <c r="E50" s="416"/>
      <c r="F50" s="416"/>
      <c r="G50" s="416"/>
      <c r="H50" s="416"/>
      <c r="I50" s="416"/>
      <c r="J50" s="416"/>
      <c r="K50" s="416"/>
      <c r="L50" s="416"/>
      <c r="M50" s="416"/>
      <c r="N50" s="416"/>
      <c r="O50" s="416"/>
      <c r="P50" s="416"/>
      <c r="Q50" s="416"/>
      <c r="R50" s="416"/>
      <c r="S50" s="416"/>
      <c r="T50" s="416"/>
      <c r="U50" s="417"/>
    </row>
    <row r="51" spans="2:39" ht="12.75" customHeight="1" x14ac:dyDescent="0.2">
      <c r="B51" s="415" t="str">
        <f t="shared" si="20"/>
        <v>16 - T.U.E. Secador Cabelo WC4</v>
      </c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7"/>
    </row>
    <row r="52" spans="2:39" ht="12.75" customHeight="1" x14ac:dyDescent="0.2">
      <c r="B52" s="415" t="str">
        <f t="shared" si="20"/>
        <v>17 - T.U.E. Aquecedor Central - Boiler 300LTS</v>
      </c>
      <c r="C52" s="416"/>
      <c r="D52" s="416"/>
      <c r="E52" s="416"/>
      <c r="F52" s="416"/>
      <c r="G52" s="416"/>
      <c r="H52" s="416"/>
      <c r="I52" s="416"/>
      <c r="J52" s="416"/>
      <c r="K52" s="416"/>
      <c r="L52" s="416"/>
      <c r="M52" s="416"/>
      <c r="N52" s="416"/>
      <c r="O52" s="416"/>
      <c r="P52" s="416"/>
      <c r="Q52" s="416"/>
      <c r="R52" s="416"/>
      <c r="S52" s="416"/>
      <c r="T52" s="416"/>
      <c r="U52" s="417"/>
    </row>
    <row r="53" spans="2:39" ht="12.75" customHeight="1" x14ac:dyDescent="0.2">
      <c r="B53" s="415" t="str">
        <f t="shared" si="20"/>
        <v>18 - T.U.G Piso Superior</v>
      </c>
      <c r="C53" s="416"/>
      <c r="D53" s="416"/>
      <c r="E53" s="416"/>
      <c r="F53" s="416"/>
      <c r="G53" s="416"/>
      <c r="H53" s="416"/>
      <c r="I53" s="416"/>
      <c r="J53" s="416"/>
      <c r="K53" s="416"/>
      <c r="L53" s="416"/>
      <c r="M53" s="416"/>
      <c r="N53" s="416"/>
      <c r="O53" s="416"/>
      <c r="P53" s="416"/>
      <c r="Q53" s="416"/>
      <c r="R53" s="416"/>
      <c r="S53" s="416"/>
      <c r="T53" s="416"/>
      <c r="U53" s="417"/>
    </row>
    <row r="54" spans="2:39" ht="12.75" customHeight="1" x14ac:dyDescent="0.2">
      <c r="B54" s="415" t="str">
        <f t="shared" si="20"/>
        <v>19 - T.U.G. Dorms 1 e 2 WC 1 e 2 e Área de Serviço - Piso Inferior</v>
      </c>
      <c r="C54" s="416"/>
      <c r="D54" s="416"/>
      <c r="E54" s="416"/>
      <c r="F54" s="416"/>
      <c r="G54" s="416"/>
      <c r="H54" s="416"/>
      <c r="I54" s="416"/>
      <c r="J54" s="416"/>
      <c r="K54" s="416"/>
      <c r="L54" s="416"/>
      <c r="M54" s="416"/>
      <c r="N54" s="416"/>
      <c r="O54" s="416"/>
      <c r="P54" s="416"/>
      <c r="Q54" s="416"/>
      <c r="R54" s="416"/>
      <c r="S54" s="416"/>
      <c r="T54" s="416"/>
      <c r="U54" s="417"/>
    </row>
    <row r="55" spans="2:39" ht="12.75" customHeight="1" x14ac:dyDescent="0.2">
      <c r="B55" s="415" t="str">
        <f t="shared" si="20"/>
        <v>20 - T.U.E. Chuveiro WC 1 - Piso Inferior</v>
      </c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16"/>
      <c r="O55" s="416"/>
      <c r="P55" s="416"/>
      <c r="Q55" s="416"/>
      <c r="R55" s="416"/>
      <c r="S55" s="416"/>
      <c r="T55" s="416"/>
      <c r="U55" s="417"/>
    </row>
    <row r="56" spans="2:39" ht="12.75" customHeight="1" x14ac:dyDescent="0.2">
      <c r="B56" s="415" t="str">
        <f t="shared" si="20"/>
        <v>21 - T.U.E. Chuveiro WC 2 - Piso Inferior</v>
      </c>
      <c r="C56" s="416"/>
      <c r="D56" s="416"/>
      <c r="E56" s="416"/>
      <c r="F56" s="416"/>
      <c r="G56" s="416"/>
      <c r="H56" s="416"/>
      <c r="I56" s="416"/>
      <c r="J56" s="416"/>
      <c r="K56" s="416"/>
      <c r="L56" s="416"/>
      <c r="M56" s="416"/>
      <c r="N56" s="416"/>
      <c r="O56" s="416"/>
      <c r="P56" s="416"/>
      <c r="Q56" s="416"/>
      <c r="R56" s="416"/>
      <c r="S56" s="416"/>
      <c r="T56" s="416"/>
      <c r="U56" s="417"/>
    </row>
    <row r="57" spans="2:39" ht="12.75" customHeight="1" x14ac:dyDescent="0.2">
      <c r="B57" s="415" t="str">
        <f t="shared" si="20"/>
        <v>22 - T.U.E. Ferro Passar Lavanderia</v>
      </c>
      <c r="C57" s="416"/>
      <c r="D57" s="416"/>
      <c r="E57" s="416"/>
      <c r="F57" s="416"/>
      <c r="G57" s="416"/>
      <c r="H57" s="416"/>
      <c r="I57" s="416"/>
      <c r="J57" s="416"/>
      <c r="K57" s="416"/>
      <c r="L57" s="416"/>
      <c r="M57" s="416"/>
      <c r="N57" s="416"/>
      <c r="O57" s="416"/>
      <c r="P57" s="416"/>
      <c r="Q57" s="416"/>
      <c r="R57" s="416"/>
      <c r="S57" s="416"/>
      <c r="T57" s="416"/>
      <c r="U57" s="417"/>
    </row>
    <row r="58" spans="2:39" ht="12.75" customHeight="1" x14ac:dyDescent="0.2">
      <c r="B58" s="415" t="str">
        <f t="shared" si="20"/>
        <v>23 - Reserva 1</v>
      </c>
      <c r="C58" s="416"/>
      <c r="D58" s="416"/>
      <c r="E58" s="416"/>
      <c r="F58" s="416"/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16"/>
      <c r="S58" s="416"/>
      <c r="T58" s="416"/>
      <c r="U58" s="417"/>
    </row>
    <row r="59" spans="2:39" ht="12.75" customHeight="1" x14ac:dyDescent="0.2">
      <c r="B59" s="415" t="str">
        <f t="shared" si="20"/>
        <v>24 - Reserva 2</v>
      </c>
      <c r="C59" s="416"/>
      <c r="D59" s="416"/>
      <c r="E59" s="416"/>
      <c r="F59" s="416"/>
      <c r="G59" s="416"/>
      <c r="H59" s="416"/>
      <c r="I59" s="416"/>
      <c r="J59" s="416"/>
      <c r="K59" s="416"/>
      <c r="L59" s="416"/>
      <c r="M59" s="416"/>
      <c r="N59" s="416"/>
      <c r="O59" s="416"/>
      <c r="P59" s="416"/>
      <c r="Q59" s="416"/>
      <c r="R59" s="416"/>
      <c r="S59" s="416"/>
      <c r="T59" s="416"/>
      <c r="U59" s="417"/>
    </row>
    <row r="60" spans="2:39" ht="12.75" customHeight="1" x14ac:dyDescent="0.2">
      <c r="B60" s="415" t="str">
        <f t="shared" si="20"/>
        <v>25 - Reserva 3</v>
      </c>
      <c r="C60" s="416"/>
      <c r="D60" s="416"/>
      <c r="E60" s="416"/>
      <c r="F60" s="416"/>
      <c r="G60" s="416"/>
      <c r="H60" s="416"/>
      <c r="I60" s="416"/>
      <c r="J60" s="416"/>
      <c r="K60" s="416"/>
      <c r="L60" s="416"/>
      <c r="M60" s="416"/>
      <c r="N60" s="416"/>
      <c r="O60" s="416"/>
      <c r="P60" s="416"/>
      <c r="Q60" s="416"/>
      <c r="R60" s="416"/>
      <c r="S60" s="416"/>
      <c r="T60" s="416"/>
      <c r="U60" s="417"/>
    </row>
    <row r="61" spans="2:39" ht="12.75" customHeight="1" x14ac:dyDescent="0.2"/>
    <row r="62" spans="2:39" ht="12.75" customHeight="1" x14ac:dyDescent="0.2"/>
    <row r="63" spans="2:39" ht="12.75" customHeight="1" x14ac:dyDescent="0.2"/>
    <row r="64" spans="2:3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</sheetData>
  <mergeCells count="39">
    <mergeCell ref="B4:U4"/>
    <mergeCell ref="C6:H6"/>
    <mergeCell ref="I6:M6"/>
    <mergeCell ref="B6:B7"/>
    <mergeCell ref="N6:N7"/>
    <mergeCell ref="S6:U6"/>
    <mergeCell ref="O6:O7"/>
    <mergeCell ref="B45:U45"/>
    <mergeCell ref="Q6:Q7"/>
    <mergeCell ref="R6:R7"/>
    <mergeCell ref="A8:A10"/>
    <mergeCell ref="A11:A13"/>
    <mergeCell ref="A15:A25"/>
    <mergeCell ref="A26:A29"/>
    <mergeCell ref="B50:U50"/>
    <mergeCell ref="B51:U51"/>
    <mergeCell ref="B47:U47"/>
    <mergeCell ref="P6:P7"/>
    <mergeCell ref="B40:U40"/>
    <mergeCell ref="B46:U46"/>
    <mergeCell ref="B48:U48"/>
    <mergeCell ref="B49:U49"/>
    <mergeCell ref="B36:U36"/>
    <mergeCell ref="B37:U37"/>
    <mergeCell ref="B38:U38"/>
    <mergeCell ref="B39:U39"/>
    <mergeCell ref="B41:U41"/>
    <mergeCell ref="B42:U42"/>
    <mergeCell ref="B43:U43"/>
    <mergeCell ref="B44:U44"/>
    <mergeCell ref="B57:U57"/>
    <mergeCell ref="B58:U58"/>
    <mergeCell ref="B59:U59"/>
    <mergeCell ref="B60:U60"/>
    <mergeCell ref="B52:U52"/>
    <mergeCell ref="B53:U53"/>
    <mergeCell ref="B54:U54"/>
    <mergeCell ref="B55:U55"/>
    <mergeCell ref="B56:U56"/>
  </mergeCells>
  <pageMargins left="0.7" right="0.7" top="0.75" bottom="0.75" header="0" footer="0"/>
  <pageSetup orientation="landscape"/>
  <ignoredErrors>
    <ignoredError sqref="T18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00"/>
  <sheetViews>
    <sheetView topLeftCell="B1" workbookViewId="0">
      <selection activeCell="L13" sqref="L13"/>
    </sheetView>
  </sheetViews>
  <sheetFormatPr defaultColWidth="12.5703125" defaultRowHeight="15" customHeight="1" x14ac:dyDescent="0.2"/>
  <cols>
    <col min="1" max="1" width="8" customWidth="1"/>
    <col min="2" max="2" width="36.7109375" customWidth="1"/>
    <col min="3" max="3" width="3.5703125" hidden="1" customWidth="1"/>
    <col min="4" max="7" width="3.7109375" hidden="1" customWidth="1"/>
    <col min="8" max="8" width="7.28515625" customWidth="1"/>
    <col min="9" max="9" width="6" customWidth="1"/>
    <col min="10" max="10" width="7.5703125" customWidth="1"/>
    <col min="11" max="12" width="6.7109375" customWidth="1"/>
    <col min="13" max="21" width="8" customWidth="1"/>
  </cols>
  <sheetData>
    <row r="1" spans="2:22" ht="12.75" customHeight="1" x14ac:dyDescent="0.2"/>
    <row r="2" spans="2:22" ht="12.75" customHeight="1" x14ac:dyDescent="0.2"/>
    <row r="3" spans="2:22" ht="13.5" customHeight="1" thickBot="1" x14ac:dyDescent="0.25"/>
    <row r="4" spans="2:22" ht="13.5" customHeight="1" thickBot="1" x14ac:dyDescent="0.25">
      <c r="B4" s="396" t="s">
        <v>425</v>
      </c>
      <c r="C4" s="397"/>
      <c r="D4" s="397"/>
      <c r="E4" s="397"/>
      <c r="F4" s="397"/>
      <c r="G4" s="397"/>
      <c r="H4" s="397"/>
      <c r="I4" s="397"/>
      <c r="J4" s="397"/>
      <c r="K4" s="397"/>
      <c r="L4" s="397"/>
      <c r="M4" s="397"/>
      <c r="N4" s="397"/>
      <c r="O4" s="397"/>
      <c r="P4" s="397"/>
      <c r="Q4" s="397"/>
      <c r="R4" s="397"/>
      <c r="S4" s="397"/>
      <c r="T4" s="398"/>
    </row>
    <row r="5" spans="2:22" ht="13.5" customHeight="1" thickBot="1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2" ht="12.75" customHeight="1" x14ac:dyDescent="0.2">
      <c r="B6" s="424" t="s">
        <v>38</v>
      </c>
      <c r="C6" s="421" t="s">
        <v>39</v>
      </c>
      <c r="D6" s="431"/>
      <c r="E6" s="431"/>
      <c r="F6" s="431"/>
      <c r="G6" s="432"/>
      <c r="H6" s="421" t="s">
        <v>40</v>
      </c>
      <c r="I6" s="422"/>
      <c r="J6" s="422"/>
      <c r="K6" s="422"/>
      <c r="L6" s="423"/>
      <c r="M6" s="418" t="s">
        <v>41</v>
      </c>
      <c r="N6" s="418" t="s">
        <v>42</v>
      </c>
      <c r="O6" s="418" t="s">
        <v>43</v>
      </c>
      <c r="P6" s="418" t="s">
        <v>44</v>
      </c>
      <c r="Q6" s="418" t="s">
        <v>45</v>
      </c>
      <c r="R6" s="421" t="s">
        <v>46</v>
      </c>
      <c r="S6" s="422"/>
      <c r="T6" s="426"/>
    </row>
    <row r="7" spans="2:22" ht="13.5" customHeight="1" thickBot="1" x14ac:dyDescent="0.25">
      <c r="B7" s="430"/>
      <c r="C7" s="51">
        <v>60</v>
      </c>
      <c r="D7" s="51">
        <v>100</v>
      </c>
      <c r="E7" s="51">
        <v>150</v>
      </c>
      <c r="F7" s="51">
        <v>220</v>
      </c>
      <c r="G7" s="51">
        <v>250</v>
      </c>
      <c r="H7" s="51">
        <v>1500</v>
      </c>
      <c r="I7" s="51">
        <v>1200</v>
      </c>
      <c r="J7" s="51">
        <v>2400</v>
      </c>
      <c r="K7" s="51">
        <v>3600</v>
      </c>
      <c r="L7" s="51">
        <v>4500</v>
      </c>
      <c r="M7" s="406"/>
      <c r="N7" s="406"/>
      <c r="O7" s="406"/>
      <c r="P7" s="406"/>
      <c r="Q7" s="406"/>
      <c r="R7" s="51" t="s">
        <v>47</v>
      </c>
      <c r="S7" s="51" t="s">
        <v>48</v>
      </c>
      <c r="T7" s="52" t="s">
        <v>49</v>
      </c>
      <c r="V7" s="254" t="s">
        <v>476</v>
      </c>
    </row>
    <row r="8" spans="2:22" ht="12.75" customHeight="1" thickBot="1" x14ac:dyDescent="0.25">
      <c r="B8" s="38" t="s">
        <v>427</v>
      </c>
      <c r="C8" s="39"/>
      <c r="D8" s="39"/>
      <c r="E8" s="39"/>
      <c r="F8" s="39"/>
      <c r="G8" s="39"/>
      <c r="H8" s="39">
        <v>0</v>
      </c>
      <c r="I8" s="39">
        <v>0</v>
      </c>
      <c r="J8" s="39">
        <v>0</v>
      </c>
      <c r="K8" s="39">
        <v>0</v>
      </c>
      <c r="L8" s="39">
        <v>1</v>
      </c>
      <c r="M8" s="40">
        <v>3600</v>
      </c>
      <c r="N8" s="39">
        <v>220</v>
      </c>
      <c r="O8" s="193">
        <f t="shared" ref="O8" si="0">M8/N8*0.85</f>
        <v>13.909090909090908</v>
      </c>
      <c r="P8" s="204">
        <v>4</v>
      </c>
      <c r="Q8" s="199">
        <v>32</v>
      </c>
      <c r="R8" s="194">
        <f>M8/2</f>
        <v>1800</v>
      </c>
      <c r="S8" s="39">
        <f>M8/2</f>
        <v>1800</v>
      </c>
      <c r="T8" s="42"/>
      <c r="U8" s="9"/>
      <c r="V8" s="155">
        <f>O8*1.25</f>
        <v>17.386363636363637</v>
      </c>
    </row>
    <row r="9" spans="2:22" ht="12.75" customHeight="1" thickBot="1" x14ac:dyDescent="0.25">
      <c r="B9" s="43" t="s">
        <v>428</v>
      </c>
      <c r="C9" s="5"/>
      <c r="D9" s="5"/>
      <c r="E9" s="5"/>
      <c r="F9" s="5"/>
      <c r="G9" s="5"/>
      <c r="H9" s="5">
        <v>0</v>
      </c>
      <c r="I9" s="5">
        <v>0</v>
      </c>
      <c r="J9" s="5">
        <v>0</v>
      </c>
      <c r="K9" s="5">
        <v>1</v>
      </c>
      <c r="L9" s="5">
        <v>0</v>
      </c>
      <c r="M9" s="172">
        <f t="shared" ref="M8:M20" si="1">$C$7*C9+$D$7*D9+$E$7*E9+$F$7*F9+$G$7*G9+$H$7*H9+$I$7*I9+$J$7*J9+$K$7*K9+$L$7*L9</f>
        <v>3600</v>
      </c>
      <c r="N9" s="5">
        <v>220</v>
      </c>
      <c r="O9" s="193">
        <f>M9/N9*0.85</f>
        <v>13.909090909090908</v>
      </c>
      <c r="P9" s="196">
        <f t="shared" ref="P9:P19" si="2">IF(O9&lt;20,2.5,4)</f>
        <v>2.5</v>
      </c>
      <c r="Q9" s="186">
        <v>25</v>
      </c>
      <c r="R9" s="197">
        <f>M9/2</f>
        <v>1800</v>
      </c>
      <c r="S9" s="53"/>
      <c r="T9" s="45">
        <f>M9/2</f>
        <v>1800</v>
      </c>
      <c r="U9" s="9"/>
      <c r="V9" s="155">
        <f t="shared" ref="V9:V12" si="3">O9*1.25</f>
        <v>17.386363636363637</v>
      </c>
    </row>
    <row r="10" spans="2:22" ht="12.75" customHeight="1" thickBot="1" x14ac:dyDescent="0.25">
      <c r="B10" s="43" t="s">
        <v>429</v>
      </c>
      <c r="C10" s="5"/>
      <c r="D10" s="5"/>
      <c r="E10" s="5"/>
      <c r="F10" s="5"/>
      <c r="G10" s="5"/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172">
        <f t="shared" si="1"/>
        <v>1500</v>
      </c>
      <c r="N10" s="5">
        <v>220</v>
      </c>
      <c r="O10" s="193">
        <f t="shared" ref="O10:O20" si="4">M10/N10*0.85</f>
        <v>5.7954545454545459</v>
      </c>
      <c r="P10" s="196">
        <f t="shared" si="2"/>
        <v>2.5</v>
      </c>
      <c r="Q10" s="186">
        <v>10</v>
      </c>
      <c r="R10" s="197"/>
      <c r="S10" s="5">
        <f>M10/2</f>
        <v>750</v>
      </c>
      <c r="T10" s="45">
        <f>M10/2</f>
        <v>750</v>
      </c>
      <c r="U10" s="9"/>
      <c r="V10" s="155">
        <f t="shared" si="3"/>
        <v>7.2443181818181825</v>
      </c>
    </row>
    <row r="11" spans="2:22" ht="12.75" customHeight="1" thickBot="1" x14ac:dyDescent="0.25">
      <c r="B11" s="43" t="s">
        <v>430</v>
      </c>
      <c r="C11" s="5"/>
      <c r="D11" s="5"/>
      <c r="E11" s="5"/>
      <c r="F11" s="5"/>
      <c r="G11" s="5"/>
      <c r="H11" s="5">
        <v>1</v>
      </c>
      <c r="I11" s="5">
        <v>0</v>
      </c>
      <c r="J11" s="5">
        <v>0</v>
      </c>
      <c r="K11" s="5">
        <v>0</v>
      </c>
      <c r="L11" s="5">
        <v>0</v>
      </c>
      <c r="M11" s="172">
        <f t="shared" si="1"/>
        <v>1500</v>
      </c>
      <c r="N11" s="5">
        <v>220</v>
      </c>
      <c r="O11" s="193">
        <f t="shared" si="4"/>
        <v>5.7954545454545459</v>
      </c>
      <c r="P11" s="196">
        <f t="shared" si="2"/>
        <v>2.5</v>
      </c>
      <c r="Q11" s="186">
        <v>10</v>
      </c>
      <c r="R11" s="197"/>
      <c r="S11" s="5">
        <f>M11/2</f>
        <v>750</v>
      </c>
      <c r="T11" s="45">
        <f>M11/2</f>
        <v>750</v>
      </c>
      <c r="U11" s="9"/>
      <c r="V11" s="155">
        <f t="shared" si="3"/>
        <v>7.2443181818181825</v>
      </c>
    </row>
    <row r="12" spans="2:22" ht="12.75" customHeight="1" thickBot="1" x14ac:dyDescent="0.25">
      <c r="B12" s="43" t="s">
        <v>426</v>
      </c>
      <c r="C12" s="5"/>
      <c r="D12" s="5"/>
      <c r="E12" s="5"/>
      <c r="F12" s="5"/>
      <c r="G12" s="5"/>
      <c r="H12" s="5">
        <v>0</v>
      </c>
      <c r="I12" s="5">
        <v>0</v>
      </c>
      <c r="J12" s="5">
        <v>0</v>
      </c>
      <c r="K12" s="5">
        <v>1</v>
      </c>
      <c r="L12" s="5">
        <v>0</v>
      </c>
      <c r="M12" s="172">
        <v>3600</v>
      </c>
      <c r="N12" s="5">
        <v>220</v>
      </c>
      <c r="O12" s="193">
        <f t="shared" si="4"/>
        <v>13.909090909090908</v>
      </c>
      <c r="P12" s="196">
        <f t="shared" si="2"/>
        <v>2.5</v>
      </c>
      <c r="Q12" s="186">
        <v>0</v>
      </c>
      <c r="R12" s="197"/>
      <c r="S12" s="5">
        <f>M12/2</f>
        <v>1800</v>
      </c>
      <c r="T12" s="45">
        <f>M12/2</f>
        <v>1800</v>
      </c>
      <c r="U12" s="9"/>
      <c r="V12" s="155">
        <f t="shared" si="3"/>
        <v>17.386363636363637</v>
      </c>
    </row>
    <row r="13" spans="2:22" ht="12.75" customHeight="1" thickBot="1" x14ac:dyDescent="0.25">
      <c r="B13" s="43" t="s">
        <v>50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172">
        <f t="shared" si="1"/>
        <v>0</v>
      </c>
      <c r="N13" s="5">
        <v>127</v>
      </c>
      <c r="O13" s="193">
        <f t="shared" si="4"/>
        <v>0</v>
      </c>
      <c r="P13" s="196">
        <f t="shared" si="2"/>
        <v>2.5</v>
      </c>
      <c r="Q13" s="186">
        <v>0</v>
      </c>
      <c r="R13" s="197"/>
      <c r="S13" s="5"/>
      <c r="T13" s="45"/>
      <c r="U13" s="9"/>
    </row>
    <row r="14" spans="2:22" ht="12.75" customHeight="1" thickBot="1" x14ac:dyDescent="0.25">
      <c r="B14" s="43" t="s">
        <v>51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172">
        <f t="shared" si="1"/>
        <v>0</v>
      </c>
      <c r="N14" s="5">
        <v>127</v>
      </c>
      <c r="O14" s="193">
        <f t="shared" si="4"/>
        <v>0</v>
      </c>
      <c r="P14" s="196">
        <f t="shared" si="2"/>
        <v>2.5</v>
      </c>
      <c r="Q14" s="186">
        <v>0</v>
      </c>
      <c r="R14" s="197"/>
      <c r="S14" s="5"/>
      <c r="T14" s="45"/>
      <c r="U14" s="9"/>
    </row>
    <row r="15" spans="2:22" ht="12.75" customHeight="1" thickBot="1" x14ac:dyDescent="0.25">
      <c r="B15" s="43" t="s">
        <v>59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172">
        <f t="shared" si="1"/>
        <v>0</v>
      </c>
      <c r="N15" s="5">
        <v>127</v>
      </c>
      <c r="O15" s="193">
        <f t="shared" si="4"/>
        <v>0</v>
      </c>
      <c r="P15" s="196">
        <f t="shared" si="2"/>
        <v>2.5</v>
      </c>
      <c r="Q15" s="186">
        <v>0</v>
      </c>
      <c r="R15" s="197"/>
      <c r="S15" s="5"/>
      <c r="T15" s="45"/>
      <c r="U15" s="9"/>
    </row>
    <row r="16" spans="2:22" ht="12.75" customHeight="1" thickBot="1" x14ac:dyDescent="0.25">
      <c r="B16" s="43" t="s">
        <v>60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172">
        <f t="shared" si="1"/>
        <v>0</v>
      </c>
      <c r="N16" s="5">
        <v>220</v>
      </c>
      <c r="O16" s="193">
        <f t="shared" si="4"/>
        <v>0</v>
      </c>
      <c r="P16" s="196">
        <f t="shared" si="2"/>
        <v>2.5</v>
      </c>
      <c r="Q16" s="186">
        <v>0</v>
      </c>
      <c r="R16" s="197"/>
      <c r="S16" s="5"/>
      <c r="T16" s="45"/>
      <c r="U16" s="9"/>
    </row>
    <row r="17" spans="2:23" ht="12.75" customHeight="1" thickBot="1" x14ac:dyDescent="0.25">
      <c r="B17" s="43" t="s">
        <v>52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172">
        <f t="shared" si="1"/>
        <v>0</v>
      </c>
      <c r="N17" s="5">
        <v>220</v>
      </c>
      <c r="O17" s="193">
        <f t="shared" si="4"/>
        <v>0</v>
      </c>
      <c r="P17" s="196">
        <f t="shared" si="2"/>
        <v>2.5</v>
      </c>
      <c r="Q17" s="186">
        <v>0</v>
      </c>
      <c r="R17" s="197"/>
      <c r="S17" s="5"/>
      <c r="T17" s="45"/>
      <c r="U17" s="9"/>
    </row>
    <row r="18" spans="2:23" ht="12.75" customHeight="1" thickBot="1" x14ac:dyDescent="0.25">
      <c r="B18" s="43" t="s">
        <v>53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172">
        <f t="shared" si="1"/>
        <v>0</v>
      </c>
      <c r="N18" s="5">
        <v>220</v>
      </c>
      <c r="O18" s="193">
        <f t="shared" si="4"/>
        <v>0</v>
      </c>
      <c r="P18" s="196">
        <f t="shared" si="2"/>
        <v>2.5</v>
      </c>
      <c r="Q18" s="186">
        <v>0</v>
      </c>
      <c r="R18" s="197"/>
      <c r="S18" s="5"/>
      <c r="T18" s="45"/>
      <c r="U18" s="9"/>
    </row>
    <row r="19" spans="2:23" ht="12.75" customHeight="1" thickBot="1" x14ac:dyDescent="0.25">
      <c r="B19" s="43" t="s">
        <v>54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172">
        <f t="shared" si="1"/>
        <v>0</v>
      </c>
      <c r="N19" s="5">
        <v>127</v>
      </c>
      <c r="O19" s="193">
        <f t="shared" si="4"/>
        <v>0</v>
      </c>
      <c r="P19" s="205">
        <f t="shared" si="2"/>
        <v>2.5</v>
      </c>
      <c r="Q19" s="186">
        <v>0</v>
      </c>
      <c r="R19" s="197"/>
      <c r="S19" s="5"/>
      <c r="T19" s="45"/>
      <c r="U19" s="9"/>
    </row>
    <row r="20" spans="2:23" ht="13.5" customHeight="1" thickBot="1" x14ac:dyDescent="0.25">
      <c r="B20" s="46" t="s">
        <v>55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200">
        <f t="shared" si="1"/>
        <v>0</v>
      </c>
      <c r="N20" s="47">
        <v>127</v>
      </c>
      <c r="O20" s="193">
        <f t="shared" si="4"/>
        <v>0</v>
      </c>
      <c r="P20" s="201">
        <f t="shared" ref="P20" si="5">IF(O20&lt;21,2.5,4)</f>
        <v>2.5</v>
      </c>
      <c r="Q20" s="202">
        <v>0</v>
      </c>
      <c r="R20" s="198"/>
      <c r="S20" s="47"/>
      <c r="T20" s="49"/>
      <c r="U20" s="9"/>
    </row>
    <row r="21" spans="2:23" ht="13.5" customHeight="1" thickBot="1" x14ac:dyDescent="0.25">
      <c r="B21" s="215" t="s">
        <v>58</v>
      </c>
      <c r="C21" s="216"/>
      <c r="D21" s="216"/>
      <c r="E21" s="216"/>
      <c r="F21" s="216"/>
      <c r="G21" s="216"/>
      <c r="H21" s="216"/>
      <c r="I21" s="216"/>
      <c r="J21" s="216"/>
      <c r="K21" s="216"/>
      <c r="L21" s="216"/>
      <c r="M21" s="216">
        <f>SUM(M8:M20)</f>
        <v>13800</v>
      </c>
      <c r="N21" s="219">
        <v>220</v>
      </c>
      <c r="O21" s="220">
        <f>(SUM(O8:O20))/(1.73*0.8)</f>
        <v>38.524697845507085</v>
      </c>
      <c r="P21" s="216">
        <v>6</v>
      </c>
      <c r="Q21" s="217">
        <v>40</v>
      </c>
      <c r="R21" s="50">
        <f t="shared" ref="R21:T21" si="6">SUM(R8:R20)</f>
        <v>3600</v>
      </c>
      <c r="S21" s="50">
        <f t="shared" si="6"/>
        <v>5100</v>
      </c>
      <c r="T21" s="50">
        <f t="shared" si="6"/>
        <v>5100</v>
      </c>
      <c r="U21">
        <f>R21+S21+T21</f>
        <v>13800</v>
      </c>
    </row>
    <row r="22" spans="2:23" ht="14.25" customHeight="1" thickTop="1" thickBot="1" x14ac:dyDescent="0.25">
      <c r="B22" s="215" t="s">
        <v>474</v>
      </c>
      <c r="C22" s="216"/>
      <c r="D22" s="216"/>
      <c r="E22" s="216"/>
      <c r="F22" s="216"/>
      <c r="G22" s="216"/>
      <c r="H22" s="216"/>
      <c r="I22" s="216"/>
      <c r="J22" s="216"/>
      <c r="K22" s="216"/>
      <c r="L22" s="216"/>
      <c r="M22" s="222">
        <f>R22+S22+T22</f>
        <v>16235.294117647059</v>
      </c>
      <c r="N22" s="216">
        <v>220</v>
      </c>
      <c r="O22" s="222">
        <f>O21*1.2</f>
        <v>46.229637414608497</v>
      </c>
      <c r="P22" s="216">
        <v>10</v>
      </c>
      <c r="Q22" s="217">
        <v>50</v>
      </c>
      <c r="R22" s="218">
        <f>R21/0.85</f>
        <v>4235.2941176470586</v>
      </c>
      <c r="S22" s="218">
        <f>S21/0.85</f>
        <v>6000</v>
      </c>
      <c r="T22" s="218">
        <f>T21/0.85</f>
        <v>6000</v>
      </c>
      <c r="U22" s="155">
        <f>R22/220</f>
        <v>19.251336898395721</v>
      </c>
      <c r="V22" s="155">
        <f>S22/220</f>
        <v>27.272727272727273</v>
      </c>
      <c r="W22" s="155">
        <f>T22/220</f>
        <v>27.272727272727273</v>
      </c>
    </row>
    <row r="23" spans="2:23" ht="13.5" customHeight="1" thickTop="1" x14ac:dyDescent="0.2">
      <c r="B23" s="415" t="s">
        <v>61</v>
      </c>
      <c r="C23" s="416"/>
      <c r="D23" s="416"/>
      <c r="E23" s="416"/>
      <c r="F23" s="416"/>
      <c r="G23" s="416"/>
      <c r="H23" s="416"/>
      <c r="I23" s="416"/>
      <c r="J23" s="416"/>
      <c r="K23" s="416"/>
      <c r="L23" s="416"/>
      <c r="M23" s="416"/>
      <c r="N23" s="416"/>
      <c r="O23" s="416"/>
      <c r="P23" s="416"/>
      <c r="Q23" s="416"/>
      <c r="R23" s="416"/>
      <c r="S23" s="416"/>
      <c r="T23" s="417"/>
    </row>
    <row r="24" spans="2:23" ht="12.75" customHeight="1" x14ac:dyDescent="0.2">
      <c r="B24" s="415" t="s">
        <v>62</v>
      </c>
      <c r="C24" s="416"/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16"/>
      <c r="O24" s="416"/>
      <c r="P24" s="416"/>
      <c r="Q24" s="416"/>
      <c r="R24" s="416"/>
      <c r="S24" s="416"/>
      <c r="T24" s="417"/>
    </row>
    <row r="25" spans="2:23" ht="12.75" customHeight="1" x14ac:dyDescent="0.2">
      <c r="B25" s="415" t="s">
        <v>63</v>
      </c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7"/>
    </row>
    <row r="26" spans="2:23" ht="12.75" customHeight="1" x14ac:dyDescent="0.2">
      <c r="B26" s="415" t="s">
        <v>64</v>
      </c>
      <c r="C26" s="416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7"/>
    </row>
    <row r="27" spans="2:23" ht="12.75" customHeight="1" x14ac:dyDescent="0.2">
      <c r="B27" s="415" t="s">
        <v>65</v>
      </c>
      <c r="C27" s="416"/>
      <c r="D27" s="416"/>
      <c r="E27" s="416"/>
      <c r="F27" s="416"/>
      <c r="G27" s="416"/>
      <c r="H27" s="416"/>
      <c r="I27" s="416"/>
      <c r="J27" s="416"/>
      <c r="K27" s="416"/>
      <c r="L27" s="416"/>
      <c r="M27" s="416"/>
      <c r="N27" s="416"/>
      <c r="O27" s="416"/>
      <c r="P27" s="416"/>
      <c r="Q27" s="416"/>
      <c r="R27" s="416"/>
      <c r="S27" s="416"/>
      <c r="T27" s="417"/>
    </row>
    <row r="28" spans="2:23" ht="12.75" customHeight="1" x14ac:dyDescent="0.2">
      <c r="B28" s="415" t="s">
        <v>66</v>
      </c>
      <c r="C28" s="416"/>
      <c r="D28" s="416"/>
      <c r="E28" s="416"/>
      <c r="F28" s="416"/>
      <c r="G28" s="416"/>
      <c r="H28" s="416"/>
      <c r="I28" s="416"/>
      <c r="J28" s="416"/>
      <c r="K28" s="416"/>
      <c r="L28" s="416"/>
      <c r="M28" s="416"/>
      <c r="N28" s="416"/>
      <c r="O28" s="416"/>
      <c r="P28" s="416"/>
      <c r="Q28" s="416"/>
      <c r="R28" s="416"/>
      <c r="S28" s="416"/>
      <c r="T28" s="417"/>
    </row>
    <row r="29" spans="2:23" ht="12.75" customHeight="1" x14ac:dyDescent="0.2">
      <c r="B29" s="415" t="s">
        <v>67</v>
      </c>
      <c r="C29" s="416"/>
      <c r="D29" s="416"/>
      <c r="E29" s="416"/>
      <c r="F29" s="416"/>
      <c r="G29" s="416"/>
      <c r="H29" s="416"/>
      <c r="I29" s="416"/>
      <c r="J29" s="416"/>
      <c r="K29" s="416"/>
      <c r="L29" s="416"/>
      <c r="M29" s="416"/>
      <c r="N29" s="416"/>
      <c r="O29" s="416"/>
      <c r="P29" s="416"/>
      <c r="Q29" s="416"/>
      <c r="R29" s="416"/>
      <c r="S29" s="416"/>
      <c r="T29" s="417"/>
    </row>
    <row r="30" spans="2:23" ht="12.75" customHeight="1" x14ac:dyDescent="0.2">
      <c r="B30" s="415" t="s">
        <v>68</v>
      </c>
      <c r="C30" s="416"/>
      <c r="D30" s="416"/>
      <c r="E30" s="416"/>
      <c r="F30" s="416"/>
      <c r="G30" s="416"/>
      <c r="H30" s="416"/>
      <c r="I30" s="416"/>
      <c r="J30" s="416"/>
      <c r="K30" s="416"/>
      <c r="L30" s="416"/>
      <c r="M30" s="416"/>
      <c r="N30" s="416"/>
      <c r="O30" s="416"/>
      <c r="P30" s="416"/>
      <c r="Q30" s="416"/>
      <c r="R30" s="416"/>
      <c r="S30" s="416"/>
      <c r="T30" s="417"/>
    </row>
    <row r="31" spans="2:23" ht="12.75" customHeight="1" x14ac:dyDescent="0.2">
      <c r="B31" s="415" t="s">
        <v>69</v>
      </c>
      <c r="C31" s="416"/>
      <c r="D31" s="416"/>
      <c r="E31" s="416"/>
      <c r="F31" s="416"/>
      <c r="G31" s="416"/>
      <c r="H31" s="416"/>
      <c r="I31" s="416"/>
      <c r="J31" s="416"/>
      <c r="K31" s="416"/>
      <c r="L31" s="416"/>
      <c r="M31" s="416"/>
      <c r="N31" s="416"/>
      <c r="O31" s="416"/>
      <c r="P31" s="416"/>
      <c r="Q31" s="416"/>
      <c r="R31" s="416"/>
      <c r="S31" s="416"/>
      <c r="T31" s="417"/>
    </row>
    <row r="32" spans="2:23" ht="12.75" customHeight="1" x14ac:dyDescent="0.2">
      <c r="B32" s="415" t="s">
        <v>70</v>
      </c>
      <c r="C32" s="416"/>
      <c r="D32" s="416"/>
      <c r="E32" s="416"/>
      <c r="F32" s="416"/>
      <c r="G32" s="416"/>
      <c r="H32" s="416"/>
      <c r="I32" s="416"/>
      <c r="J32" s="416"/>
      <c r="K32" s="416"/>
      <c r="L32" s="416"/>
      <c r="M32" s="416"/>
      <c r="N32" s="416"/>
      <c r="O32" s="416"/>
      <c r="P32" s="416"/>
      <c r="Q32" s="416"/>
      <c r="R32" s="416"/>
      <c r="S32" s="416"/>
      <c r="T32" s="417"/>
    </row>
    <row r="33" spans="2:20" ht="12.75" customHeight="1" x14ac:dyDescent="0.2">
      <c r="B33" s="415" t="s">
        <v>71</v>
      </c>
      <c r="C33" s="416"/>
      <c r="D33" s="416"/>
      <c r="E33" s="416"/>
      <c r="F33" s="416"/>
      <c r="G33" s="416"/>
      <c r="H33" s="416"/>
      <c r="I33" s="416"/>
      <c r="J33" s="416"/>
      <c r="K33" s="416"/>
      <c r="L33" s="416"/>
      <c r="M33" s="416"/>
      <c r="N33" s="416"/>
      <c r="O33" s="416"/>
      <c r="P33" s="416"/>
      <c r="Q33" s="416"/>
      <c r="R33" s="416"/>
      <c r="S33" s="416"/>
      <c r="T33" s="417"/>
    </row>
    <row r="34" spans="2:20" ht="12.75" customHeight="1" x14ac:dyDescent="0.2">
      <c r="B34" s="415" t="s">
        <v>72</v>
      </c>
      <c r="C34" s="416"/>
      <c r="D34" s="416"/>
      <c r="E34" s="416"/>
      <c r="F34" s="416"/>
      <c r="G34" s="416"/>
      <c r="H34" s="416"/>
      <c r="I34" s="416"/>
      <c r="J34" s="416"/>
      <c r="K34" s="416"/>
      <c r="L34" s="416"/>
      <c r="M34" s="416"/>
      <c r="N34" s="416"/>
      <c r="O34" s="416"/>
      <c r="P34" s="416"/>
      <c r="Q34" s="416"/>
      <c r="R34" s="416"/>
      <c r="S34" s="416"/>
      <c r="T34" s="417"/>
    </row>
    <row r="35" spans="2:20" ht="12.75" customHeight="1" x14ac:dyDescent="0.2">
      <c r="B35" s="427" t="s">
        <v>73</v>
      </c>
      <c r="C35" s="428"/>
      <c r="D35" s="428"/>
      <c r="E35" s="428"/>
      <c r="F35" s="428"/>
      <c r="G35" s="428"/>
      <c r="H35" s="428"/>
      <c r="I35" s="428"/>
      <c r="J35" s="428"/>
      <c r="K35" s="428"/>
      <c r="L35" s="428"/>
      <c r="M35" s="428"/>
      <c r="N35" s="428"/>
      <c r="O35" s="428"/>
      <c r="P35" s="428"/>
      <c r="Q35" s="428"/>
      <c r="R35" s="428"/>
      <c r="S35" s="428"/>
      <c r="T35" s="429"/>
    </row>
    <row r="36" spans="2:20" ht="12.75" customHeight="1" x14ac:dyDescent="0.2"/>
    <row r="37" spans="2:20" ht="12.75" customHeight="1" x14ac:dyDescent="0.2"/>
    <row r="38" spans="2:20" ht="12.75" customHeight="1" x14ac:dyDescent="0.2"/>
    <row r="39" spans="2:20" ht="12.75" customHeight="1" x14ac:dyDescent="0.2"/>
    <row r="40" spans="2:20" ht="12.75" customHeight="1" x14ac:dyDescent="0.2"/>
    <row r="41" spans="2:20" ht="12.75" customHeight="1" x14ac:dyDescent="0.2"/>
    <row r="42" spans="2:20" ht="12.75" customHeight="1" x14ac:dyDescent="0.2"/>
    <row r="43" spans="2:20" ht="12.75" customHeight="1" x14ac:dyDescent="0.2"/>
    <row r="44" spans="2:20" ht="12.75" customHeight="1" x14ac:dyDescent="0.2"/>
    <row r="45" spans="2:20" ht="12.75" customHeight="1" x14ac:dyDescent="0.2"/>
    <row r="46" spans="2:20" ht="12.75" customHeight="1" x14ac:dyDescent="0.2"/>
    <row r="47" spans="2:20" ht="12.75" customHeight="1" x14ac:dyDescent="0.2"/>
    <row r="48" spans="2:2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mergeCells count="23">
    <mergeCell ref="B30:T30"/>
    <mergeCell ref="B6:B7"/>
    <mergeCell ref="C6:G6"/>
    <mergeCell ref="P6:P7"/>
    <mergeCell ref="M6:M7"/>
    <mergeCell ref="N6:N7"/>
    <mergeCell ref="O6:O7"/>
    <mergeCell ref="B35:T35"/>
    <mergeCell ref="B34:T34"/>
    <mergeCell ref="B33:T33"/>
    <mergeCell ref="Q6:Q7"/>
    <mergeCell ref="B4:T4"/>
    <mergeCell ref="H6:L6"/>
    <mergeCell ref="R6:T6"/>
    <mergeCell ref="B32:T32"/>
    <mergeCell ref="B23:T23"/>
    <mergeCell ref="B24:T24"/>
    <mergeCell ref="B25:T25"/>
    <mergeCell ref="B26:T26"/>
    <mergeCell ref="B31:T31"/>
    <mergeCell ref="B27:T27"/>
    <mergeCell ref="B28:T28"/>
    <mergeCell ref="B29:T29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0"/>
  <sheetViews>
    <sheetView workbookViewId="0">
      <selection activeCell="J13" sqref="J13"/>
    </sheetView>
  </sheetViews>
  <sheetFormatPr defaultColWidth="12.5703125" defaultRowHeight="15" customHeight="1" x14ac:dyDescent="0.2"/>
  <cols>
    <col min="1" max="1" width="8" customWidth="1"/>
    <col min="2" max="2" width="29.140625" customWidth="1"/>
    <col min="3" max="3" width="4.42578125" customWidth="1"/>
    <col min="4" max="9" width="3.7109375" customWidth="1"/>
    <col min="10" max="10" width="6.7109375" customWidth="1"/>
    <col min="11" max="11" width="6.5703125" customWidth="1"/>
    <col min="12" max="12" width="3.7109375" customWidth="1"/>
    <col min="13" max="13" width="6.85546875" customWidth="1"/>
    <col min="14" max="17" width="8" customWidth="1"/>
    <col min="18" max="18" width="9.5703125" customWidth="1"/>
    <col min="19" max="26" width="8" customWidth="1"/>
  </cols>
  <sheetData>
    <row r="1" spans="2:26" ht="12.75" customHeight="1" x14ac:dyDescent="0.2"/>
    <row r="2" spans="2:26" ht="12.75" customHeight="1" x14ac:dyDescent="0.2">
      <c r="W2" s="158" t="s">
        <v>472</v>
      </c>
    </row>
    <row r="3" spans="2:26" ht="13.5" customHeight="1" x14ac:dyDescent="0.2">
      <c r="W3" s="158" t="s">
        <v>473</v>
      </c>
    </row>
    <row r="4" spans="2:26" ht="13.5" customHeight="1" x14ac:dyDescent="0.2">
      <c r="B4" s="396" t="s">
        <v>431</v>
      </c>
      <c r="C4" s="397"/>
      <c r="D4" s="397"/>
      <c r="E4" s="397"/>
      <c r="F4" s="397"/>
      <c r="G4" s="397"/>
      <c r="H4" s="397"/>
      <c r="I4" s="397"/>
      <c r="J4" s="397"/>
      <c r="K4" s="397"/>
      <c r="L4" s="397"/>
      <c r="M4" s="397"/>
      <c r="N4" s="397"/>
      <c r="O4" s="397"/>
      <c r="P4" s="397"/>
      <c r="Q4" s="397"/>
      <c r="R4" s="397"/>
      <c r="S4" s="397"/>
      <c r="T4" s="397"/>
      <c r="U4" s="398"/>
    </row>
    <row r="5" spans="2:26" ht="13.5" customHeight="1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26" ht="12.75" customHeight="1" x14ac:dyDescent="0.2">
      <c r="B6" s="424" t="s">
        <v>38</v>
      </c>
      <c r="C6" s="421" t="s">
        <v>39</v>
      </c>
      <c r="D6" s="422"/>
      <c r="E6" s="422"/>
      <c r="F6" s="422"/>
      <c r="G6" s="422"/>
      <c r="H6" s="423"/>
      <c r="I6" s="421" t="s">
        <v>40</v>
      </c>
      <c r="J6" s="422"/>
      <c r="K6" s="422"/>
      <c r="L6" s="422"/>
      <c r="M6" s="423"/>
      <c r="N6" s="418" t="s">
        <v>41</v>
      </c>
      <c r="O6" s="418" t="s">
        <v>42</v>
      </c>
      <c r="P6" s="418" t="s">
        <v>43</v>
      </c>
      <c r="Q6" s="418" t="s">
        <v>44</v>
      </c>
      <c r="R6" s="418" t="s">
        <v>45</v>
      </c>
      <c r="S6" s="421" t="s">
        <v>46</v>
      </c>
      <c r="T6" s="422"/>
      <c r="U6" s="426"/>
    </row>
    <row r="7" spans="2:26" ht="13.5" customHeight="1" thickBot="1" x14ac:dyDescent="0.25">
      <c r="B7" s="430"/>
      <c r="C7" s="35">
        <v>20</v>
      </c>
      <c r="D7" s="35">
        <v>12</v>
      </c>
      <c r="E7" s="35">
        <v>100</v>
      </c>
      <c r="F7" s="35">
        <v>150</v>
      </c>
      <c r="G7" s="35">
        <v>200</v>
      </c>
      <c r="H7" s="35">
        <v>300</v>
      </c>
      <c r="I7" s="51">
        <v>100</v>
      </c>
      <c r="J7" s="51">
        <v>3600</v>
      </c>
      <c r="K7" s="51">
        <v>4400</v>
      </c>
      <c r="L7" s="51">
        <v>600</v>
      </c>
      <c r="M7" s="51">
        <v>1200</v>
      </c>
      <c r="N7" s="433"/>
      <c r="O7" s="433"/>
      <c r="P7" s="433"/>
      <c r="Q7" s="433"/>
      <c r="R7" s="433"/>
      <c r="S7" s="51" t="s">
        <v>47</v>
      </c>
      <c r="T7" s="51" t="s">
        <v>48</v>
      </c>
      <c r="U7" s="52" t="s">
        <v>49</v>
      </c>
      <c r="W7" s="254" t="s">
        <v>476</v>
      </c>
    </row>
    <row r="8" spans="2:26" ht="12.75" customHeight="1" x14ac:dyDescent="0.2">
      <c r="B8" s="22" t="s">
        <v>442</v>
      </c>
      <c r="C8" s="22">
        <v>14</v>
      </c>
      <c r="D8" s="22">
        <v>4</v>
      </c>
      <c r="E8" s="22">
        <v>2</v>
      </c>
      <c r="F8" s="22">
        <v>0</v>
      </c>
      <c r="G8" s="22">
        <v>0</v>
      </c>
      <c r="H8" s="22">
        <v>0</v>
      </c>
      <c r="I8" s="22"/>
      <c r="J8" s="22"/>
      <c r="K8" s="22"/>
      <c r="L8" s="22"/>
      <c r="M8" s="22"/>
      <c r="N8" s="227">
        <f t="shared" ref="N8:N22" si="0">$C$7*C8+$D$7*D8+$E$7*E8+$F$7*F8+$G$7*G8+$H$7*H8+$I$7*I8+$J$7*J8+$K$7*K8+$L$7*L8+$M$7*M8</f>
        <v>528</v>
      </c>
      <c r="O8" s="22">
        <v>220</v>
      </c>
      <c r="P8" s="54">
        <f t="shared" ref="P8:P22" si="1">N8/O8</f>
        <v>2.4</v>
      </c>
      <c r="Q8" s="224">
        <f>IF(P8&lt;10,1.5,2.5)</f>
        <v>1.5</v>
      </c>
      <c r="R8" s="22">
        <v>10</v>
      </c>
      <c r="S8" s="22"/>
      <c r="T8" s="22">
        <f>N8</f>
        <v>528</v>
      </c>
      <c r="U8" s="22"/>
      <c r="V8" s="55"/>
      <c r="W8" s="155">
        <f>P8*1.25</f>
        <v>3</v>
      </c>
      <c r="X8" s="12"/>
      <c r="Y8" s="12"/>
      <c r="Z8" s="12"/>
    </row>
    <row r="9" spans="2:26" ht="37.5" customHeight="1" x14ac:dyDescent="0.2">
      <c r="B9" s="226" t="s">
        <v>475</v>
      </c>
      <c r="C9" s="5">
        <v>0</v>
      </c>
      <c r="D9" s="5">
        <v>4</v>
      </c>
      <c r="E9" s="5">
        <v>8</v>
      </c>
      <c r="F9" s="5">
        <v>0</v>
      </c>
      <c r="G9" s="5">
        <v>0</v>
      </c>
      <c r="H9" s="5">
        <v>0</v>
      </c>
      <c r="I9" s="5"/>
      <c r="J9" s="5"/>
      <c r="K9" s="5"/>
      <c r="L9" s="5"/>
      <c r="M9" s="5"/>
      <c r="N9" s="227">
        <f t="shared" si="0"/>
        <v>848</v>
      </c>
      <c r="O9" s="5">
        <v>220</v>
      </c>
      <c r="P9" s="223">
        <f t="shared" si="1"/>
        <v>3.8545454545454545</v>
      </c>
      <c r="Q9" s="196">
        <f t="shared" ref="Q9:Q22" si="2">IF(P9&lt;10,1.5,2.5)</f>
        <v>1.5</v>
      </c>
      <c r="R9" s="197">
        <v>10</v>
      </c>
      <c r="S9" s="5"/>
      <c r="T9" s="5"/>
      <c r="U9" s="5">
        <f>N9</f>
        <v>848</v>
      </c>
      <c r="V9" s="9"/>
      <c r="W9" s="155">
        <f t="shared" ref="W9:W22" si="3">P9*1.25</f>
        <v>4.8181818181818183</v>
      </c>
      <c r="X9" s="12"/>
      <c r="Y9" s="12"/>
      <c r="Z9" s="12"/>
    </row>
    <row r="10" spans="2:26" ht="12.75" customHeight="1" x14ac:dyDescent="0.2">
      <c r="B10" s="5" t="s">
        <v>443</v>
      </c>
      <c r="C10" s="5">
        <v>16</v>
      </c>
      <c r="D10" s="5">
        <v>4</v>
      </c>
      <c r="E10" s="5">
        <v>0</v>
      </c>
      <c r="F10" s="5">
        <v>0</v>
      </c>
      <c r="G10" s="5">
        <v>0</v>
      </c>
      <c r="H10" s="5">
        <v>0</v>
      </c>
      <c r="I10" s="5"/>
      <c r="J10" s="5"/>
      <c r="K10" s="5"/>
      <c r="L10" s="5"/>
      <c r="M10" s="5"/>
      <c r="N10" s="227">
        <f t="shared" si="0"/>
        <v>368</v>
      </c>
      <c r="O10" s="5">
        <v>220</v>
      </c>
      <c r="P10" s="223">
        <f t="shared" si="1"/>
        <v>1.6727272727272726</v>
      </c>
      <c r="Q10" s="196">
        <f t="shared" si="2"/>
        <v>1.5</v>
      </c>
      <c r="R10" s="197">
        <v>10</v>
      </c>
      <c r="S10" s="5"/>
      <c r="T10" s="5"/>
      <c r="U10" s="5">
        <f>N10</f>
        <v>368</v>
      </c>
      <c r="V10" s="206"/>
      <c r="W10" s="155">
        <f t="shared" si="3"/>
        <v>2.0909090909090908</v>
      </c>
      <c r="X10" s="12"/>
      <c r="Y10" s="12"/>
      <c r="Z10" s="12"/>
    </row>
    <row r="11" spans="2:26" ht="39" customHeight="1" x14ac:dyDescent="0.2">
      <c r="B11" s="226" t="s">
        <v>444</v>
      </c>
      <c r="C11" s="5"/>
      <c r="D11" s="5"/>
      <c r="E11" s="5"/>
      <c r="F11" s="5"/>
      <c r="G11" s="5"/>
      <c r="H11" s="5"/>
      <c r="I11" s="5">
        <v>4</v>
      </c>
      <c r="J11" s="5">
        <v>0</v>
      </c>
      <c r="K11" s="5">
        <v>0</v>
      </c>
      <c r="L11" s="5">
        <v>0</v>
      </c>
      <c r="M11" s="5">
        <v>0</v>
      </c>
      <c r="N11" s="227">
        <f t="shared" si="0"/>
        <v>400</v>
      </c>
      <c r="O11" s="5">
        <v>220</v>
      </c>
      <c r="P11" s="223">
        <f>(N11/O11)/0.8</f>
        <v>2.2727272727272725</v>
      </c>
      <c r="Q11" s="225">
        <v>2.5</v>
      </c>
      <c r="R11" s="197">
        <v>10</v>
      </c>
      <c r="S11" s="5"/>
      <c r="T11" s="5">
        <f>N11</f>
        <v>400</v>
      </c>
      <c r="U11" s="5"/>
      <c r="V11" s="207"/>
      <c r="W11" s="155">
        <f t="shared" si="3"/>
        <v>2.8409090909090908</v>
      </c>
      <c r="X11" s="12"/>
      <c r="Y11" s="12"/>
      <c r="Z11" s="12"/>
    </row>
    <row r="12" spans="2:26" ht="12.75" customHeight="1" x14ac:dyDescent="0.2">
      <c r="B12" s="5" t="s">
        <v>445</v>
      </c>
      <c r="C12" s="5"/>
      <c r="D12" s="5"/>
      <c r="E12" s="5"/>
      <c r="F12" s="5"/>
      <c r="G12" s="5"/>
      <c r="H12" s="5"/>
      <c r="I12" s="5">
        <v>12</v>
      </c>
      <c r="J12" s="5">
        <v>0</v>
      </c>
      <c r="K12" s="5">
        <v>0</v>
      </c>
      <c r="L12" s="5">
        <v>1</v>
      </c>
      <c r="M12" s="5">
        <v>0</v>
      </c>
      <c r="N12" s="227">
        <f t="shared" si="0"/>
        <v>1800</v>
      </c>
      <c r="O12" s="5">
        <v>127</v>
      </c>
      <c r="P12" s="223">
        <f>(N12/O12)/0.8</f>
        <v>17.716535433070863</v>
      </c>
      <c r="Q12" s="196">
        <f t="shared" si="2"/>
        <v>2.5</v>
      </c>
      <c r="R12" s="197">
        <v>20</v>
      </c>
      <c r="S12" s="5"/>
      <c r="T12" s="5">
        <f>N12</f>
        <v>1800</v>
      </c>
      <c r="U12" s="5"/>
      <c r="V12" s="207"/>
      <c r="W12" s="155">
        <f t="shared" si="3"/>
        <v>22.145669291338578</v>
      </c>
      <c r="X12" s="12"/>
      <c r="Y12" s="12"/>
      <c r="Z12" s="12"/>
    </row>
    <row r="13" spans="2:26" ht="12.75" customHeight="1" x14ac:dyDescent="0.2">
      <c r="B13" s="5" t="s">
        <v>446</v>
      </c>
      <c r="C13" s="5"/>
      <c r="D13" s="5"/>
      <c r="E13" s="5"/>
      <c r="F13" s="5"/>
      <c r="G13" s="5"/>
      <c r="H13" s="5"/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227">
        <f t="shared" si="0"/>
        <v>0</v>
      </c>
      <c r="O13" s="5">
        <v>220</v>
      </c>
      <c r="P13" s="223">
        <f>(N13/O13)/0.8</f>
        <v>0</v>
      </c>
      <c r="Q13" s="196">
        <f t="shared" ref="Q13:Q17" si="4">IF(P13&lt;20,2.5,4)</f>
        <v>2.5</v>
      </c>
      <c r="R13" s="197">
        <v>25</v>
      </c>
      <c r="S13" s="5">
        <f>N13/2</f>
        <v>0</v>
      </c>
      <c r="T13" s="5">
        <f>N13/2</f>
        <v>0</v>
      </c>
      <c r="U13" s="5"/>
      <c r="V13" s="207"/>
      <c r="W13" s="155">
        <f t="shared" si="3"/>
        <v>0</v>
      </c>
      <c r="X13" s="12"/>
      <c r="Y13" s="12"/>
      <c r="Z13" s="12"/>
    </row>
    <row r="14" spans="2:26" ht="12.75" customHeight="1" x14ac:dyDescent="0.2">
      <c r="B14" s="5" t="s">
        <v>447</v>
      </c>
      <c r="C14" s="5"/>
      <c r="D14" s="5"/>
      <c r="E14" s="5"/>
      <c r="F14" s="5"/>
      <c r="G14" s="5"/>
      <c r="H14" s="5"/>
      <c r="I14" s="5">
        <v>0</v>
      </c>
      <c r="J14" s="5">
        <v>0</v>
      </c>
      <c r="K14" s="5">
        <v>0</v>
      </c>
      <c r="L14" s="5">
        <v>0</v>
      </c>
      <c r="M14" s="5">
        <v>1</v>
      </c>
      <c r="N14" s="227">
        <f t="shared" si="0"/>
        <v>1200</v>
      </c>
      <c r="O14" s="5">
        <v>127</v>
      </c>
      <c r="P14" s="223">
        <f>(N14/O14)</f>
        <v>9.4488188976377945</v>
      </c>
      <c r="Q14" s="196">
        <f t="shared" si="2"/>
        <v>1.5</v>
      </c>
      <c r="R14" s="197">
        <v>20</v>
      </c>
      <c r="S14" s="5"/>
      <c r="T14" s="5">
        <f>N14</f>
        <v>1200</v>
      </c>
      <c r="U14" s="5"/>
      <c r="V14" s="207"/>
      <c r="W14" s="155">
        <f t="shared" si="3"/>
        <v>11.811023622047243</v>
      </c>
      <c r="X14" s="12"/>
      <c r="Y14" s="12"/>
      <c r="Z14" s="12"/>
    </row>
    <row r="15" spans="2:26" ht="12.75" customHeight="1" x14ac:dyDescent="0.2">
      <c r="B15" s="5" t="s">
        <v>448</v>
      </c>
      <c r="C15" s="5"/>
      <c r="D15" s="5"/>
      <c r="E15" s="5"/>
      <c r="F15" s="5"/>
      <c r="G15" s="5"/>
      <c r="H15" s="5"/>
      <c r="I15" s="5">
        <v>0</v>
      </c>
      <c r="J15" s="5">
        <v>0</v>
      </c>
      <c r="K15" s="5">
        <v>1</v>
      </c>
      <c r="L15" s="5">
        <v>0</v>
      </c>
      <c r="M15" s="5">
        <v>0</v>
      </c>
      <c r="N15" s="227">
        <f t="shared" si="0"/>
        <v>4400</v>
      </c>
      <c r="O15" s="189">
        <v>220</v>
      </c>
      <c r="P15" s="223">
        <f t="shared" si="1"/>
        <v>20</v>
      </c>
      <c r="Q15" s="196">
        <f t="shared" si="4"/>
        <v>4</v>
      </c>
      <c r="R15" s="197">
        <v>25</v>
      </c>
      <c r="S15" s="5">
        <f>N15/2</f>
        <v>2200</v>
      </c>
      <c r="T15" s="5"/>
      <c r="U15" s="5">
        <f>N15/2</f>
        <v>2200</v>
      </c>
      <c r="V15" s="208"/>
      <c r="W15" s="155">
        <f t="shared" si="3"/>
        <v>25</v>
      </c>
      <c r="X15" s="12"/>
      <c r="Y15" s="12"/>
      <c r="Z15" s="12"/>
    </row>
    <row r="16" spans="2:26" ht="12.75" customHeight="1" x14ac:dyDescent="0.2">
      <c r="B16" s="5" t="s">
        <v>477</v>
      </c>
      <c r="C16" s="5"/>
      <c r="D16" s="5"/>
      <c r="E16" s="5"/>
      <c r="F16" s="5"/>
      <c r="G16" s="5"/>
      <c r="H16" s="5"/>
      <c r="I16" s="5">
        <v>0</v>
      </c>
      <c r="J16" s="5">
        <v>0</v>
      </c>
      <c r="K16" s="5">
        <v>0</v>
      </c>
      <c r="L16" s="5">
        <v>1</v>
      </c>
      <c r="M16" s="5">
        <v>0</v>
      </c>
      <c r="N16" s="211">
        <f t="shared" si="0"/>
        <v>600</v>
      </c>
      <c r="O16" s="189">
        <v>220</v>
      </c>
      <c r="P16" s="203">
        <f>(N16/O16)/(0.8*0.8)</f>
        <v>4.2613636363636349</v>
      </c>
      <c r="Q16" s="225">
        <v>2.5</v>
      </c>
      <c r="R16" s="197">
        <v>20</v>
      </c>
      <c r="S16" s="5"/>
      <c r="T16" s="5">
        <f>N16</f>
        <v>600</v>
      </c>
      <c r="U16" s="5"/>
      <c r="V16" s="208"/>
      <c r="W16" s="155">
        <f t="shared" si="3"/>
        <v>5.3267045454545432</v>
      </c>
      <c r="X16" s="12"/>
      <c r="Y16" s="12"/>
      <c r="Z16" s="12"/>
    </row>
    <row r="17" spans="2:26" ht="12.75" customHeight="1" x14ac:dyDescent="0.2">
      <c r="B17" s="5" t="s">
        <v>544</v>
      </c>
      <c r="C17" s="5"/>
      <c r="D17" s="5"/>
      <c r="E17" s="5"/>
      <c r="F17" s="5"/>
      <c r="G17" s="5"/>
      <c r="H17" s="5"/>
      <c r="I17" s="5">
        <v>0</v>
      </c>
      <c r="J17" s="5">
        <v>0</v>
      </c>
      <c r="K17" s="5">
        <v>1</v>
      </c>
      <c r="L17" s="5">
        <v>0</v>
      </c>
      <c r="M17" s="5">
        <v>0</v>
      </c>
      <c r="N17" s="211">
        <f t="shared" si="0"/>
        <v>4400</v>
      </c>
      <c r="O17" s="5">
        <v>220</v>
      </c>
      <c r="P17" s="203">
        <f t="shared" si="1"/>
        <v>20</v>
      </c>
      <c r="Q17" s="196">
        <f t="shared" si="4"/>
        <v>4</v>
      </c>
      <c r="R17" s="197">
        <v>25</v>
      </c>
      <c r="S17" s="5">
        <f>N17/2</f>
        <v>2200</v>
      </c>
      <c r="T17" s="5"/>
      <c r="U17" s="5">
        <f>N17/2</f>
        <v>2200</v>
      </c>
      <c r="V17" s="208"/>
      <c r="W17" s="155">
        <f t="shared" si="3"/>
        <v>25</v>
      </c>
      <c r="X17" s="12"/>
      <c r="Y17" s="12"/>
      <c r="Z17" s="12"/>
    </row>
    <row r="18" spans="2:26" ht="12.75" customHeight="1" x14ac:dyDescent="0.2">
      <c r="B18" s="5" t="s">
        <v>74</v>
      </c>
      <c r="C18" s="5"/>
      <c r="D18" s="5"/>
      <c r="E18" s="5"/>
      <c r="F18" s="5"/>
      <c r="G18" s="5"/>
      <c r="H18" s="5"/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6">
        <f t="shared" si="0"/>
        <v>0</v>
      </c>
      <c r="O18" s="5">
        <v>127</v>
      </c>
      <c r="P18" s="203">
        <f t="shared" si="1"/>
        <v>0</v>
      </c>
      <c r="Q18" s="196">
        <f t="shared" si="2"/>
        <v>1.5</v>
      </c>
      <c r="R18" s="197">
        <v>20</v>
      </c>
      <c r="S18" s="5"/>
      <c r="T18" s="5"/>
      <c r="U18" s="5"/>
      <c r="V18" s="207"/>
      <c r="W18" s="155">
        <f t="shared" si="3"/>
        <v>0</v>
      </c>
      <c r="X18" s="12"/>
      <c r="Y18" s="12"/>
      <c r="Z18" s="12"/>
    </row>
    <row r="19" spans="2:26" ht="12.75" customHeight="1" x14ac:dyDescent="0.2">
      <c r="B19" s="5" t="s">
        <v>75</v>
      </c>
      <c r="C19" s="5"/>
      <c r="D19" s="5"/>
      <c r="E19" s="5"/>
      <c r="F19" s="5"/>
      <c r="G19" s="5"/>
      <c r="H19" s="5"/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6">
        <f t="shared" si="0"/>
        <v>0</v>
      </c>
      <c r="O19" s="5">
        <v>127</v>
      </c>
      <c r="P19" s="203">
        <f t="shared" si="1"/>
        <v>0</v>
      </c>
      <c r="Q19" s="196">
        <f t="shared" si="2"/>
        <v>1.5</v>
      </c>
      <c r="R19" s="197">
        <v>20</v>
      </c>
      <c r="S19" s="5"/>
      <c r="T19" s="5"/>
      <c r="U19" s="5"/>
      <c r="V19" s="207"/>
      <c r="W19" s="155">
        <f t="shared" si="3"/>
        <v>0</v>
      </c>
      <c r="X19" s="12"/>
      <c r="Y19" s="12"/>
      <c r="Z19" s="12"/>
    </row>
    <row r="20" spans="2:26" ht="12.75" customHeight="1" x14ac:dyDescent="0.2">
      <c r="B20" s="5" t="s">
        <v>55</v>
      </c>
      <c r="C20" s="5"/>
      <c r="D20" s="5"/>
      <c r="E20" s="5"/>
      <c r="F20" s="5"/>
      <c r="G20" s="5"/>
      <c r="H20" s="5"/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6">
        <f t="shared" si="0"/>
        <v>0</v>
      </c>
      <c r="O20" s="5">
        <v>127</v>
      </c>
      <c r="P20" s="203">
        <f t="shared" si="1"/>
        <v>0</v>
      </c>
      <c r="Q20" s="196">
        <f t="shared" si="2"/>
        <v>1.5</v>
      </c>
      <c r="R20" s="197">
        <v>20</v>
      </c>
      <c r="S20" s="5"/>
      <c r="T20" s="5"/>
      <c r="U20" s="5"/>
      <c r="V20" s="208"/>
      <c r="W20" s="155">
        <f t="shared" si="3"/>
        <v>0</v>
      </c>
      <c r="X20" s="12"/>
      <c r="Y20" s="12"/>
      <c r="Z20" s="12"/>
    </row>
    <row r="21" spans="2:26" ht="12.75" customHeight="1" x14ac:dyDescent="0.2">
      <c r="B21" s="5" t="s">
        <v>56</v>
      </c>
      <c r="C21" s="5"/>
      <c r="D21" s="5"/>
      <c r="E21" s="5"/>
      <c r="F21" s="5"/>
      <c r="G21" s="5"/>
      <c r="H21" s="5"/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6">
        <f t="shared" si="0"/>
        <v>0</v>
      </c>
      <c r="O21" s="5">
        <v>127</v>
      </c>
      <c r="P21" s="203">
        <f t="shared" si="1"/>
        <v>0</v>
      </c>
      <c r="Q21" s="196">
        <f t="shared" si="2"/>
        <v>1.5</v>
      </c>
      <c r="R21" s="197">
        <v>20</v>
      </c>
      <c r="S21" s="5"/>
      <c r="T21" s="5"/>
      <c r="U21" s="5"/>
      <c r="V21" s="208"/>
      <c r="W21" s="155">
        <f t="shared" si="3"/>
        <v>0</v>
      </c>
      <c r="X21" s="12"/>
      <c r="Y21" s="12"/>
      <c r="Z21" s="12"/>
    </row>
    <row r="22" spans="2:26" ht="12.75" customHeight="1" x14ac:dyDescent="0.2">
      <c r="B22" s="5" t="s">
        <v>57</v>
      </c>
      <c r="C22" s="5"/>
      <c r="D22" s="5"/>
      <c r="E22" s="5"/>
      <c r="F22" s="5"/>
      <c r="G22" s="5"/>
      <c r="H22" s="5"/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6">
        <f t="shared" si="0"/>
        <v>0</v>
      </c>
      <c r="O22" s="5">
        <v>220</v>
      </c>
      <c r="P22" s="44">
        <f t="shared" si="1"/>
        <v>0</v>
      </c>
      <c r="Q22" s="195">
        <f t="shared" si="2"/>
        <v>1.5</v>
      </c>
      <c r="R22" s="5">
        <v>20</v>
      </c>
      <c r="S22" s="5"/>
      <c r="T22" s="5"/>
      <c r="U22" s="5"/>
      <c r="V22" s="9"/>
      <c r="W22" s="155">
        <f t="shared" si="3"/>
        <v>0</v>
      </c>
      <c r="X22" s="12"/>
      <c r="Y22" s="12"/>
      <c r="Z22" s="12"/>
    </row>
    <row r="23" spans="2:26" ht="13.5" customHeight="1" thickBot="1" x14ac:dyDescent="0.25">
      <c r="B23" s="242" t="s">
        <v>76</v>
      </c>
      <c r="C23" s="243"/>
      <c r="D23" s="243"/>
      <c r="E23" s="243"/>
      <c r="F23" s="243"/>
      <c r="G23" s="243"/>
      <c r="H23" s="243"/>
      <c r="I23" s="243"/>
      <c r="J23" s="243"/>
      <c r="K23" s="243"/>
      <c r="L23" s="243"/>
      <c r="M23" s="243"/>
      <c r="N23" s="243"/>
      <c r="O23" s="243"/>
      <c r="P23" s="245">
        <f>(SUM(P8:P22))/3</f>
        <v>27.2089059890241</v>
      </c>
      <c r="Q23" s="243">
        <v>10</v>
      </c>
      <c r="R23" s="244">
        <v>50</v>
      </c>
      <c r="S23" s="18">
        <f t="shared" ref="S23:U23" si="5">SUM(S8:S22)</f>
        <v>4400</v>
      </c>
      <c r="T23" s="18">
        <f t="shared" si="5"/>
        <v>4528</v>
      </c>
      <c r="U23" s="18">
        <f t="shared" si="5"/>
        <v>5616</v>
      </c>
      <c r="V23">
        <f>S23+T23+U23</f>
        <v>14544</v>
      </c>
      <c r="X23" s="12"/>
      <c r="Y23" s="12"/>
      <c r="Z23" s="12"/>
    </row>
    <row r="24" spans="2:26" ht="13.5" customHeight="1" thickTop="1" x14ac:dyDescent="0.2">
      <c r="B24" s="415" t="s">
        <v>77</v>
      </c>
      <c r="C24" s="416"/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16"/>
      <c r="O24" s="416"/>
      <c r="P24" s="416"/>
      <c r="Q24" s="416"/>
      <c r="R24" s="416"/>
      <c r="S24" s="416"/>
      <c r="T24" s="416"/>
      <c r="U24" s="417"/>
      <c r="X24" s="9"/>
      <c r="Y24" s="9"/>
      <c r="Z24" s="9"/>
    </row>
    <row r="25" spans="2:26" ht="12.75" customHeight="1" x14ac:dyDescent="0.2">
      <c r="B25" s="415" t="s">
        <v>78</v>
      </c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7"/>
    </row>
    <row r="26" spans="2:26" ht="12.75" customHeight="1" x14ac:dyDescent="0.2">
      <c r="B26" s="415" t="s">
        <v>79</v>
      </c>
      <c r="C26" s="416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7"/>
    </row>
    <row r="27" spans="2:26" ht="12.75" customHeight="1" x14ac:dyDescent="0.2">
      <c r="B27" s="415" t="s">
        <v>80</v>
      </c>
      <c r="C27" s="416"/>
      <c r="D27" s="416"/>
      <c r="E27" s="416"/>
      <c r="F27" s="416"/>
      <c r="G27" s="416"/>
      <c r="H27" s="416"/>
      <c r="I27" s="416"/>
      <c r="J27" s="416"/>
      <c r="K27" s="416"/>
      <c r="L27" s="416"/>
      <c r="M27" s="416"/>
      <c r="N27" s="416"/>
      <c r="O27" s="416"/>
      <c r="P27" s="416"/>
      <c r="Q27" s="416"/>
      <c r="R27" s="416"/>
      <c r="S27" s="416"/>
      <c r="T27" s="416"/>
      <c r="U27" s="417"/>
    </row>
    <row r="28" spans="2:26" ht="12.75" customHeight="1" x14ac:dyDescent="0.2">
      <c r="B28" s="415" t="s">
        <v>81</v>
      </c>
      <c r="C28" s="416"/>
      <c r="D28" s="416"/>
      <c r="E28" s="416"/>
      <c r="F28" s="416"/>
      <c r="G28" s="416"/>
      <c r="H28" s="416"/>
      <c r="I28" s="416"/>
      <c r="J28" s="416"/>
      <c r="K28" s="416"/>
      <c r="L28" s="416"/>
      <c r="M28" s="416"/>
      <c r="N28" s="416"/>
      <c r="O28" s="416"/>
      <c r="P28" s="416"/>
      <c r="Q28" s="416"/>
      <c r="R28" s="416"/>
      <c r="S28" s="416"/>
      <c r="T28" s="416"/>
      <c r="U28" s="417"/>
    </row>
    <row r="29" spans="2:26" ht="12.75" customHeight="1" x14ac:dyDescent="0.2">
      <c r="B29" s="415" t="s">
        <v>82</v>
      </c>
      <c r="C29" s="416"/>
      <c r="D29" s="416"/>
      <c r="E29" s="416"/>
      <c r="F29" s="416"/>
      <c r="G29" s="416"/>
      <c r="H29" s="416"/>
      <c r="I29" s="416"/>
      <c r="J29" s="416"/>
      <c r="K29" s="416"/>
      <c r="L29" s="416"/>
      <c r="M29" s="416"/>
      <c r="N29" s="416"/>
      <c r="O29" s="416"/>
      <c r="P29" s="416"/>
      <c r="Q29" s="416"/>
      <c r="R29" s="416"/>
      <c r="S29" s="416"/>
      <c r="T29" s="416"/>
      <c r="U29" s="417"/>
    </row>
    <row r="30" spans="2:26" ht="12.75" customHeight="1" x14ac:dyDescent="0.2">
      <c r="B30" s="415" t="s">
        <v>83</v>
      </c>
      <c r="C30" s="416"/>
      <c r="D30" s="416"/>
      <c r="E30" s="416"/>
      <c r="F30" s="416"/>
      <c r="G30" s="416"/>
      <c r="H30" s="416"/>
      <c r="I30" s="416"/>
      <c r="J30" s="416"/>
      <c r="K30" s="416"/>
      <c r="L30" s="416"/>
      <c r="M30" s="416"/>
      <c r="N30" s="416"/>
      <c r="O30" s="416"/>
      <c r="P30" s="416"/>
      <c r="Q30" s="416"/>
      <c r="R30" s="416"/>
      <c r="S30" s="416"/>
      <c r="T30" s="416"/>
      <c r="U30" s="417"/>
    </row>
    <row r="31" spans="2:26" ht="12.75" customHeight="1" x14ac:dyDescent="0.2">
      <c r="B31" s="415" t="s">
        <v>84</v>
      </c>
      <c r="C31" s="416"/>
      <c r="D31" s="416"/>
      <c r="E31" s="416"/>
      <c r="F31" s="416"/>
      <c r="G31" s="416"/>
      <c r="H31" s="416"/>
      <c r="I31" s="416"/>
      <c r="J31" s="416"/>
      <c r="K31" s="416"/>
      <c r="L31" s="416"/>
      <c r="M31" s="416"/>
      <c r="N31" s="416"/>
      <c r="O31" s="416"/>
      <c r="P31" s="416"/>
      <c r="Q31" s="416"/>
      <c r="R31" s="416"/>
      <c r="S31" s="416"/>
      <c r="T31" s="416"/>
      <c r="U31" s="417"/>
    </row>
    <row r="32" spans="2:26" ht="12.75" customHeight="1" x14ac:dyDescent="0.2">
      <c r="B32" s="415" t="s">
        <v>85</v>
      </c>
      <c r="C32" s="416"/>
      <c r="D32" s="416"/>
      <c r="E32" s="416"/>
      <c r="F32" s="416"/>
      <c r="G32" s="416"/>
      <c r="H32" s="416"/>
      <c r="I32" s="416"/>
      <c r="J32" s="416"/>
      <c r="K32" s="416"/>
      <c r="L32" s="416"/>
      <c r="M32" s="416"/>
      <c r="N32" s="416"/>
      <c r="O32" s="416"/>
      <c r="P32" s="416"/>
      <c r="Q32" s="416"/>
      <c r="R32" s="416"/>
      <c r="S32" s="416"/>
      <c r="T32" s="416"/>
      <c r="U32" s="417"/>
    </row>
    <row r="33" spans="2:21" ht="12.75" customHeight="1" x14ac:dyDescent="0.2">
      <c r="B33" s="415" t="s">
        <v>86</v>
      </c>
      <c r="C33" s="416"/>
      <c r="D33" s="416"/>
      <c r="E33" s="416"/>
      <c r="F33" s="416"/>
      <c r="G33" s="416"/>
      <c r="H33" s="416"/>
      <c r="I33" s="416"/>
      <c r="J33" s="416"/>
      <c r="K33" s="416"/>
      <c r="L33" s="416"/>
      <c r="M33" s="416"/>
      <c r="N33" s="416"/>
      <c r="O33" s="416"/>
      <c r="P33" s="416"/>
      <c r="Q33" s="416"/>
      <c r="R33" s="416"/>
      <c r="S33" s="416"/>
      <c r="T33" s="416"/>
      <c r="U33" s="417"/>
    </row>
    <row r="34" spans="2:21" ht="12.75" customHeight="1" x14ac:dyDescent="0.2">
      <c r="B34" s="415" t="s">
        <v>87</v>
      </c>
      <c r="C34" s="416"/>
      <c r="D34" s="416"/>
      <c r="E34" s="416"/>
      <c r="F34" s="416"/>
      <c r="G34" s="416"/>
      <c r="H34" s="416"/>
      <c r="I34" s="416"/>
      <c r="J34" s="416"/>
      <c r="K34" s="416"/>
      <c r="L34" s="416"/>
      <c r="M34" s="416"/>
      <c r="N34" s="416"/>
      <c r="O34" s="416"/>
      <c r="P34" s="416"/>
      <c r="Q34" s="416"/>
      <c r="R34" s="416"/>
      <c r="S34" s="416"/>
      <c r="T34" s="416"/>
      <c r="U34" s="417"/>
    </row>
    <row r="35" spans="2:21" ht="12.75" customHeight="1" x14ac:dyDescent="0.2">
      <c r="B35" s="415" t="s">
        <v>88</v>
      </c>
      <c r="C35" s="416"/>
      <c r="D35" s="416"/>
      <c r="E35" s="416"/>
      <c r="F35" s="416"/>
      <c r="G35" s="416"/>
      <c r="H35" s="416"/>
      <c r="I35" s="416"/>
      <c r="J35" s="416"/>
      <c r="K35" s="416"/>
      <c r="L35" s="416"/>
      <c r="M35" s="416"/>
      <c r="N35" s="416"/>
      <c r="O35" s="416"/>
      <c r="P35" s="416"/>
      <c r="Q35" s="416"/>
      <c r="R35" s="416"/>
      <c r="S35" s="416"/>
      <c r="T35" s="416"/>
      <c r="U35" s="417"/>
    </row>
    <row r="36" spans="2:21" ht="12.75" customHeight="1" x14ac:dyDescent="0.2">
      <c r="B36" s="415" t="s">
        <v>89</v>
      </c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6"/>
      <c r="U36" s="417"/>
    </row>
    <row r="37" spans="2:21" ht="12.75" customHeight="1" x14ac:dyDescent="0.2">
      <c r="B37" s="415" t="s">
        <v>90</v>
      </c>
      <c r="C37" s="416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16"/>
      <c r="O37" s="416"/>
      <c r="P37" s="416"/>
      <c r="Q37" s="416"/>
      <c r="R37" s="416"/>
      <c r="S37" s="416"/>
      <c r="T37" s="416"/>
      <c r="U37" s="417"/>
    </row>
    <row r="38" spans="2:21" ht="12.75" customHeight="1" x14ac:dyDescent="0.2">
      <c r="B38" s="427" t="s">
        <v>91</v>
      </c>
      <c r="C38" s="428"/>
      <c r="D38" s="428"/>
      <c r="E38" s="428"/>
      <c r="F38" s="428"/>
      <c r="G38" s="428"/>
      <c r="H38" s="428"/>
      <c r="I38" s="428"/>
      <c r="J38" s="428"/>
      <c r="K38" s="428"/>
      <c r="L38" s="428"/>
      <c r="M38" s="428"/>
      <c r="N38" s="428"/>
      <c r="O38" s="428"/>
      <c r="P38" s="428"/>
      <c r="Q38" s="428"/>
      <c r="R38" s="428"/>
      <c r="S38" s="428"/>
      <c r="T38" s="428"/>
      <c r="U38" s="429"/>
    </row>
    <row r="39" spans="2:21" ht="12.75" customHeight="1" x14ac:dyDescent="0.2"/>
    <row r="40" spans="2:21" ht="12.75" customHeight="1" x14ac:dyDescent="0.2"/>
    <row r="41" spans="2:21" ht="12.75" customHeight="1" x14ac:dyDescent="0.2"/>
    <row r="42" spans="2:21" ht="12.75" customHeight="1" x14ac:dyDescent="0.2"/>
    <row r="43" spans="2:21" ht="12.75" customHeight="1" x14ac:dyDescent="0.2"/>
    <row r="44" spans="2:21" ht="12.75" customHeight="1" x14ac:dyDescent="0.2"/>
    <row r="45" spans="2:21" ht="12.75" customHeight="1" x14ac:dyDescent="0.2"/>
    <row r="46" spans="2:21" ht="12.75" customHeight="1" x14ac:dyDescent="0.2"/>
    <row r="47" spans="2:21" ht="12.75" customHeight="1" x14ac:dyDescent="0.2"/>
    <row r="48" spans="2:21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mergeCells count="25">
    <mergeCell ref="B24:U24"/>
    <mergeCell ref="B25:U25"/>
    <mergeCell ref="B26:U26"/>
    <mergeCell ref="B33:U33"/>
    <mergeCell ref="B32:U32"/>
    <mergeCell ref="B30:U30"/>
    <mergeCell ref="B31:U31"/>
    <mergeCell ref="B27:U27"/>
    <mergeCell ref="B37:U37"/>
    <mergeCell ref="B38:U38"/>
    <mergeCell ref="B36:U36"/>
    <mergeCell ref="B28:U28"/>
    <mergeCell ref="B29:U29"/>
    <mergeCell ref="B34:U34"/>
    <mergeCell ref="B35:U35"/>
    <mergeCell ref="B4:U4"/>
    <mergeCell ref="R6:R7"/>
    <mergeCell ref="S6:U6"/>
    <mergeCell ref="B6:B7"/>
    <mergeCell ref="C6:H6"/>
    <mergeCell ref="I6:M6"/>
    <mergeCell ref="N6:N7"/>
    <mergeCell ref="O6:O7"/>
    <mergeCell ref="P6:P7"/>
    <mergeCell ref="Q6:Q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3"/>
  <sheetViews>
    <sheetView tabSelected="1" zoomScaleNormal="100" workbookViewId="0">
      <pane xSplit="4" ySplit="7" topLeftCell="E59" activePane="bottomRight" state="frozen"/>
      <selection pane="topRight" activeCell="E1" sqref="E1"/>
      <selection pane="bottomLeft" activeCell="A8" sqref="A8"/>
      <selection pane="bottomRight" activeCell="S74" sqref="S74"/>
    </sheetView>
  </sheetViews>
  <sheetFormatPr defaultColWidth="12.5703125" defaultRowHeight="15" customHeight="1" x14ac:dyDescent="0.2"/>
  <cols>
    <col min="1" max="2" width="8" customWidth="1"/>
    <col min="3" max="3" width="53.5703125" customWidth="1"/>
    <col min="4" max="4" width="3.5703125" customWidth="1"/>
    <col min="5" max="9" width="3.7109375" customWidth="1"/>
    <col min="10" max="14" width="5.85546875" customWidth="1"/>
    <col min="15" max="15" width="5.85546875" style="262" customWidth="1"/>
    <col min="16" max="16" width="8.5703125" customWidth="1"/>
    <col min="17" max="17" width="7.7109375" customWidth="1"/>
    <col min="18" max="18" width="11.85546875" bestFit="1" customWidth="1"/>
    <col min="19" max="19" width="9.7109375" customWidth="1"/>
    <col min="20" max="20" width="9.42578125" customWidth="1"/>
    <col min="21" max="22" width="7.7109375" customWidth="1"/>
    <col min="23" max="23" width="12" bestFit="1" customWidth="1"/>
    <col min="24" max="24" width="10" style="253" customWidth="1"/>
    <col min="25" max="25" width="8" customWidth="1"/>
    <col min="26" max="26" width="8" style="253" customWidth="1"/>
    <col min="27" max="27" width="9" customWidth="1"/>
    <col min="28" max="29" width="12.5703125" style="262" customWidth="1"/>
    <col min="30" max="31" width="14.42578125" customWidth="1"/>
    <col min="32" max="33" width="14.42578125" style="262" customWidth="1"/>
    <col min="34" max="34" width="14.42578125" customWidth="1"/>
    <col min="35" max="35" width="11.85546875" customWidth="1"/>
    <col min="36" max="36" width="6.85546875" customWidth="1"/>
    <col min="37" max="38" width="3.7109375" customWidth="1"/>
    <col min="39" max="39" width="8.5703125" customWidth="1"/>
    <col min="40" max="40" width="7.7109375" customWidth="1"/>
    <col min="41" max="41" width="8.28515625" customWidth="1"/>
    <col min="42" max="42" width="7.85546875" customWidth="1"/>
    <col min="43" max="43" width="8.42578125" customWidth="1"/>
    <col min="44" max="44" width="7.7109375" customWidth="1"/>
  </cols>
  <sheetData>
    <row r="1" spans="1:62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5"/>
      <c r="P1" s="1"/>
      <c r="Q1" s="1"/>
      <c r="R1" s="1"/>
      <c r="S1" s="1"/>
      <c r="T1" s="1"/>
      <c r="U1" s="1"/>
      <c r="V1" s="1"/>
      <c r="W1" s="1"/>
      <c r="X1" s="1"/>
      <c r="Y1" s="1"/>
      <c r="Z1" s="265"/>
    </row>
    <row r="2" spans="1:62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65"/>
      <c r="P2" s="1"/>
      <c r="Q2" s="1"/>
      <c r="R2" s="1"/>
      <c r="S2" s="1"/>
      <c r="T2" s="1"/>
      <c r="U2" s="1"/>
      <c r="V2" s="1"/>
      <c r="W2" s="1"/>
      <c r="X2" s="1"/>
      <c r="Y2" s="1"/>
      <c r="Z2" s="265"/>
    </row>
    <row r="3" spans="1:62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65"/>
      <c r="P3" s="1"/>
      <c r="Q3" s="1"/>
      <c r="R3" s="1"/>
      <c r="S3" s="1"/>
      <c r="T3" s="1"/>
      <c r="U3" s="1"/>
      <c r="V3" s="1"/>
      <c r="W3" s="1"/>
      <c r="X3" s="1"/>
      <c r="Y3" s="1"/>
      <c r="Z3" s="265"/>
    </row>
    <row r="4" spans="1:62" ht="18" customHeight="1" x14ac:dyDescent="0.2">
      <c r="A4" s="1"/>
      <c r="B4" s="1"/>
      <c r="C4" s="452" t="s">
        <v>92</v>
      </c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3"/>
      <c r="O4" s="454"/>
      <c r="P4" s="453"/>
      <c r="Q4" s="453"/>
      <c r="R4" s="453"/>
      <c r="S4" s="453"/>
      <c r="T4" s="453"/>
      <c r="U4" s="453"/>
      <c r="V4" s="453"/>
      <c r="W4" s="455"/>
      <c r="X4" s="265"/>
      <c r="Y4" s="1"/>
      <c r="Z4" s="265"/>
      <c r="AA4" s="9"/>
      <c r="AB4" s="9"/>
      <c r="AC4" s="9"/>
      <c r="AD4" s="450"/>
      <c r="AE4" s="451"/>
      <c r="AF4" s="451"/>
      <c r="AG4" s="451"/>
      <c r="AH4" s="451"/>
      <c r="AI4" s="451"/>
      <c r="AJ4" s="451"/>
      <c r="AK4" s="451"/>
      <c r="AL4" s="451"/>
      <c r="AM4" s="451"/>
      <c r="AN4" s="451"/>
      <c r="AO4" s="451"/>
      <c r="AP4" s="451"/>
      <c r="AQ4" s="451"/>
      <c r="AR4" s="451"/>
    </row>
    <row r="5" spans="1:62" ht="8.2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65"/>
      <c r="P5" s="1"/>
      <c r="Q5" s="1"/>
      <c r="R5" s="1"/>
      <c r="S5" s="1"/>
      <c r="T5" s="1"/>
      <c r="U5" s="1"/>
      <c r="V5" s="1"/>
      <c r="W5" s="1"/>
      <c r="X5" s="1"/>
      <c r="Y5" s="1"/>
      <c r="Z5" s="265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</row>
    <row r="6" spans="1:62" ht="26.25" customHeight="1" x14ac:dyDescent="0.2">
      <c r="A6" s="1"/>
      <c r="B6" s="1"/>
      <c r="C6" s="395" t="s">
        <v>93</v>
      </c>
      <c r="D6" s="448" t="s">
        <v>39</v>
      </c>
      <c r="E6" s="384"/>
      <c r="F6" s="384"/>
      <c r="G6" s="384"/>
      <c r="H6" s="384"/>
      <c r="I6" s="385"/>
      <c r="J6" s="448" t="s">
        <v>40</v>
      </c>
      <c r="K6" s="384"/>
      <c r="L6" s="384"/>
      <c r="M6" s="384"/>
      <c r="N6" s="385"/>
      <c r="O6" s="434" t="s">
        <v>571</v>
      </c>
      <c r="P6" s="434" t="s">
        <v>176</v>
      </c>
      <c r="Q6" s="434" t="s">
        <v>42</v>
      </c>
      <c r="R6" s="434" t="s">
        <v>43</v>
      </c>
      <c r="S6" s="434" t="s">
        <v>494</v>
      </c>
      <c r="T6" s="434" t="s">
        <v>45</v>
      </c>
      <c r="U6" s="448" t="s">
        <v>46</v>
      </c>
      <c r="V6" s="384"/>
      <c r="W6" s="385"/>
      <c r="X6" s="434" t="s">
        <v>493</v>
      </c>
      <c r="Y6" s="434" t="s">
        <v>607</v>
      </c>
      <c r="Z6" s="434" t="s">
        <v>606</v>
      </c>
      <c r="AA6" s="434" t="s">
        <v>608</v>
      </c>
      <c r="AB6" s="434" t="s">
        <v>609</v>
      </c>
      <c r="AC6" s="434" t="s">
        <v>610</v>
      </c>
      <c r="AD6" s="434" t="s">
        <v>611</v>
      </c>
      <c r="AE6" s="434" t="s">
        <v>612</v>
      </c>
      <c r="AF6" s="434" t="s">
        <v>564</v>
      </c>
      <c r="AG6" s="434" t="s">
        <v>566</v>
      </c>
      <c r="AH6" s="434" t="s">
        <v>565</v>
      </c>
      <c r="AI6" s="434" t="s">
        <v>567</v>
      </c>
      <c r="AJ6" s="262"/>
      <c r="AK6" s="262"/>
      <c r="AL6" s="262"/>
      <c r="AM6" s="8"/>
      <c r="AN6" s="8"/>
      <c r="AP6" s="8"/>
      <c r="AQ6" s="8"/>
      <c r="AR6" s="263"/>
      <c r="AS6" s="262"/>
      <c r="AT6" s="262"/>
      <c r="AU6" s="262"/>
      <c r="AV6" s="262"/>
      <c r="AW6" s="262"/>
      <c r="AX6" s="262"/>
      <c r="AY6" s="347" t="s">
        <v>505</v>
      </c>
      <c r="AZ6" s="262"/>
      <c r="BA6" s="262"/>
      <c r="BB6" s="262"/>
      <c r="BC6" s="262"/>
      <c r="BD6" s="262"/>
      <c r="BE6" s="262"/>
      <c r="BF6" s="262"/>
      <c r="BG6" s="262"/>
      <c r="BH6" s="262"/>
      <c r="BI6" s="262"/>
      <c r="BJ6" s="262"/>
    </row>
    <row r="7" spans="1:62" ht="36.75" customHeight="1" x14ac:dyDescent="0.2">
      <c r="A7" s="1"/>
      <c r="B7" s="1"/>
      <c r="C7" s="388"/>
      <c r="D7" s="35">
        <f>'QDFL - Pav. Térreo Inf e Super'!C7</f>
        <v>20</v>
      </c>
      <c r="E7" s="35">
        <v>12</v>
      </c>
      <c r="F7" s="35">
        <v>100</v>
      </c>
      <c r="G7" s="35">
        <v>150</v>
      </c>
      <c r="H7" s="35">
        <v>200</v>
      </c>
      <c r="I7" s="35">
        <v>300</v>
      </c>
      <c r="J7" s="35">
        <v>100</v>
      </c>
      <c r="K7" s="35">
        <v>300</v>
      </c>
      <c r="L7" s="35">
        <v>1500</v>
      </c>
      <c r="M7" s="35">
        <v>600</v>
      </c>
      <c r="N7" s="35">
        <v>1200</v>
      </c>
      <c r="O7" s="388"/>
      <c r="P7" s="388"/>
      <c r="Q7" s="388"/>
      <c r="R7" s="388"/>
      <c r="S7" s="388"/>
      <c r="T7" s="388"/>
      <c r="U7" s="56" t="s">
        <v>47</v>
      </c>
      <c r="V7" s="56" t="s">
        <v>48</v>
      </c>
      <c r="W7" s="56" t="s">
        <v>49</v>
      </c>
      <c r="X7" s="406"/>
      <c r="Y7" s="406"/>
      <c r="Z7" s="388"/>
      <c r="AA7" s="406"/>
      <c r="AB7" s="406"/>
      <c r="AC7" s="406"/>
      <c r="AD7" s="406"/>
      <c r="AE7" s="406"/>
      <c r="AF7" s="406"/>
      <c r="AG7" s="406"/>
      <c r="AH7" s="406"/>
      <c r="AI7" s="406"/>
      <c r="AJ7" s="12"/>
      <c r="AK7" s="12"/>
      <c r="AL7" s="12"/>
      <c r="AM7" s="262"/>
      <c r="AN7" s="262"/>
      <c r="AO7" s="262"/>
      <c r="AP7" s="262"/>
      <c r="AQ7" s="262"/>
      <c r="AR7" s="12"/>
      <c r="AS7" s="262"/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2"/>
      <c r="BE7" s="262"/>
      <c r="BF7" s="262"/>
      <c r="BG7" s="262"/>
      <c r="BH7" s="262"/>
      <c r="BI7" s="262"/>
      <c r="BJ7" s="262"/>
    </row>
    <row r="8" spans="1:62" ht="12.75" customHeight="1" x14ac:dyDescent="0.2">
      <c r="A8" s="1"/>
      <c r="B8" s="447" t="s">
        <v>599</v>
      </c>
      <c r="C8" s="5" t="str">
        <f>'QDFL - Pav. Térreo Inf e Super'!B8</f>
        <v>1 - Iluminação Copa WCs e Lavanderia</v>
      </c>
      <c r="D8" s="57">
        <f>'QDFL - Pav. Térreo Inf e Super'!C8</f>
        <v>4</v>
      </c>
      <c r="E8" s="57">
        <f>'QDFL - Pav. Térreo Inf e Super'!D8</f>
        <v>5</v>
      </c>
      <c r="F8" s="57">
        <f>'QDFL - Pav. Térreo Inf e Super'!E8</f>
        <v>3</v>
      </c>
      <c r="G8" s="57">
        <f>'QDFL - Pav. Térreo Inf e Super'!F8</f>
        <v>2</v>
      </c>
      <c r="H8" s="57">
        <f>'QDFL - Pav. Térreo Inf e Super'!G8</f>
        <v>0</v>
      </c>
      <c r="I8" s="57">
        <f>'QDFL - Pav. Térreo Inf e Super'!H8</f>
        <v>0</v>
      </c>
      <c r="J8" s="5"/>
      <c r="K8" s="5"/>
      <c r="L8" s="5"/>
      <c r="M8" s="5"/>
      <c r="N8" s="5"/>
      <c r="O8" s="5">
        <v>1</v>
      </c>
      <c r="P8" s="6">
        <f t="shared" ref="P8:P20" si="0">$D$7*D8+$E$7*E8+$F$7*F8+$G$7*G8+$H$7*H8+$I$7*I8+$J$7*J8+$K$7*K8+$L$7*L8+$M$7*M8+$N$7*N8</f>
        <v>740</v>
      </c>
      <c r="Q8" s="57">
        <f>'QDFL - Pav. Térreo Inf e Super'!O8</f>
        <v>127</v>
      </c>
      <c r="R8" s="44">
        <f t="shared" ref="R8:R33" si="1">P8/Q8</f>
        <v>5.8267716535433074</v>
      </c>
      <c r="S8" s="58">
        <f>'QDFL - Pav. Térreo Inf e Super'!Q8</f>
        <v>1.5</v>
      </c>
      <c r="T8" s="57">
        <f>'QDFL - Pav. Térreo Inf e Super'!R8</f>
        <v>10</v>
      </c>
      <c r="U8" s="5">
        <f>IF('QDFL - Pav. Térreo Inf e Super'!S8="","",'QDFL - Pav. Térreo Inf e Super'!S8)</f>
        <v>740</v>
      </c>
      <c r="V8" s="5" t="str">
        <f>IF('QDFL - Pav. Térreo Inf e Super'!T8="","",'QDFL - Pav. Térreo Inf e Super'!T8)</f>
        <v/>
      </c>
      <c r="W8" s="256" t="str">
        <f>IF('QDFL - Pav. Térreo Inf e Super'!U8="","",'QDFL - Pav. Térreo Inf e Super'!U8)</f>
        <v/>
      </c>
      <c r="X8" s="257">
        <v>100</v>
      </c>
      <c r="Y8" s="257">
        <v>1</v>
      </c>
      <c r="Z8" s="268">
        <f t="shared" ref="Z8:Z14" si="2">P8/Y8</f>
        <v>740</v>
      </c>
      <c r="AA8" s="267">
        <f>X8/100</f>
        <v>1</v>
      </c>
      <c r="AB8" s="267">
        <v>0.7</v>
      </c>
      <c r="AC8" s="267">
        <v>1</v>
      </c>
      <c r="AD8" s="278">
        <f>(Z8*AA8)/(AB8*AC8)</f>
        <v>1057.1428571428571</v>
      </c>
      <c r="AE8" s="196">
        <f>AD8/Q8</f>
        <v>8.3239595050618664</v>
      </c>
      <c r="AF8" s="186">
        <v>15.16</v>
      </c>
      <c r="AG8" s="186">
        <f>IF(S8=1.5,23.3,IF(S8=2.5,14.3,IF(S8=4,8.96,"VER")))</f>
        <v>23.3</v>
      </c>
      <c r="AH8" s="311">
        <f>AE8*AG8*(AF8/1000)*100/127</f>
        <v>2.315161864609443</v>
      </c>
      <c r="AI8" s="310" t="str">
        <f>IF(AH8&lt;4,"OK","Não Atende")</f>
        <v>OK</v>
      </c>
      <c r="AJ8" s="12"/>
      <c r="AK8" s="12"/>
      <c r="AL8" s="12"/>
      <c r="AM8" s="12"/>
      <c r="AN8" s="12"/>
      <c r="AO8" s="11"/>
      <c r="AP8" s="11"/>
      <c r="AQ8" s="12"/>
      <c r="AR8" s="12"/>
      <c r="AY8" s="443" t="s">
        <v>507</v>
      </c>
      <c r="AZ8" s="443"/>
      <c r="BA8" s="443"/>
      <c r="BB8" s="443"/>
      <c r="BC8" s="443"/>
    </row>
    <row r="9" spans="1:62" ht="12.75" customHeight="1" x14ac:dyDescent="0.2">
      <c r="A9" s="1"/>
      <c r="B9" s="387"/>
      <c r="C9" s="5" t="str">
        <f>'QDFL - Pav. Térreo Inf e Super'!B9</f>
        <v>2 - Iluminação Dorms 3 e 4 Térreo e Closet</v>
      </c>
      <c r="D9" s="57">
        <f>'QDFL - Pav. Térreo Inf e Super'!C9</f>
        <v>11</v>
      </c>
      <c r="E9" s="57">
        <f>'QDFL - Pav. Térreo Inf e Super'!D9</f>
        <v>4</v>
      </c>
      <c r="F9" s="57">
        <f>'QDFL - Pav. Térreo Inf e Super'!E9</f>
        <v>1</v>
      </c>
      <c r="G9" s="57">
        <f>'QDFL - Pav. Térreo Inf e Super'!F9</f>
        <v>0</v>
      </c>
      <c r="H9" s="57">
        <f>'QDFL - Pav. Térreo Inf e Super'!G9</f>
        <v>0</v>
      </c>
      <c r="I9" s="57">
        <f>'QDFL - Pav. Térreo Inf e Super'!H9</f>
        <v>0</v>
      </c>
      <c r="J9" s="5"/>
      <c r="K9" s="5"/>
      <c r="L9" s="5"/>
      <c r="M9" s="5"/>
      <c r="N9" s="5"/>
      <c r="O9" s="5">
        <v>1</v>
      </c>
      <c r="P9" s="6">
        <f t="shared" si="0"/>
        <v>368</v>
      </c>
      <c r="Q9" s="57">
        <f>'QDFL - Pav. Térreo Inf e Super'!O9</f>
        <v>127</v>
      </c>
      <c r="R9" s="44">
        <f t="shared" si="1"/>
        <v>2.8976377952755907</v>
      </c>
      <c r="S9" s="58">
        <f>'QDFL - Pav. Térreo Inf e Super'!Q9</f>
        <v>1.5</v>
      </c>
      <c r="T9" s="57">
        <f>'QDFL - Pav. Térreo Inf e Super'!R9</f>
        <v>10</v>
      </c>
      <c r="U9" s="5" t="str">
        <f>IF('QDFL - Pav. Térreo Inf e Super'!S9="","",'QDFL - Pav. Térreo Inf e Super'!S9)</f>
        <v/>
      </c>
      <c r="V9" s="5">
        <f>IF('QDFL - Pav. Térreo Inf e Super'!T9="","",'QDFL - Pav. Térreo Inf e Super'!T9)</f>
        <v>368</v>
      </c>
      <c r="W9" s="256" t="str">
        <f>IF('QDFL - Pav. Térreo Inf e Super'!U9="","",'QDFL - Pav. Térreo Inf e Super'!U9)</f>
        <v/>
      </c>
      <c r="X9" s="257">
        <v>100</v>
      </c>
      <c r="Y9" s="257">
        <v>1</v>
      </c>
      <c r="Z9" s="268">
        <f t="shared" si="2"/>
        <v>368</v>
      </c>
      <c r="AA9" s="267">
        <f t="shared" ref="AA9:AA29" si="3">X9/100</f>
        <v>1</v>
      </c>
      <c r="AB9" s="267">
        <v>0.7</v>
      </c>
      <c r="AC9" s="267">
        <v>1</v>
      </c>
      <c r="AD9" s="278">
        <f>(Z9*AA9)/(AB9*AC9)</f>
        <v>525.71428571428578</v>
      </c>
      <c r="AE9" s="196">
        <f t="shared" ref="AE9:AE29" si="4">AD9/Q9</f>
        <v>4.1394825646794153</v>
      </c>
      <c r="AF9" s="186">
        <v>14.29</v>
      </c>
      <c r="AG9" s="186">
        <f t="shared" ref="AG9:AG33" si="5">IF(S9=1.5,23.3,IF(S9=2.5,14.3,IF(S9=4,8.96,"VER")))</f>
        <v>23.3</v>
      </c>
      <c r="AH9" s="311">
        <f t="shared" ref="AH9:AH33" si="6">AE9*AG9*(AF9/1000)*100/127</f>
        <v>1.0852517293606017</v>
      </c>
      <c r="AI9" s="310" t="str">
        <f t="shared" ref="AI9:AI35" si="7">IF(AH9&lt;4,"OK","Não Atende")</f>
        <v>OK</v>
      </c>
      <c r="AJ9" s="12"/>
      <c r="AK9" s="12"/>
      <c r="AL9" s="12"/>
      <c r="AM9" s="12"/>
      <c r="AN9" s="12"/>
      <c r="AO9" s="11"/>
      <c r="AP9" s="11"/>
      <c r="AQ9" s="12"/>
      <c r="AR9" s="12"/>
      <c r="AY9" s="443"/>
      <c r="AZ9" s="443"/>
      <c r="BA9" s="443"/>
      <c r="BB9" s="443"/>
      <c r="BC9" s="443"/>
    </row>
    <row r="10" spans="1:62" s="157" customFormat="1" ht="12.75" customHeight="1" x14ac:dyDescent="0.2">
      <c r="A10" s="1"/>
      <c r="B10" s="406"/>
      <c r="C10" s="5" t="str">
        <f>'QDFL - Pav. Térreo Inf e Super'!B10</f>
        <v>3 - Iluminação Salas e Varandas</v>
      </c>
      <c r="D10" s="57">
        <f>'QDFL - Pav. Térreo Inf e Super'!C10</f>
        <v>3</v>
      </c>
      <c r="E10" s="57">
        <f>'QDFL - Pav. Térreo Inf e Super'!D10</f>
        <v>3</v>
      </c>
      <c r="F10" s="57">
        <f>'QDFL - Pav. Térreo Inf e Super'!E10</f>
        <v>1</v>
      </c>
      <c r="G10" s="57">
        <f>'QDFL - Pav. Térreo Inf e Super'!F10</f>
        <v>1</v>
      </c>
      <c r="H10" s="57">
        <f>'QDFL - Pav. Térreo Inf e Super'!G10</f>
        <v>0</v>
      </c>
      <c r="I10" s="57">
        <f>'QDFL - Pav. Térreo Inf e Super'!H10</f>
        <v>2</v>
      </c>
      <c r="J10" s="5"/>
      <c r="K10" s="5"/>
      <c r="L10" s="5"/>
      <c r="M10" s="5"/>
      <c r="N10" s="5"/>
      <c r="O10" s="5">
        <v>1</v>
      </c>
      <c r="P10" s="6">
        <f t="shared" si="0"/>
        <v>946</v>
      </c>
      <c r="Q10" s="57">
        <f>'QDFL - Pav. Térreo Inf e Super'!O10</f>
        <v>127</v>
      </c>
      <c r="R10" s="44">
        <f t="shared" si="1"/>
        <v>7.4488188976377954</v>
      </c>
      <c r="S10" s="58">
        <f>'QDFL - Pav. Térreo Inf e Super'!Q10</f>
        <v>1.5</v>
      </c>
      <c r="T10" s="57">
        <f>'QDFL - Pav. Térreo Inf e Super'!R10</f>
        <v>10</v>
      </c>
      <c r="U10" s="5" t="str">
        <f>IF('QDFL - Pav. Térreo Inf e Super'!S10="","",'QDFL - Pav. Térreo Inf e Super'!S10)</f>
        <v/>
      </c>
      <c r="V10" s="5" t="str">
        <f>IF('QDFL - Pav. Térreo Inf e Super'!T10="","",'QDFL - Pav. Térreo Inf e Super'!T10)</f>
        <v/>
      </c>
      <c r="W10" s="256">
        <f>IF('QDFL - Pav. Térreo Inf e Super'!U10="","",'QDFL - Pav. Térreo Inf e Super'!U10)</f>
        <v>946</v>
      </c>
      <c r="X10" s="257">
        <v>100</v>
      </c>
      <c r="Y10" s="257">
        <v>1</v>
      </c>
      <c r="Z10" s="268">
        <f t="shared" si="2"/>
        <v>946</v>
      </c>
      <c r="AA10" s="267">
        <f t="shared" si="3"/>
        <v>1</v>
      </c>
      <c r="AB10" s="267">
        <v>0.7</v>
      </c>
      <c r="AC10" s="267">
        <v>1</v>
      </c>
      <c r="AD10" s="278">
        <f t="shared" ref="AD10:AD29" si="8">(Z10*AA10)/(AB10*AC10)</f>
        <v>1351.4285714285716</v>
      </c>
      <c r="AE10" s="196">
        <f t="shared" si="4"/>
        <v>10.641169853768281</v>
      </c>
      <c r="AF10" s="186">
        <v>9.8000000000000007</v>
      </c>
      <c r="AG10" s="186">
        <f t="shared" si="5"/>
        <v>23.3</v>
      </c>
      <c r="AH10" s="311">
        <f t="shared" si="6"/>
        <v>1.9132320664641336</v>
      </c>
      <c r="AI10" s="310" t="str">
        <f t="shared" si="7"/>
        <v>OK</v>
      </c>
      <c r="AJ10" s="12"/>
      <c r="AK10" s="12"/>
      <c r="AL10" s="12"/>
      <c r="AM10" s="12"/>
      <c r="AN10" s="12"/>
      <c r="AO10" s="11"/>
      <c r="AP10" s="11"/>
      <c r="AQ10" s="12"/>
      <c r="AR10" s="12"/>
      <c r="AY10" s="443"/>
      <c r="AZ10" s="443"/>
      <c r="BA10" s="443"/>
      <c r="BB10" s="443"/>
      <c r="BC10" s="443"/>
    </row>
    <row r="11" spans="1:62" s="157" customFormat="1" ht="12.75" customHeight="1" x14ac:dyDescent="0.2">
      <c r="A11" s="1"/>
      <c r="B11" s="406"/>
      <c r="C11" s="5" t="str">
        <f>'QDFL - Pav. Térreo Inf e Super'!B11</f>
        <v>4 - Iluminação Dorms 1 e 2 e WCs Piso Inferior</v>
      </c>
      <c r="D11" s="57">
        <f>'QDFL - Pav. Térreo Inf e Super'!C11</f>
        <v>24</v>
      </c>
      <c r="E11" s="57">
        <f>'QDFL - Pav. Térreo Inf e Super'!D11</f>
        <v>6</v>
      </c>
      <c r="F11" s="57">
        <f>'QDFL - Pav. Térreo Inf e Super'!E11</f>
        <v>3</v>
      </c>
      <c r="G11" s="57">
        <f>'QDFL - Pav. Térreo Inf e Super'!F11</f>
        <v>0</v>
      </c>
      <c r="H11" s="57">
        <f>'QDFL - Pav. Térreo Inf e Super'!G11</f>
        <v>0</v>
      </c>
      <c r="I11" s="57">
        <f>'QDFL - Pav. Térreo Inf e Super'!H11</f>
        <v>0</v>
      </c>
      <c r="J11" s="5"/>
      <c r="K11" s="5"/>
      <c r="L11" s="5"/>
      <c r="M11" s="5"/>
      <c r="N11" s="5"/>
      <c r="O11" s="5">
        <v>1</v>
      </c>
      <c r="P11" s="6">
        <f t="shared" ref="P11" si="9">$D$7*D11+$E$7*E11+$F$7*F11+$G$7*G11+$H$7*H11+$I$7*I11+$J$7*J11+$K$7*K11+$L$7*L11+$M$7*M11+$N$7*N11</f>
        <v>852</v>
      </c>
      <c r="Q11" s="57">
        <f>'QDFL - Pav. Térreo Inf e Super'!O11</f>
        <v>127</v>
      </c>
      <c r="R11" s="44">
        <f t="shared" ref="R11" si="10">P11/Q11</f>
        <v>6.7086614173228343</v>
      </c>
      <c r="S11" s="58">
        <f>'QDFL - Pav. Térreo Inf e Super'!Q11</f>
        <v>1.5</v>
      </c>
      <c r="T11" s="57">
        <f>'QDFL - Pav. Térreo Inf e Super'!R11</f>
        <v>10</v>
      </c>
      <c r="U11" s="5">
        <f>IF('QDFL - Pav. Térreo Inf e Super'!S11="","",'QDFL - Pav. Térreo Inf e Super'!S11)</f>
        <v>852</v>
      </c>
      <c r="V11" s="5" t="str">
        <f>IF('QDFL - Pav. Térreo Inf e Super'!T11="","",'QDFL - Pav. Térreo Inf e Super'!T11)</f>
        <v/>
      </c>
      <c r="W11" s="256" t="str">
        <f>IF('QDFL - Pav. Térreo Inf e Super'!U11="","",'QDFL - Pav. Térreo Inf e Super'!U11)</f>
        <v/>
      </c>
      <c r="X11" s="257">
        <v>100</v>
      </c>
      <c r="Y11" s="257">
        <v>1</v>
      </c>
      <c r="Z11" s="268">
        <f t="shared" si="2"/>
        <v>852</v>
      </c>
      <c r="AA11" s="267">
        <f t="shared" si="3"/>
        <v>1</v>
      </c>
      <c r="AB11" s="267">
        <v>0.7</v>
      </c>
      <c r="AC11" s="267">
        <v>1</v>
      </c>
      <c r="AD11" s="278">
        <f t="shared" si="8"/>
        <v>1217.1428571428571</v>
      </c>
      <c r="AE11" s="196">
        <f t="shared" si="4"/>
        <v>9.5838020247469071</v>
      </c>
      <c r="AF11" s="186">
        <v>11.25</v>
      </c>
      <c r="AG11" s="186">
        <f t="shared" si="5"/>
        <v>23.3</v>
      </c>
      <c r="AH11" s="311">
        <f t="shared" si="6"/>
        <v>1.9780740990053409</v>
      </c>
      <c r="AI11" s="310" t="str">
        <f t="shared" si="7"/>
        <v>OK</v>
      </c>
      <c r="AJ11" s="12"/>
      <c r="AK11" s="12"/>
      <c r="AL11" s="12"/>
      <c r="AM11" s="12"/>
      <c r="AN11" s="12"/>
      <c r="AO11" s="11"/>
      <c r="AP11" s="11"/>
      <c r="AQ11" s="12"/>
      <c r="AR11" s="12"/>
      <c r="AY11" s="443"/>
      <c r="AZ11" s="443"/>
      <c r="BA11" s="443"/>
      <c r="BB11" s="443"/>
      <c r="BC11" s="443"/>
    </row>
    <row r="12" spans="1:62" s="157" customFormat="1" ht="12.75" customHeight="1" x14ac:dyDescent="0.2">
      <c r="A12" s="1"/>
      <c r="B12" s="406"/>
      <c r="C12" s="5" t="str">
        <f>'QDFL - Pav. Térreo Inf e Super'!B12</f>
        <v>5 - Iluminação Garagem</v>
      </c>
      <c r="D12" s="57">
        <f>'QDFL - Pav. Térreo Inf e Super'!C12</f>
        <v>0</v>
      </c>
      <c r="E12" s="57">
        <f>'QDFL - Pav. Térreo Inf e Super'!D12</f>
        <v>24</v>
      </c>
      <c r="F12" s="57">
        <f>'QDFL - Pav. Térreo Inf e Super'!E12</f>
        <v>0</v>
      </c>
      <c r="G12" s="57">
        <f>'QDFL - Pav. Térreo Inf e Super'!F12</f>
        <v>0</v>
      </c>
      <c r="H12" s="57">
        <f>'QDFL - Pav. Térreo Inf e Super'!G12</f>
        <v>2</v>
      </c>
      <c r="I12" s="57">
        <f>'QDFL - Pav. Térreo Inf e Super'!H12</f>
        <v>0</v>
      </c>
      <c r="J12" s="5"/>
      <c r="K12" s="5"/>
      <c r="L12" s="5"/>
      <c r="M12" s="5"/>
      <c r="N12" s="5"/>
      <c r="O12" s="5">
        <v>1</v>
      </c>
      <c r="P12" s="6">
        <f t="shared" si="0"/>
        <v>688</v>
      </c>
      <c r="Q12" s="57">
        <f>'QDFL - Pav. Térreo Inf e Super'!O12</f>
        <v>127</v>
      </c>
      <c r="R12" s="44">
        <f t="shared" si="1"/>
        <v>5.4173228346456694</v>
      </c>
      <c r="S12" s="58">
        <f>'QDFL - Pav. Térreo Inf e Super'!Q12</f>
        <v>1.5</v>
      </c>
      <c r="T12" s="57">
        <f>'QDFL - Pav. Térreo Inf e Super'!R12</f>
        <v>10</v>
      </c>
      <c r="U12" s="5" t="str">
        <f>IF('QDFL - Pav. Térreo Inf e Super'!S12="","",'QDFL - Pav. Térreo Inf e Super'!S12)</f>
        <v/>
      </c>
      <c r="V12" s="5" t="str">
        <f>IF('QDFL - Pav. Térreo Inf e Super'!T12="","",'QDFL - Pav. Térreo Inf e Super'!T12)</f>
        <v/>
      </c>
      <c r="W12" s="256">
        <f>IF('QDFL - Pav. Térreo Inf e Super'!U12="","",'QDFL - Pav. Térreo Inf e Super'!U12)</f>
        <v>688</v>
      </c>
      <c r="X12" s="257">
        <v>100</v>
      </c>
      <c r="Y12" s="257">
        <v>1</v>
      </c>
      <c r="Z12" s="268">
        <f t="shared" si="2"/>
        <v>688</v>
      </c>
      <c r="AA12" s="267">
        <f t="shared" si="3"/>
        <v>1</v>
      </c>
      <c r="AB12" s="267">
        <v>0.7</v>
      </c>
      <c r="AC12" s="267">
        <v>1</v>
      </c>
      <c r="AD12" s="278">
        <f t="shared" si="8"/>
        <v>982.85714285714289</v>
      </c>
      <c r="AE12" s="196">
        <f t="shared" si="4"/>
        <v>7.7390326209223845</v>
      </c>
      <c r="AF12" s="186">
        <v>23.98</v>
      </c>
      <c r="AG12" s="186">
        <f t="shared" si="5"/>
        <v>23.3</v>
      </c>
      <c r="AH12" s="311">
        <f t="shared" si="6"/>
        <v>3.4047721672586206</v>
      </c>
      <c r="AI12" s="310" t="str">
        <f t="shared" si="7"/>
        <v>OK</v>
      </c>
      <c r="AJ12" s="12"/>
      <c r="AK12" s="12"/>
      <c r="AL12" s="12">
        <v>660</v>
      </c>
      <c r="AM12" s="12">
        <v>0.8</v>
      </c>
      <c r="AN12" s="12">
        <f>AM12*AL12</f>
        <v>528</v>
      </c>
      <c r="AO12" s="11"/>
      <c r="AP12" s="11"/>
      <c r="AQ12" s="12"/>
      <c r="AR12" s="12"/>
      <c r="AY12" s="443"/>
      <c r="AZ12" s="443"/>
      <c r="BA12" s="443"/>
      <c r="BB12" s="443"/>
      <c r="BC12" s="443"/>
    </row>
    <row r="13" spans="1:62" s="157" customFormat="1" ht="12.75" customHeight="1" x14ac:dyDescent="0.2">
      <c r="A13" s="1"/>
      <c r="B13" s="406"/>
      <c r="C13" s="5" t="str">
        <f>'QDFL - Pav. Térreo Inf e Super'!B13</f>
        <v>6 - Iluminação Jardim Entrada</v>
      </c>
      <c r="D13" s="57">
        <f>'QDFL - Pav. Térreo Inf e Super'!C13</f>
        <v>6</v>
      </c>
      <c r="E13" s="57">
        <f>'QDFL - Pav. Térreo Inf e Super'!D13</f>
        <v>20</v>
      </c>
      <c r="F13" s="57">
        <f>'QDFL - Pav. Térreo Inf e Super'!E13</f>
        <v>0</v>
      </c>
      <c r="G13" s="57">
        <f>'QDFL - Pav. Térreo Inf e Super'!F13</f>
        <v>0</v>
      </c>
      <c r="H13" s="57">
        <f>'QDFL - Pav. Térreo Inf e Super'!G13</f>
        <v>0</v>
      </c>
      <c r="I13" s="57">
        <f>'QDFL - Pav. Térreo Inf e Super'!H13</f>
        <v>0</v>
      </c>
      <c r="J13" s="5"/>
      <c r="K13" s="5"/>
      <c r="L13" s="5"/>
      <c r="M13" s="5"/>
      <c r="N13" s="5"/>
      <c r="O13" s="5">
        <v>1</v>
      </c>
      <c r="P13" s="6">
        <f t="shared" ref="P13" si="11">$D$7*D13+$E$7*E13+$F$7*F13+$G$7*G13+$H$7*H13+$I$7*I13+$J$7*J13+$K$7*K13+$L$7*L13+$M$7*M13+$N$7*N13</f>
        <v>360</v>
      </c>
      <c r="Q13" s="57">
        <f>'QDFL - Pav. Térreo Inf e Super'!O13</f>
        <v>127</v>
      </c>
      <c r="R13" s="44">
        <f t="shared" ref="R13" si="12">P13/Q13</f>
        <v>2.8346456692913384</v>
      </c>
      <c r="S13" s="58">
        <f>'QDFL - Pav. Térreo Inf e Super'!Q13</f>
        <v>1.5</v>
      </c>
      <c r="T13" s="57">
        <f>'QDFL - Pav. Térreo Inf e Super'!R13</f>
        <v>10</v>
      </c>
      <c r="U13" s="5">
        <f>IF('QDFL - Pav. Térreo Inf e Super'!S13="","",'QDFL - Pav. Térreo Inf e Super'!S13)</f>
        <v>360</v>
      </c>
      <c r="V13" s="5" t="str">
        <f>IF('QDFL - Pav. Térreo Inf e Super'!T13="","",'QDFL - Pav. Térreo Inf e Super'!T13)</f>
        <v/>
      </c>
      <c r="W13" s="256" t="str">
        <f>IF('QDFL - Pav. Térreo Inf e Super'!U13="","",'QDFL - Pav. Térreo Inf e Super'!U13)</f>
        <v/>
      </c>
      <c r="X13" s="257">
        <v>100</v>
      </c>
      <c r="Y13" s="257">
        <v>1</v>
      </c>
      <c r="Z13" s="268">
        <f t="shared" si="2"/>
        <v>360</v>
      </c>
      <c r="AA13" s="267">
        <f t="shared" si="3"/>
        <v>1</v>
      </c>
      <c r="AB13" s="267">
        <v>0.7</v>
      </c>
      <c r="AC13" s="267">
        <v>1</v>
      </c>
      <c r="AD13" s="278">
        <f t="shared" si="8"/>
        <v>514.28571428571433</v>
      </c>
      <c r="AE13" s="196">
        <f t="shared" si="4"/>
        <v>4.0494938132733411</v>
      </c>
      <c r="AF13" s="186">
        <v>7.66</v>
      </c>
      <c r="AG13" s="186">
        <f t="shared" si="5"/>
        <v>23.3</v>
      </c>
      <c r="AH13" s="311">
        <f t="shared" si="6"/>
        <v>0.56909098961055071</v>
      </c>
      <c r="AI13" s="310" t="str">
        <f t="shared" si="7"/>
        <v>OK</v>
      </c>
      <c r="AJ13" s="12"/>
      <c r="AK13" s="12"/>
      <c r="AL13" s="12">
        <f>220*1.73</f>
        <v>380.6</v>
      </c>
      <c r="AM13" s="12">
        <v>0.8</v>
      </c>
      <c r="AN13" s="12">
        <f>AM13*AL13</f>
        <v>304.48</v>
      </c>
      <c r="AO13" s="11"/>
      <c r="AP13" s="11"/>
      <c r="AQ13" s="12"/>
      <c r="AR13" s="12"/>
      <c r="AY13" s="443"/>
      <c r="AZ13" s="443"/>
      <c r="BA13" s="443"/>
      <c r="BB13" s="443"/>
      <c r="BC13" s="443"/>
    </row>
    <row r="14" spans="1:62" ht="12.75" customHeight="1" x14ac:dyDescent="0.2">
      <c r="A14" s="1"/>
      <c r="B14" s="387"/>
      <c r="C14" s="5" t="str">
        <f>'QDFL - Pav. Térreo Inf e Super'!B14</f>
        <v>7 - Iluminação Dorm 5 e Escritório</v>
      </c>
      <c r="D14" s="57">
        <f>'QDFL - Pav. Térreo Inf e Super'!C14</f>
        <v>27</v>
      </c>
      <c r="E14" s="57">
        <f>'QDFL - Pav. Térreo Inf e Super'!D14</f>
        <v>4</v>
      </c>
      <c r="F14" s="57">
        <f>'QDFL - Pav. Térreo Inf e Super'!E14</f>
        <v>2</v>
      </c>
      <c r="G14" s="57">
        <f>'QDFL - Pav. Térreo Inf e Super'!F14</f>
        <v>0</v>
      </c>
      <c r="H14" s="57">
        <f>'QDFL - Pav. Térreo Inf e Super'!G14</f>
        <v>0</v>
      </c>
      <c r="I14" s="57">
        <f>'QDFL - Pav. Térreo Inf e Super'!H14</f>
        <v>0</v>
      </c>
      <c r="J14" s="5"/>
      <c r="K14" s="5"/>
      <c r="L14" s="5"/>
      <c r="M14" s="5"/>
      <c r="N14" s="5"/>
      <c r="O14" s="5">
        <v>1</v>
      </c>
      <c r="P14" s="6">
        <f t="shared" si="0"/>
        <v>788</v>
      </c>
      <c r="Q14" s="57">
        <f>'QDFL - Pav. Térreo Inf e Super'!O14</f>
        <v>127</v>
      </c>
      <c r="R14" s="44">
        <f t="shared" si="1"/>
        <v>6.2047244094488185</v>
      </c>
      <c r="S14" s="58">
        <f>'QDFL - Pav. Térreo Inf e Super'!Q14</f>
        <v>1.5</v>
      </c>
      <c r="T14" s="57">
        <f>'QDFL - Pav. Térreo Inf e Super'!R14</f>
        <v>10</v>
      </c>
      <c r="U14" s="5" t="str">
        <f>IF('QDFL - Pav. Térreo Inf e Super'!S14="","",'QDFL - Pav. Térreo Inf e Super'!S14)</f>
        <v/>
      </c>
      <c r="V14" s="5" t="str">
        <f>IF('QDFL - Pav. Térreo Inf e Super'!T14="","",'QDFL - Pav. Térreo Inf e Super'!T14)</f>
        <v/>
      </c>
      <c r="W14" s="256">
        <f>IF('QDFL - Pav. Térreo Inf e Super'!U14="","",'QDFL - Pav. Térreo Inf e Super'!U14)</f>
        <v>788</v>
      </c>
      <c r="X14" s="257">
        <v>100</v>
      </c>
      <c r="Y14" s="257">
        <v>1</v>
      </c>
      <c r="Z14" s="268">
        <f t="shared" si="2"/>
        <v>788</v>
      </c>
      <c r="AA14" s="267">
        <f t="shared" si="3"/>
        <v>1</v>
      </c>
      <c r="AB14" s="267">
        <v>0.7</v>
      </c>
      <c r="AC14" s="267">
        <v>1</v>
      </c>
      <c r="AD14" s="278">
        <f t="shared" si="8"/>
        <v>1125.7142857142858</v>
      </c>
      <c r="AE14" s="196">
        <f t="shared" si="4"/>
        <v>8.8638920134983135</v>
      </c>
      <c r="AF14" s="186">
        <v>14.39</v>
      </c>
      <c r="AG14" s="186">
        <f t="shared" si="5"/>
        <v>23.3</v>
      </c>
      <c r="AH14" s="311">
        <f t="shared" si="6"/>
        <v>2.340116347661267</v>
      </c>
      <c r="AI14" s="310" t="str">
        <f t="shared" si="7"/>
        <v>OK</v>
      </c>
      <c r="AJ14" s="12"/>
      <c r="AK14" s="12"/>
      <c r="AL14" s="12"/>
      <c r="AM14" s="12"/>
      <c r="AN14" s="12"/>
      <c r="AO14" s="11"/>
      <c r="AP14" s="11"/>
      <c r="AQ14" s="12"/>
      <c r="AR14" s="12"/>
      <c r="AY14" s="443"/>
      <c r="AZ14" s="443"/>
      <c r="BA14" s="443"/>
      <c r="BB14" s="443"/>
      <c r="BC14" s="443"/>
    </row>
    <row r="15" spans="1:62" ht="12.75" customHeight="1" x14ac:dyDescent="0.2">
      <c r="A15" s="1"/>
      <c r="B15" s="387"/>
      <c r="C15" s="5" t="str">
        <f>'QDFL - Pav. Térreo Inf e Super'!B15</f>
        <v>8 - TUGs Copa WCs e Lavanderia</v>
      </c>
      <c r="D15" s="5"/>
      <c r="E15" s="5"/>
      <c r="F15" s="5"/>
      <c r="G15" s="5"/>
      <c r="H15" s="5"/>
      <c r="I15" s="5"/>
      <c r="J15" s="57">
        <f>'QDFL - Pav. Térreo Inf e Super'!I15</f>
        <v>16</v>
      </c>
      <c r="K15" s="57">
        <f>'QDFL - Pav. Térreo Inf e Super'!J15</f>
        <v>1</v>
      </c>
      <c r="L15" s="57">
        <f>'QDFL - Pav. Térreo Inf e Super'!K15</f>
        <v>0</v>
      </c>
      <c r="M15" s="57">
        <f>'QDFL - Pav. Térreo Inf e Super'!L15</f>
        <v>1</v>
      </c>
      <c r="N15" s="57">
        <f>'QDFL - Pav. Térreo Inf e Super'!M15</f>
        <v>0</v>
      </c>
      <c r="O15" s="5">
        <v>1</v>
      </c>
      <c r="P15" s="6">
        <f t="shared" si="0"/>
        <v>2500</v>
      </c>
      <c r="Q15" s="57">
        <f>'QDFL - Pav. Térreo Inf e Super'!O15</f>
        <v>127</v>
      </c>
      <c r="R15" s="44">
        <f t="shared" si="1"/>
        <v>19.685039370078741</v>
      </c>
      <c r="S15" s="58">
        <f>'QDFL - Pav. Térreo Inf e Super'!Q15</f>
        <v>2.5</v>
      </c>
      <c r="T15" s="57">
        <f>'QDFL - Pav. Térreo Inf e Super'!R15</f>
        <v>25</v>
      </c>
      <c r="U15" s="5" t="str">
        <f>IF('QDFL - Pav. Térreo Inf e Super'!S15="","",'QDFL - Pav. Térreo Inf e Super'!S15)</f>
        <v/>
      </c>
      <c r="V15" s="5">
        <f>IF('QDFL - Pav. Térreo Inf e Super'!T15="","",'QDFL - Pav. Térreo Inf e Super'!T15)</f>
        <v>2500</v>
      </c>
      <c r="W15" s="256" t="str">
        <f>IF('QDFL - Pav. Térreo Inf e Super'!U15="","",'QDFL - Pav. Térreo Inf e Super'!U15)</f>
        <v/>
      </c>
      <c r="X15" s="257">
        <v>35</v>
      </c>
      <c r="Y15" s="257">
        <v>0.8</v>
      </c>
      <c r="Z15" s="268">
        <f>P15/Y15</f>
        <v>3125</v>
      </c>
      <c r="AA15" s="267">
        <f t="shared" si="3"/>
        <v>0.35</v>
      </c>
      <c r="AB15" s="267">
        <v>0.7</v>
      </c>
      <c r="AC15" s="267">
        <v>1</v>
      </c>
      <c r="AD15" s="278">
        <f t="shared" si="8"/>
        <v>1562.5</v>
      </c>
      <c r="AE15" s="196">
        <f t="shared" si="4"/>
        <v>12.303149606299213</v>
      </c>
      <c r="AF15" s="186">
        <v>15.16</v>
      </c>
      <c r="AG15" s="186">
        <f t="shared" si="5"/>
        <v>14.3</v>
      </c>
      <c r="AH15" s="311">
        <f t="shared" si="6"/>
        <v>2.1001379502759008</v>
      </c>
      <c r="AI15" s="310" t="str">
        <f t="shared" si="7"/>
        <v>OK</v>
      </c>
      <c r="AJ15" s="12"/>
      <c r="AK15" s="12"/>
      <c r="AL15" s="12"/>
      <c r="AM15" s="12"/>
      <c r="AN15" s="12"/>
      <c r="AO15" s="11"/>
      <c r="AP15" s="11"/>
      <c r="AQ15" s="12"/>
      <c r="AR15" s="12"/>
      <c r="AY15" s="443"/>
      <c r="AZ15" s="443"/>
      <c r="BA15" s="443"/>
      <c r="BB15" s="443"/>
      <c r="BC15" s="443"/>
    </row>
    <row r="16" spans="1:62" ht="12.75" customHeight="1" x14ac:dyDescent="0.2">
      <c r="A16" s="1"/>
      <c r="B16" s="387"/>
      <c r="C16" s="5" t="str">
        <f>'QDFL - Pav. Térreo Inf e Super'!B16</f>
        <v>9 - T.U.G. Dorms 3 e 4 Circ. e Closet</v>
      </c>
      <c r="D16" s="5"/>
      <c r="E16" s="5"/>
      <c r="F16" s="5"/>
      <c r="G16" s="5"/>
      <c r="H16" s="5"/>
      <c r="I16" s="5"/>
      <c r="J16" s="57">
        <f>'QDFL - Pav. Térreo Inf e Super'!I16</f>
        <v>13</v>
      </c>
      <c r="K16" s="57">
        <f>'QDFL - Pav. Térreo Inf e Super'!J16</f>
        <v>0</v>
      </c>
      <c r="L16" s="57">
        <f>'QDFL - Pav. Térreo Inf e Super'!K16</f>
        <v>0</v>
      </c>
      <c r="M16" s="57">
        <f>'QDFL - Pav. Térreo Inf e Super'!L16</f>
        <v>0</v>
      </c>
      <c r="N16" s="57">
        <f>'QDFL - Pav. Térreo Inf e Super'!M16</f>
        <v>0</v>
      </c>
      <c r="O16" s="5">
        <v>1</v>
      </c>
      <c r="P16" s="6">
        <f t="shared" si="0"/>
        <v>1300</v>
      </c>
      <c r="Q16" s="57">
        <f>'QDFL - Pav. Térreo Inf e Super'!O16</f>
        <v>127</v>
      </c>
      <c r="R16" s="44">
        <f t="shared" si="1"/>
        <v>10.236220472440944</v>
      </c>
      <c r="S16" s="58">
        <f>'QDFL - Pav. Térreo Inf e Super'!Q16</f>
        <v>2.5</v>
      </c>
      <c r="T16" s="57">
        <f>'QDFL - Pav. Térreo Inf e Super'!R16</f>
        <v>16</v>
      </c>
      <c r="U16" s="5" t="str">
        <f>IF('QDFL - Pav. Térreo Inf e Super'!S16="","",'QDFL - Pav. Térreo Inf e Super'!S16)</f>
        <v/>
      </c>
      <c r="V16" s="5" t="str">
        <f>IF('QDFL - Pav. Térreo Inf e Super'!T16="","",'QDFL - Pav. Térreo Inf e Super'!T16)</f>
        <v/>
      </c>
      <c r="W16" s="256">
        <f>IF('QDFL - Pav. Térreo Inf e Super'!U16="","",'QDFL - Pav. Térreo Inf e Super'!U16)</f>
        <v>1300</v>
      </c>
      <c r="X16" s="257">
        <v>35</v>
      </c>
      <c r="Y16" s="257">
        <v>0.8</v>
      </c>
      <c r="Z16" s="268">
        <f t="shared" ref="Z16:Z29" si="13">P16/Y16</f>
        <v>1625</v>
      </c>
      <c r="AA16" s="267">
        <f t="shared" si="3"/>
        <v>0.35</v>
      </c>
      <c r="AB16" s="267">
        <v>0.7</v>
      </c>
      <c r="AC16" s="267">
        <v>1</v>
      </c>
      <c r="AD16" s="278">
        <f t="shared" si="8"/>
        <v>812.5</v>
      </c>
      <c r="AE16" s="196">
        <f t="shared" si="4"/>
        <v>6.3976377952755907</v>
      </c>
      <c r="AF16" s="186">
        <v>14.29</v>
      </c>
      <c r="AG16" s="186">
        <f t="shared" si="5"/>
        <v>14.3</v>
      </c>
      <c r="AH16" s="311">
        <f t="shared" si="6"/>
        <v>1.0294000713001425</v>
      </c>
      <c r="AI16" s="310" t="str">
        <f t="shared" si="7"/>
        <v>OK</v>
      </c>
      <c r="AJ16" s="12"/>
      <c r="AK16" s="12"/>
      <c r="AL16" s="12"/>
      <c r="AM16" s="12"/>
      <c r="AN16" s="12"/>
      <c r="AO16" s="11"/>
      <c r="AP16" s="11"/>
      <c r="AQ16" s="12"/>
      <c r="AR16" s="12"/>
      <c r="AY16" s="443"/>
      <c r="AZ16" s="443"/>
      <c r="BA16" s="443"/>
      <c r="BB16" s="443"/>
      <c r="BC16" s="443"/>
    </row>
    <row r="17" spans="1:55" ht="12.75" customHeight="1" x14ac:dyDescent="0.2">
      <c r="A17" s="1"/>
      <c r="B17" s="387"/>
      <c r="C17" s="5" t="str">
        <f>'QDFL - Pav. Térreo Inf e Super'!B17</f>
        <v>10 - T.U.G. Salas e Varandas</v>
      </c>
      <c r="D17" s="5"/>
      <c r="E17" s="5"/>
      <c r="F17" s="5"/>
      <c r="G17" s="5"/>
      <c r="H17" s="5"/>
      <c r="I17" s="5"/>
      <c r="J17" s="57">
        <f>'QDFL - Pav. Térreo Inf e Super'!I17</f>
        <v>15</v>
      </c>
      <c r="K17" s="57">
        <f>'QDFL - Pav. Térreo Inf e Super'!J17</f>
        <v>0</v>
      </c>
      <c r="L17" s="57">
        <f>'QDFL - Pav. Térreo Inf e Super'!K17</f>
        <v>0</v>
      </c>
      <c r="M17" s="57">
        <f>'QDFL - Pav. Térreo Inf e Super'!L17</f>
        <v>0</v>
      </c>
      <c r="N17" s="57">
        <f>'QDFL - Pav. Térreo Inf e Super'!M17</f>
        <v>0</v>
      </c>
      <c r="O17" s="5">
        <v>1</v>
      </c>
      <c r="P17" s="6">
        <f t="shared" si="0"/>
        <v>1500</v>
      </c>
      <c r="Q17" s="57">
        <f>'QDFL - Pav. Térreo Inf e Super'!O17</f>
        <v>127</v>
      </c>
      <c r="R17" s="44">
        <f t="shared" si="1"/>
        <v>11.811023622047244</v>
      </c>
      <c r="S17" s="58">
        <f>'QDFL - Pav. Térreo Inf e Super'!Q17</f>
        <v>2.5</v>
      </c>
      <c r="T17" s="57">
        <f>'QDFL - Pav. Térreo Inf e Super'!R17</f>
        <v>20</v>
      </c>
      <c r="U17" s="5" t="str">
        <f>IF('QDFL - Pav. Térreo Inf e Super'!S17="","",'QDFL - Pav. Térreo Inf e Super'!S17)</f>
        <v/>
      </c>
      <c r="V17" s="5">
        <f>IF('QDFL - Pav. Térreo Inf e Super'!T17="","",'QDFL - Pav. Térreo Inf e Super'!T17)</f>
        <v>1500</v>
      </c>
      <c r="W17" s="256" t="str">
        <f>IF('QDFL - Pav. Térreo Inf e Super'!U17="","",'QDFL - Pav. Térreo Inf e Super'!U17)</f>
        <v/>
      </c>
      <c r="X17" s="257">
        <v>35</v>
      </c>
      <c r="Y17" s="257">
        <v>0.8</v>
      </c>
      <c r="Z17" s="268">
        <f t="shared" si="13"/>
        <v>1875</v>
      </c>
      <c r="AA17" s="267">
        <f t="shared" si="3"/>
        <v>0.35</v>
      </c>
      <c r="AB17" s="267">
        <v>0.7</v>
      </c>
      <c r="AC17" s="267">
        <v>1</v>
      </c>
      <c r="AD17" s="278">
        <f t="shared" si="8"/>
        <v>937.50000000000011</v>
      </c>
      <c r="AE17" s="196">
        <f t="shared" si="4"/>
        <v>7.3818897637795287</v>
      </c>
      <c r="AF17" s="186">
        <v>9.8000000000000007</v>
      </c>
      <c r="AG17" s="186">
        <f t="shared" si="5"/>
        <v>14.3</v>
      </c>
      <c r="AH17" s="311">
        <f t="shared" si="6"/>
        <v>0.81456537913075844</v>
      </c>
      <c r="AI17" s="310" t="str">
        <f t="shared" si="7"/>
        <v>OK</v>
      </c>
      <c r="AJ17" s="12"/>
      <c r="AK17" s="12"/>
      <c r="AL17" s="12"/>
      <c r="AM17" s="12"/>
      <c r="AN17" s="12"/>
      <c r="AO17" s="11"/>
      <c r="AP17" s="11"/>
      <c r="AQ17" s="12"/>
      <c r="AR17" s="12"/>
      <c r="AY17" s="443"/>
      <c r="AZ17" s="443"/>
      <c r="BA17" s="443"/>
      <c r="BB17" s="443"/>
      <c r="BC17" s="443"/>
    </row>
    <row r="18" spans="1:55" ht="12.75" customHeight="1" x14ac:dyDescent="0.2">
      <c r="A18" s="1"/>
      <c r="B18" s="387"/>
      <c r="C18" s="5" t="str">
        <f>'QDFL - Pav. Térreo Inf e Super'!B18</f>
        <v>11 - T.U.E. Lava Louças</v>
      </c>
      <c r="D18" s="5"/>
      <c r="E18" s="5"/>
      <c r="F18" s="5"/>
      <c r="G18" s="5"/>
      <c r="H18" s="5"/>
      <c r="I18" s="5"/>
      <c r="J18" s="57">
        <f>'QDFL - Pav. Térreo Inf e Super'!I18</f>
        <v>0</v>
      </c>
      <c r="K18" s="57">
        <f>'QDFL - Pav. Térreo Inf e Super'!J18</f>
        <v>0</v>
      </c>
      <c r="L18" s="57">
        <f>'QDFL - Pav. Térreo Inf e Super'!K18</f>
        <v>0</v>
      </c>
      <c r="M18" s="57">
        <f>'QDFL - Pav. Térreo Inf e Super'!L18</f>
        <v>0</v>
      </c>
      <c r="N18" s="57">
        <f>'QDFL - Pav. Térreo Inf e Super'!M18</f>
        <v>1</v>
      </c>
      <c r="O18" s="5">
        <v>2</v>
      </c>
      <c r="P18" s="6">
        <f t="shared" si="0"/>
        <v>1200</v>
      </c>
      <c r="Q18" s="57">
        <f>'QDFL - Pav. Térreo Inf e Super'!O18</f>
        <v>220</v>
      </c>
      <c r="R18" s="44">
        <f t="shared" si="1"/>
        <v>5.4545454545454541</v>
      </c>
      <c r="S18" s="58">
        <f>'QDFL - Pav. Térreo Inf e Super'!Q18</f>
        <v>2.5</v>
      </c>
      <c r="T18" s="57">
        <f>'QDFL - Pav. Térreo Inf e Super'!R18</f>
        <v>16</v>
      </c>
      <c r="U18" s="5">
        <f>IF('QDFL - Pav. Térreo Inf e Super'!S18="","",'QDFL - Pav. Térreo Inf e Super'!S18)</f>
        <v>600</v>
      </c>
      <c r="V18" s="5">
        <f>IF('QDFL - Pav. Térreo Inf e Super'!T18="","",'QDFL - Pav. Térreo Inf e Super'!T18)</f>
        <v>600</v>
      </c>
      <c r="W18" s="256" t="str">
        <f>IF('QDFL - Pav. Térreo Inf e Super'!U18="","",'QDFL - Pav. Térreo Inf e Super'!U18)</f>
        <v/>
      </c>
      <c r="X18" s="257">
        <v>100</v>
      </c>
      <c r="Y18" s="257">
        <v>1</v>
      </c>
      <c r="Z18" s="268">
        <f t="shared" si="13"/>
        <v>1200</v>
      </c>
      <c r="AA18" s="267">
        <f t="shared" si="3"/>
        <v>1</v>
      </c>
      <c r="AB18" s="267">
        <v>0.82</v>
      </c>
      <c r="AC18" s="267">
        <v>1</v>
      </c>
      <c r="AD18" s="278">
        <f t="shared" si="8"/>
        <v>1463.4146341463415</v>
      </c>
      <c r="AE18" s="196">
        <f t="shared" si="4"/>
        <v>6.6518847006651889</v>
      </c>
      <c r="AF18" s="186">
        <v>7.5</v>
      </c>
      <c r="AG18" s="186">
        <f t="shared" si="5"/>
        <v>14.3</v>
      </c>
      <c r="AH18" s="311">
        <f>AE18*AG18*(AF18/1000)*100/220</f>
        <v>0.32427937915742794</v>
      </c>
      <c r="AI18" s="310" t="str">
        <f t="shared" si="7"/>
        <v>OK</v>
      </c>
      <c r="AJ18" s="12"/>
      <c r="AK18" s="12"/>
      <c r="AL18" s="12"/>
      <c r="AM18" s="12"/>
      <c r="AN18" s="12"/>
      <c r="AO18" s="11"/>
      <c r="AP18" s="11"/>
      <c r="AQ18" s="12"/>
      <c r="AR18" s="12"/>
      <c r="AY18" s="443"/>
      <c r="AZ18" s="443"/>
      <c r="BA18" s="443"/>
      <c r="BB18" s="443"/>
      <c r="BC18" s="443"/>
    </row>
    <row r="19" spans="1:55" ht="12.75" customHeight="1" x14ac:dyDescent="0.2">
      <c r="A19" s="1"/>
      <c r="B19" s="387"/>
      <c r="C19" s="5" t="str">
        <f>'QDFL - Pav. Térreo Inf e Super'!B19</f>
        <v>12 - T.U.E. Microondas</v>
      </c>
      <c r="D19" s="5"/>
      <c r="E19" s="5"/>
      <c r="F19" s="5"/>
      <c r="G19" s="5"/>
      <c r="H19" s="5"/>
      <c r="I19" s="5"/>
      <c r="J19" s="57">
        <f>'QDFL - Pav. Térreo Inf e Super'!I19</f>
        <v>0</v>
      </c>
      <c r="K19" s="57">
        <f>'QDFL - Pav. Térreo Inf e Super'!J19</f>
        <v>0</v>
      </c>
      <c r="L19" s="57">
        <f>'QDFL - Pav. Térreo Inf e Super'!K19</f>
        <v>0</v>
      </c>
      <c r="M19" s="57">
        <f>'QDFL - Pav. Térreo Inf e Super'!L19</f>
        <v>0</v>
      </c>
      <c r="N19" s="57">
        <f>'QDFL - Pav. Térreo Inf e Super'!M19</f>
        <v>1</v>
      </c>
      <c r="O19" s="5">
        <v>1</v>
      </c>
      <c r="P19" s="6">
        <f t="shared" si="0"/>
        <v>1200</v>
      </c>
      <c r="Q19" s="57">
        <f>'QDFL - Pav. Térreo Inf e Super'!O19</f>
        <v>127</v>
      </c>
      <c r="R19" s="44">
        <f t="shared" si="1"/>
        <v>9.4488188976377945</v>
      </c>
      <c r="S19" s="58">
        <f>'QDFL - Pav. Térreo Inf e Super'!Q19</f>
        <v>2.5</v>
      </c>
      <c r="T19" s="57">
        <f>'QDFL - Pav. Térreo Inf e Super'!R19</f>
        <v>16</v>
      </c>
      <c r="U19" s="5" t="str">
        <f>IF('QDFL - Pav. Térreo Inf e Super'!S19="","",'QDFL - Pav. Térreo Inf e Super'!S19)</f>
        <v/>
      </c>
      <c r="V19" s="5">
        <f>IF('QDFL - Pav. Térreo Inf e Super'!T19="","",'QDFL - Pav. Térreo Inf e Super'!T19)</f>
        <v>1200</v>
      </c>
      <c r="W19" s="256" t="str">
        <f>IF('QDFL - Pav. Térreo Inf e Super'!U19="","",'QDFL - Pav. Térreo Inf e Super'!U19)</f>
        <v/>
      </c>
      <c r="X19" s="257">
        <v>100</v>
      </c>
      <c r="Y19" s="257">
        <v>1</v>
      </c>
      <c r="Z19" s="268">
        <f t="shared" si="13"/>
        <v>1200</v>
      </c>
      <c r="AA19" s="267">
        <f t="shared" si="3"/>
        <v>1</v>
      </c>
      <c r="AB19" s="267">
        <v>0.82</v>
      </c>
      <c r="AC19" s="267">
        <v>1</v>
      </c>
      <c r="AD19" s="278">
        <f t="shared" si="8"/>
        <v>1463.4146341463415</v>
      </c>
      <c r="AE19" s="196">
        <f t="shared" si="4"/>
        <v>11.522949875168043</v>
      </c>
      <c r="AF19" s="186">
        <v>7.8</v>
      </c>
      <c r="AG19" s="186">
        <f t="shared" si="5"/>
        <v>14.3</v>
      </c>
      <c r="AH19" s="311">
        <f t="shared" si="6"/>
        <v>1.0120234874616092</v>
      </c>
      <c r="AI19" s="310" t="str">
        <f t="shared" si="7"/>
        <v>OK</v>
      </c>
      <c r="AJ19" s="12"/>
      <c r="AK19" s="12"/>
      <c r="AL19" s="12"/>
      <c r="AM19" s="12"/>
      <c r="AN19" s="12"/>
      <c r="AO19" s="11"/>
      <c r="AP19" s="11"/>
      <c r="AQ19" s="12"/>
      <c r="AR19" s="12"/>
      <c r="AY19" s="443"/>
      <c r="AZ19" s="443"/>
      <c r="BA19" s="443"/>
      <c r="BB19" s="443"/>
      <c r="BC19" s="443"/>
    </row>
    <row r="20" spans="1:55" ht="12.75" customHeight="1" x14ac:dyDescent="0.2">
      <c r="A20" s="1"/>
      <c r="B20" s="387"/>
      <c r="C20" s="5" t="str">
        <f>'QDFL - Pav. Térreo Inf e Super'!B20</f>
        <v>13 - T.U.E. Lava Roupas e Secadora</v>
      </c>
      <c r="D20" s="5"/>
      <c r="E20" s="5"/>
      <c r="F20" s="5"/>
      <c r="G20" s="5"/>
      <c r="H20" s="5"/>
      <c r="I20" s="5"/>
      <c r="J20" s="57">
        <f>'QDFL - Pav. Térreo Inf e Super'!I20</f>
        <v>0</v>
      </c>
      <c r="K20" s="57">
        <f>'QDFL - Pav. Térreo Inf e Super'!J20</f>
        <v>0</v>
      </c>
      <c r="L20" s="57">
        <f>'QDFL - Pav. Térreo Inf e Super'!K20</f>
        <v>1</v>
      </c>
      <c r="M20" s="57">
        <f>'QDFL - Pav. Térreo Inf e Super'!L20</f>
        <v>1</v>
      </c>
      <c r="N20" s="57">
        <f>'QDFL - Pav. Térreo Inf e Super'!M20</f>
        <v>0</v>
      </c>
      <c r="O20" s="5">
        <v>2</v>
      </c>
      <c r="P20" s="6">
        <f t="shared" si="0"/>
        <v>2100</v>
      </c>
      <c r="Q20" s="57">
        <f>'QDFL - Pav. Térreo Inf e Super'!O20</f>
        <v>220</v>
      </c>
      <c r="R20" s="44">
        <f t="shared" si="1"/>
        <v>9.545454545454545</v>
      </c>
      <c r="S20" s="58">
        <f>'QDFL - Pav. Térreo Inf e Super'!Q20</f>
        <v>2.5</v>
      </c>
      <c r="T20" s="57">
        <f>'QDFL - Pav. Térreo Inf e Super'!R20</f>
        <v>16</v>
      </c>
      <c r="U20" s="5" t="str">
        <f>IF('QDFL - Pav. Térreo Inf e Super'!S20="","",'QDFL - Pav. Térreo Inf e Super'!S20)</f>
        <v/>
      </c>
      <c r="V20" s="5">
        <f>IF('QDFL - Pav. Térreo Inf e Super'!T20="","",'QDFL - Pav. Térreo Inf e Super'!T20)</f>
        <v>1050</v>
      </c>
      <c r="W20" s="256">
        <f>IF('QDFL - Pav. Térreo Inf e Super'!U20="","",'QDFL - Pav. Térreo Inf e Super'!U20)</f>
        <v>1050</v>
      </c>
      <c r="X20" s="257">
        <v>100</v>
      </c>
      <c r="Y20" s="257">
        <v>1</v>
      </c>
      <c r="Z20" s="268">
        <f t="shared" si="13"/>
        <v>2100</v>
      </c>
      <c r="AA20" s="267">
        <f t="shared" si="3"/>
        <v>1</v>
      </c>
      <c r="AB20" s="267">
        <v>0.82</v>
      </c>
      <c r="AC20" s="267">
        <v>1</v>
      </c>
      <c r="AD20" s="278">
        <f t="shared" si="8"/>
        <v>2560.9756097560976</v>
      </c>
      <c r="AE20" s="196">
        <f t="shared" si="4"/>
        <v>11.64079822616408</v>
      </c>
      <c r="AF20" s="186">
        <v>15.16</v>
      </c>
      <c r="AG20" s="186">
        <f t="shared" si="5"/>
        <v>14.3</v>
      </c>
      <c r="AH20" s="311">
        <f>AE20*AG20*(AF20/1000)*100/220</f>
        <v>1.1470842572062085</v>
      </c>
      <c r="AI20" s="310" t="str">
        <f t="shared" si="7"/>
        <v>OK</v>
      </c>
      <c r="AJ20" s="12"/>
      <c r="AK20" s="12"/>
      <c r="AL20" s="12"/>
      <c r="AM20" s="12"/>
      <c r="AN20" s="12"/>
      <c r="AO20" s="11"/>
      <c r="AP20" s="11"/>
      <c r="AQ20" s="12"/>
      <c r="AR20" s="12"/>
      <c r="AY20" s="443"/>
      <c r="AZ20" s="443"/>
      <c r="BA20" s="443"/>
      <c r="BB20" s="443"/>
      <c r="BC20" s="443"/>
    </row>
    <row r="21" spans="1:55" s="157" customFormat="1" ht="12.75" customHeight="1" x14ac:dyDescent="0.2">
      <c r="A21" s="1"/>
      <c r="B21" s="406"/>
      <c r="C21" s="5" t="str">
        <f>'QDFL - Pav. Térreo Inf e Super'!B21</f>
        <v>14 - T.U.E. Torneira Elétrica</v>
      </c>
      <c r="D21" s="5"/>
      <c r="E21" s="5"/>
      <c r="F21" s="5"/>
      <c r="G21" s="5"/>
      <c r="H21" s="5"/>
      <c r="I21" s="5"/>
      <c r="J21" s="57">
        <f>'QDFL - Pav. Térreo Inf e Super'!I21</f>
        <v>0</v>
      </c>
      <c r="K21" s="57">
        <f>'QDFL - Pav. Térreo Inf e Super'!J21</f>
        <v>0</v>
      </c>
      <c r="L21" s="57">
        <f>'QDFL - Pav. Térreo Inf e Super'!K21</f>
        <v>1</v>
      </c>
      <c r="M21" s="57">
        <f>'QDFL - Pav. Térreo Inf e Super'!L21</f>
        <v>0</v>
      </c>
      <c r="N21" s="57">
        <f>'QDFL - Pav. Térreo Inf e Super'!M21</f>
        <v>0</v>
      </c>
      <c r="O21" s="5">
        <v>2</v>
      </c>
      <c r="P21" s="259">
        <f>'QDFL - Pav. Térreo Inf e Super'!N21</f>
        <v>4399.95</v>
      </c>
      <c r="Q21" s="57">
        <f>'QDFL - Pav. Térreo Inf e Super'!O21</f>
        <v>220</v>
      </c>
      <c r="R21" s="44">
        <f t="shared" ref="R21" si="14">P21/Q21</f>
        <v>19.999772727272727</v>
      </c>
      <c r="S21" s="58">
        <f>'QDFL - Pav. Térreo Inf e Super'!Q21</f>
        <v>4</v>
      </c>
      <c r="T21" s="57">
        <v>32</v>
      </c>
      <c r="U21" s="5" t="str">
        <f>IF('QDFL - Pav. Térreo Inf e Super'!S21="","",'QDFL - Pav. Térreo Inf e Super'!S21)</f>
        <v/>
      </c>
      <c r="V21" s="32">
        <f>IF('QDFL - Pav. Térreo Inf e Super'!T21="","",'QDFL - Pav. Térreo Inf e Super'!T21)</f>
        <v>2199.9749999999999</v>
      </c>
      <c r="W21" s="256">
        <f>IF('QDFL - Pav. Térreo Inf e Super'!U21="","",'QDFL - Pav. Térreo Inf e Super'!U21)</f>
        <v>2199.9749999999999</v>
      </c>
      <c r="X21" s="257">
        <v>100</v>
      </c>
      <c r="Y21" s="257">
        <v>1</v>
      </c>
      <c r="Z21" s="268">
        <f t="shared" si="13"/>
        <v>4399.95</v>
      </c>
      <c r="AA21" s="267">
        <f t="shared" si="3"/>
        <v>1</v>
      </c>
      <c r="AB21" s="267">
        <v>0.82</v>
      </c>
      <c r="AC21" s="267">
        <v>1</v>
      </c>
      <c r="AD21" s="278">
        <f t="shared" si="8"/>
        <v>5365.792682926829</v>
      </c>
      <c r="AE21" s="196">
        <f t="shared" si="4"/>
        <v>24.389966740576494</v>
      </c>
      <c r="AF21" s="186">
        <v>7.2</v>
      </c>
      <c r="AG21" s="186">
        <f t="shared" si="5"/>
        <v>8.9600000000000009</v>
      </c>
      <c r="AH21" s="311">
        <f>AE21*AG21*(AF21/1000)*100/220</f>
        <v>0.71520251562185033</v>
      </c>
      <c r="AI21" s="310" t="str">
        <f t="shared" si="7"/>
        <v>OK</v>
      </c>
      <c r="AJ21" s="12"/>
      <c r="AK21" s="12"/>
      <c r="AL21" s="12"/>
      <c r="AM21" s="12"/>
      <c r="AN21" s="12"/>
      <c r="AO21" s="11"/>
      <c r="AP21" s="11"/>
      <c r="AQ21" s="12"/>
      <c r="AR21" s="12"/>
      <c r="AY21" s="443"/>
      <c r="AZ21" s="443"/>
      <c r="BA21" s="443"/>
      <c r="BB21" s="443"/>
      <c r="BC21" s="443"/>
    </row>
    <row r="22" spans="1:55" ht="12.75" customHeight="1" x14ac:dyDescent="0.2">
      <c r="A22" s="1"/>
      <c r="B22" s="387"/>
      <c r="C22" s="5" t="str">
        <f>'QDFL - Pav. Térreo Inf e Super'!B22</f>
        <v>15 - T.U.E. Secador Cabelo WC3</v>
      </c>
      <c r="D22" s="5"/>
      <c r="E22" s="5"/>
      <c r="F22" s="5"/>
      <c r="G22" s="5"/>
      <c r="H22" s="5"/>
      <c r="I22" s="5"/>
      <c r="J22" s="57">
        <f>'QDFL - Pav. Térreo Inf e Super'!I22</f>
        <v>0</v>
      </c>
      <c r="K22" s="57">
        <f>'QDFL - Pav. Térreo Inf e Super'!J22</f>
        <v>0</v>
      </c>
      <c r="L22" s="57">
        <f>'QDFL - Pav. Térreo Inf e Super'!K22</f>
        <v>1</v>
      </c>
      <c r="M22" s="57">
        <f>'QDFL - Pav. Térreo Inf e Super'!L22</f>
        <v>0</v>
      </c>
      <c r="N22" s="57">
        <f>'QDFL - Pav. Térreo Inf e Super'!M22</f>
        <v>0</v>
      </c>
      <c r="O22" s="5">
        <v>1</v>
      </c>
      <c r="P22" s="57">
        <f>'QDFL - Pav. Térreo Inf e Super'!N22</f>
        <v>1500</v>
      </c>
      <c r="Q22" s="57">
        <f>'QDFL - Pav. Térreo Inf e Super'!O22</f>
        <v>127</v>
      </c>
      <c r="R22" s="44">
        <f t="shared" si="1"/>
        <v>11.811023622047244</v>
      </c>
      <c r="S22" s="58">
        <f>'QDFL - Pav. Térreo Inf e Super'!Q22</f>
        <v>2.5</v>
      </c>
      <c r="T22" s="57">
        <f>'QDFL - Pav. Térreo Inf e Super'!R22</f>
        <v>20</v>
      </c>
      <c r="U22" s="5">
        <f>IF('QDFL - Pav. Térreo Inf e Super'!S22="","",'QDFL - Pav. Térreo Inf e Super'!S22)</f>
        <v>1500</v>
      </c>
      <c r="V22" s="5" t="str">
        <f>IF('QDFL - Pav. Térreo Inf e Super'!T22="","",'QDFL - Pav. Térreo Inf e Super'!T22)</f>
        <v/>
      </c>
      <c r="W22" s="256" t="str">
        <f>IF('QDFL - Pav. Térreo Inf e Super'!U22="","",'QDFL - Pav. Térreo Inf e Super'!U22)</f>
        <v/>
      </c>
      <c r="X22" s="257">
        <v>100</v>
      </c>
      <c r="Y22" s="257">
        <v>1</v>
      </c>
      <c r="Z22" s="268">
        <f t="shared" si="13"/>
        <v>1500</v>
      </c>
      <c r="AA22" s="267">
        <f t="shared" si="3"/>
        <v>1</v>
      </c>
      <c r="AB22" s="267">
        <v>0.82</v>
      </c>
      <c r="AC22" s="267">
        <v>1</v>
      </c>
      <c r="AD22" s="278">
        <f t="shared" si="8"/>
        <v>1829.268292682927</v>
      </c>
      <c r="AE22" s="196">
        <f t="shared" si="4"/>
        <v>14.403687343960055</v>
      </c>
      <c r="AF22" s="186">
        <v>9</v>
      </c>
      <c r="AG22" s="186">
        <f t="shared" si="5"/>
        <v>14.3</v>
      </c>
      <c r="AH22" s="311">
        <f t="shared" si="6"/>
        <v>1.4596492607619365</v>
      </c>
      <c r="AI22" s="310" t="str">
        <f t="shared" si="7"/>
        <v>OK</v>
      </c>
      <c r="AJ22" s="12"/>
      <c r="AK22" s="12"/>
      <c r="AL22" s="12"/>
      <c r="AM22" s="12"/>
      <c r="AN22" s="12"/>
      <c r="AO22" s="11"/>
      <c r="AP22" s="11"/>
      <c r="AQ22" s="12"/>
      <c r="AR22" s="12"/>
    </row>
    <row r="23" spans="1:55" ht="12.75" customHeight="1" x14ac:dyDescent="0.2">
      <c r="A23" s="1"/>
      <c r="B23" s="387"/>
      <c r="C23" s="5" t="str">
        <f>'QDFL - Pav. Térreo Inf e Super'!B23</f>
        <v>16 - T.U.E. Secador Cabelo WC4</v>
      </c>
      <c r="D23" s="5"/>
      <c r="E23" s="5"/>
      <c r="F23" s="5"/>
      <c r="G23" s="5"/>
      <c r="H23" s="5"/>
      <c r="I23" s="5"/>
      <c r="J23" s="57">
        <f>'QDFL - Pav. Térreo Inf e Super'!I23</f>
        <v>0</v>
      </c>
      <c r="K23" s="57">
        <f>'QDFL - Pav. Térreo Inf e Super'!J23</f>
        <v>0</v>
      </c>
      <c r="L23" s="57">
        <f>'QDFL - Pav. Térreo Inf e Super'!K23</f>
        <v>1</v>
      </c>
      <c r="M23" s="57">
        <f>'QDFL - Pav. Térreo Inf e Super'!L23</f>
        <v>0</v>
      </c>
      <c r="N23" s="57">
        <f>'QDFL - Pav. Térreo Inf e Super'!M23</f>
        <v>0</v>
      </c>
      <c r="O23" s="5">
        <v>1</v>
      </c>
      <c r="P23" s="57">
        <f>'QDFL - Pav. Térreo Inf e Super'!N23</f>
        <v>1500</v>
      </c>
      <c r="Q23" s="57">
        <f>'QDFL - Pav. Térreo Inf e Super'!O23</f>
        <v>127</v>
      </c>
      <c r="R23" s="44">
        <f t="shared" si="1"/>
        <v>11.811023622047244</v>
      </c>
      <c r="S23" s="58">
        <f>'QDFL - Pav. Térreo Inf e Super'!Q23</f>
        <v>2.5</v>
      </c>
      <c r="T23" s="57">
        <f>'QDFL - Pav. Térreo Inf e Super'!R23</f>
        <v>20</v>
      </c>
      <c r="U23" s="5" t="str">
        <f>IF('QDFL - Pav. Térreo Inf e Super'!S23="","",'QDFL - Pav. Térreo Inf e Super'!S23)</f>
        <v/>
      </c>
      <c r="V23" s="5">
        <f>IF('QDFL - Pav. Térreo Inf e Super'!T23="","",'QDFL - Pav. Térreo Inf e Super'!T23)</f>
        <v>1500</v>
      </c>
      <c r="W23" s="256" t="str">
        <f>IF('QDFL - Pav. Térreo Inf e Super'!U23="","",'QDFL - Pav. Térreo Inf e Super'!U23)</f>
        <v/>
      </c>
      <c r="X23" s="257">
        <v>100</v>
      </c>
      <c r="Y23" s="257">
        <v>1</v>
      </c>
      <c r="Z23" s="268">
        <f t="shared" si="13"/>
        <v>1500</v>
      </c>
      <c r="AA23" s="267">
        <f t="shared" si="3"/>
        <v>1</v>
      </c>
      <c r="AB23" s="267">
        <v>0.82</v>
      </c>
      <c r="AC23" s="267">
        <v>1</v>
      </c>
      <c r="AD23" s="278">
        <f t="shared" si="8"/>
        <v>1829.268292682927</v>
      </c>
      <c r="AE23" s="196">
        <f t="shared" si="4"/>
        <v>14.403687343960055</v>
      </c>
      <c r="AF23" s="186">
        <v>4.8</v>
      </c>
      <c r="AG23" s="186">
        <f t="shared" si="5"/>
        <v>14.3</v>
      </c>
      <c r="AH23" s="311">
        <f t="shared" si="6"/>
        <v>0.77847960573969932</v>
      </c>
      <c r="AI23" s="310" t="str">
        <f t="shared" si="7"/>
        <v>OK</v>
      </c>
      <c r="AJ23" s="12"/>
      <c r="AK23" s="12"/>
      <c r="AL23" s="12"/>
      <c r="AM23" s="12"/>
      <c r="AN23" s="12"/>
      <c r="AO23" s="11"/>
      <c r="AP23" s="11"/>
      <c r="AQ23" s="12"/>
      <c r="AR23" s="12"/>
      <c r="AY23" s="443" t="s">
        <v>509</v>
      </c>
      <c r="AZ23" s="443"/>
      <c r="BA23" s="443"/>
      <c r="BB23" s="443"/>
      <c r="BC23" s="443"/>
    </row>
    <row r="24" spans="1:55" ht="12.75" customHeight="1" x14ac:dyDescent="0.2">
      <c r="A24" s="1"/>
      <c r="B24" s="387"/>
      <c r="C24" s="5" t="str">
        <f>'QDFL - Pav. Térreo Inf e Super'!B24</f>
        <v>17 - T.U.E. Aquecedor Central - Boiler 300LTS</v>
      </c>
      <c r="D24" s="5"/>
      <c r="E24" s="5"/>
      <c r="F24" s="5"/>
      <c r="G24" s="5"/>
      <c r="H24" s="5"/>
      <c r="I24" s="5"/>
      <c r="J24" s="57">
        <f>'QDFL - Pav. Térreo Inf e Super'!I24</f>
        <v>0</v>
      </c>
      <c r="K24" s="57">
        <f>'QDFL - Pav. Térreo Inf e Super'!J24</f>
        <v>0</v>
      </c>
      <c r="L24" s="57">
        <f>'QDFL - Pav. Térreo Inf e Super'!K24</f>
        <v>1</v>
      </c>
      <c r="M24" s="57">
        <f>'QDFL - Pav. Térreo Inf e Super'!L24</f>
        <v>0</v>
      </c>
      <c r="N24" s="57">
        <f>'QDFL - Pav. Térreo Inf e Super'!M24</f>
        <v>0</v>
      </c>
      <c r="O24" s="5">
        <v>2</v>
      </c>
      <c r="P24" s="259">
        <f>'QDFL - Pav. Térreo Inf e Super'!N24</f>
        <v>3000</v>
      </c>
      <c r="Q24" s="57">
        <f>'QDFL - Pav. Térreo Inf e Super'!O24</f>
        <v>220</v>
      </c>
      <c r="R24" s="44">
        <f t="shared" si="1"/>
        <v>13.636363636363637</v>
      </c>
      <c r="S24" s="58">
        <f>'QDFL - Pav. Térreo Inf e Super'!Q24</f>
        <v>4</v>
      </c>
      <c r="T24" s="57">
        <v>20</v>
      </c>
      <c r="U24" s="32">
        <f>IF('QDFL - Pav. Térreo Inf e Super'!S24="","",'QDFL - Pav. Térreo Inf e Super'!S24)</f>
        <v>1500</v>
      </c>
      <c r="V24" s="5" t="str">
        <f>IF('QDFL - Pav. Térreo Inf e Super'!T24="","",'QDFL - Pav. Térreo Inf e Super'!T24)</f>
        <v/>
      </c>
      <c r="W24" s="260">
        <f>IF('QDFL - Pav. Térreo Inf e Super'!U24="","",'QDFL - Pav. Térreo Inf e Super'!U24)</f>
        <v>1500</v>
      </c>
      <c r="X24" s="257">
        <v>100</v>
      </c>
      <c r="Y24" s="257">
        <v>1</v>
      </c>
      <c r="Z24" s="268">
        <f t="shared" si="13"/>
        <v>3000</v>
      </c>
      <c r="AA24" s="267">
        <f t="shared" si="3"/>
        <v>1</v>
      </c>
      <c r="AB24" s="267">
        <v>0.82</v>
      </c>
      <c r="AC24" s="267">
        <v>1</v>
      </c>
      <c r="AD24" s="278">
        <f t="shared" si="8"/>
        <v>3658.5365853658541</v>
      </c>
      <c r="AE24" s="196">
        <f t="shared" si="4"/>
        <v>16.629711751662974</v>
      </c>
      <c r="AF24" s="186">
        <v>14.39</v>
      </c>
      <c r="AG24" s="186">
        <f t="shared" si="5"/>
        <v>8.9600000000000009</v>
      </c>
      <c r="AH24" s="311">
        <f>AE24*AG24*(AF24/1000)*100/220</f>
        <v>0.97460995766982483</v>
      </c>
      <c r="AI24" s="310" t="str">
        <f t="shared" si="7"/>
        <v>OK</v>
      </c>
      <c r="AJ24" s="12"/>
      <c r="AK24" s="12"/>
      <c r="AL24" s="12"/>
      <c r="AM24" s="12"/>
      <c r="AN24" s="12"/>
      <c r="AO24" s="11"/>
      <c r="AP24" s="11"/>
      <c r="AQ24" s="12"/>
      <c r="AR24" s="12"/>
      <c r="AY24" s="443"/>
      <c r="AZ24" s="443"/>
      <c r="BA24" s="443"/>
      <c r="BB24" s="443"/>
      <c r="BC24" s="443"/>
    </row>
    <row r="25" spans="1:55" ht="12.75" customHeight="1" x14ac:dyDescent="0.2">
      <c r="A25" s="1"/>
      <c r="B25" s="387"/>
      <c r="C25" s="5" t="str">
        <f>'QDFL - Pav. Térreo Inf e Super'!B25</f>
        <v>18 - T.U.G Piso Superior</v>
      </c>
      <c r="D25" s="5"/>
      <c r="E25" s="5"/>
      <c r="F25" s="5"/>
      <c r="G25" s="5"/>
      <c r="H25" s="5"/>
      <c r="I25" s="5"/>
      <c r="J25" s="57">
        <f>'QDFL - Pav. Térreo Inf e Super'!I25</f>
        <v>9</v>
      </c>
      <c r="K25" s="57">
        <f>'QDFL - Pav. Térreo Inf e Super'!J25</f>
        <v>0</v>
      </c>
      <c r="L25" s="57">
        <f>'QDFL - Pav. Térreo Inf e Super'!K25</f>
        <v>0</v>
      </c>
      <c r="M25" s="57">
        <f>'QDFL - Pav. Térreo Inf e Super'!L25</f>
        <v>0</v>
      </c>
      <c r="N25" s="57">
        <f>'QDFL - Pav. Térreo Inf e Super'!M25</f>
        <v>0</v>
      </c>
      <c r="O25" s="5">
        <v>1</v>
      </c>
      <c r="P25" s="57">
        <f>'QDFL - Pav. Térreo Inf e Super'!N25</f>
        <v>900</v>
      </c>
      <c r="Q25" s="57">
        <f>'QDFL - Pav. Térreo Inf e Super'!O25</f>
        <v>127</v>
      </c>
      <c r="R25" s="44">
        <f t="shared" si="1"/>
        <v>7.0866141732283463</v>
      </c>
      <c r="S25" s="58">
        <f>'QDFL - Pav. Térreo Inf e Super'!Q25</f>
        <v>2.5</v>
      </c>
      <c r="T25" s="57">
        <f>'QDFL - Pav. Térreo Inf e Super'!R25</f>
        <v>10</v>
      </c>
      <c r="U25" s="5" t="str">
        <f>IF('QDFL - Pav. Térreo Inf e Super'!S25="","",'QDFL - Pav. Térreo Inf e Super'!S25)</f>
        <v/>
      </c>
      <c r="V25" s="5">
        <f>IF('QDFL - Pav. Térreo Inf e Super'!T25="","",'QDFL - Pav. Térreo Inf e Super'!T25)</f>
        <v>450</v>
      </c>
      <c r="W25" s="256">
        <f>IF('QDFL - Pav. Térreo Inf e Super'!U25="","",'QDFL - Pav. Térreo Inf e Super'!U25)</f>
        <v>450</v>
      </c>
      <c r="X25" s="257">
        <v>35</v>
      </c>
      <c r="Y25" s="257">
        <v>0.8</v>
      </c>
      <c r="Z25" s="268">
        <f t="shared" si="13"/>
        <v>1125</v>
      </c>
      <c r="AA25" s="267">
        <f t="shared" si="3"/>
        <v>0.35</v>
      </c>
      <c r="AB25" s="267">
        <v>0.7</v>
      </c>
      <c r="AC25" s="267">
        <v>1</v>
      </c>
      <c r="AD25" s="278">
        <f t="shared" si="8"/>
        <v>562.5</v>
      </c>
      <c r="AE25" s="196">
        <f t="shared" si="4"/>
        <v>4.4291338582677167</v>
      </c>
      <c r="AF25" s="186">
        <v>14.39</v>
      </c>
      <c r="AG25" s="186">
        <f t="shared" si="5"/>
        <v>14.3</v>
      </c>
      <c r="AH25" s="311">
        <f t="shared" si="6"/>
        <v>0.71764872279744563</v>
      </c>
      <c r="AI25" s="310" t="str">
        <f t="shared" si="7"/>
        <v>OK</v>
      </c>
      <c r="AJ25" s="12"/>
      <c r="AK25" s="12"/>
      <c r="AL25" s="12"/>
      <c r="AM25" s="12"/>
      <c r="AN25" s="12"/>
      <c r="AO25" s="11"/>
      <c r="AP25" s="11"/>
      <c r="AQ25" s="12"/>
      <c r="AR25" s="12"/>
      <c r="AY25" s="443"/>
      <c r="AZ25" s="443"/>
      <c r="BA25" s="443"/>
      <c r="BB25" s="443"/>
      <c r="BC25" s="443"/>
    </row>
    <row r="26" spans="1:55" s="157" customFormat="1" ht="12.75" customHeight="1" x14ac:dyDescent="0.2">
      <c r="A26" s="1"/>
      <c r="B26" s="406"/>
      <c r="C26" s="5" t="str">
        <f>'QDFL - Pav. Térreo Inf e Super'!B26</f>
        <v>19 - T.U.G. Dorms 1 e 2 WC 1 e 2 e Área de Serviço - Piso Inferior</v>
      </c>
      <c r="D26" s="5"/>
      <c r="E26" s="5"/>
      <c r="F26" s="5"/>
      <c r="G26" s="5"/>
      <c r="H26" s="5"/>
      <c r="I26" s="5"/>
      <c r="J26" s="57">
        <f>'QDFL - Pav. Térreo Inf e Super'!I26</f>
        <v>16</v>
      </c>
      <c r="K26" s="57">
        <f>'QDFL - Pav. Térreo Inf e Super'!J26</f>
        <v>0</v>
      </c>
      <c r="L26" s="57">
        <f>'QDFL - Pav. Térreo Inf e Super'!K26</f>
        <v>0</v>
      </c>
      <c r="M26" s="57">
        <f>'QDFL - Pav. Térreo Inf e Super'!L26</f>
        <v>1</v>
      </c>
      <c r="N26" s="57">
        <f>'QDFL - Pav. Térreo Inf e Super'!M26</f>
        <v>0</v>
      </c>
      <c r="O26" s="5">
        <v>1</v>
      </c>
      <c r="P26" s="57">
        <f>'QDFL - Pav. Térreo Inf e Super'!N26</f>
        <v>2200</v>
      </c>
      <c r="Q26" s="57">
        <f>'QDFL - Pav. Térreo Inf e Super'!O26</f>
        <v>127</v>
      </c>
      <c r="R26" s="44">
        <f t="shared" ref="R26" si="15">P26/Q26</f>
        <v>17.322834645669293</v>
      </c>
      <c r="S26" s="58">
        <f>'QDFL - Pav. Térreo Inf e Super'!Q26</f>
        <v>2.5</v>
      </c>
      <c r="T26" s="57">
        <f>'QDFL - Pav. Térreo Inf e Super'!R26</f>
        <v>25</v>
      </c>
      <c r="U26" s="5">
        <f>IF('QDFL - Pav. Térreo Inf e Super'!S26="","",'QDFL - Pav. Térreo Inf e Super'!S26)</f>
        <v>2200</v>
      </c>
      <c r="V26" s="5" t="str">
        <f>IF('QDFL - Pav. Térreo Inf e Super'!T26="","",'QDFL - Pav. Térreo Inf e Super'!T26)</f>
        <v/>
      </c>
      <c r="W26" s="256" t="str">
        <f>IF('QDFL - Pav. Térreo Inf e Super'!U26="","",'QDFL - Pav. Térreo Inf e Super'!U26)</f>
        <v/>
      </c>
      <c r="X26" s="257">
        <v>35</v>
      </c>
      <c r="Y26" s="257">
        <v>0.8</v>
      </c>
      <c r="Z26" s="268">
        <f t="shared" si="13"/>
        <v>2750</v>
      </c>
      <c r="AA26" s="267">
        <f t="shared" si="3"/>
        <v>0.35</v>
      </c>
      <c r="AB26" s="267">
        <v>0.7</v>
      </c>
      <c r="AC26" s="267">
        <v>1</v>
      </c>
      <c r="AD26" s="278">
        <f t="shared" si="8"/>
        <v>1375</v>
      </c>
      <c r="AE26" s="196">
        <f t="shared" si="4"/>
        <v>10.826771653543307</v>
      </c>
      <c r="AF26" s="186">
        <v>17.66</v>
      </c>
      <c r="AG26" s="186">
        <f t="shared" si="5"/>
        <v>14.3</v>
      </c>
      <c r="AH26" s="311">
        <f t="shared" si="6"/>
        <v>2.1528907557815118</v>
      </c>
      <c r="AI26" s="310" t="str">
        <f t="shared" si="7"/>
        <v>OK</v>
      </c>
      <c r="AJ26" s="12"/>
      <c r="AK26" s="12"/>
      <c r="AL26" s="12"/>
      <c r="AM26" s="12"/>
      <c r="AN26" s="12"/>
      <c r="AO26" s="11"/>
      <c r="AP26" s="11"/>
      <c r="AQ26" s="12"/>
      <c r="AR26" s="12"/>
    </row>
    <row r="27" spans="1:55" s="157" customFormat="1" ht="12.75" customHeight="1" x14ac:dyDescent="0.2">
      <c r="A27" s="1"/>
      <c r="B27" s="406"/>
      <c r="C27" s="5" t="str">
        <f>'QDFL - Pav. Térreo Inf e Super'!B27</f>
        <v>20 - T.U.E. Chuveiro WC 1 - Piso Inferior</v>
      </c>
      <c r="D27" s="5"/>
      <c r="E27" s="5"/>
      <c r="F27" s="5"/>
      <c r="G27" s="5"/>
      <c r="H27" s="5"/>
      <c r="I27" s="5"/>
      <c r="J27" s="57">
        <f>'QDFL - Pav. Térreo Inf e Super'!I27</f>
        <v>0</v>
      </c>
      <c r="K27" s="57">
        <f>'QDFL - Pav. Térreo Inf e Super'!J27</f>
        <v>0</v>
      </c>
      <c r="L27" s="57">
        <f>'QDFL - Pav. Térreo Inf e Super'!K27</f>
        <v>1</v>
      </c>
      <c r="M27" s="57">
        <f>'QDFL - Pav. Térreo Inf e Super'!L27</f>
        <v>0</v>
      </c>
      <c r="N27" s="57">
        <f>'QDFL - Pav. Térreo Inf e Super'!M27</f>
        <v>0</v>
      </c>
      <c r="O27" s="5">
        <v>2</v>
      </c>
      <c r="P27" s="259">
        <f>'QDFL - Pav. Térreo Inf e Super'!N27</f>
        <v>4400.25</v>
      </c>
      <c r="Q27" s="57">
        <f>'QDFL - Pav. Térreo Inf e Super'!O27</f>
        <v>220</v>
      </c>
      <c r="R27" s="44">
        <f t="shared" si="1"/>
        <v>20.001136363636363</v>
      </c>
      <c r="S27" s="58">
        <f>'QDFL - Pav. Térreo Inf e Super'!Q27</f>
        <v>4</v>
      </c>
      <c r="T27" s="57">
        <f>'QDFL - Pav. Térreo Inf e Super'!R27</f>
        <v>32</v>
      </c>
      <c r="U27" s="32">
        <f>IF('QDFL - Pav. Térreo Inf e Super'!S27="","",'QDFL - Pav. Térreo Inf e Super'!S27)</f>
        <v>2200.125</v>
      </c>
      <c r="V27" s="5" t="str">
        <f>IF('QDFL - Pav. Térreo Inf e Super'!T27="","",'QDFL - Pav. Térreo Inf e Super'!T27)</f>
        <v/>
      </c>
      <c r="W27" s="260">
        <f>IF('QDFL - Pav. Térreo Inf e Super'!U27="","",'QDFL - Pav. Térreo Inf e Super'!U27)</f>
        <v>2200.125</v>
      </c>
      <c r="X27" s="257">
        <v>100</v>
      </c>
      <c r="Y27" s="257">
        <v>1</v>
      </c>
      <c r="Z27" s="268">
        <f t="shared" si="13"/>
        <v>4400.25</v>
      </c>
      <c r="AA27" s="267">
        <f t="shared" si="3"/>
        <v>1</v>
      </c>
      <c r="AB27" s="267">
        <v>0.82</v>
      </c>
      <c r="AC27" s="267">
        <v>1</v>
      </c>
      <c r="AD27" s="278">
        <f t="shared" si="8"/>
        <v>5366.1585365853662</v>
      </c>
      <c r="AE27" s="196">
        <f t="shared" si="4"/>
        <v>24.391629711751666</v>
      </c>
      <c r="AF27" s="186">
        <v>15.23</v>
      </c>
      <c r="AG27" s="186">
        <f t="shared" si="5"/>
        <v>8.9600000000000009</v>
      </c>
      <c r="AH27" s="311">
        <f>AE27*AG27*(AF27/1000)*100/220</f>
        <v>1.512955138077001</v>
      </c>
      <c r="AI27" s="310" t="str">
        <f t="shared" si="7"/>
        <v>OK</v>
      </c>
      <c r="AJ27" s="12"/>
      <c r="AK27" s="12"/>
      <c r="AL27" s="12"/>
      <c r="AM27" s="12"/>
      <c r="AN27" s="12"/>
      <c r="AO27" s="11"/>
      <c r="AP27" s="11"/>
      <c r="AQ27" s="12"/>
      <c r="AR27" s="12"/>
    </row>
    <row r="28" spans="1:55" s="157" customFormat="1" ht="12.75" customHeight="1" x14ac:dyDescent="0.2">
      <c r="A28" s="1"/>
      <c r="B28" s="406"/>
      <c r="C28" s="5" t="str">
        <f>'QDFL - Pav. Térreo Inf e Super'!B28</f>
        <v>21 - T.U.E. Chuveiro WC 2 - Piso Inferior</v>
      </c>
      <c r="D28" s="5"/>
      <c r="E28" s="5"/>
      <c r="F28" s="5"/>
      <c r="G28" s="5"/>
      <c r="H28" s="5"/>
      <c r="I28" s="5"/>
      <c r="J28" s="57">
        <f>'QDFL - Pav. Térreo Inf e Super'!I28</f>
        <v>0</v>
      </c>
      <c r="K28" s="57">
        <f>'QDFL - Pav. Térreo Inf e Super'!J28</f>
        <v>0</v>
      </c>
      <c r="L28" s="57">
        <f>'QDFL - Pav. Térreo Inf e Super'!K28</f>
        <v>1</v>
      </c>
      <c r="M28" s="57">
        <f>'QDFL - Pav. Térreo Inf e Super'!L28</f>
        <v>0</v>
      </c>
      <c r="N28" s="57">
        <f>'QDFL - Pav. Térreo Inf e Super'!M28</f>
        <v>0</v>
      </c>
      <c r="O28" s="5">
        <v>2</v>
      </c>
      <c r="P28" s="259">
        <f>'QDFL - Pav. Térreo Inf e Super'!N28</f>
        <v>4400.25</v>
      </c>
      <c r="Q28" s="57">
        <f>'QDFL - Pav. Térreo Inf e Super'!O28</f>
        <v>220</v>
      </c>
      <c r="R28" s="44">
        <f t="shared" ref="R28" si="16">P28/Q28</f>
        <v>20.001136363636363</v>
      </c>
      <c r="S28" s="58">
        <f>'QDFL - Pav. Térreo Inf e Super'!Q28</f>
        <v>4</v>
      </c>
      <c r="T28" s="57">
        <f>'QDFL - Pav. Térreo Inf e Super'!R28</f>
        <v>32</v>
      </c>
      <c r="U28" s="32">
        <f>IF('QDFL - Pav. Térreo Inf e Super'!S28="","",'QDFL - Pav. Térreo Inf e Super'!S28)</f>
        <v>2200.125</v>
      </c>
      <c r="V28" s="32">
        <f>IF('QDFL - Pav. Térreo Inf e Super'!T28="","",'QDFL - Pav. Térreo Inf e Super'!T28)</f>
        <v>2200.125</v>
      </c>
      <c r="W28" s="256" t="str">
        <f>IF('QDFL - Pav. Térreo Inf e Super'!U28="","",'QDFL - Pav. Térreo Inf e Super'!U28)</f>
        <v/>
      </c>
      <c r="X28" s="257">
        <v>100</v>
      </c>
      <c r="Y28" s="257">
        <v>1</v>
      </c>
      <c r="Z28" s="268">
        <f t="shared" si="13"/>
        <v>4400.25</v>
      </c>
      <c r="AA28" s="267">
        <f t="shared" si="3"/>
        <v>1</v>
      </c>
      <c r="AB28" s="267">
        <v>0.82</v>
      </c>
      <c r="AC28" s="267">
        <v>1</v>
      </c>
      <c r="AD28" s="278">
        <f t="shared" si="8"/>
        <v>5366.1585365853662</v>
      </c>
      <c r="AE28" s="196">
        <f t="shared" si="4"/>
        <v>24.391629711751666</v>
      </c>
      <c r="AF28" s="186">
        <v>15.23</v>
      </c>
      <c r="AG28" s="186">
        <f t="shared" si="5"/>
        <v>8.9600000000000009</v>
      </c>
      <c r="AH28" s="311">
        <f>AE28*AG28*(AF28/1000)*100/220</f>
        <v>1.512955138077001</v>
      </c>
      <c r="AI28" s="310" t="str">
        <f t="shared" si="7"/>
        <v>OK</v>
      </c>
      <c r="AJ28" s="12"/>
      <c r="AK28" s="12"/>
      <c r="AL28" s="12"/>
      <c r="AM28" s="12"/>
      <c r="AN28" s="12"/>
      <c r="AO28"/>
      <c r="AP28" s="11"/>
      <c r="AQ28" s="12"/>
      <c r="AR28" s="12"/>
    </row>
    <row r="29" spans="1:55" ht="12.75" customHeight="1" x14ac:dyDescent="0.2">
      <c r="A29" s="1"/>
      <c r="B29" s="387"/>
      <c r="C29" s="5" t="str">
        <f>'QDFL - Pav. Térreo Inf e Super'!B29</f>
        <v>22 - T.U.E. Ferro Passar Lavanderia</v>
      </c>
      <c r="D29" s="5"/>
      <c r="E29" s="5"/>
      <c r="F29" s="5"/>
      <c r="G29" s="5"/>
      <c r="H29" s="5"/>
      <c r="I29" s="5"/>
      <c r="J29" s="57">
        <f>'QDFL - Pav. Térreo Inf e Super'!I29</f>
        <v>0</v>
      </c>
      <c r="K29" s="57">
        <f>'QDFL - Pav. Térreo Inf e Super'!J29</f>
        <v>0</v>
      </c>
      <c r="L29" s="57">
        <f>'QDFL - Pav. Térreo Inf e Super'!K29</f>
        <v>0</v>
      </c>
      <c r="M29" s="57">
        <f>'QDFL - Pav. Térreo Inf e Super'!L29</f>
        <v>0</v>
      </c>
      <c r="N29" s="57">
        <f>'QDFL - Pav. Térreo Inf e Super'!M29</f>
        <v>1</v>
      </c>
      <c r="O29" s="5">
        <v>1</v>
      </c>
      <c r="P29" s="57">
        <f>'QDFL - Pav. Térreo Inf e Super'!N29</f>
        <v>1200</v>
      </c>
      <c r="Q29" s="57">
        <f>'QDFL - Pav. Térreo Inf e Super'!O29</f>
        <v>127</v>
      </c>
      <c r="R29" s="44">
        <f t="shared" si="1"/>
        <v>9.4488188976377945</v>
      </c>
      <c r="S29" s="58">
        <f>'QDFL - Pav. Térreo Inf e Super'!Q29</f>
        <v>2.5</v>
      </c>
      <c r="T29" s="57">
        <f>'QDFL - Pav. Térreo Inf e Super'!R29</f>
        <v>20</v>
      </c>
      <c r="U29" s="5" t="str">
        <f>IF('QDFL - Pav. Térreo Inf e Super'!S29="","",'QDFL - Pav. Térreo Inf e Super'!S29)</f>
        <v/>
      </c>
      <c r="V29" s="5" t="str">
        <f>IF('QDFL - Pav. Térreo Inf e Super'!T29="","",'QDFL - Pav. Térreo Inf e Super'!T29)</f>
        <v/>
      </c>
      <c r="W29" s="256">
        <f>IF('QDFL - Pav. Térreo Inf e Super'!U29="","",'QDFL - Pav. Térreo Inf e Super'!U29)</f>
        <v>1200</v>
      </c>
      <c r="X29" s="257">
        <v>100</v>
      </c>
      <c r="Y29" s="257">
        <v>1</v>
      </c>
      <c r="Z29" s="268">
        <f t="shared" si="13"/>
        <v>1200</v>
      </c>
      <c r="AA29" s="267">
        <f t="shared" si="3"/>
        <v>1</v>
      </c>
      <c r="AB29" s="267">
        <v>0.7</v>
      </c>
      <c r="AC29" s="267">
        <v>1</v>
      </c>
      <c r="AD29" s="278">
        <f t="shared" si="8"/>
        <v>1714.2857142857144</v>
      </c>
      <c r="AE29" s="196">
        <f t="shared" si="4"/>
        <v>13.498312710911138</v>
      </c>
      <c r="AF29" s="186">
        <v>15.16</v>
      </c>
      <c r="AG29" s="186">
        <f t="shared" si="5"/>
        <v>14.3</v>
      </c>
      <c r="AH29" s="311">
        <f t="shared" si="6"/>
        <v>2.3041513511598457</v>
      </c>
      <c r="AI29" s="310" t="str">
        <f t="shared" si="7"/>
        <v>OK</v>
      </c>
      <c r="AJ29" s="12"/>
      <c r="AK29" s="12"/>
      <c r="AL29" s="12"/>
      <c r="AM29" s="12"/>
      <c r="AN29" s="12"/>
      <c r="AO29" s="11"/>
      <c r="AP29" s="11"/>
      <c r="AQ29" s="12"/>
      <c r="AR29" s="12"/>
    </row>
    <row r="30" spans="1:55" s="157" customFormat="1" ht="12.75" customHeight="1" x14ac:dyDescent="0.2">
      <c r="A30" s="1"/>
      <c r="B30" s="406"/>
      <c r="C30" s="5" t="str">
        <f>'QDFL - Pav. Térreo Inf e Super'!B30</f>
        <v>23 - Reserva 1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>
        <v>1</v>
      </c>
      <c r="P30" s="57">
        <f>'QDFL - Pav. Térreo Inf e Super'!N30</f>
        <v>0</v>
      </c>
      <c r="Q30" s="57">
        <f>'QDFL - Pav. Térreo Inf e Super'!O30</f>
        <v>127</v>
      </c>
      <c r="R30" s="44">
        <f t="shared" si="1"/>
        <v>0</v>
      </c>
      <c r="S30" s="58">
        <f>'QDFL - Pav. Térreo Inf e Super'!Q30</f>
        <v>1.5</v>
      </c>
      <c r="T30" s="57">
        <f>'QDFL - Pav. Térreo Inf e Super'!R30</f>
        <v>30</v>
      </c>
      <c r="U30" s="5" t="str">
        <f>IF('QDFL - Pav. Térreo Inf e Super'!S30="","",'QDFL - Pav. Térreo Inf e Super'!S30)</f>
        <v/>
      </c>
      <c r="V30" s="5" t="str">
        <f>IF('QDFL - Pav. Térreo Inf e Super'!T30="","",'QDFL - Pav. Térreo Inf e Super'!T30)</f>
        <v/>
      </c>
      <c r="W30" s="256" t="str">
        <f>IF('QDFL - Pav. Térreo Inf e Super'!U30="","",'QDFL - Pav. Térreo Inf e Super'!U30)</f>
        <v/>
      </c>
      <c r="X30" s="257">
        <v>100</v>
      </c>
      <c r="Y30" s="257"/>
      <c r="Z30" s="257"/>
      <c r="AA30" s="258"/>
      <c r="AB30" s="258"/>
      <c r="AC30" s="258"/>
      <c r="AD30" s="275"/>
      <c r="AE30" s="186"/>
      <c r="AF30" s="186">
        <v>20</v>
      </c>
      <c r="AG30" s="186">
        <f t="shared" si="5"/>
        <v>23.3</v>
      </c>
      <c r="AH30" s="311">
        <f t="shared" si="6"/>
        <v>0</v>
      </c>
      <c r="AI30" s="310" t="str">
        <f t="shared" si="7"/>
        <v>OK</v>
      </c>
      <c r="AJ30" s="12"/>
      <c r="AK30" s="12"/>
      <c r="AL30" s="12"/>
      <c r="AM30" s="12"/>
      <c r="AN30" s="12"/>
      <c r="AO30" s="11"/>
      <c r="AP30" s="11"/>
      <c r="AQ30" s="12"/>
      <c r="AR30" s="12"/>
    </row>
    <row r="31" spans="1:55" s="157" customFormat="1" ht="12.75" customHeight="1" x14ac:dyDescent="0.2">
      <c r="A31" s="1"/>
      <c r="B31" s="406"/>
      <c r="C31" s="5" t="str">
        <f>'QDFL - Pav. Térreo Inf e Super'!B31</f>
        <v>24 - Reserva 2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>
        <v>1</v>
      </c>
      <c r="P31" s="57">
        <f>'QDFL - Pav. Térreo Inf e Super'!N31</f>
        <v>0</v>
      </c>
      <c r="Q31" s="57">
        <f>'QDFL - Pav. Térreo Inf e Super'!O31</f>
        <v>127</v>
      </c>
      <c r="R31" s="44">
        <f t="shared" ref="R31" si="17">P31/Q31</f>
        <v>0</v>
      </c>
      <c r="S31" s="58">
        <f>'QDFL - Pav. Térreo Inf e Super'!Q31</f>
        <v>1.5</v>
      </c>
      <c r="T31" s="57">
        <f>'QDFL - Pav. Térreo Inf e Super'!R31</f>
        <v>30</v>
      </c>
      <c r="U31" s="5" t="str">
        <f>IF('QDFL - Pav. Térreo Inf e Super'!S31="","",'QDFL - Pav. Térreo Inf e Super'!S31)</f>
        <v/>
      </c>
      <c r="V31" s="5" t="str">
        <f>IF('QDFL - Pav. Térreo Inf e Super'!T31="","",'QDFL - Pav. Térreo Inf e Super'!T31)</f>
        <v/>
      </c>
      <c r="W31" s="256" t="str">
        <f>IF('QDFL - Pav. Térreo Inf e Super'!U31="","",'QDFL - Pav. Térreo Inf e Super'!U31)</f>
        <v/>
      </c>
      <c r="X31" s="257">
        <v>100</v>
      </c>
      <c r="Y31" s="257"/>
      <c r="Z31" s="257"/>
      <c r="AA31" s="258"/>
      <c r="AB31" s="258"/>
      <c r="AC31" s="258"/>
      <c r="AD31" s="275"/>
      <c r="AE31" s="186"/>
      <c r="AF31" s="186">
        <v>20</v>
      </c>
      <c r="AG31" s="186">
        <f t="shared" si="5"/>
        <v>23.3</v>
      </c>
      <c r="AH31" s="311">
        <f t="shared" si="6"/>
        <v>0</v>
      </c>
      <c r="AI31" s="310" t="str">
        <f t="shared" si="7"/>
        <v>OK</v>
      </c>
      <c r="AJ31" s="12"/>
      <c r="AK31" s="12"/>
      <c r="AL31" s="12"/>
      <c r="AM31" s="12"/>
      <c r="AN31" s="12"/>
      <c r="AO31" s="11"/>
      <c r="AP31" s="11"/>
      <c r="AQ31" s="12"/>
      <c r="AR31" s="12"/>
    </row>
    <row r="32" spans="1:55" ht="12.75" customHeight="1" x14ac:dyDescent="0.2">
      <c r="A32" s="1"/>
      <c r="B32" s="387"/>
      <c r="C32" s="5" t="str">
        <f>'QDFL - Pav. Térreo Inf e Super'!B32</f>
        <v>25 - Reserva 3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>
        <v>1</v>
      </c>
      <c r="P32" s="57">
        <f>'QDFL - Pav. Térreo Inf e Super'!N32</f>
        <v>0</v>
      </c>
      <c r="Q32" s="57">
        <f>'QDFL - Pav. Térreo Inf e Super'!O32</f>
        <v>127</v>
      </c>
      <c r="R32" s="44">
        <f t="shared" si="1"/>
        <v>0</v>
      </c>
      <c r="S32" s="58">
        <f>'QDFL - Pav. Térreo Inf e Super'!Q32</f>
        <v>1.5</v>
      </c>
      <c r="T32" s="57">
        <f>'QDFL - Pav. Térreo Inf e Super'!R32</f>
        <v>30</v>
      </c>
      <c r="U32" s="5" t="str">
        <f>IF('QDFL - Pav. Térreo Inf e Super'!S32="","",'QDFL - Pav. Térreo Inf e Super'!S32)</f>
        <v/>
      </c>
      <c r="V32" s="5" t="str">
        <f>IF('QDFL - Pav. Térreo Inf e Super'!T32="","",'QDFL - Pav. Térreo Inf e Super'!T32)</f>
        <v/>
      </c>
      <c r="W32" s="256" t="str">
        <f>IF('QDFL - Pav. Térreo Inf e Super'!U32="","",'QDFL - Pav. Térreo Inf e Super'!U32)</f>
        <v/>
      </c>
      <c r="X32" s="257">
        <v>100</v>
      </c>
      <c r="Y32" s="257"/>
      <c r="Z32" s="257"/>
      <c r="AA32" s="258"/>
      <c r="AB32" s="258"/>
      <c r="AC32" s="258"/>
      <c r="AD32" s="275"/>
      <c r="AE32" s="186"/>
      <c r="AF32" s="186">
        <v>20</v>
      </c>
      <c r="AG32" s="186">
        <f t="shared" si="5"/>
        <v>23.3</v>
      </c>
      <c r="AH32" s="311">
        <f t="shared" si="6"/>
        <v>0</v>
      </c>
      <c r="AI32" s="310" t="str">
        <f t="shared" si="7"/>
        <v>OK</v>
      </c>
      <c r="AJ32" s="12"/>
      <c r="AK32" s="12"/>
      <c r="AL32" s="12"/>
      <c r="AM32" s="12"/>
      <c r="AN32" s="12"/>
      <c r="AO32" s="11"/>
      <c r="AP32" s="11"/>
      <c r="AQ32" s="12"/>
      <c r="AR32" s="12"/>
    </row>
    <row r="33" spans="1:44" ht="12.75" customHeight="1" x14ac:dyDescent="0.2">
      <c r="A33" s="1"/>
      <c r="B33" s="387"/>
      <c r="C33" s="5" t="str">
        <f>'QDFL - Pav. Térreo Inf e Super'!B33</f>
        <v>26 - Reserva 4</v>
      </c>
      <c r="D33" s="180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>
        <v>1</v>
      </c>
      <c r="P33" s="330">
        <f>'QDFL - Pav. Térreo Inf e Super'!N33</f>
        <v>0</v>
      </c>
      <c r="Q33" s="330">
        <f>'QDFL - Pav. Térreo Inf e Super'!O33</f>
        <v>127</v>
      </c>
      <c r="R33" s="331">
        <f t="shared" si="1"/>
        <v>0</v>
      </c>
      <c r="S33" s="332">
        <f>'QDFL - Pav. Térreo Inf e Super'!Q33</f>
        <v>1.5</v>
      </c>
      <c r="T33" s="330">
        <f>'QDFL - Pav. Térreo Inf e Super'!R33</f>
        <v>30</v>
      </c>
      <c r="U33" s="180" t="str">
        <f>IF('QDFL - Pav. Térreo Inf e Super'!S33="","",'QDFL - Pav. Térreo Inf e Super'!S33)</f>
        <v/>
      </c>
      <c r="V33" s="5" t="str">
        <f>IF('QDFL - Pav. Térreo Inf e Super'!T33="","",'QDFL - Pav. Térreo Inf e Super'!T33)</f>
        <v/>
      </c>
      <c r="W33" s="256" t="str">
        <f>IF('QDFL - Pav. Térreo Inf e Super'!U33="","",'QDFL - Pav. Térreo Inf e Super'!U33)</f>
        <v/>
      </c>
      <c r="X33" s="257">
        <v>100</v>
      </c>
      <c r="Y33" s="257"/>
      <c r="Z33" s="257"/>
      <c r="AA33" s="258"/>
      <c r="AB33" s="258"/>
      <c r="AC33" s="258"/>
      <c r="AD33" s="275"/>
      <c r="AE33" s="186"/>
      <c r="AF33" s="186">
        <v>20</v>
      </c>
      <c r="AG33" s="186">
        <f t="shared" si="5"/>
        <v>23.3</v>
      </c>
      <c r="AH33" s="311">
        <f t="shared" si="6"/>
        <v>0</v>
      </c>
      <c r="AI33" s="310" t="str">
        <f t="shared" si="7"/>
        <v>OK</v>
      </c>
      <c r="AJ33" s="12"/>
      <c r="AK33" s="12"/>
      <c r="AL33" s="12"/>
      <c r="AM33" s="12"/>
      <c r="AN33" s="12"/>
      <c r="AO33" s="11"/>
      <c r="AP33" s="11"/>
      <c r="AQ33" s="12"/>
      <c r="AR33" s="12"/>
    </row>
    <row r="34" spans="1:44" ht="12.75" customHeight="1" x14ac:dyDescent="0.2">
      <c r="A34" s="1"/>
      <c r="B34" s="387"/>
      <c r="C34" s="246" t="s">
        <v>467</v>
      </c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86">
        <v>3</v>
      </c>
      <c r="P34" s="319">
        <f>SUM(P8:P33)</f>
        <v>38042.449999999997</v>
      </c>
      <c r="Q34" s="177">
        <v>220</v>
      </c>
      <c r="R34" s="319">
        <f>SUM(R8:R33)/3</f>
        <v>78.212803030303022</v>
      </c>
      <c r="S34" s="177">
        <v>25</v>
      </c>
      <c r="T34" s="177">
        <v>80</v>
      </c>
      <c r="U34" s="275">
        <f t="shared" ref="U34:W34" si="18">SUM(U8:U33)</f>
        <v>12152.25</v>
      </c>
      <c r="V34" s="329">
        <f t="shared" si="18"/>
        <v>13568.1</v>
      </c>
      <c r="W34" s="322">
        <f t="shared" si="18"/>
        <v>12322.1</v>
      </c>
      <c r="X34" s="323">
        <v>100</v>
      </c>
      <c r="Y34" s="323">
        <v>1</v>
      </c>
      <c r="Z34" s="324">
        <f t="shared" ref="Z34" si="19">P34/Y34</f>
        <v>38042.449999999997</v>
      </c>
      <c r="AA34" s="325">
        <v>0.85219999999999996</v>
      </c>
      <c r="AB34" s="345">
        <f>AVERAGE(AB8:AB29)</f>
        <v>0.74909090909090914</v>
      </c>
      <c r="AC34" s="326">
        <v>0.89</v>
      </c>
      <c r="AD34" s="327">
        <f t="shared" ref="AD34" si="20">(Z34*AA34)/(AB34*AC34)</f>
        <v>48627.895547889158</v>
      </c>
      <c r="AE34" s="328">
        <f t="shared" ref="AE34" si="21">AD34/Q34</f>
        <v>221.03588885404162</v>
      </c>
      <c r="AF34" s="186">
        <v>15</v>
      </c>
      <c r="AG34" s="186">
        <f>IF(S34=1.5,23.3,IF(S34=2.5,14.3,IF(S34=4,8.96,IF(S34=6,6.03,IF(S34=10,3.63,IF(S34=16,2.32,IF(S34=25,1.51,IF(S34=35,1.12,IF(S34=50,0.85,IF(S34=70,0.62,IF(S34=95,0.48,"VER")))))))))))</f>
        <v>1.51</v>
      </c>
      <c r="AH34" s="311">
        <f>AE34*AG34*(AF34/1000)*100/220</f>
        <v>2.2756649466109282</v>
      </c>
      <c r="AI34" s="310" t="str">
        <f t="shared" si="7"/>
        <v>OK</v>
      </c>
      <c r="AJ34" s="262"/>
      <c r="AK34" s="262"/>
      <c r="AL34" s="262"/>
      <c r="AM34" s="262"/>
      <c r="AN34" s="262"/>
      <c r="AO34" s="262"/>
      <c r="AP34" s="262"/>
      <c r="AQ34" s="262"/>
      <c r="AR34" s="12"/>
    </row>
    <row r="35" spans="1:44" ht="12.75" customHeight="1" x14ac:dyDescent="0.2">
      <c r="A35" s="1"/>
      <c r="B35" s="388"/>
      <c r="C35" s="246" t="s">
        <v>468</v>
      </c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318">
        <v>3</v>
      </c>
      <c r="P35" s="319">
        <f>U35+V35+W35</f>
        <v>47553.0625</v>
      </c>
      <c r="Q35" s="177">
        <v>220</v>
      </c>
      <c r="R35" s="319">
        <f>AE35*1.2</f>
        <v>99.311885473850154</v>
      </c>
      <c r="S35" s="177">
        <v>35</v>
      </c>
      <c r="T35" s="177">
        <v>100</v>
      </c>
      <c r="U35" s="275">
        <f>U34/0.8</f>
        <v>15190.3125</v>
      </c>
      <c r="V35" s="275">
        <f>V34/0.8</f>
        <v>16960.125</v>
      </c>
      <c r="W35" s="275">
        <f>W34/0.8</f>
        <v>15402.625</v>
      </c>
      <c r="X35" s="257"/>
      <c r="Y35" s="257"/>
      <c r="Z35" s="268">
        <f>SUM(Z8:Z33)</f>
        <v>40142.449999999997</v>
      </c>
      <c r="AA35" s="258"/>
      <c r="AB35" s="258"/>
      <c r="AC35" s="258"/>
      <c r="AD35" s="314">
        <f>SUM(AD8:AD33)</f>
        <v>42641.559233449487</v>
      </c>
      <c r="AE35" s="321">
        <f>SUM(AE9:AE33)/3</f>
        <v>82.759904561541802</v>
      </c>
      <c r="AF35" s="186">
        <v>15</v>
      </c>
      <c r="AG35" s="186">
        <f>IF(S35=1.5,23.3,IF(S35=2.5,14.3,IF(S35=4,8.96,IF(S35=6,6.03,IF(S35=10,3.63,IF(S35=16,2.32,IF(S35=25,1.51,IF(S35=35,1.12,IF(S35=50,0.85,IF(S35=70,0.62,IF(S35=95,0.48,"VER")))))))))))</f>
        <v>1.1200000000000001</v>
      </c>
      <c r="AH35" s="311">
        <f>AE35*AG35*(AF35/1000)*100/220</f>
        <v>0.63198472574268294</v>
      </c>
      <c r="AI35" s="310" t="str">
        <f t="shared" si="7"/>
        <v>OK</v>
      </c>
      <c r="AJ35" s="253"/>
      <c r="AK35" s="253"/>
      <c r="AL35" s="253"/>
      <c r="AM35" s="253"/>
      <c r="AN35" s="253"/>
      <c r="AO35" s="253"/>
      <c r="AP35" s="253"/>
      <c r="AQ35" s="253"/>
      <c r="AR35" s="12"/>
    </row>
    <row r="36" spans="1:44" ht="13.5" customHeight="1" thickBot="1" x14ac:dyDescent="0.25">
      <c r="A36" s="1"/>
      <c r="C36" s="1"/>
      <c r="D36" s="312">
        <v>60</v>
      </c>
      <c r="E36" s="312">
        <v>100</v>
      </c>
      <c r="F36" s="312">
        <v>150</v>
      </c>
      <c r="G36" s="312">
        <v>220</v>
      </c>
      <c r="H36" s="312">
        <v>250</v>
      </c>
      <c r="I36" s="312">
        <v>300</v>
      </c>
      <c r="J36" s="333">
        <v>1500</v>
      </c>
      <c r="K36" s="333">
        <v>1500</v>
      </c>
      <c r="L36" s="333">
        <v>1500</v>
      </c>
      <c r="M36" s="333">
        <v>3600</v>
      </c>
      <c r="N36" s="333">
        <v>4500</v>
      </c>
      <c r="O36" s="254"/>
      <c r="P36" s="265"/>
      <c r="Q36" s="265"/>
      <c r="R36" s="265"/>
      <c r="S36" s="265"/>
      <c r="T36" s="265"/>
      <c r="U36" s="265"/>
      <c r="V36" s="1"/>
      <c r="W36" s="1"/>
      <c r="X36" s="1"/>
      <c r="Y36" s="1"/>
      <c r="Z36" s="265"/>
      <c r="AA36" s="9"/>
      <c r="AB36" s="9"/>
      <c r="AC36" s="9"/>
      <c r="AD36" s="9"/>
      <c r="AE36" s="12"/>
      <c r="AF36" s="12"/>
      <c r="AG36" s="12"/>
      <c r="AH36" s="12"/>
      <c r="AI36" s="12"/>
      <c r="AJ36" s="12"/>
      <c r="AK36" s="12"/>
      <c r="AL36" s="12"/>
      <c r="AM36" s="9"/>
      <c r="AN36" s="9"/>
      <c r="AO36" s="9"/>
      <c r="AP36" s="9"/>
      <c r="AQ36" s="9"/>
      <c r="AR36" s="9"/>
    </row>
    <row r="37" spans="1:44" ht="12.75" customHeight="1" x14ac:dyDescent="0.2">
      <c r="A37" s="1"/>
      <c r="B37" s="447" t="s">
        <v>433</v>
      </c>
      <c r="C37" s="5" t="str">
        <f>'QC - Ar Condicionados'!B8</f>
        <v>1 - Ar Cond Mult Térreo e Piso Superior</v>
      </c>
      <c r="D37" s="57">
        <f>'QC - Ar Condicionados'!C8</f>
        <v>0</v>
      </c>
      <c r="E37" s="57">
        <f>'QC - Ar Condicionados'!D8</f>
        <v>0</v>
      </c>
      <c r="F37" s="57">
        <f>'QC - Ar Condicionados'!E8</f>
        <v>0</v>
      </c>
      <c r="G37" s="57">
        <f>'QC - Ar Condicionados'!F8</f>
        <v>0</v>
      </c>
      <c r="H37" s="57">
        <f>'QC - Ar Condicionados'!G8</f>
        <v>0</v>
      </c>
      <c r="I37" s="5">
        <v>0</v>
      </c>
      <c r="J37" s="57">
        <f>'QC - Ar Condicionados'!H8</f>
        <v>0</v>
      </c>
      <c r="K37" s="57">
        <f>'QC - Ar Condicionados'!I8</f>
        <v>0</v>
      </c>
      <c r="L37" s="57">
        <f>'QC - Ar Condicionados'!J8</f>
        <v>0</v>
      </c>
      <c r="M37" s="57">
        <f>'QC - Ar Condicionados'!K8</f>
        <v>0</v>
      </c>
      <c r="N37" s="57">
        <f>'QC - Ar Condicionados'!L8</f>
        <v>1</v>
      </c>
      <c r="O37" s="5">
        <v>2</v>
      </c>
      <c r="P37" s="6">
        <f t="shared" ref="P37:P43" si="22">$D$36*D37+$E$36*E37+$F$36*F37+$G$36*G37+$H$36*H37+$I$36*I37+$J$36*J37+$K$36*K37+$L$36*L37+$M$36*M37+$N$36*N37</f>
        <v>4500</v>
      </c>
      <c r="Q37" s="57">
        <f>'QC - Ar Condicionados'!N8</f>
        <v>220</v>
      </c>
      <c r="R37" s="44">
        <f t="shared" ref="R37:R49" si="23">P37/Q37</f>
        <v>20.454545454545453</v>
      </c>
      <c r="S37" s="58">
        <f>'QC - Ar Condicionados'!P8</f>
        <v>4</v>
      </c>
      <c r="T37" s="57">
        <f>'QC - Ar Condicionados'!Q8</f>
        <v>32</v>
      </c>
      <c r="U37" s="5">
        <f>IF('QC - Ar Condicionados'!R8="","",'QC - Ar Condicionados'!R8)</f>
        <v>1800</v>
      </c>
      <c r="V37" s="5">
        <f>IF('QC - Ar Condicionados'!S8="","",'QC - Ar Condicionados'!S8)</f>
        <v>1800</v>
      </c>
      <c r="W37" s="256" t="str">
        <f>IF('QC - Ar Condicionados'!T8="","",'QC - Ar Condicionados'!T8)</f>
        <v/>
      </c>
      <c r="X37" s="257">
        <v>100</v>
      </c>
      <c r="Y37" s="257">
        <v>0.85</v>
      </c>
      <c r="Z37" s="268">
        <f t="shared" ref="Z37:Z41" si="24">P37/Y37</f>
        <v>5294.1176470588234</v>
      </c>
      <c r="AA37" s="267">
        <f t="shared" ref="AA37:AA41" si="25">X37/100</f>
        <v>1</v>
      </c>
      <c r="AB37" s="267">
        <v>0.82</v>
      </c>
      <c r="AC37" s="267">
        <v>1</v>
      </c>
      <c r="AD37" s="278">
        <f t="shared" ref="AD37:AD40" si="26">(Z37*AA37)/(AB37*AC37)</f>
        <v>6456.241032998566</v>
      </c>
      <c r="AE37" s="196">
        <f t="shared" ref="AE37:AE41" si="27">AD37/Q37</f>
        <v>29.346550149993483</v>
      </c>
      <c r="AF37" s="186">
        <v>3.39</v>
      </c>
      <c r="AG37" s="186">
        <f>IF(S37=1.5,23.3,IF(S37=2.5,14.3,IF(S37=4,8.96,"VER")))</f>
        <v>8.9600000000000009</v>
      </c>
      <c r="AH37" s="311">
        <f>AE37*AG37*(AF37/1000)*100/127</f>
        <v>0.70187704950863161</v>
      </c>
      <c r="AI37" s="310" t="str">
        <f>IF(AH37&lt;4,"OK","Não Atende")</f>
        <v>OK</v>
      </c>
      <c r="AJ37" s="12"/>
      <c r="AK37" s="12"/>
      <c r="AL37" s="12"/>
      <c r="AM37" s="12"/>
      <c r="AN37" s="12"/>
      <c r="AO37" s="11"/>
      <c r="AP37" s="11"/>
      <c r="AQ37" s="12"/>
      <c r="AR37" s="12"/>
    </row>
    <row r="38" spans="1:44" ht="12.75" customHeight="1" x14ac:dyDescent="0.2">
      <c r="A38" s="1"/>
      <c r="B38" s="387"/>
      <c r="C38" s="5" t="str">
        <f>'QC - Ar Condicionados'!B9</f>
        <v>2 - Ar Cond. Salas e Copa</v>
      </c>
      <c r="D38" s="57">
        <f>'QC - Ar Condicionados'!C9</f>
        <v>0</v>
      </c>
      <c r="E38" s="57">
        <f>'QC - Ar Condicionados'!D9</f>
        <v>0</v>
      </c>
      <c r="F38" s="57">
        <f>'QC - Ar Condicionados'!E9</f>
        <v>0</v>
      </c>
      <c r="G38" s="57">
        <f>'QC - Ar Condicionados'!F9</f>
        <v>0</v>
      </c>
      <c r="H38" s="57">
        <f>'QC - Ar Condicionados'!G9</f>
        <v>0</v>
      </c>
      <c r="I38" s="5">
        <v>0</v>
      </c>
      <c r="J38" s="57">
        <f>'QC - Ar Condicionados'!H9</f>
        <v>0</v>
      </c>
      <c r="K38" s="57">
        <f>'QC - Ar Condicionados'!I9</f>
        <v>0</v>
      </c>
      <c r="L38" s="57">
        <f>'QC - Ar Condicionados'!J9</f>
        <v>0</v>
      </c>
      <c r="M38" s="57">
        <f>'QC - Ar Condicionados'!K9</f>
        <v>1</v>
      </c>
      <c r="N38" s="57">
        <f>'QC - Ar Condicionados'!L9</f>
        <v>0</v>
      </c>
      <c r="O38" s="5">
        <v>2</v>
      </c>
      <c r="P38" s="6">
        <f t="shared" si="22"/>
        <v>3600</v>
      </c>
      <c r="Q38" s="57">
        <f>'QC - Ar Condicionados'!N9</f>
        <v>220</v>
      </c>
      <c r="R38" s="44">
        <f t="shared" si="23"/>
        <v>16.363636363636363</v>
      </c>
      <c r="S38" s="58">
        <v>4</v>
      </c>
      <c r="T38" s="57">
        <v>25</v>
      </c>
      <c r="U38" s="5">
        <f>IF('QC - Ar Condicionados'!R9="","",'QC - Ar Condicionados'!R9)</f>
        <v>1800</v>
      </c>
      <c r="V38" s="5" t="str">
        <f>IF('QC - Ar Condicionados'!S9="","",'QC - Ar Condicionados'!S9)</f>
        <v/>
      </c>
      <c r="W38" s="256">
        <f>IF('QC - Ar Condicionados'!T9="","",'QC - Ar Condicionados'!T9)</f>
        <v>1800</v>
      </c>
      <c r="X38" s="257">
        <v>100</v>
      </c>
      <c r="Y38" s="257">
        <v>0.85</v>
      </c>
      <c r="Z38" s="268">
        <f t="shared" si="24"/>
        <v>4235.2941176470586</v>
      </c>
      <c r="AA38" s="267">
        <f t="shared" si="25"/>
        <v>1</v>
      </c>
      <c r="AB38" s="267">
        <v>0.82</v>
      </c>
      <c r="AC38" s="267">
        <v>1</v>
      </c>
      <c r="AD38" s="278">
        <f t="shared" si="26"/>
        <v>5164.9928263988522</v>
      </c>
      <c r="AE38" s="196">
        <f t="shared" si="27"/>
        <v>23.477240119994782</v>
      </c>
      <c r="AF38" s="186">
        <v>18.7</v>
      </c>
      <c r="AG38" s="186">
        <f t="shared" ref="AG38:AG49" si="28">IF(S38=1.5,23.3,IF(S38=2.5,14.3,IF(S38=4,8.96,"VER")))</f>
        <v>8.9600000000000009</v>
      </c>
      <c r="AH38" s="311">
        <f t="shared" ref="AH38:AH49" si="29">AE38*AG38*(AF38/1000)*100/127</f>
        <v>3.0973689264451698</v>
      </c>
      <c r="AI38" s="310" t="str">
        <f t="shared" ref="AI38:AI51" si="30">IF(AH38&lt;4,"OK","Não Atende")</f>
        <v>OK</v>
      </c>
      <c r="AJ38" s="12"/>
      <c r="AK38" s="12"/>
      <c r="AL38" s="12"/>
      <c r="AM38" s="12"/>
      <c r="AN38" s="12"/>
      <c r="AO38" s="11"/>
      <c r="AP38" s="11"/>
      <c r="AQ38" s="12"/>
      <c r="AR38" s="12"/>
    </row>
    <row r="39" spans="1:44" ht="12.75" customHeight="1" x14ac:dyDescent="0.2">
      <c r="A39" s="1"/>
      <c r="B39" s="387"/>
      <c r="C39" s="5" t="str">
        <f>'QC - Ar Condicionados'!B10</f>
        <v>3 - Ar Cond Dorm.1 - Piso Inferior</v>
      </c>
      <c r="D39" s="5"/>
      <c r="E39" s="5"/>
      <c r="F39" s="5"/>
      <c r="G39" s="5"/>
      <c r="H39" s="5"/>
      <c r="I39" s="5"/>
      <c r="J39" s="57">
        <f>'QC - Ar Condicionados'!H10</f>
        <v>1</v>
      </c>
      <c r="K39" s="57">
        <f>'QC - Ar Condicionados'!I10</f>
        <v>0</v>
      </c>
      <c r="L39" s="57">
        <f>'QC - Ar Condicionados'!J10</f>
        <v>0</v>
      </c>
      <c r="M39" s="57">
        <f>'QC - Ar Condicionados'!K10</f>
        <v>0</v>
      </c>
      <c r="N39" s="57">
        <f>'QC - Ar Condicionados'!L10</f>
        <v>0</v>
      </c>
      <c r="O39" s="5">
        <v>2</v>
      </c>
      <c r="P39" s="6">
        <f t="shared" si="22"/>
        <v>1500</v>
      </c>
      <c r="Q39" s="57">
        <f>'QC - Ar Condicionados'!N10</f>
        <v>220</v>
      </c>
      <c r="R39" s="44">
        <f t="shared" si="23"/>
        <v>6.8181818181818183</v>
      </c>
      <c r="S39" s="58">
        <f>'QC - Ar Condicionados'!P10</f>
        <v>2.5</v>
      </c>
      <c r="T39" s="57">
        <f>'QC - Ar Condicionados'!Q10</f>
        <v>10</v>
      </c>
      <c r="U39" s="5" t="str">
        <f>IF('QC - Ar Condicionados'!R10="","",'QC - Ar Condicionados'!R10)</f>
        <v/>
      </c>
      <c r="V39" s="5">
        <f>IF('QC - Ar Condicionados'!S10="","",'QC - Ar Condicionados'!S10)</f>
        <v>750</v>
      </c>
      <c r="W39" s="256">
        <f>IF('QC - Ar Condicionados'!T10="","",'QC - Ar Condicionados'!T10)</f>
        <v>750</v>
      </c>
      <c r="X39" s="257">
        <v>100</v>
      </c>
      <c r="Y39" s="257">
        <v>0.85</v>
      </c>
      <c r="Z39" s="268">
        <f t="shared" si="24"/>
        <v>1764.7058823529412</v>
      </c>
      <c r="AA39" s="267">
        <f t="shared" si="25"/>
        <v>1</v>
      </c>
      <c r="AB39" s="267">
        <v>0.82</v>
      </c>
      <c r="AC39" s="267">
        <v>1</v>
      </c>
      <c r="AD39" s="278">
        <f t="shared" si="26"/>
        <v>2152.0803443328555</v>
      </c>
      <c r="AE39" s="196">
        <f t="shared" si="27"/>
        <v>9.7821833833311604</v>
      </c>
      <c r="AF39" s="186">
        <v>15.23</v>
      </c>
      <c r="AG39" s="186">
        <f t="shared" si="28"/>
        <v>14.3</v>
      </c>
      <c r="AH39" s="311">
        <f t="shared" si="29"/>
        <v>1.6775212101356773</v>
      </c>
      <c r="AI39" s="310" t="str">
        <f t="shared" si="30"/>
        <v>OK</v>
      </c>
      <c r="AJ39" s="12"/>
      <c r="AK39" s="12"/>
      <c r="AL39" s="12"/>
      <c r="AM39" s="12"/>
      <c r="AN39" s="12"/>
      <c r="AO39" s="11"/>
      <c r="AP39" s="11"/>
      <c r="AQ39" s="12"/>
      <c r="AR39" s="12"/>
    </row>
    <row r="40" spans="1:44" ht="12.75" customHeight="1" x14ac:dyDescent="0.2">
      <c r="A40" s="1"/>
      <c r="B40" s="387"/>
      <c r="C40" s="5" t="str">
        <f>'QC - Ar Condicionados'!B11</f>
        <v>4 - Ar Cond. Dorm.2 - Piso Inferior</v>
      </c>
      <c r="D40" s="5"/>
      <c r="E40" s="5"/>
      <c r="F40" s="5"/>
      <c r="G40" s="5"/>
      <c r="H40" s="5"/>
      <c r="I40" s="5"/>
      <c r="J40" s="57">
        <f>'QC - Ar Condicionados'!H11</f>
        <v>1</v>
      </c>
      <c r="K40" s="57">
        <f>'QC - Ar Condicionados'!I11</f>
        <v>0</v>
      </c>
      <c r="L40" s="57">
        <f>'QC - Ar Condicionados'!J11</f>
        <v>0</v>
      </c>
      <c r="M40" s="57">
        <f>'QC - Ar Condicionados'!K11</f>
        <v>0</v>
      </c>
      <c r="N40" s="57">
        <f>'QC - Ar Condicionados'!L11</f>
        <v>0</v>
      </c>
      <c r="O40" s="5">
        <v>2</v>
      </c>
      <c r="P40" s="6">
        <f t="shared" si="22"/>
        <v>1500</v>
      </c>
      <c r="Q40" s="57">
        <f>'QC - Ar Condicionados'!N11</f>
        <v>220</v>
      </c>
      <c r="R40" s="44">
        <f t="shared" si="23"/>
        <v>6.8181818181818183</v>
      </c>
      <c r="S40" s="58">
        <f>'QC - Ar Condicionados'!P11</f>
        <v>2.5</v>
      </c>
      <c r="T40" s="57">
        <f>'QC - Ar Condicionados'!Q11</f>
        <v>10</v>
      </c>
      <c r="U40" s="5" t="str">
        <f>IF('QC - Ar Condicionados'!R11="","",'QC - Ar Condicionados'!R11)</f>
        <v/>
      </c>
      <c r="V40" s="5">
        <f>IF('QC - Ar Condicionados'!S11="","",'QC - Ar Condicionados'!S11)</f>
        <v>750</v>
      </c>
      <c r="W40" s="256">
        <f>IF('QC - Ar Condicionados'!T11="","",'QC - Ar Condicionados'!T11)</f>
        <v>750</v>
      </c>
      <c r="X40" s="257">
        <v>100</v>
      </c>
      <c r="Y40" s="257">
        <v>0.85</v>
      </c>
      <c r="Z40" s="268">
        <f t="shared" si="24"/>
        <v>1764.7058823529412</v>
      </c>
      <c r="AA40" s="267">
        <f t="shared" si="25"/>
        <v>1</v>
      </c>
      <c r="AB40" s="267">
        <v>0.82</v>
      </c>
      <c r="AC40" s="267">
        <v>1</v>
      </c>
      <c r="AD40" s="278">
        <f t="shared" si="26"/>
        <v>2152.0803443328555</v>
      </c>
      <c r="AE40" s="196">
        <f t="shared" si="27"/>
        <v>9.7821833833311604</v>
      </c>
      <c r="AF40" s="186">
        <v>15.23</v>
      </c>
      <c r="AG40" s="186">
        <f t="shared" si="28"/>
        <v>14.3</v>
      </c>
      <c r="AH40" s="311">
        <f t="shared" si="29"/>
        <v>1.6775212101356773</v>
      </c>
      <c r="AI40" s="310" t="str">
        <f t="shared" si="30"/>
        <v>OK</v>
      </c>
      <c r="AJ40" s="12"/>
      <c r="AK40" s="12"/>
      <c r="AL40" s="12"/>
      <c r="AM40" s="12"/>
      <c r="AN40" s="12"/>
      <c r="AO40" s="11"/>
      <c r="AP40" s="11"/>
      <c r="AQ40" s="12"/>
      <c r="AR40" s="12"/>
    </row>
    <row r="41" spans="1:44" ht="12.75" customHeight="1" x14ac:dyDescent="0.2">
      <c r="A41" s="1"/>
      <c r="B41" s="387"/>
      <c r="C41" s="5" t="str">
        <f>'QC - Ar Condicionados'!B12</f>
        <v>5 - Ar. Cond. Área Gourmet</v>
      </c>
      <c r="D41" s="5"/>
      <c r="E41" s="5"/>
      <c r="F41" s="5"/>
      <c r="G41" s="5"/>
      <c r="H41" s="5"/>
      <c r="I41" s="5"/>
      <c r="J41" s="57">
        <f>'QC - Ar Condicionados'!H12</f>
        <v>0</v>
      </c>
      <c r="K41" s="57">
        <f>'QC - Ar Condicionados'!I12</f>
        <v>0</v>
      </c>
      <c r="L41" s="57">
        <f>'QC - Ar Condicionados'!J12</f>
        <v>0</v>
      </c>
      <c r="M41" s="57">
        <f>'QC - Ar Condicionados'!K12</f>
        <v>1</v>
      </c>
      <c r="N41" s="57">
        <f>'QC - Ar Condicionados'!L12</f>
        <v>0</v>
      </c>
      <c r="O41" s="5">
        <v>2</v>
      </c>
      <c r="P41" s="6">
        <f t="shared" si="22"/>
        <v>3600</v>
      </c>
      <c r="Q41" s="57">
        <f>'QC - Ar Condicionados'!N12</f>
        <v>220</v>
      </c>
      <c r="R41" s="44">
        <f t="shared" si="23"/>
        <v>16.363636363636363</v>
      </c>
      <c r="S41" s="58">
        <f>'QC - Ar Condicionados'!P12</f>
        <v>2.5</v>
      </c>
      <c r="T41" s="57">
        <f>'QC - Ar Condicionados'!Q12</f>
        <v>0</v>
      </c>
      <c r="U41" s="5" t="str">
        <f>IF('QC - Ar Condicionados'!R12="","",'QC - Ar Condicionados'!R12)</f>
        <v/>
      </c>
      <c r="V41" s="5">
        <f>IF('QC - Ar Condicionados'!S12="","",'QC - Ar Condicionados'!S12)</f>
        <v>1800</v>
      </c>
      <c r="W41" s="256">
        <f>IF('QC - Ar Condicionados'!T12="","",'QC - Ar Condicionados'!T12)</f>
        <v>1800</v>
      </c>
      <c r="X41" s="257">
        <v>100</v>
      </c>
      <c r="Y41" s="257">
        <v>0.85</v>
      </c>
      <c r="Z41" s="268">
        <f t="shared" si="24"/>
        <v>4235.2941176470586</v>
      </c>
      <c r="AA41" s="267">
        <f t="shared" si="25"/>
        <v>1</v>
      </c>
      <c r="AB41" s="267">
        <f>X41/100</f>
        <v>1</v>
      </c>
      <c r="AC41" s="267">
        <v>0.89</v>
      </c>
      <c r="AD41" s="275">
        <f>Z41*AA41</f>
        <v>4235.2941176470586</v>
      </c>
      <c r="AE41" s="196">
        <f t="shared" si="27"/>
        <v>19.251336898395721</v>
      </c>
      <c r="AF41" s="186">
        <v>20</v>
      </c>
      <c r="AG41" s="186">
        <f t="shared" si="28"/>
        <v>14.3</v>
      </c>
      <c r="AH41" s="311">
        <f t="shared" si="29"/>
        <v>4.3353404353867537</v>
      </c>
      <c r="AI41" s="310" t="str">
        <f t="shared" si="30"/>
        <v>Não Atende</v>
      </c>
      <c r="AJ41" s="12"/>
      <c r="AK41" s="12"/>
      <c r="AL41" s="12"/>
      <c r="AM41" s="12"/>
      <c r="AN41" s="12"/>
      <c r="AO41" s="11"/>
      <c r="AP41" s="11"/>
      <c r="AQ41" s="12"/>
      <c r="AR41" s="12"/>
    </row>
    <row r="42" spans="1:44" ht="12.75" customHeight="1" x14ac:dyDescent="0.2">
      <c r="A42" s="1"/>
      <c r="B42" s="387"/>
      <c r="C42" s="5" t="str">
        <f>'QC - Ar Condicionados'!B13</f>
        <v>6 - T.U.G.</v>
      </c>
      <c r="D42" s="5"/>
      <c r="E42" s="5"/>
      <c r="F42" s="5"/>
      <c r="G42" s="5"/>
      <c r="H42" s="5"/>
      <c r="I42" s="5"/>
      <c r="J42" s="57">
        <f>'QC - Ar Condicionados'!H13</f>
        <v>0</v>
      </c>
      <c r="K42" s="57">
        <f>'QC - Ar Condicionados'!I13</f>
        <v>0</v>
      </c>
      <c r="L42" s="57">
        <f>'QC - Ar Condicionados'!J13</f>
        <v>0</v>
      </c>
      <c r="M42" s="57">
        <f>'QC - Ar Condicionados'!K13</f>
        <v>0</v>
      </c>
      <c r="N42" s="57">
        <f>'QC - Ar Condicionados'!L13</f>
        <v>0</v>
      </c>
      <c r="O42" s="5">
        <v>1</v>
      </c>
      <c r="P42" s="6">
        <f t="shared" si="22"/>
        <v>0</v>
      </c>
      <c r="Q42" s="57">
        <f>'QC - Ar Condicionados'!N13</f>
        <v>127</v>
      </c>
      <c r="R42" s="44">
        <f t="shared" si="23"/>
        <v>0</v>
      </c>
      <c r="S42" s="58">
        <f>'QC - Ar Condicionados'!P13</f>
        <v>2.5</v>
      </c>
      <c r="T42" s="57">
        <f>'QC - Ar Condicionados'!Q13</f>
        <v>0</v>
      </c>
      <c r="U42" s="5" t="str">
        <f>IF('QC - Ar Condicionados'!R13="","",'QC - Ar Condicionados'!R13)</f>
        <v/>
      </c>
      <c r="V42" s="5" t="str">
        <f>IF('QC - Ar Condicionados'!S13="","",'QC - Ar Condicionados'!S13)</f>
        <v/>
      </c>
      <c r="W42" s="256" t="str">
        <f>IF('QC - Ar Condicionados'!T13="","",'QC - Ar Condicionados'!T13)</f>
        <v/>
      </c>
      <c r="X42" s="257"/>
      <c r="Y42" s="257"/>
      <c r="Z42" s="257"/>
      <c r="AA42" s="258"/>
      <c r="AB42" s="258"/>
      <c r="AC42" s="258"/>
      <c r="AD42" s="186"/>
      <c r="AE42" s="186"/>
      <c r="AF42" s="186">
        <v>20</v>
      </c>
      <c r="AG42" s="186">
        <f t="shared" si="28"/>
        <v>14.3</v>
      </c>
      <c r="AH42" s="311">
        <f t="shared" si="29"/>
        <v>0</v>
      </c>
      <c r="AI42" s="310" t="str">
        <f t="shared" si="30"/>
        <v>OK</v>
      </c>
      <c r="AJ42" s="12"/>
      <c r="AK42" s="12"/>
      <c r="AL42" s="12"/>
      <c r="AM42" s="12"/>
      <c r="AN42" s="12"/>
      <c r="AO42" s="11"/>
      <c r="AP42" s="11"/>
      <c r="AQ42" s="12"/>
      <c r="AR42" s="12"/>
    </row>
    <row r="43" spans="1:44" ht="12.75" customHeight="1" x14ac:dyDescent="0.2">
      <c r="A43" s="1"/>
      <c r="B43" s="387"/>
      <c r="C43" s="5" t="str">
        <f>'QC - Ar Condicionados'!B14</f>
        <v>7 - T.U.G.</v>
      </c>
      <c r="D43" s="5"/>
      <c r="E43" s="5"/>
      <c r="F43" s="5"/>
      <c r="G43" s="5"/>
      <c r="H43" s="5"/>
      <c r="I43" s="5"/>
      <c r="J43" s="57">
        <f>'QC - Ar Condicionados'!H14</f>
        <v>0</v>
      </c>
      <c r="K43" s="57">
        <f>'QC - Ar Condicionados'!I14</f>
        <v>0</v>
      </c>
      <c r="L43" s="57">
        <f>'QC - Ar Condicionados'!J14</f>
        <v>0</v>
      </c>
      <c r="M43" s="57">
        <f>'QC - Ar Condicionados'!K14</f>
        <v>0</v>
      </c>
      <c r="N43" s="57">
        <f>'QC - Ar Condicionados'!L14</f>
        <v>0</v>
      </c>
      <c r="O43" s="5">
        <v>1</v>
      </c>
      <c r="P43" s="6">
        <f t="shared" si="22"/>
        <v>0</v>
      </c>
      <c r="Q43" s="57">
        <f>'QC - Ar Condicionados'!N14</f>
        <v>127</v>
      </c>
      <c r="R43" s="44">
        <f t="shared" si="23"/>
        <v>0</v>
      </c>
      <c r="S43" s="58">
        <f>'QC - Ar Condicionados'!P14</f>
        <v>2.5</v>
      </c>
      <c r="T43" s="57">
        <f>'QC - Ar Condicionados'!Q14</f>
        <v>0</v>
      </c>
      <c r="U43" s="5" t="str">
        <f>IF('QC - Ar Condicionados'!R14="","",'QC - Ar Condicionados'!R14)</f>
        <v/>
      </c>
      <c r="V43" s="5" t="str">
        <f>IF('QC - Ar Condicionados'!S14="","",'QC - Ar Condicionados'!S14)</f>
        <v/>
      </c>
      <c r="W43" s="256" t="str">
        <f>IF('QC - Ar Condicionados'!T14="","",'QC - Ar Condicionados'!T14)</f>
        <v/>
      </c>
      <c r="X43" s="257"/>
      <c r="Y43" s="257"/>
      <c r="Z43" s="257"/>
      <c r="AA43" s="258"/>
      <c r="AB43" s="258"/>
      <c r="AC43" s="258"/>
      <c r="AD43" s="186"/>
      <c r="AE43" s="186"/>
      <c r="AF43" s="186">
        <v>20</v>
      </c>
      <c r="AG43" s="186">
        <f t="shared" si="28"/>
        <v>14.3</v>
      </c>
      <c r="AH43" s="311">
        <f t="shared" si="29"/>
        <v>0</v>
      </c>
      <c r="AI43" s="310" t="str">
        <f t="shared" si="30"/>
        <v>OK</v>
      </c>
      <c r="AJ43" s="12"/>
      <c r="AK43" s="12"/>
      <c r="AL43" s="12"/>
      <c r="AM43" s="12"/>
      <c r="AN43" s="12"/>
      <c r="AO43" s="11"/>
      <c r="AP43" s="11"/>
      <c r="AQ43" s="12"/>
      <c r="AR43" s="12"/>
    </row>
    <row r="44" spans="1:44" ht="12.75" customHeight="1" x14ac:dyDescent="0.2">
      <c r="A44" s="1"/>
      <c r="B44" s="387"/>
      <c r="C44" s="5" t="str">
        <f>'QC - Ar Condicionados'!B15</f>
        <v>8 - T.U.E.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>
        <v>1</v>
      </c>
      <c r="P44" s="57">
        <f>'QC - Ar Condicionados'!M15</f>
        <v>0</v>
      </c>
      <c r="Q44" s="57">
        <f>'QC - Ar Condicionados'!N15</f>
        <v>127</v>
      </c>
      <c r="R44" s="44">
        <f t="shared" si="23"/>
        <v>0</v>
      </c>
      <c r="S44" s="58">
        <f>'QC - Ar Condicionados'!P15</f>
        <v>2.5</v>
      </c>
      <c r="T44" s="57">
        <f>'QC - Ar Condicionados'!Q15</f>
        <v>0</v>
      </c>
      <c r="U44" s="5" t="str">
        <f>IF('QC - Ar Condicionados'!R15="","",'QC - Ar Condicionados'!R15)</f>
        <v/>
      </c>
      <c r="V44" s="5" t="str">
        <f>IF('QC - Ar Condicionados'!S15="","",'QC - Ar Condicionados'!S15)</f>
        <v/>
      </c>
      <c r="W44" s="256" t="str">
        <f>IF('QC - Ar Condicionados'!T15="","",'QC - Ar Condicionados'!T15)</f>
        <v/>
      </c>
      <c r="X44" s="257"/>
      <c r="Y44" s="257"/>
      <c r="Z44" s="257"/>
      <c r="AA44" s="258"/>
      <c r="AB44" s="258"/>
      <c r="AC44" s="258"/>
      <c r="AD44" s="186"/>
      <c r="AE44" s="186"/>
      <c r="AF44" s="186">
        <v>20</v>
      </c>
      <c r="AG44" s="186">
        <f t="shared" si="28"/>
        <v>14.3</v>
      </c>
      <c r="AH44" s="311">
        <f t="shared" si="29"/>
        <v>0</v>
      </c>
      <c r="AI44" s="310" t="str">
        <f t="shared" si="30"/>
        <v>OK</v>
      </c>
      <c r="AJ44" s="12"/>
      <c r="AK44" s="12"/>
      <c r="AL44" s="12"/>
      <c r="AM44" s="12"/>
      <c r="AN44" s="12"/>
      <c r="AO44" s="11"/>
      <c r="AP44" s="11"/>
      <c r="AQ44" s="12"/>
      <c r="AR44" s="12"/>
    </row>
    <row r="45" spans="1:44" ht="12.75" customHeight="1" x14ac:dyDescent="0.2">
      <c r="A45" s="1"/>
      <c r="B45" s="387"/>
      <c r="C45" s="5" t="str">
        <f>'QC - Ar Condicionados'!B16</f>
        <v>9 - T.U.E.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>
        <v>1</v>
      </c>
      <c r="P45" s="57">
        <f>'QC - Ar Condicionados'!M16</f>
        <v>0</v>
      </c>
      <c r="Q45" s="57">
        <f>'QC - Ar Condicionados'!N16</f>
        <v>220</v>
      </c>
      <c r="R45" s="44">
        <f t="shared" si="23"/>
        <v>0</v>
      </c>
      <c r="S45" s="58">
        <f>'QC - Ar Condicionados'!P16</f>
        <v>2.5</v>
      </c>
      <c r="T45" s="57">
        <f>'QC - Ar Condicionados'!Q16</f>
        <v>0</v>
      </c>
      <c r="U45" s="5" t="str">
        <f>IF('QC - Ar Condicionados'!R16="","",'QC - Ar Condicionados'!R16)</f>
        <v/>
      </c>
      <c r="V45" s="5" t="str">
        <f>IF('QC - Ar Condicionados'!S16="","",'QC - Ar Condicionados'!S16)</f>
        <v/>
      </c>
      <c r="W45" s="256" t="str">
        <f>IF('QC - Ar Condicionados'!T16="","",'QC - Ar Condicionados'!T16)</f>
        <v/>
      </c>
      <c r="X45" s="257"/>
      <c r="Y45" s="257"/>
      <c r="Z45" s="257"/>
      <c r="AA45" s="258"/>
      <c r="AB45" s="258"/>
      <c r="AC45" s="258"/>
      <c r="AD45" s="186"/>
      <c r="AE45" s="186"/>
      <c r="AF45" s="186">
        <v>20</v>
      </c>
      <c r="AG45" s="186">
        <f t="shared" si="28"/>
        <v>14.3</v>
      </c>
      <c r="AH45" s="311">
        <f t="shared" si="29"/>
        <v>0</v>
      </c>
      <c r="AI45" s="310" t="str">
        <f t="shared" si="30"/>
        <v>OK</v>
      </c>
      <c r="AJ45" s="12"/>
      <c r="AK45" s="12"/>
      <c r="AL45" s="12"/>
      <c r="AM45" s="12"/>
      <c r="AN45" s="12"/>
      <c r="AO45" s="11"/>
      <c r="AP45" s="11"/>
      <c r="AQ45" s="12"/>
      <c r="AR45" s="12"/>
    </row>
    <row r="46" spans="1:44" ht="12.75" customHeight="1" x14ac:dyDescent="0.2">
      <c r="A46" s="1"/>
      <c r="B46" s="387"/>
      <c r="C46" s="5" t="str">
        <f>'QC - Ar Condicionados'!B17</f>
        <v>10 - T.U.E.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>
        <v>1</v>
      </c>
      <c r="P46" s="57">
        <f>'QC - Ar Condicionados'!M17</f>
        <v>0</v>
      </c>
      <c r="Q46" s="57">
        <f>'QC - Ar Condicionados'!N17</f>
        <v>220</v>
      </c>
      <c r="R46" s="44">
        <f t="shared" si="23"/>
        <v>0</v>
      </c>
      <c r="S46" s="58">
        <f>'QC - Ar Condicionados'!P17</f>
        <v>2.5</v>
      </c>
      <c r="T46" s="57">
        <f>'QC - Ar Condicionados'!Q17</f>
        <v>0</v>
      </c>
      <c r="U46" s="5" t="str">
        <f>IF('QC - Ar Condicionados'!R17="","",'QC - Ar Condicionados'!R17)</f>
        <v/>
      </c>
      <c r="V46" s="5" t="str">
        <f>IF('QC - Ar Condicionados'!S17="","",'QC - Ar Condicionados'!S17)</f>
        <v/>
      </c>
      <c r="W46" s="256" t="str">
        <f>IF('QC - Ar Condicionados'!T17="","",'QC - Ar Condicionados'!T17)</f>
        <v/>
      </c>
      <c r="X46" s="257"/>
      <c r="Y46" s="257"/>
      <c r="Z46" s="257"/>
      <c r="AA46" s="258"/>
      <c r="AB46" s="258"/>
      <c r="AC46" s="258"/>
      <c r="AD46" s="186"/>
      <c r="AE46" s="186"/>
      <c r="AF46" s="186">
        <v>20</v>
      </c>
      <c r="AG46" s="186">
        <f t="shared" si="28"/>
        <v>14.3</v>
      </c>
      <c r="AH46" s="311">
        <f t="shared" si="29"/>
        <v>0</v>
      </c>
      <c r="AI46" s="310" t="str">
        <f t="shared" si="30"/>
        <v>OK</v>
      </c>
      <c r="AJ46" s="12"/>
      <c r="AK46" s="12"/>
      <c r="AL46" s="12"/>
      <c r="AM46" s="12"/>
      <c r="AN46" s="12"/>
      <c r="AO46" s="11"/>
      <c r="AP46" s="11"/>
      <c r="AQ46" s="12"/>
      <c r="AR46" s="12"/>
    </row>
    <row r="47" spans="1:44" ht="12.75" customHeight="1" x14ac:dyDescent="0.2">
      <c r="A47" s="1"/>
      <c r="B47" s="387"/>
      <c r="C47" s="5" t="str">
        <f>'QC - Ar Condicionados'!B18</f>
        <v>11 - T.U.E.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>
        <v>1</v>
      </c>
      <c r="P47" s="57">
        <f>'QC - Ar Condicionados'!M18</f>
        <v>0</v>
      </c>
      <c r="Q47" s="57">
        <f>'QC - Ar Condicionados'!N18</f>
        <v>220</v>
      </c>
      <c r="R47" s="44">
        <f t="shared" si="23"/>
        <v>0</v>
      </c>
      <c r="S47" s="58">
        <f>'QC - Ar Condicionados'!P18</f>
        <v>2.5</v>
      </c>
      <c r="T47" s="57">
        <f>'QC - Ar Condicionados'!Q18</f>
        <v>0</v>
      </c>
      <c r="U47" s="5" t="str">
        <f>IF('QC - Ar Condicionados'!R18="","",'QC - Ar Condicionados'!R18)</f>
        <v/>
      </c>
      <c r="V47" s="5" t="str">
        <f>IF('QC - Ar Condicionados'!S18="","",'QC - Ar Condicionados'!S18)</f>
        <v/>
      </c>
      <c r="W47" s="256" t="str">
        <f>IF('QC - Ar Condicionados'!T18="","",'QC - Ar Condicionados'!T18)</f>
        <v/>
      </c>
      <c r="X47" s="257"/>
      <c r="Y47" s="257"/>
      <c r="Z47" s="257"/>
      <c r="AA47" s="258"/>
      <c r="AB47" s="258"/>
      <c r="AC47" s="258"/>
      <c r="AD47" s="186"/>
      <c r="AE47" s="186"/>
      <c r="AF47" s="186">
        <v>20</v>
      </c>
      <c r="AG47" s="186">
        <f t="shared" si="28"/>
        <v>14.3</v>
      </c>
      <c r="AH47" s="311">
        <f t="shared" si="29"/>
        <v>0</v>
      </c>
      <c r="AI47" s="310" t="str">
        <f t="shared" si="30"/>
        <v>OK</v>
      </c>
      <c r="AJ47" s="12"/>
      <c r="AK47" s="12"/>
      <c r="AL47" s="12"/>
      <c r="AM47" s="12"/>
      <c r="AN47" s="12"/>
      <c r="AO47" s="11"/>
      <c r="AP47" s="11"/>
      <c r="AQ47" s="12"/>
      <c r="AR47" s="12"/>
    </row>
    <row r="48" spans="1:44" ht="12.75" customHeight="1" x14ac:dyDescent="0.2">
      <c r="A48" s="1"/>
      <c r="B48" s="387"/>
      <c r="C48" s="5" t="str">
        <f>'QC - Ar Condicionados'!B19</f>
        <v>12 - T.U.E.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>
        <v>1</v>
      </c>
      <c r="P48" s="57">
        <f>'QC - Ar Condicionados'!M19</f>
        <v>0</v>
      </c>
      <c r="Q48" s="57">
        <f>'QC - Ar Condicionados'!N19</f>
        <v>127</v>
      </c>
      <c r="R48" s="44">
        <f t="shared" si="23"/>
        <v>0</v>
      </c>
      <c r="S48" s="58">
        <f>'QC - Ar Condicionados'!P19</f>
        <v>2.5</v>
      </c>
      <c r="T48" s="57">
        <f>'QC - Ar Condicionados'!Q19</f>
        <v>0</v>
      </c>
      <c r="U48" s="5" t="str">
        <f>IF('QC - Ar Condicionados'!R19="","",'QC - Ar Condicionados'!R19)</f>
        <v/>
      </c>
      <c r="V48" s="5" t="str">
        <f>IF('QC - Ar Condicionados'!S19="","",'QC - Ar Condicionados'!S19)</f>
        <v/>
      </c>
      <c r="W48" s="256" t="str">
        <f>IF('QC - Ar Condicionados'!T19="","",'QC - Ar Condicionados'!T19)</f>
        <v/>
      </c>
      <c r="X48" s="257"/>
      <c r="Y48" s="257"/>
      <c r="Z48" s="257"/>
      <c r="AA48" s="258"/>
      <c r="AB48" s="258"/>
      <c r="AC48" s="258"/>
      <c r="AD48" s="186"/>
      <c r="AE48" s="186"/>
      <c r="AF48" s="186">
        <v>20</v>
      </c>
      <c r="AG48" s="186">
        <f t="shared" si="28"/>
        <v>14.3</v>
      </c>
      <c r="AH48" s="311">
        <f t="shared" si="29"/>
        <v>0</v>
      </c>
      <c r="AI48" s="310" t="str">
        <f t="shared" si="30"/>
        <v>OK</v>
      </c>
      <c r="AJ48" s="12"/>
      <c r="AK48" s="12"/>
      <c r="AL48" s="12"/>
      <c r="AM48" s="12"/>
      <c r="AN48" s="12"/>
      <c r="AO48" s="11"/>
      <c r="AP48" s="11"/>
      <c r="AQ48" s="12"/>
      <c r="AR48" s="12"/>
    </row>
    <row r="49" spans="1:44" ht="12.75" customHeight="1" x14ac:dyDescent="0.2">
      <c r="A49" s="1"/>
      <c r="B49" s="387"/>
      <c r="C49" s="5" t="str">
        <f>'QC - Ar Condicionados'!B20</f>
        <v>13 - T.U.E.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>
        <v>1</v>
      </c>
      <c r="P49" s="57">
        <f>'QC - Ar Condicionados'!M20</f>
        <v>0</v>
      </c>
      <c r="Q49" s="57">
        <f>'QC - Ar Condicionados'!N20</f>
        <v>127</v>
      </c>
      <c r="R49" s="44">
        <f t="shared" si="23"/>
        <v>0</v>
      </c>
      <c r="S49" s="58">
        <f>'QC - Ar Condicionados'!P20</f>
        <v>2.5</v>
      </c>
      <c r="T49" s="57">
        <f>'QC - Ar Condicionados'!Q20</f>
        <v>0</v>
      </c>
      <c r="U49" s="5" t="str">
        <f>IF('QC - Ar Condicionados'!R20="","",'QC - Ar Condicionados'!R20)</f>
        <v/>
      </c>
      <c r="V49" s="5" t="str">
        <f>IF('QC - Ar Condicionados'!S20="","",'QC - Ar Condicionados'!S20)</f>
        <v/>
      </c>
      <c r="W49" s="256" t="str">
        <f>IF('QC - Ar Condicionados'!T20="","",'QC - Ar Condicionados'!T20)</f>
        <v/>
      </c>
      <c r="X49" s="257"/>
      <c r="Y49" s="257"/>
      <c r="Z49" s="257"/>
      <c r="AA49" s="258"/>
      <c r="AB49" s="258"/>
      <c r="AC49" s="258"/>
      <c r="AD49" s="186"/>
      <c r="AE49" s="186"/>
      <c r="AF49" s="186">
        <v>20</v>
      </c>
      <c r="AG49" s="186">
        <f t="shared" si="28"/>
        <v>14.3</v>
      </c>
      <c r="AH49" s="311">
        <f t="shared" si="29"/>
        <v>0</v>
      </c>
      <c r="AI49" s="310" t="str">
        <f t="shared" si="30"/>
        <v>OK</v>
      </c>
      <c r="AJ49" s="12"/>
      <c r="AK49" s="12"/>
      <c r="AL49" s="12"/>
      <c r="AM49" s="12"/>
      <c r="AN49" s="12"/>
      <c r="AO49" s="11"/>
      <c r="AP49" s="11"/>
      <c r="AQ49" s="12"/>
      <c r="AR49" s="12"/>
    </row>
    <row r="50" spans="1:44" ht="12.75" customHeight="1" x14ac:dyDescent="0.2">
      <c r="A50" s="1"/>
      <c r="B50" s="387"/>
      <c r="C50" s="246" t="s">
        <v>58</v>
      </c>
      <c r="D50" s="247"/>
      <c r="E50" s="247"/>
      <c r="F50" s="247"/>
      <c r="G50" s="247"/>
      <c r="H50" s="247"/>
      <c r="I50" s="247"/>
      <c r="J50" s="247"/>
      <c r="K50" s="247"/>
      <c r="L50" s="247"/>
      <c r="M50" s="247"/>
      <c r="N50" s="247"/>
      <c r="O50" s="5">
        <v>3</v>
      </c>
      <c r="P50" s="247">
        <f>SUM(P37:P49)</f>
        <v>14700</v>
      </c>
      <c r="Q50" s="247">
        <v>220</v>
      </c>
      <c r="R50" s="249">
        <f>SUM(R37:R49)/(1.73*0.85)</f>
        <v>45.439089981762542</v>
      </c>
      <c r="S50" s="247">
        <v>6</v>
      </c>
      <c r="T50" s="248">
        <v>40</v>
      </c>
      <c r="U50" s="5">
        <f t="shared" ref="U50:W50" si="31">SUM(U37:U49)</f>
        <v>3600</v>
      </c>
      <c r="V50" s="5">
        <f t="shared" si="31"/>
        <v>5100</v>
      </c>
      <c r="W50" s="5">
        <f t="shared" si="31"/>
        <v>5100</v>
      </c>
      <c r="X50" s="257">
        <v>100</v>
      </c>
      <c r="Y50" s="257">
        <v>1</v>
      </c>
      <c r="Z50" s="268">
        <f t="shared" ref="Z50" si="32">P50/Y50</f>
        <v>14700</v>
      </c>
      <c r="AA50" s="277">
        <v>0.85219999999999996</v>
      </c>
      <c r="AB50" s="267">
        <f>X50/100</f>
        <v>1</v>
      </c>
      <c r="AC50" s="267">
        <v>0.89</v>
      </c>
      <c r="AD50" s="275">
        <f>Z50*AA50</f>
        <v>12527.34</v>
      </c>
      <c r="AE50" s="196">
        <f t="shared" ref="AE50" si="33">AD50/Q50</f>
        <v>56.942454545454545</v>
      </c>
      <c r="AF50" s="186">
        <v>6.3</v>
      </c>
      <c r="AG50" s="186">
        <f t="shared" ref="AG50:AG51" si="34">IF(S50=1.5,23.3,IF(S50=2.5,14.3,IF(S50=4,8.96,IF(S50=6,6.03,IF(S50=10,3.63,IF(S50=16,2.32,IF(S50=25,1.51,IF(S50=35,1.12,IF(S50=50,0.85,IF(S50=70,0.62,IF(S50=95,0.48,"VER")))))))))))</f>
        <v>6.03</v>
      </c>
      <c r="AH50" s="311">
        <f>AE50*AG50*(AF50/1000)*100/220</f>
        <v>0.9832667753305786</v>
      </c>
      <c r="AI50" s="310" t="str">
        <f t="shared" si="30"/>
        <v>OK</v>
      </c>
      <c r="AJ50" s="262"/>
      <c r="AK50" s="262"/>
      <c r="AL50" s="262"/>
      <c r="AM50" s="262"/>
      <c r="AN50" s="262"/>
      <c r="AO50" s="262"/>
      <c r="AP50" s="262"/>
      <c r="AQ50" s="262"/>
      <c r="AR50" s="12"/>
    </row>
    <row r="51" spans="1:44" ht="12.75" customHeight="1" x14ac:dyDescent="0.2">
      <c r="A51" s="1"/>
      <c r="B51" s="388"/>
      <c r="C51" s="246" t="s">
        <v>482</v>
      </c>
      <c r="D51" s="247"/>
      <c r="E51" s="247"/>
      <c r="F51" s="247"/>
      <c r="G51" s="247"/>
      <c r="H51" s="247"/>
      <c r="I51" s="247"/>
      <c r="J51" s="247"/>
      <c r="K51" s="247"/>
      <c r="L51" s="247"/>
      <c r="M51" s="247"/>
      <c r="N51" s="247"/>
      <c r="O51" s="320">
        <v>3</v>
      </c>
      <c r="P51" s="250">
        <f>U51+V51+W51</f>
        <v>16235.294117647059</v>
      </c>
      <c r="Q51" s="247">
        <v>220</v>
      </c>
      <c r="R51" s="250">
        <f>R50*1.2</f>
        <v>54.526907978115048</v>
      </c>
      <c r="S51" s="247">
        <v>10</v>
      </c>
      <c r="T51" s="248">
        <v>50</v>
      </c>
      <c r="U51" s="5">
        <f>U50/0.85</f>
        <v>4235.2941176470586</v>
      </c>
      <c r="V51" s="5">
        <f>V50/0.85</f>
        <v>6000</v>
      </c>
      <c r="W51" s="5">
        <f>W50/0.85</f>
        <v>6000</v>
      </c>
      <c r="X51" s="257">
        <v>100</v>
      </c>
      <c r="Y51" s="257">
        <v>1</v>
      </c>
      <c r="Z51" s="268">
        <f>SUM(Z37:Z50)</f>
        <v>31994.117647058822</v>
      </c>
      <c r="AA51" s="258">
        <v>0.85</v>
      </c>
      <c r="AB51" s="258">
        <v>1</v>
      </c>
      <c r="AC51" s="258">
        <v>0.89</v>
      </c>
      <c r="AD51" s="314">
        <f>SUM(AD37:AD41)</f>
        <v>20160.688665710186</v>
      </c>
      <c r="AE51" s="346">
        <f>SUM(AE37:AE49)/1.73</f>
        <v>52.970805742801332</v>
      </c>
      <c r="AF51" s="186">
        <v>6.3</v>
      </c>
      <c r="AG51" s="186">
        <f t="shared" si="34"/>
        <v>3.63</v>
      </c>
      <c r="AH51" s="311">
        <f>AE51*AG51*(AF51/1000)*100/220</f>
        <v>0.55063152569641982</v>
      </c>
      <c r="AI51" s="310" t="str">
        <f t="shared" si="30"/>
        <v>OK</v>
      </c>
      <c r="AJ51" s="262"/>
      <c r="AK51" s="262"/>
      <c r="AL51" s="262"/>
      <c r="AM51" s="262"/>
      <c r="AN51" s="262"/>
      <c r="AO51" s="262"/>
      <c r="AP51" s="262"/>
      <c r="AQ51" s="262"/>
      <c r="AR51" s="12"/>
    </row>
    <row r="52" spans="1:44" ht="12.75" customHeight="1" x14ac:dyDescent="0.2">
      <c r="A52" s="1"/>
      <c r="C52" s="1"/>
      <c r="D52" s="35">
        <f>'QC - Área Gourmet'!C7</f>
        <v>20</v>
      </c>
      <c r="E52" s="35">
        <f>'QC - Área Gourmet'!D7</f>
        <v>12</v>
      </c>
      <c r="F52" s="35">
        <f>'QC - Área Gourmet'!E7</f>
        <v>100</v>
      </c>
      <c r="G52" s="35">
        <f>'QC - Área Gourmet'!F7</f>
        <v>150</v>
      </c>
      <c r="H52" s="35">
        <f>'QC - Área Gourmet'!G7</f>
        <v>200</v>
      </c>
      <c r="I52" s="35">
        <f>'QC - Área Gourmet'!H7</f>
        <v>300</v>
      </c>
      <c r="J52" s="35">
        <f>'QC - Área Gourmet'!I7</f>
        <v>100</v>
      </c>
      <c r="K52" s="35">
        <f>'QC - Área Gourmet'!J7</f>
        <v>3600</v>
      </c>
      <c r="L52" s="35">
        <f>'QC - Área Gourmet'!K7</f>
        <v>4400</v>
      </c>
      <c r="M52" s="35">
        <f>'QC - Área Gourmet'!L7</f>
        <v>600</v>
      </c>
      <c r="N52" s="35">
        <f>'QC - Área Gourmet'!M7</f>
        <v>1200</v>
      </c>
      <c r="O52" s="254"/>
      <c r="P52" s="1"/>
      <c r="Q52" s="1"/>
      <c r="R52" s="1"/>
      <c r="S52" s="1"/>
      <c r="T52" s="1"/>
      <c r="U52" s="1"/>
      <c r="V52" s="1"/>
      <c r="W52" s="1"/>
      <c r="X52" s="1"/>
      <c r="Y52" s="1"/>
      <c r="Z52" s="265"/>
      <c r="AA52" s="9"/>
      <c r="AB52" s="9"/>
      <c r="AC52" s="9"/>
      <c r="AD52" s="9"/>
      <c r="AE52" s="12"/>
      <c r="AF52" s="12"/>
      <c r="AG52" s="12"/>
      <c r="AH52" s="12"/>
      <c r="AI52" s="12"/>
      <c r="AJ52" s="12"/>
      <c r="AK52" s="12"/>
      <c r="AL52" s="12"/>
      <c r="AM52" s="9"/>
      <c r="AN52" s="9"/>
      <c r="AO52" s="9"/>
      <c r="AP52" s="9"/>
      <c r="AQ52" s="9"/>
      <c r="AR52" s="9"/>
    </row>
    <row r="53" spans="1:44" ht="12.75" customHeight="1" x14ac:dyDescent="0.2">
      <c r="A53" s="1"/>
      <c r="B53" s="447" t="s">
        <v>434</v>
      </c>
      <c r="C53" s="5" t="str">
        <f>'QC - Área Gourmet'!B8</f>
        <v>1 - Iluminação Área Gourmet</v>
      </c>
      <c r="D53" s="57">
        <f>'QC - Área Gourmet'!C8</f>
        <v>14</v>
      </c>
      <c r="E53" s="57">
        <f>'QC - Área Gourmet'!D8</f>
        <v>4</v>
      </c>
      <c r="F53" s="57">
        <f>'QC - Área Gourmet'!E8</f>
        <v>2</v>
      </c>
      <c r="G53" s="57">
        <f>'QC - Área Gourmet'!F8</f>
        <v>0</v>
      </c>
      <c r="H53" s="57">
        <f>'QC - Área Gourmet'!G8</f>
        <v>0</v>
      </c>
      <c r="I53" s="57">
        <f>'QC - Área Gourmet'!H8</f>
        <v>0</v>
      </c>
      <c r="J53" s="5"/>
      <c r="K53" s="5"/>
      <c r="L53" s="5"/>
      <c r="M53" s="5"/>
      <c r="N53" s="5"/>
      <c r="O53" s="5">
        <v>1</v>
      </c>
      <c r="P53" s="6">
        <f t="shared" ref="P53:P59" si="35">$D$52*D53+$E$52*E53+$F$52*F53+$G$52*G53+$H$52*H53+$I$52*I53+$J$52*J53+$K$52*K53+$L$52*L53+$M$52*M53+$N$52*N53</f>
        <v>528</v>
      </c>
      <c r="Q53" s="57">
        <f>'QC - Área Gourmet'!O8</f>
        <v>220</v>
      </c>
      <c r="R53" s="44">
        <f t="shared" ref="R53:R67" si="36">P53/Q53</f>
        <v>2.4</v>
      </c>
      <c r="S53" s="58">
        <f>'QC - Área Gourmet'!Q8</f>
        <v>1.5</v>
      </c>
      <c r="T53" s="57">
        <f>'QC - Área Gourmet'!R8</f>
        <v>10</v>
      </c>
      <c r="U53" s="5" t="str">
        <f>IF('QC - Área Gourmet'!S8="","",'QC - Área Gourmet'!S8)</f>
        <v/>
      </c>
      <c r="V53" s="5">
        <f>IF('QC - Área Gourmet'!T8="","",'QC - Área Gourmet'!T8)</f>
        <v>528</v>
      </c>
      <c r="W53" s="5" t="str">
        <f>IF('QC - Área Gourmet'!U8="","",'QC - Área Gourmet'!U8)</f>
        <v/>
      </c>
      <c r="X53" s="257">
        <v>100</v>
      </c>
      <c r="Y53" s="257">
        <v>1</v>
      </c>
      <c r="Z53" s="268">
        <f t="shared" ref="Z53:Z57" si="37">P53/Y53</f>
        <v>528</v>
      </c>
      <c r="AA53" s="267">
        <f t="shared" ref="AA53:AA65" si="38">X53/100</f>
        <v>1</v>
      </c>
      <c r="AB53" s="267">
        <f t="shared" ref="AB53:AB68" si="39">X53/100</f>
        <v>1</v>
      </c>
      <c r="AC53" s="267">
        <v>0.89</v>
      </c>
      <c r="AD53" s="275">
        <f t="shared" ref="AD53:AD61" si="40">Z53*AA53</f>
        <v>528</v>
      </c>
      <c r="AE53" s="196">
        <f t="shared" ref="AE53:AE66" si="41">AD53/Q53</f>
        <v>2.4</v>
      </c>
      <c r="AF53" s="186">
        <v>20</v>
      </c>
      <c r="AG53" s="186">
        <f t="shared" ref="AG53:AG67" si="42">IF(S53=1.5,23.3,IF(S53=2.5,14.3,IF(S53=4,8.96,"VER")))</f>
        <v>23.3</v>
      </c>
      <c r="AH53" s="311">
        <f t="shared" ref="AH53:AH67" si="43">AE53*AG53*(AF53/1000)*100/127</f>
        <v>0.88062992125984252</v>
      </c>
      <c r="AI53" s="310" t="str">
        <f t="shared" ref="AI53:AI69" si="44">IF(AH53&lt;4,"OK","Não Atende")</f>
        <v>OK</v>
      </c>
      <c r="AJ53" s="12"/>
      <c r="AK53" s="12"/>
      <c r="AL53" s="12"/>
      <c r="AM53" s="12"/>
      <c r="AN53" s="12"/>
      <c r="AO53" s="11"/>
      <c r="AP53" s="11"/>
      <c r="AQ53" s="12"/>
      <c r="AR53" s="12"/>
    </row>
    <row r="54" spans="1:44" ht="12.75" customHeight="1" x14ac:dyDescent="0.2">
      <c r="A54" s="1"/>
      <c r="B54" s="387"/>
      <c r="C54" s="5" t="str">
        <f>'QC - Área Gourmet'!B9</f>
        <v>2 - Ilum.Áreas Comuns: Gazebo e Casa de bombas e Jardim Piscina</v>
      </c>
      <c r="D54" s="57">
        <f>'QC - Área Gourmet'!C9</f>
        <v>0</v>
      </c>
      <c r="E54" s="57">
        <f>'QC - Área Gourmet'!D9</f>
        <v>4</v>
      </c>
      <c r="F54" s="57">
        <f>'QC - Área Gourmet'!E9</f>
        <v>8</v>
      </c>
      <c r="G54" s="57">
        <f>'QC - Área Gourmet'!F9</f>
        <v>0</v>
      </c>
      <c r="H54" s="57">
        <f>'QC - Área Gourmet'!G9</f>
        <v>0</v>
      </c>
      <c r="I54" s="57">
        <f>'QC - Área Gourmet'!H9</f>
        <v>0</v>
      </c>
      <c r="J54" s="5"/>
      <c r="K54" s="5"/>
      <c r="L54" s="5"/>
      <c r="M54" s="5"/>
      <c r="N54" s="5"/>
      <c r="O54" s="5">
        <v>1</v>
      </c>
      <c r="P54" s="6">
        <f t="shared" si="35"/>
        <v>848</v>
      </c>
      <c r="Q54" s="57">
        <f>'QC - Área Gourmet'!O9</f>
        <v>220</v>
      </c>
      <c r="R54" s="44">
        <f t="shared" si="36"/>
        <v>3.8545454545454545</v>
      </c>
      <c r="S54" s="58">
        <f>'QC - Área Gourmet'!Q9</f>
        <v>1.5</v>
      </c>
      <c r="T54" s="57">
        <f>'QC - Área Gourmet'!R9</f>
        <v>10</v>
      </c>
      <c r="U54" s="5" t="str">
        <f>IF('QC - Área Gourmet'!S9="","",'QC - Área Gourmet'!S9)</f>
        <v/>
      </c>
      <c r="V54" s="5" t="str">
        <f>IF('QC - Área Gourmet'!T9="","",'QC - Área Gourmet'!T9)</f>
        <v/>
      </c>
      <c r="W54" s="5">
        <f>IF('QC - Área Gourmet'!U9="","",'QC - Área Gourmet'!U9)</f>
        <v>848</v>
      </c>
      <c r="X54" s="257">
        <v>100</v>
      </c>
      <c r="Y54" s="257">
        <v>1</v>
      </c>
      <c r="Z54" s="268">
        <f t="shared" si="37"/>
        <v>848</v>
      </c>
      <c r="AA54" s="267">
        <f t="shared" si="38"/>
        <v>1</v>
      </c>
      <c r="AB54" s="267">
        <f t="shared" si="39"/>
        <v>1</v>
      </c>
      <c r="AC54" s="267">
        <v>0.89</v>
      </c>
      <c r="AD54" s="275">
        <f t="shared" si="40"/>
        <v>848</v>
      </c>
      <c r="AE54" s="196">
        <f t="shared" si="41"/>
        <v>3.8545454545454545</v>
      </c>
      <c r="AF54" s="186">
        <v>20</v>
      </c>
      <c r="AG54" s="186">
        <f t="shared" si="42"/>
        <v>23.3</v>
      </c>
      <c r="AH54" s="311">
        <f t="shared" si="43"/>
        <v>1.4143450250536864</v>
      </c>
      <c r="AI54" s="310" t="str">
        <f t="shared" si="44"/>
        <v>OK</v>
      </c>
      <c r="AJ54" s="12"/>
      <c r="AK54" s="12"/>
      <c r="AL54" s="12"/>
      <c r="AM54" s="12"/>
      <c r="AN54" s="12"/>
      <c r="AO54" s="11"/>
      <c r="AP54" s="11"/>
      <c r="AQ54" s="12"/>
      <c r="AR54" s="12"/>
    </row>
    <row r="55" spans="1:44" ht="12.75" customHeight="1" x14ac:dyDescent="0.2">
      <c r="A55" s="1"/>
      <c r="B55" s="387"/>
      <c r="C55" s="5" t="str">
        <f>'QC - Área Gourmet'!B10</f>
        <v>3 - Iluminação escadas</v>
      </c>
      <c r="D55" s="57">
        <f>'QC - Área Gourmet'!C10</f>
        <v>16</v>
      </c>
      <c r="E55" s="57">
        <f>'QC - Área Gourmet'!D10</f>
        <v>4</v>
      </c>
      <c r="F55" s="57">
        <f>'QC - Área Gourmet'!E10</f>
        <v>0</v>
      </c>
      <c r="G55" s="57">
        <f>'QC - Área Gourmet'!F10</f>
        <v>0</v>
      </c>
      <c r="H55" s="57">
        <f>'QC - Área Gourmet'!G10</f>
        <v>0</v>
      </c>
      <c r="I55" s="57">
        <f>'QC - Área Gourmet'!H10</f>
        <v>0</v>
      </c>
      <c r="J55" s="5"/>
      <c r="K55" s="5"/>
      <c r="L55" s="5"/>
      <c r="M55" s="5"/>
      <c r="N55" s="5"/>
      <c r="O55" s="5">
        <v>1</v>
      </c>
      <c r="P55" s="6">
        <f t="shared" si="35"/>
        <v>368</v>
      </c>
      <c r="Q55" s="57">
        <f>'QC - Área Gourmet'!O10</f>
        <v>220</v>
      </c>
      <c r="R55" s="44">
        <f t="shared" si="36"/>
        <v>1.6727272727272726</v>
      </c>
      <c r="S55" s="58">
        <f>'QC - Área Gourmet'!Q10</f>
        <v>1.5</v>
      </c>
      <c r="T55" s="57">
        <f>'QC - Área Gourmet'!R10</f>
        <v>10</v>
      </c>
      <c r="U55" s="5" t="str">
        <f>IF('QC - Área Gourmet'!S10="","",'QC - Área Gourmet'!S10)</f>
        <v/>
      </c>
      <c r="V55" s="5" t="str">
        <f>IF('QC - Área Gourmet'!T10="","",'QC - Área Gourmet'!T10)</f>
        <v/>
      </c>
      <c r="W55" s="5">
        <f>IF('QC - Área Gourmet'!U10="","",'QC - Área Gourmet'!U10)</f>
        <v>368</v>
      </c>
      <c r="X55" s="257">
        <v>100</v>
      </c>
      <c r="Y55" s="257">
        <v>1</v>
      </c>
      <c r="Z55" s="268">
        <f t="shared" si="37"/>
        <v>368</v>
      </c>
      <c r="AA55" s="267">
        <f t="shared" si="38"/>
        <v>1</v>
      </c>
      <c r="AB55" s="267">
        <f t="shared" si="39"/>
        <v>1</v>
      </c>
      <c r="AC55" s="267">
        <v>0.89</v>
      </c>
      <c r="AD55" s="275">
        <f t="shared" si="40"/>
        <v>368</v>
      </c>
      <c r="AE55" s="196">
        <f t="shared" si="41"/>
        <v>1.6727272727272726</v>
      </c>
      <c r="AF55" s="186">
        <v>20</v>
      </c>
      <c r="AG55" s="186">
        <f t="shared" si="42"/>
        <v>23.3</v>
      </c>
      <c r="AH55" s="311">
        <f t="shared" si="43"/>
        <v>0.61377236936292057</v>
      </c>
      <c r="AI55" s="310" t="str">
        <f t="shared" si="44"/>
        <v>OK</v>
      </c>
      <c r="AJ55" s="12"/>
      <c r="AK55" s="12"/>
      <c r="AL55" s="12"/>
      <c r="AM55" s="12"/>
      <c r="AN55" s="12"/>
      <c r="AO55" s="11"/>
      <c r="AP55" s="11"/>
      <c r="AQ55" s="12"/>
      <c r="AR55" s="12"/>
    </row>
    <row r="56" spans="1:44" ht="12.75" customHeight="1" x14ac:dyDescent="0.2">
      <c r="A56" s="1"/>
      <c r="B56" s="387"/>
      <c r="C56" s="5" t="str">
        <f>'QC - Área Gourmet'!B11</f>
        <v>4 - T.U.G. Áreas Comuns: Gazebo, Casa de Bombas e Jardim Piscina</v>
      </c>
      <c r="D56" s="57">
        <f>'QC - Área Gourmet'!C11</f>
        <v>0</v>
      </c>
      <c r="E56" s="57">
        <f>'QC - Área Gourmet'!D11</f>
        <v>0</v>
      </c>
      <c r="F56" s="57">
        <f>'QC - Área Gourmet'!E11</f>
        <v>0</v>
      </c>
      <c r="G56" s="57">
        <f>'QC - Área Gourmet'!F11</f>
        <v>0</v>
      </c>
      <c r="H56" s="57">
        <f>'QC - Área Gourmet'!G11</f>
        <v>0</v>
      </c>
      <c r="I56" s="57">
        <f>'QC - Área Gourmet'!H11</f>
        <v>0</v>
      </c>
      <c r="J56" s="57">
        <f>'QC - Área Gourmet'!I11</f>
        <v>4</v>
      </c>
      <c r="K56" s="57">
        <f>'QC - Área Gourmet'!J11</f>
        <v>0</v>
      </c>
      <c r="L56" s="57">
        <f>'QC - Área Gourmet'!K11</f>
        <v>0</v>
      </c>
      <c r="M56" s="57">
        <f>'QC - Área Gourmet'!L11</f>
        <v>0</v>
      </c>
      <c r="N56" s="57">
        <f>'QC - Área Gourmet'!M11</f>
        <v>0</v>
      </c>
      <c r="O56" s="5">
        <v>1</v>
      </c>
      <c r="P56" s="6">
        <f t="shared" si="35"/>
        <v>400</v>
      </c>
      <c r="Q56" s="57">
        <f>'QC - Área Gourmet'!O11</f>
        <v>220</v>
      </c>
      <c r="R56" s="44">
        <f t="shared" si="36"/>
        <v>1.8181818181818181</v>
      </c>
      <c r="S56" s="58">
        <f>'QC - Área Gourmet'!Q11</f>
        <v>2.5</v>
      </c>
      <c r="T56" s="57">
        <f>'QC - Área Gourmet'!R11</f>
        <v>10</v>
      </c>
      <c r="U56" s="5" t="str">
        <f>IF('QC - Área Gourmet'!S11="","",'QC - Área Gourmet'!S11)</f>
        <v/>
      </c>
      <c r="V56" s="5">
        <f>IF('QC - Área Gourmet'!T11="","",'QC - Área Gourmet'!T11)</f>
        <v>400</v>
      </c>
      <c r="W56" s="5" t="str">
        <f>IF('QC - Área Gourmet'!U11="","",'QC - Área Gourmet'!U11)</f>
        <v/>
      </c>
      <c r="X56" s="257">
        <v>35</v>
      </c>
      <c r="Y56" s="257">
        <v>1</v>
      </c>
      <c r="Z56" s="268">
        <f t="shared" si="37"/>
        <v>400</v>
      </c>
      <c r="AA56" s="267">
        <f t="shared" si="38"/>
        <v>0.35</v>
      </c>
      <c r="AB56" s="267">
        <f t="shared" si="39"/>
        <v>0.35</v>
      </c>
      <c r="AC56" s="267">
        <v>0.89</v>
      </c>
      <c r="AD56" s="275">
        <f t="shared" si="40"/>
        <v>140</v>
      </c>
      <c r="AE56" s="196">
        <f t="shared" si="41"/>
        <v>0.63636363636363635</v>
      </c>
      <c r="AF56" s="186">
        <v>20</v>
      </c>
      <c r="AG56" s="186">
        <f t="shared" si="42"/>
        <v>14.3</v>
      </c>
      <c r="AH56" s="311">
        <f t="shared" si="43"/>
        <v>0.14330708661417321</v>
      </c>
      <c r="AI56" s="310" t="str">
        <f t="shared" si="44"/>
        <v>OK</v>
      </c>
      <c r="AJ56" s="12"/>
      <c r="AK56" s="12"/>
      <c r="AL56" s="12"/>
      <c r="AM56" s="12"/>
      <c r="AN56" s="12"/>
      <c r="AO56" s="11"/>
      <c r="AP56" s="11"/>
      <c r="AQ56" s="12"/>
      <c r="AR56" s="12"/>
    </row>
    <row r="57" spans="1:44" ht="12.75" customHeight="1" x14ac:dyDescent="0.2">
      <c r="A57" s="1"/>
      <c r="B57" s="387"/>
      <c r="C57" s="5" t="str">
        <f>'QC - Área Gourmet'!B12</f>
        <v>5 - T.U.G. Área Gourmet</v>
      </c>
      <c r="D57" s="57">
        <f>'QC - Área Gourmet'!C12</f>
        <v>0</v>
      </c>
      <c r="E57" s="57">
        <f>'QC - Área Gourmet'!D12</f>
        <v>0</v>
      </c>
      <c r="F57" s="57">
        <f>'QC - Área Gourmet'!E12</f>
        <v>0</v>
      </c>
      <c r="G57" s="57">
        <f>'QC - Área Gourmet'!F12</f>
        <v>0</v>
      </c>
      <c r="H57" s="57">
        <f>'QC - Área Gourmet'!G12</f>
        <v>0</v>
      </c>
      <c r="I57" s="57">
        <f>'QC - Área Gourmet'!H12</f>
        <v>0</v>
      </c>
      <c r="J57" s="57">
        <f>'QC - Área Gourmet'!I12</f>
        <v>12</v>
      </c>
      <c r="K57" s="57">
        <f>'QC - Área Gourmet'!J12</f>
        <v>0</v>
      </c>
      <c r="L57" s="57">
        <f>'QC - Área Gourmet'!K12</f>
        <v>0</v>
      </c>
      <c r="M57" s="57">
        <f>'QC - Área Gourmet'!L12</f>
        <v>1</v>
      </c>
      <c r="N57" s="57">
        <f>'QC - Área Gourmet'!M12</f>
        <v>0</v>
      </c>
      <c r="O57" s="5">
        <v>1</v>
      </c>
      <c r="P57" s="6">
        <f t="shared" si="35"/>
        <v>1800</v>
      </c>
      <c r="Q57" s="57">
        <f>'QC - Área Gourmet'!O12</f>
        <v>127</v>
      </c>
      <c r="R57" s="44">
        <f t="shared" si="36"/>
        <v>14.173228346456693</v>
      </c>
      <c r="S57" s="58">
        <f>'QC - Área Gourmet'!Q12</f>
        <v>2.5</v>
      </c>
      <c r="T57" s="57">
        <f>'QC - Área Gourmet'!R12</f>
        <v>20</v>
      </c>
      <c r="U57" s="5" t="str">
        <f>IF('QC - Área Gourmet'!S12="","",'QC - Área Gourmet'!S12)</f>
        <v/>
      </c>
      <c r="V57" s="5">
        <f>IF('QC - Área Gourmet'!T12="","",'QC - Área Gourmet'!T12)</f>
        <v>1800</v>
      </c>
      <c r="W57" s="5" t="str">
        <f>IF('QC - Área Gourmet'!U12="","",'QC - Área Gourmet'!U12)</f>
        <v/>
      </c>
      <c r="X57" s="257">
        <v>35</v>
      </c>
      <c r="Y57" s="257">
        <v>1</v>
      </c>
      <c r="Z57" s="268">
        <f t="shared" si="37"/>
        <v>1800</v>
      </c>
      <c r="AA57" s="267">
        <f t="shared" si="38"/>
        <v>0.35</v>
      </c>
      <c r="AB57" s="267">
        <f t="shared" si="39"/>
        <v>0.35</v>
      </c>
      <c r="AC57" s="267">
        <v>0.89</v>
      </c>
      <c r="AD57" s="275">
        <f t="shared" si="40"/>
        <v>630</v>
      </c>
      <c r="AE57" s="196">
        <f t="shared" si="41"/>
        <v>4.9606299212598426</v>
      </c>
      <c r="AF57" s="186">
        <v>20</v>
      </c>
      <c r="AG57" s="186">
        <f t="shared" si="42"/>
        <v>14.3</v>
      </c>
      <c r="AH57" s="311">
        <f t="shared" si="43"/>
        <v>1.1171182342364685</v>
      </c>
      <c r="AI57" s="310" t="str">
        <f t="shared" si="44"/>
        <v>OK</v>
      </c>
      <c r="AJ57" s="12"/>
      <c r="AK57" s="12"/>
      <c r="AL57" s="12"/>
      <c r="AM57" s="12"/>
      <c r="AN57" s="12"/>
      <c r="AP57" s="11"/>
      <c r="AQ57" s="12"/>
      <c r="AR57" s="12"/>
    </row>
    <row r="58" spans="1:44" ht="12.75" customHeight="1" x14ac:dyDescent="0.2">
      <c r="A58" s="1"/>
      <c r="B58" s="387"/>
      <c r="C58" s="5" t="str">
        <f>'QC - Área Gourmet'!B13</f>
        <v>6 - T.U.E. Ar Condicionado</v>
      </c>
      <c r="D58" s="57">
        <f>'QC - Área Gourmet'!C13</f>
        <v>0</v>
      </c>
      <c r="E58" s="57">
        <f>'QC - Área Gourmet'!D13</f>
        <v>0</v>
      </c>
      <c r="F58" s="57">
        <f>'QC - Área Gourmet'!E13</f>
        <v>0</v>
      </c>
      <c r="G58" s="57">
        <f>'QC - Área Gourmet'!F13</f>
        <v>0</v>
      </c>
      <c r="H58" s="57">
        <f>'QC - Área Gourmet'!G13</f>
        <v>0</v>
      </c>
      <c r="I58" s="57">
        <f>'QC - Área Gourmet'!H13</f>
        <v>0</v>
      </c>
      <c r="J58" s="57">
        <f>'QC - Área Gourmet'!I13</f>
        <v>0</v>
      </c>
      <c r="K58" s="57">
        <f>'QC - Área Gourmet'!J13</f>
        <v>0</v>
      </c>
      <c r="L58" s="57">
        <f>'QC - Área Gourmet'!K13</f>
        <v>0</v>
      </c>
      <c r="M58" s="57">
        <f>'QC - Área Gourmet'!L13</f>
        <v>0</v>
      </c>
      <c r="N58" s="57">
        <f>'QC - Área Gourmet'!M13</f>
        <v>0</v>
      </c>
      <c r="O58" s="5">
        <v>2</v>
      </c>
      <c r="P58" s="6">
        <f t="shared" si="35"/>
        <v>0</v>
      </c>
      <c r="Q58" s="57">
        <f>'QC - Área Gourmet'!O13</f>
        <v>220</v>
      </c>
      <c r="R58" s="44">
        <f t="shared" si="36"/>
        <v>0</v>
      </c>
      <c r="S58" s="58">
        <f>'QC - Área Gourmet'!Q13</f>
        <v>2.5</v>
      </c>
      <c r="T58" s="57">
        <f>'QC - Área Gourmet'!R13</f>
        <v>25</v>
      </c>
      <c r="U58" s="5">
        <f>IF('QC - Área Gourmet'!S13="","",'QC - Área Gourmet'!S13)</f>
        <v>0</v>
      </c>
      <c r="V58" s="5">
        <f>IF('QC - Área Gourmet'!T13="","",'QC - Área Gourmet'!T13)</f>
        <v>0</v>
      </c>
      <c r="W58" s="5" t="str">
        <f>IF('QC - Área Gourmet'!U13="","",'QC - Área Gourmet'!U13)</f>
        <v/>
      </c>
      <c r="X58" s="257">
        <v>100</v>
      </c>
      <c r="Y58" s="257">
        <v>1</v>
      </c>
      <c r="Z58" s="268">
        <f t="shared" ref="Z58:Z66" si="45">P58/Y58</f>
        <v>0</v>
      </c>
      <c r="AA58" s="267">
        <f t="shared" si="38"/>
        <v>1</v>
      </c>
      <c r="AB58" s="267">
        <f t="shared" si="39"/>
        <v>1</v>
      </c>
      <c r="AC58" s="267">
        <v>0.89</v>
      </c>
      <c r="AD58" s="275">
        <f t="shared" si="40"/>
        <v>0</v>
      </c>
      <c r="AE58" s="196">
        <f t="shared" si="41"/>
        <v>0</v>
      </c>
      <c r="AF58" s="186">
        <v>20</v>
      </c>
      <c r="AG58" s="186">
        <f t="shared" si="42"/>
        <v>14.3</v>
      </c>
      <c r="AH58" s="311">
        <f t="shared" si="43"/>
        <v>0</v>
      </c>
      <c r="AI58" s="310" t="str">
        <f t="shared" si="44"/>
        <v>OK</v>
      </c>
      <c r="AJ58" s="12"/>
      <c r="AK58" s="12"/>
      <c r="AL58" s="12"/>
      <c r="AM58" s="12"/>
      <c r="AN58" s="12"/>
      <c r="AO58" s="11"/>
      <c r="AP58" s="11"/>
      <c r="AQ58" s="12"/>
      <c r="AR58" s="12"/>
    </row>
    <row r="59" spans="1:44" ht="12.75" customHeight="1" x14ac:dyDescent="0.2">
      <c r="A59" s="1"/>
      <c r="B59" s="387"/>
      <c r="C59" s="5" t="str">
        <f>'QC - Área Gourmet'!B14</f>
        <v>7 - T.U.E. Microondas</v>
      </c>
      <c r="D59" s="5"/>
      <c r="E59" s="5"/>
      <c r="F59" s="5"/>
      <c r="G59" s="5"/>
      <c r="H59" s="5"/>
      <c r="I59" s="5"/>
      <c r="J59" s="57">
        <f>'QC - Área Gourmet'!I14</f>
        <v>0</v>
      </c>
      <c r="K59" s="57">
        <f>'QC - Área Gourmet'!J14</f>
        <v>0</v>
      </c>
      <c r="L59" s="57">
        <f>'QC - Área Gourmet'!K14</f>
        <v>0</v>
      </c>
      <c r="M59" s="57">
        <f>'QC - Área Gourmet'!L14</f>
        <v>0</v>
      </c>
      <c r="N59" s="57">
        <f>'QC - Área Gourmet'!M14</f>
        <v>1</v>
      </c>
      <c r="O59" s="5">
        <v>1</v>
      </c>
      <c r="P59" s="6">
        <f t="shared" si="35"/>
        <v>1200</v>
      </c>
      <c r="Q59" s="57">
        <f>'QC - Área Gourmet'!O14</f>
        <v>127</v>
      </c>
      <c r="R59" s="44">
        <f t="shared" si="36"/>
        <v>9.4488188976377945</v>
      </c>
      <c r="S59" s="58">
        <f>'QC - Área Gourmet'!Q14</f>
        <v>1.5</v>
      </c>
      <c r="T59" s="57">
        <f>'QC - Área Gourmet'!R14</f>
        <v>20</v>
      </c>
      <c r="U59" s="5" t="str">
        <f>IF('QC - Área Gourmet'!S14="","",'QC - Área Gourmet'!S14)</f>
        <v/>
      </c>
      <c r="V59" s="5">
        <f>IF('QC - Área Gourmet'!T14="","",'QC - Área Gourmet'!T14)</f>
        <v>1200</v>
      </c>
      <c r="W59" s="5" t="str">
        <f>IF('QC - Área Gourmet'!U14="","",'QC - Área Gourmet'!U14)</f>
        <v/>
      </c>
      <c r="X59" s="257">
        <v>100</v>
      </c>
      <c r="Y59" s="257">
        <v>1</v>
      </c>
      <c r="Z59" s="268">
        <f t="shared" si="45"/>
        <v>1200</v>
      </c>
      <c r="AA59" s="267">
        <f t="shared" si="38"/>
        <v>1</v>
      </c>
      <c r="AB59" s="267">
        <f t="shared" si="39"/>
        <v>1</v>
      </c>
      <c r="AC59" s="267">
        <v>0.89</v>
      </c>
      <c r="AD59" s="275">
        <f t="shared" si="40"/>
        <v>1200</v>
      </c>
      <c r="AE59" s="196">
        <f t="shared" si="41"/>
        <v>9.4488188976377945</v>
      </c>
      <c r="AF59" s="186">
        <v>20</v>
      </c>
      <c r="AG59" s="186">
        <f t="shared" si="42"/>
        <v>23.3</v>
      </c>
      <c r="AH59" s="311">
        <f t="shared" si="43"/>
        <v>3.4670469340938679</v>
      </c>
      <c r="AI59" s="310" t="str">
        <f t="shared" si="44"/>
        <v>OK</v>
      </c>
      <c r="AJ59" s="12"/>
      <c r="AK59" s="12"/>
      <c r="AL59" s="12"/>
      <c r="AM59" s="12"/>
      <c r="AN59" s="12"/>
      <c r="AO59" s="11"/>
      <c r="AP59" s="11"/>
      <c r="AQ59" s="12"/>
      <c r="AR59" s="12"/>
    </row>
    <row r="60" spans="1:44" ht="12.75" customHeight="1" x14ac:dyDescent="0.2">
      <c r="A60" s="1"/>
      <c r="B60" s="387"/>
      <c r="C60" s="5" t="str">
        <f>'QC - Área Gourmet'!B15</f>
        <v>8 - T.U.E Torneira Elétrica</v>
      </c>
      <c r="D60" s="5"/>
      <c r="E60" s="5"/>
      <c r="F60" s="5"/>
      <c r="G60" s="5"/>
      <c r="H60" s="5"/>
      <c r="I60" s="5"/>
      <c r="J60" s="57">
        <f>'QC - Área Gourmet'!I15</f>
        <v>0</v>
      </c>
      <c r="K60" s="57">
        <f>'QC - Área Gourmet'!J15</f>
        <v>0</v>
      </c>
      <c r="L60" s="57">
        <f>'QC - Área Gourmet'!K15</f>
        <v>1</v>
      </c>
      <c r="M60" s="57">
        <f>'QC - Área Gourmet'!L15</f>
        <v>0</v>
      </c>
      <c r="N60" s="57">
        <f>'QC - Área Gourmet'!M15</f>
        <v>0</v>
      </c>
      <c r="O60" s="5">
        <v>2</v>
      </c>
      <c r="P60" s="6">
        <f>$D$52*D60+$E$52*E60+$F$52*S342+$G$52*G60+$H$52*H60+$I$52*I60+$J$52*J60+$K$52*K60+$L$52*L60+$M$52*M60+$N$52*N60</f>
        <v>4400</v>
      </c>
      <c r="Q60" s="57">
        <f>'QC - Área Gourmet'!O15</f>
        <v>220</v>
      </c>
      <c r="R60" s="44">
        <f t="shared" si="36"/>
        <v>20</v>
      </c>
      <c r="S60" s="58">
        <f>'QC - Área Gourmet'!Q15</f>
        <v>4</v>
      </c>
      <c r="T60" s="57">
        <f>'QC - Área Gourmet'!R15</f>
        <v>25</v>
      </c>
      <c r="U60" s="5">
        <f>IF('QC - Área Gourmet'!S15="","",'QC - Área Gourmet'!S15)</f>
        <v>2200</v>
      </c>
      <c r="V60" s="5" t="str">
        <f>IF('QC - Área Gourmet'!T15="","",'QC - Área Gourmet'!T15)</f>
        <v/>
      </c>
      <c r="W60" s="5">
        <f>IF('QC - Área Gourmet'!U15="","",'QC - Área Gourmet'!U15)</f>
        <v>2200</v>
      </c>
      <c r="X60" s="257">
        <v>100</v>
      </c>
      <c r="Y60" s="257">
        <v>1</v>
      </c>
      <c r="Z60" s="268">
        <f t="shared" si="45"/>
        <v>4400</v>
      </c>
      <c r="AA60" s="267">
        <f t="shared" si="38"/>
        <v>1</v>
      </c>
      <c r="AB60" s="267">
        <f t="shared" si="39"/>
        <v>1</v>
      </c>
      <c r="AC60" s="267">
        <v>0.89</v>
      </c>
      <c r="AD60" s="275">
        <f t="shared" si="40"/>
        <v>4400</v>
      </c>
      <c r="AE60" s="196">
        <f t="shared" si="41"/>
        <v>20</v>
      </c>
      <c r="AF60" s="186">
        <v>20</v>
      </c>
      <c r="AG60" s="186">
        <f t="shared" si="42"/>
        <v>8.9600000000000009</v>
      </c>
      <c r="AH60" s="311">
        <f t="shared" si="43"/>
        <v>2.8220472440944886</v>
      </c>
      <c r="AI60" s="310" t="str">
        <f t="shared" si="44"/>
        <v>OK</v>
      </c>
      <c r="AJ60" s="12"/>
      <c r="AK60" s="12"/>
      <c r="AL60" s="12"/>
      <c r="AM60" s="12"/>
      <c r="AN60" s="12"/>
      <c r="AO60" s="11"/>
      <c r="AP60" s="11"/>
      <c r="AQ60" s="12"/>
      <c r="AR60" s="12"/>
    </row>
    <row r="61" spans="1:44" ht="12.75" customHeight="1" x14ac:dyDescent="0.2">
      <c r="A61" s="1"/>
      <c r="B61" s="387"/>
      <c r="C61" s="5" t="str">
        <f>'QC - Área Gourmet'!B16</f>
        <v>9 - T.U.E. Bomba Piscina</v>
      </c>
      <c r="D61" s="5"/>
      <c r="E61" s="5"/>
      <c r="F61" s="5"/>
      <c r="G61" s="5"/>
      <c r="H61" s="5"/>
      <c r="I61" s="5"/>
      <c r="J61" s="57">
        <f>'QC - Área Gourmet'!I16</f>
        <v>0</v>
      </c>
      <c r="K61" s="57">
        <f>'QC - Área Gourmet'!J16</f>
        <v>0</v>
      </c>
      <c r="L61" s="57">
        <f>'QC - Área Gourmet'!K16</f>
        <v>0</v>
      </c>
      <c r="M61" s="57">
        <f>'QC - Área Gourmet'!L16</f>
        <v>1</v>
      </c>
      <c r="N61" s="57">
        <f>'QC - Área Gourmet'!M16</f>
        <v>0</v>
      </c>
      <c r="O61" s="5">
        <v>2</v>
      </c>
      <c r="P61" s="6">
        <f>$D$52*D61+$E$52*E61+$F$52*S343+$G$52*G61+$H$52*H61+$I$52*I61+$J$52*J61+$K$52*K61+$L$52*L61+$M$52*M61+$N$52*N61</f>
        <v>600</v>
      </c>
      <c r="Q61" s="57">
        <f>'QC - Área Gourmet'!O16</f>
        <v>220</v>
      </c>
      <c r="R61" s="44">
        <f t="shared" si="36"/>
        <v>2.7272727272727271</v>
      </c>
      <c r="S61" s="58">
        <f>'QC - Área Gourmet'!Q16</f>
        <v>2.5</v>
      </c>
      <c r="T61" s="57">
        <f>'QC - Área Gourmet'!R16</f>
        <v>20</v>
      </c>
      <c r="U61" s="5" t="str">
        <f>IF('QC - Área Gourmet'!S16="","",'QC - Área Gourmet'!S16)</f>
        <v/>
      </c>
      <c r="V61" s="5">
        <f>IF('QC - Área Gourmet'!T16="","",'QC - Área Gourmet'!T16)</f>
        <v>600</v>
      </c>
      <c r="W61" s="5" t="str">
        <f>IF('QC - Área Gourmet'!U16="","",'QC - Área Gourmet'!U16)</f>
        <v/>
      </c>
      <c r="X61" s="257">
        <v>100</v>
      </c>
      <c r="Y61" s="257">
        <v>1</v>
      </c>
      <c r="Z61" s="268">
        <f t="shared" si="45"/>
        <v>600</v>
      </c>
      <c r="AA61" s="267">
        <f t="shared" si="38"/>
        <v>1</v>
      </c>
      <c r="AB61" s="267">
        <f t="shared" si="39"/>
        <v>1</v>
      </c>
      <c r="AC61" s="267">
        <v>0.89</v>
      </c>
      <c r="AD61" s="275">
        <f t="shared" si="40"/>
        <v>600</v>
      </c>
      <c r="AE61" s="196">
        <f t="shared" si="41"/>
        <v>2.7272727272727271</v>
      </c>
      <c r="AF61" s="186">
        <v>20</v>
      </c>
      <c r="AG61" s="186">
        <f t="shared" si="42"/>
        <v>14.3</v>
      </c>
      <c r="AH61" s="311">
        <f t="shared" si="43"/>
        <v>0.61417322834645671</v>
      </c>
      <c r="AI61" s="310" t="str">
        <f t="shared" si="44"/>
        <v>OK</v>
      </c>
      <c r="AJ61" s="12"/>
      <c r="AK61" s="12"/>
      <c r="AL61" s="12"/>
      <c r="AM61" s="12"/>
      <c r="AN61" s="12"/>
      <c r="AO61" s="11"/>
      <c r="AP61" s="11"/>
      <c r="AQ61" s="12"/>
      <c r="AR61" s="12"/>
    </row>
    <row r="62" spans="1:44" ht="12.75" customHeight="1" x14ac:dyDescent="0.2">
      <c r="A62" s="1"/>
      <c r="B62" s="387"/>
      <c r="C62" s="5" t="str">
        <f>'QC - Área Gourmet'!B17</f>
        <v>10 - T.U.E. Chuveiro</v>
      </c>
      <c r="D62" s="5"/>
      <c r="E62" s="5"/>
      <c r="F62" s="5"/>
      <c r="G62" s="5"/>
      <c r="H62" s="5"/>
      <c r="I62" s="5"/>
      <c r="J62" s="57">
        <f>'QC - Área Gourmet'!I17</f>
        <v>0</v>
      </c>
      <c r="K62" s="57">
        <f>'QC - Área Gourmet'!J17</f>
        <v>0</v>
      </c>
      <c r="L62" s="57">
        <f>'QC - Área Gourmet'!K17</f>
        <v>1</v>
      </c>
      <c r="M62" s="57">
        <f>'QC - Área Gourmet'!L17</f>
        <v>0</v>
      </c>
      <c r="N62" s="57">
        <f>'QC - Área Gourmet'!M17</f>
        <v>0</v>
      </c>
      <c r="O62" s="5">
        <v>2</v>
      </c>
      <c r="P62" s="6">
        <f>$D$52*D62+$E$52*E62+$F$52*S344+$G$52*G62+$H$52*H62+$I$52*I62+$J$52*J62+$K$52*K62+$L$52*L62+$M$52*M62+$N$52*N62</f>
        <v>4400</v>
      </c>
      <c r="Q62" s="57">
        <f>'QC - Área Gourmet'!O17</f>
        <v>220</v>
      </c>
      <c r="R62" s="44">
        <f t="shared" si="36"/>
        <v>20</v>
      </c>
      <c r="S62" s="58">
        <f>'QC - Área Gourmet'!Q17</f>
        <v>4</v>
      </c>
      <c r="T62" s="57">
        <f>'QC - Área Gourmet'!R17</f>
        <v>25</v>
      </c>
      <c r="U62" s="5">
        <f>IF('QC - Área Gourmet'!S17="","",'QC - Área Gourmet'!S17)</f>
        <v>2200</v>
      </c>
      <c r="V62" s="5" t="str">
        <f>IF('QC - Área Gourmet'!T17="","",'QC - Área Gourmet'!T17)</f>
        <v/>
      </c>
      <c r="W62" s="5">
        <f>IF('QC - Área Gourmet'!U17="","",'QC - Área Gourmet'!U17)</f>
        <v>2200</v>
      </c>
      <c r="X62" s="257">
        <v>100</v>
      </c>
      <c r="Y62" s="257">
        <v>1</v>
      </c>
      <c r="Z62" s="268">
        <f t="shared" si="45"/>
        <v>4400</v>
      </c>
      <c r="AA62" s="267">
        <f t="shared" si="38"/>
        <v>1</v>
      </c>
      <c r="AB62" s="267">
        <f t="shared" si="39"/>
        <v>1</v>
      </c>
      <c r="AC62" s="267">
        <v>0.89</v>
      </c>
      <c r="AD62" s="186"/>
      <c r="AE62" s="196">
        <f t="shared" si="41"/>
        <v>0</v>
      </c>
      <c r="AF62" s="186">
        <v>20</v>
      </c>
      <c r="AG62" s="186">
        <f t="shared" si="42"/>
        <v>8.9600000000000009</v>
      </c>
      <c r="AH62" s="311">
        <f t="shared" si="43"/>
        <v>0</v>
      </c>
      <c r="AI62" s="310" t="str">
        <f t="shared" si="44"/>
        <v>OK</v>
      </c>
      <c r="AJ62" s="12"/>
      <c r="AK62" s="12"/>
      <c r="AL62" s="12"/>
      <c r="AM62" s="12"/>
      <c r="AN62" s="12"/>
      <c r="AO62" s="11"/>
      <c r="AP62" s="11"/>
      <c r="AQ62" s="12"/>
      <c r="AR62" s="12"/>
    </row>
    <row r="63" spans="1:44" ht="12.75" customHeight="1" x14ac:dyDescent="0.2">
      <c r="A63" s="1"/>
      <c r="B63" s="387"/>
      <c r="C63" s="5" t="str">
        <f>'QC - Área Gourmet'!B18</f>
        <v>11 - T.U.G.</v>
      </c>
      <c r="D63" s="5"/>
      <c r="E63" s="5"/>
      <c r="F63" s="5"/>
      <c r="G63" s="5"/>
      <c r="H63" s="5"/>
      <c r="I63" s="5"/>
      <c r="J63" s="57">
        <f>'QC - Área Gourmet'!I18</f>
        <v>0</v>
      </c>
      <c r="K63" s="57">
        <f>'QC - Área Gourmet'!J18</f>
        <v>0</v>
      </c>
      <c r="L63" s="57">
        <f>'QC - Área Gourmet'!K18</f>
        <v>0</v>
      </c>
      <c r="M63" s="57">
        <f>'QC - Área Gourmet'!L18</f>
        <v>0</v>
      </c>
      <c r="N63" s="57">
        <f>'QC - Área Gourmet'!M18</f>
        <v>0</v>
      </c>
      <c r="O63" s="5">
        <v>1</v>
      </c>
      <c r="P63" s="6">
        <f>$D$52*D63+$E$52*E63+$F$52*S345+$G$52*G63+$H$52*H63+$I$52*I63+$J$52*J63+$K$52*K63+$L$52*L63+$M$52*M63+$N$52*N63</f>
        <v>0</v>
      </c>
      <c r="Q63" s="57">
        <f>'QC - Área Gourmet'!O18</f>
        <v>127</v>
      </c>
      <c r="R63" s="44">
        <f t="shared" si="36"/>
        <v>0</v>
      </c>
      <c r="S63" s="58">
        <f>'QC - Área Gourmet'!Q18</f>
        <v>1.5</v>
      </c>
      <c r="T63" s="57">
        <f>'QC - Área Gourmet'!R18</f>
        <v>20</v>
      </c>
      <c r="U63" s="5" t="str">
        <f>IF('QC - Área Gourmet'!S18="","",'QC - Área Gourmet'!S18)</f>
        <v/>
      </c>
      <c r="V63" s="5" t="str">
        <f>IF('QC - Área Gourmet'!T18="","",'QC - Área Gourmet'!T18)</f>
        <v/>
      </c>
      <c r="W63" s="5" t="str">
        <f>IF('QC - Área Gourmet'!U18="","",'QC - Área Gourmet'!U18)</f>
        <v/>
      </c>
      <c r="X63" s="257">
        <v>100</v>
      </c>
      <c r="Y63" s="257">
        <v>1</v>
      </c>
      <c r="Z63" s="268">
        <f t="shared" si="45"/>
        <v>0</v>
      </c>
      <c r="AA63" s="267">
        <f t="shared" si="38"/>
        <v>1</v>
      </c>
      <c r="AB63" s="267">
        <f t="shared" si="39"/>
        <v>1</v>
      </c>
      <c r="AC63" s="267">
        <v>0.89</v>
      </c>
      <c r="AD63" s="186"/>
      <c r="AE63" s="196">
        <f t="shared" si="41"/>
        <v>0</v>
      </c>
      <c r="AF63" s="186">
        <v>20</v>
      </c>
      <c r="AG63" s="186">
        <f t="shared" si="42"/>
        <v>23.3</v>
      </c>
      <c r="AH63" s="311">
        <f t="shared" si="43"/>
        <v>0</v>
      </c>
      <c r="AI63" s="310" t="str">
        <f t="shared" si="44"/>
        <v>OK</v>
      </c>
      <c r="AJ63" s="12" t="s">
        <v>511</v>
      </c>
      <c r="AK63" s="12" t="s">
        <v>512</v>
      </c>
      <c r="AL63" s="12" t="s">
        <v>513</v>
      </c>
      <c r="AM63" s="12" t="s">
        <v>514</v>
      </c>
      <c r="AN63" s="12"/>
      <c r="AO63" s="11"/>
      <c r="AP63" s="11"/>
      <c r="AQ63" s="12"/>
      <c r="AR63" s="12"/>
    </row>
    <row r="64" spans="1:44" ht="12.75" customHeight="1" x14ac:dyDescent="0.2">
      <c r="A64" s="1"/>
      <c r="B64" s="387"/>
      <c r="C64" s="5" t="str">
        <f>'QC - Área Gourmet'!B19</f>
        <v>12 - T.U.G.</v>
      </c>
      <c r="D64" s="5"/>
      <c r="E64" s="5"/>
      <c r="F64" s="5"/>
      <c r="G64" s="5"/>
      <c r="H64" s="5"/>
      <c r="I64" s="5"/>
      <c r="J64" s="57">
        <f>'QC - Área Gourmet'!I19</f>
        <v>0</v>
      </c>
      <c r="K64" s="57">
        <f>'QC - Área Gourmet'!J19</f>
        <v>0</v>
      </c>
      <c r="L64" s="57">
        <f>'QC - Área Gourmet'!K19</f>
        <v>0</v>
      </c>
      <c r="M64" s="57">
        <f>'QC - Área Gourmet'!L19</f>
        <v>0</v>
      </c>
      <c r="N64" s="57">
        <f>'QC - Área Gourmet'!M19</f>
        <v>0</v>
      </c>
      <c r="O64" s="5">
        <v>1</v>
      </c>
      <c r="P64" s="6">
        <f>$D$52*D64+$E$52*E64+$F$52*S346+$G$52*G64+$H$52*H64+$I$52*I64+$J$52*J64+$K$52*K64+$L$52*L64+$M$52*M64+$N$52*N64</f>
        <v>0</v>
      </c>
      <c r="Q64" s="57">
        <f>'QC - Área Gourmet'!O19</f>
        <v>127</v>
      </c>
      <c r="R64" s="44">
        <f t="shared" si="36"/>
        <v>0</v>
      </c>
      <c r="S64" s="58">
        <f>'QC - Área Gourmet'!Q19</f>
        <v>1.5</v>
      </c>
      <c r="T64" s="57">
        <f>'QC - Área Gourmet'!R19</f>
        <v>20</v>
      </c>
      <c r="U64" s="5" t="str">
        <f>IF('QC - Área Gourmet'!S19="","",'QC - Área Gourmet'!S19)</f>
        <v/>
      </c>
      <c r="V64" s="5" t="str">
        <f>IF('QC - Área Gourmet'!T19="","",'QC - Área Gourmet'!T19)</f>
        <v/>
      </c>
      <c r="W64" s="5" t="str">
        <f>IF('QC - Área Gourmet'!U19="","",'QC - Área Gourmet'!U19)</f>
        <v/>
      </c>
      <c r="X64" s="257">
        <v>100</v>
      </c>
      <c r="Y64" s="257">
        <v>1</v>
      </c>
      <c r="Z64" s="268">
        <f t="shared" si="45"/>
        <v>0</v>
      </c>
      <c r="AA64" s="267">
        <f t="shared" si="38"/>
        <v>1</v>
      </c>
      <c r="AB64" s="267">
        <f t="shared" si="39"/>
        <v>1</v>
      </c>
      <c r="AC64" s="267">
        <v>0.89</v>
      </c>
      <c r="AD64" s="186"/>
      <c r="AE64" s="196">
        <f t="shared" si="41"/>
        <v>0</v>
      </c>
      <c r="AF64" s="186">
        <v>20</v>
      </c>
      <c r="AG64" s="186">
        <f t="shared" si="42"/>
        <v>23.3</v>
      </c>
      <c r="AH64" s="311">
        <f t="shared" si="43"/>
        <v>0</v>
      </c>
      <c r="AI64" s="310" t="str">
        <f t="shared" si="44"/>
        <v>OK</v>
      </c>
      <c r="AJ64" s="12">
        <v>127</v>
      </c>
      <c r="AK64" s="12">
        <v>171</v>
      </c>
      <c r="AL64" s="276">
        <f>AJ64*1.73</f>
        <v>219.71</v>
      </c>
      <c r="AM64" s="276">
        <f>AK64</f>
        <v>171</v>
      </c>
      <c r="AN64" s="12"/>
      <c r="AO64" s="11"/>
      <c r="AP64" s="11"/>
      <c r="AQ64" s="12"/>
      <c r="AR64" s="12"/>
    </row>
    <row r="65" spans="1:44" ht="12.75" customHeight="1" x14ac:dyDescent="0.2">
      <c r="A65" s="1"/>
      <c r="B65" s="387"/>
      <c r="C65" s="5" t="str">
        <f>'QC - Área Gourmet'!B20</f>
        <v>13 - T.U.E.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>
        <v>1</v>
      </c>
      <c r="P65" s="57">
        <f>'QC - Área Gourmet'!N20</f>
        <v>0</v>
      </c>
      <c r="Q65" s="57">
        <f>'QC - Área Gourmet'!O20</f>
        <v>127</v>
      </c>
      <c r="R65" s="44">
        <f t="shared" si="36"/>
        <v>0</v>
      </c>
      <c r="S65" s="58">
        <f>'QC - Área Gourmet'!Q20</f>
        <v>1.5</v>
      </c>
      <c r="T65" s="57">
        <f>'QC - Área Gourmet'!R20</f>
        <v>20</v>
      </c>
      <c r="U65" s="5" t="str">
        <f>IF('QC - Área Gourmet'!S20="","",'QC - Área Gourmet'!S20)</f>
        <v/>
      </c>
      <c r="V65" s="5" t="str">
        <f>IF('QC - Área Gourmet'!T20="","",'QC - Área Gourmet'!T20)</f>
        <v/>
      </c>
      <c r="W65" s="5" t="str">
        <f>IF('QC - Área Gourmet'!U20="","",'QC - Área Gourmet'!U20)</f>
        <v/>
      </c>
      <c r="X65" s="257">
        <v>100</v>
      </c>
      <c r="Y65" s="257">
        <v>1</v>
      </c>
      <c r="Z65" s="268">
        <f t="shared" si="45"/>
        <v>0</v>
      </c>
      <c r="AA65" s="267">
        <f t="shared" si="38"/>
        <v>1</v>
      </c>
      <c r="AB65" s="267">
        <f t="shared" si="39"/>
        <v>1</v>
      </c>
      <c r="AC65" s="267">
        <v>0.89</v>
      </c>
      <c r="AD65" s="186"/>
      <c r="AE65" s="196">
        <f t="shared" si="41"/>
        <v>0</v>
      </c>
      <c r="AF65" s="186">
        <v>20</v>
      </c>
      <c r="AG65" s="186">
        <f t="shared" si="42"/>
        <v>23.3</v>
      </c>
      <c r="AH65" s="311">
        <f t="shared" si="43"/>
        <v>0</v>
      </c>
      <c r="AI65" s="310" t="str">
        <f t="shared" si="44"/>
        <v>OK</v>
      </c>
      <c r="AJ65" s="12"/>
      <c r="AK65" s="12"/>
      <c r="AL65" s="12"/>
      <c r="AM65" s="12"/>
      <c r="AN65" s="12"/>
      <c r="AO65" s="11"/>
      <c r="AP65" s="11"/>
      <c r="AQ65" s="12"/>
      <c r="AR65" s="12"/>
    </row>
    <row r="66" spans="1:44" ht="12.75" customHeight="1" x14ac:dyDescent="0.2">
      <c r="A66" s="1"/>
      <c r="B66" s="387"/>
      <c r="C66" s="5" t="str">
        <f>'QC - Área Gourmet'!B21</f>
        <v>14 - T.U.E.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>
        <v>1</v>
      </c>
      <c r="P66" s="57">
        <f>'QC - Área Gourmet'!N21</f>
        <v>0</v>
      </c>
      <c r="Q66" s="57">
        <f>'QC - Área Gourmet'!O21</f>
        <v>127</v>
      </c>
      <c r="R66" s="44">
        <f t="shared" si="36"/>
        <v>0</v>
      </c>
      <c r="S66" s="58">
        <f>'QC - Área Gourmet'!Q21</f>
        <v>1.5</v>
      </c>
      <c r="T66" s="57">
        <f>'QC - Área Gourmet'!R21</f>
        <v>20</v>
      </c>
      <c r="U66" s="5" t="str">
        <f>IF('QC - Área Gourmet'!S21="","",'QC - Área Gourmet'!S21)</f>
        <v/>
      </c>
      <c r="V66" s="5" t="str">
        <f>IF('QC - Área Gourmet'!T21="","",'QC - Área Gourmet'!T21)</f>
        <v/>
      </c>
      <c r="W66" s="5" t="str">
        <f>IF('QC - Área Gourmet'!U21="","",'QC - Área Gourmet'!U21)</f>
        <v/>
      </c>
      <c r="X66" s="257">
        <v>100</v>
      </c>
      <c r="Y66" s="257">
        <v>1</v>
      </c>
      <c r="Z66" s="268">
        <f t="shared" si="45"/>
        <v>0</v>
      </c>
      <c r="AA66" s="277">
        <v>0.85219999999999996</v>
      </c>
      <c r="AB66" s="267">
        <f t="shared" si="39"/>
        <v>1</v>
      </c>
      <c r="AC66" s="267">
        <v>0.89</v>
      </c>
      <c r="AD66" s="275">
        <f>Z66*AA66</f>
        <v>0</v>
      </c>
      <c r="AE66" s="196">
        <f t="shared" si="41"/>
        <v>0</v>
      </c>
      <c r="AF66" s="186">
        <v>20</v>
      </c>
      <c r="AG66" s="186">
        <f t="shared" si="42"/>
        <v>23.3</v>
      </c>
      <c r="AH66" s="311">
        <f t="shared" si="43"/>
        <v>0</v>
      </c>
      <c r="AI66" s="310" t="str">
        <f t="shared" si="44"/>
        <v>OK</v>
      </c>
      <c r="AJ66" s="12" t="s">
        <v>510</v>
      </c>
      <c r="AK66" s="12"/>
      <c r="AL66" s="12"/>
      <c r="AM66" s="12" t="s">
        <v>580</v>
      </c>
      <c r="AN66" s="12"/>
      <c r="AO66" s="11"/>
      <c r="AP66" s="11"/>
      <c r="AQ66" s="12"/>
      <c r="AR66" s="12"/>
    </row>
    <row r="67" spans="1:44" ht="12.75" customHeight="1" x14ac:dyDescent="0.2">
      <c r="A67" s="1"/>
      <c r="B67" s="387"/>
      <c r="C67" s="5" t="str">
        <f>'QC - Área Gourmet'!B22</f>
        <v>15 - T.U.E.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>
        <v>1</v>
      </c>
      <c r="P67" s="57">
        <f>'QC - Área Gourmet'!N22</f>
        <v>0</v>
      </c>
      <c r="Q67" s="57">
        <f>'QC - Área Gourmet'!O22</f>
        <v>220</v>
      </c>
      <c r="R67" s="44">
        <f t="shared" si="36"/>
        <v>0</v>
      </c>
      <c r="S67" s="58">
        <f>'QC - Área Gourmet'!Q22</f>
        <v>1.5</v>
      </c>
      <c r="T67" s="57">
        <f>'QC - Área Gourmet'!R22</f>
        <v>20</v>
      </c>
      <c r="U67" s="5" t="str">
        <f>IF('QC - Área Gourmet'!S22="","",'QC - Área Gourmet'!S22)</f>
        <v/>
      </c>
      <c r="V67" s="5" t="str">
        <f>IF('QC - Área Gourmet'!T22="","",'QC - Área Gourmet'!T22)</f>
        <v/>
      </c>
      <c r="W67" s="5" t="str">
        <f>IF('QC - Área Gourmet'!U22="","",'QC - Área Gourmet'!U22)</f>
        <v/>
      </c>
      <c r="X67" s="257">
        <v>100</v>
      </c>
      <c r="Y67" s="257">
        <v>1</v>
      </c>
      <c r="Z67" s="268">
        <f t="shared" ref="Z67" si="46">P67/Y67</f>
        <v>0</v>
      </c>
      <c r="AA67" s="277">
        <v>0.85219999999999996</v>
      </c>
      <c r="AB67" s="267">
        <f t="shared" si="39"/>
        <v>1</v>
      </c>
      <c r="AC67" s="267">
        <v>0.89</v>
      </c>
      <c r="AD67" s="275">
        <f>Z67*AA67</f>
        <v>0</v>
      </c>
      <c r="AE67" s="196">
        <f t="shared" ref="AE67" si="47">AD67/Q67</f>
        <v>0</v>
      </c>
      <c r="AF67" s="186">
        <v>20</v>
      </c>
      <c r="AG67" s="186">
        <f t="shared" si="42"/>
        <v>23.3</v>
      </c>
      <c r="AH67" s="311">
        <f t="shared" si="43"/>
        <v>0</v>
      </c>
      <c r="AI67" s="310" t="str">
        <f t="shared" si="44"/>
        <v>OK</v>
      </c>
      <c r="AJ67" s="12">
        <f>AJ64*AK64</f>
        <v>21717</v>
      </c>
      <c r="AK67" s="12"/>
      <c r="AL67" s="12"/>
      <c r="AM67" s="12">
        <f>AM64*AL64*1.73*0.8</f>
        <v>51997.447440000011</v>
      </c>
      <c r="AN67" s="12"/>
      <c r="AO67" s="11"/>
      <c r="AP67" s="11"/>
      <c r="AQ67" s="12"/>
      <c r="AR67" s="12"/>
    </row>
    <row r="68" spans="1:44" s="157" customFormat="1" ht="12.75" customHeight="1" x14ac:dyDescent="0.2">
      <c r="A68" s="1"/>
      <c r="B68" s="406"/>
      <c r="C68" s="315" t="s">
        <v>76</v>
      </c>
      <c r="D68" s="316"/>
      <c r="E68" s="316"/>
      <c r="F68" s="316"/>
      <c r="G68" s="316"/>
      <c r="H68" s="316"/>
      <c r="I68" s="316"/>
      <c r="J68" s="316"/>
      <c r="K68" s="316"/>
      <c r="L68" s="316"/>
      <c r="M68" s="316"/>
      <c r="N68" s="316"/>
      <c r="O68" s="180">
        <v>3</v>
      </c>
      <c r="P68" s="316">
        <f>SUM(P53:P67)</f>
        <v>14544</v>
      </c>
      <c r="Q68" s="247">
        <v>220</v>
      </c>
      <c r="R68" s="249">
        <f>SUM(R53:R67)/3</f>
        <v>25.364924838940585</v>
      </c>
      <c r="S68" s="247">
        <v>6</v>
      </c>
      <c r="T68" s="248">
        <v>40</v>
      </c>
      <c r="U68" s="5">
        <f>SUM(U53:U67)</f>
        <v>4400</v>
      </c>
      <c r="V68" s="5">
        <f>SUM(V53:V67)</f>
        <v>4528</v>
      </c>
      <c r="W68" s="5">
        <f>SUM(W53:W67)</f>
        <v>5616</v>
      </c>
      <c r="X68" s="257">
        <v>100</v>
      </c>
      <c r="Y68" s="257">
        <v>1</v>
      </c>
      <c r="Z68" s="268">
        <f t="shared" ref="Z68" si="48">P68/Y68</f>
        <v>14544</v>
      </c>
      <c r="AA68" s="277">
        <v>0.85219999999999996</v>
      </c>
      <c r="AB68" s="267">
        <f t="shared" si="39"/>
        <v>1</v>
      </c>
      <c r="AC68" s="267">
        <v>0.89</v>
      </c>
      <c r="AD68" s="275">
        <f>Z68*AA68</f>
        <v>12394.396799999999</v>
      </c>
      <c r="AE68" s="196">
        <f t="shared" ref="AE68:AE69" si="49">AD68/Q68</f>
        <v>56.338167272727269</v>
      </c>
      <c r="AF68" s="186">
        <v>28</v>
      </c>
      <c r="AG68" s="186">
        <f t="shared" ref="AG68:AG69" si="50">IF(S68=1.5,23.3,IF(S68=2.5,14.3,IF(S68=4,8.96,IF(S68=6,6.03,IF(S68=10,3.63,IF(S68=16,2.32,IF(S68=25,1.51,IF(S68=35,1.12,IF(S68=50,0.85,IF(S68=70,0.62,IF(S68=95,0.48,"VER")))))))))))</f>
        <v>6.03</v>
      </c>
      <c r="AH68" s="311">
        <f>AE68*AG68*(AF68/1000)*100/220</f>
        <v>4.3236982556033059</v>
      </c>
      <c r="AI68" s="310" t="str">
        <f t="shared" si="44"/>
        <v>Não Atende</v>
      </c>
      <c r="AJ68" s="230" t="s">
        <v>600</v>
      </c>
      <c r="AK68" s="262"/>
      <c r="AL68" s="262"/>
      <c r="AM68" s="262"/>
      <c r="AN68" s="262"/>
      <c r="AO68" s="262"/>
      <c r="AP68" s="262"/>
      <c r="AQ68" s="262"/>
      <c r="AR68" s="12"/>
    </row>
    <row r="69" spans="1:44" ht="12.75" customHeight="1" x14ac:dyDescent="0.2">
      <c r="A69" s="1"/>
      <c r="B69" s="449"/>
      <c r="C69" s="317" t="s">
        <v>76</v>
      </c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318">
        <v>3</v>
      </c>
      <c r="P69" s="319">
        <f>U69+V69+W69</f>
        <v>17110.588235294119</v>
      </c>
      <c r="Q69" s="247">
        <v>220</v>
      </c>
      <c r="R69" s="250">
        <f>R68*1.2</f>
        <v>30.437909806728701</v>
      </c>
      <c r="S69" s="247">
        <v>10</v>
      </c>
      <c r="T69" s="248">
        <v>50</v>
      </c>
      <c r="U69" s="5">
        <f>SUM(U53:U67)/0.85</f>
        <v>5176.4705882352946</v>
      </c>
      <c r="V69" s="5">
        <f>SUM(V53:V67)/0.85</f>
        <v>5327.0588235294117</v>
      </c>
      <c r="W69" s="256">
        <f>SUM(W53:W67)/0.85</f>
        <v>6607.0588235294117</v>
      </c>
      <c r="X69" s="268">
        <f>SUM(U69:W69)</f>
        <v>17110.588235294119</v>
      </c>
      <c r="Y69" s="268">
        <f>SUM(U69:W69)/3</f>
        <v>5703.5294117647063</v>
      </c>
      <c r="Z69" s="268">
        <f>SUM(Z54:Z66)</f>
        <v>14016</v>
      </c>
      <c r="AA69" s="258">
        <v>0.85</v>
      </c>
      <c r="AB69" s="258">
        <v>1</v>
      </c>
      <c r="AC69" s="258">
        <v>0.89</v>
      </c>
      <c r="AD69" s="314">
        <f>SUM(AD53:AD66)</f>
        <v>8714</v>
      </c>
      <c r="AE69" s="196">
        <f t="shared" si="49"/>
        <v>39.609090909090909</v>
      </c>
      <c r="AF69" s="186">
        <v>28</v>
      </c>
      <c r="AG69" s="186">
        <f t="shared" si="50"/>
        <v>3.63</v>
      </c>
      <c r="AH69" s="311">
        <f>AE69*AG69*(AF69/1000)*100/220</f>
        <v>1.8299399999999999</v>
      </c>
      <c r="AI69" s="310" t="str">
        <f t="shared" si="44"/>
        <v>OK</v>
      </c>
      <c r="AJ69" s="230" t="s">
        <v>601</v>
      </c>
      <c r="AK69" s="262"/>
      <c r="AL69" s="262"/>
      <c r="AM69" s="262"/>
      <c r="AN69" s="262"/>
      <c r="AO69" s="262"/>
      <c r="AP69" s="262"/>
      <c r="AQ69" s="262"/>
      <c r="AR69" s="12"/>
    </row>
    <row r="70" spans="1:44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265"/>
      <c r="P70" s="1"/>
      <c r="Q70" s="1"/>
      <c r="R70" s="273">
        <f>SUM(P53:P67)/(1.73*220*0.8)</f>
        <v>47.766684182869149</v>
      </c>
      <c r="S70" s="1"/>
      <c r="T70" s="1"/>
      <c r="U70" s="1"/>
      <c r="V70" s="1"/>
      <c r="W70" s="1"/>
      <c r="X70" s="1"/>
      <c r="Y70" s="1"/>
      <c r="Z70" s="265" t="s">
        <v>563</v>
      </c>
      <c r="AA70" s="9"/>
      <c r="AB70" s="9"/>
      <c r="AC70" s="9"/>
      <c r="AD70" s="9" t="s">
        <v>562</v>
      </c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</row>
    <row r="71" spans="1:44" ht="12.75" customHeight="1" thickBot="1" x14ac:dyDescent="0.25">
      <c r="A71" s="1"/>
      <c r="C71" s="444" t="s">
        <v>94</v>
      </c>
      <c r="D71" s="384"/>
      <c r="E71" s="384"/>
      <c r="F71" s="384"/>
      <c r="G71" s="384"/>
      <c r="H71" s="384"/>
      <c r="I71" s="384"/>
      <c r="J71" s="384"/>
      <c r="K71" s="384"/>
      <c r="L71" s="384"/>
      <c r="M71" s="384"/>
      <c r="N71" s="384"/>
      <c r="O71" s="445"/>
      <c r="P71" s="384"/>
      <c r="Q71" s="384"/>
      <c r="R71" s="446"/>
      <c r="S71" s="446"/>
      <c r="T71" s="409"/>
      <c r="U71" s="348">
        <f t="shared" ref="U71:W71" si="51">U69+U51+U35</f>
        <v>24602.077205882353</v>
      </c>
      <c r="V71" s="348">
        <f t="shared" si="51"/>
        <v>28287.183823529413</v>
      </c>
      <c r="W71" s="348">
        <f t="shared" si="51"/>
        <v>28009.683823529413</v>
      </c>
      <c r="X71" s="1"/>
      <c r="Y71" s="1"/>
      <c r="Z71" s="268">
        <f>Z68+Z51+Z35</f>
        <v>86680.567647058822</v>
      </c>
      <c r="AA71" s="9"/>
      <c r="AB71" s="9"/>
      <c r="AC71" s="9"/>
      <c r="AD71" s="314">
        <f>AD69+AD51+AD35</f>
        <v>71516.247899159673</v>
      </c>
      <c r="AE71" s="262"/>
      <c r="AH71" s="262"/>
      <c r="AI71" s="262"/>
      <c r="AJ71" s="262"/>
      <c r="AK71" s="262"/>
      <c r="AL71" s="262"/>
      <c r="AM71" s="262"/>
      <c r="AN71" s="262"/>
      <c r="AO71" s="262"/>
      <c r="AP71" s="262"/>
      <c r="AQ71" s="262"/>
      <c r="AR71" s="59"/>
    </row>
    <row r="72" spans="1:44" ht="12.75" customHeight="1" thickBo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265"/>
      <c r="P72" s="1"/>
      <c r="Q72" s="1"/>
      <c r="R72" s="436" t="s">
        <v>506</v>
      </c>
      <c r="S72" s="437"/>
      <c r="T72" s="437"/>
      <c r="U72" s="438"/>
      <c r="V72" s="439" t="s">
        <v>508</v>
      </c>
      <c r="W72" s="440"/>
      <c r="X72" s="1"/>
      <c r="Y72" s="1"/>
      <c r="Z72" s="265"/>
    </row>
    <row r="73" spans="1:44" ht="42" customHeight="1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265"/>
      <c r="P73" s="1"/>
      <c r="Q73" s="1"/>
      <c r="R73" s="352" t="s">
        <v>43</v>
      </c>
      <c r="S73" s="353" t="s">
        <v>494</v>
      </c>
      <c r="T73" s="353" t="s">
        <v>45</v>
      </c>
      <c r="U73" s="354"/>
      <c r="V73" s="441" t="s">
        <v>517</v>
      </c>
      <c r="W73" s="442"/>
    </row>
    <row r="74" spans="1:44" ht="12.75" customHeight="1" x14ac:dyDescent="0.2">
      <c r="R74" s="355">
        <f>R68+R50+R34</f>
        <v>149.01681785100615</v>
      </c>
      <c r="S74" s="258">
        <v>50</v>
      </c>
      <c r="T74" s="258">
        <v>150</v>
      </c>
      <c r="U74" s="258"/>
      <c r="V74" s="349">
        <f>(AD71/(220*1.73))</f>
        <v>187.90396190005168</v>
      </c>
      <c r="W74" s="357" t="s">
        <v>615</v>
      </c>
    </row>
    <row r="75" spans="1:44" ht="12.75" customHeight="1" thickBot="1" x14ac:dyDescent="0.25">
      <c r="R75" s="356">
        <f>R69+R51+R35</f>
        <v>184.27670325869389</v>
      </c>
      <c r="S75" s="350">
        <v>70</v>
      </c>
      <c r="T75" s="350">
        <v>180</v>
      </c>
      <c r="U75" s="351"/>
      <c r="V75" s="350">
        <v>200</v>
      </c>
      <c r="W75" s="358" t="s">
        <v>614</v>
      </c>
    </row>
    <row r="76" spans="1:44" ht="12.75" customHeight="1" x14ac:dyDescent="0.2">
      <c r="C76" s="434" t="s">
        <v>609</v>
      </c>
    </row>
    <row r="77" spans="1:44" ht="12.75" customHeight="1" x14ac:dyDescent="0.2">
      <c r="C77" s="406"/>
    </row>
    <row r="78" spans="1:44" ht="12.75" customHeight="1" x14ac:dyDescent="0.2"/>
    <row r="79" spans="1:44" ht="12.75" customHeight="1" x14ac:dyDescent="0.2"/>
    <row r="80" spans="1:44" ht="12.75" customHeight="1" x14ac:dyDescent="0.2"/>
    <row r="81" spans="3:20" ht="12.75" customHeight="1" x14ac:dyDescent="0.2"/>
    <row r="82" spans="3:20" ht="12.75" customHeight="1" x14ac:dyDescent="0.2"/>
    <row r="83" spans="3:20" ht="12.75" customHeight="1" x14ac:dyDescent="0.2"/>
    <row r="84" spans="3:20" ht="12.75" customHeight="1" x14ac:dyDescent="0.2"/>
    <row r="85" spans="3:20" ht="12.75" customHeight="1" x14ac:dyDescent="0.2"/>
    <row r="86" spans="3:20" ht="12.75" customHeight="1" x14ac:dyDescent="0.2"/>
    <row r="87" spans="3:20" ht="12.75" customHeight="1" x14ac:dyDescent="0.2"/>
    <row r="88" spans="3:20" ht="12.75" customHeight="1" x14ac:dyDescent="0.2"/>
    <row r="89" spans="3:20" s="262" customFormat="1" ht="12.75" customHeight="1" x14ac:dyDescent="0.2"/>
    <row r="90" spans="3:20" s="262" customFormat="1" ht="12.75" customHeight="1" x14ac:dyDescent="0.2">
      <c r="C90" s="434" t="s">
        <v>610</v>
      </c>
      <c r="E90" s="435" t="s">
        <v>613</v>
      </c>
      <c r="F90" s="435"/>
      <c r="G90" s="435"/>
      <c r="H90" s="435"/>
      <c r="I90" s="435"/>
      <c r="J90" s="435"/>
      <c r="K90" s="435"/>
      <c r="L90" s="435"/>
      <c r="M90" s="435"/>
      <c r="N90" s="435"/>
      <c r="O90" s="435"/>
      <c r="P90" s="435"/>
      <c r="Q90" s="435"/>
      <c r="R90" s="435"/>
      <c r="S90" s="435"/>
      <c r="T90" s="435"/>
    </row>
    <row r="91" spans="3:20" ht="12.75" customHeight="1" x14ac:dyDescent="0.2">
      <c r="C91" s="406"/>
      <c r="E91" s="435"/>
      <c r="F91" s="435"/>
      <c r="G91" s="435"/>
      <c r="H91" s="435"/>
      <c r="I91" s="435"/>
      <c r="J91" s="435"/>
      <c r="K91" s="435"/>
      <c r="L91" s="435"/>
      <c r="M91" s="435"/>
      <c r="N91" s="435"/>
      <c r="O91" s="435"/>
      <c r="P91" s="435"/>
      <c r="Q91" s="435"/>
      <c r="R91" s="435"/>
      <c r="S91" s="435"/>
      <c r="T91" s="435"/>
    </row>
    <row r="92" spans="3:20" ht="12.75" customHeight="1" x14ac:dyDescent="0.2">
      <c r="E92" s="435"/>
      <c r="F92" s="435"/>
      <c r="G92" s="435"/>
      <c r="H92" s="435"/>
      <c r="I92" s="435"/>
      <c r="J92" s="435"/>
      <c r="K92" s="435"/>
      <c r="L92" s="435"/>
      <c r="M92" s="435"/>
      <c r="N92" s="435"/>
      <c r="O92" s="435"/>
      <c r="P92" s="435"/>
      <c r="Q92" s="435"/>
      <c r="R92" s="435"/>
      <c r="S92" s="435"/>
      <c r="T92" s="435"/>
    </row>
    <row r="93" spans="3:20" ht="12.75" customHeight="1" x14ac:dyDescent="0.2"/>
    <row r="94" spans="3:20" ht="12.75" customHeight="1" x14ac:dyDescent="0.2"/>
    <row r="95" spans="3:20" ht="12.75" customHeight="1" x14ac:dyDescent="0.2"/>
    <row r="96" spans="3:20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</sheetData>
  <mergeCells count="36">
    <mergeCell ref="U6:W6"/>
    <mergeCell ref="AD4:AR4"/>
    <mergeCell ref="C4:W4"/>
    <mergeCell ref="S6:S7"/>
    <mergeCell ref="R6:R7"/>
    <mergeCell ref="AI6:AI7"/>
    <mergeCell ref="AD6:AD7"/>
    <mergeCell ref="P6:P7"/>
    <mergeCell ref="Q6:Q7"/>
    <mergeCell ref="Y6:Y7"/>
    <mergeCell ref="AA6:AA7"/>
    <mergeCell ref="AE6:AE7"/>
    <mergeCell ref="X6:X7"/>
    <mergeCell ref="Z6:Z7"/>
    <mergeCell ref="AH6:AH7"/>
    <mergeCell ref="C71:T71"/>
    <mergeCell ref="T6:T7"/>
    <mergeCell ref="B8:B35"/>
    <mergeCell ref="C6:C7"/>
    <mergeCell ref="D6:I6"/>
    <mergeCell ref="B37:B51"/>
    <mergeCell ref="B53:B69"/>
    <mergeCell ref="J6:N6"/>
    <mergeCell ref="O6:O7"/>
    <mergeCell ref="AY8:BC21"/>
    <mergeCell ref="AC6:AC7"/>
    <mergeCell ref="AY23:BC25"/>
    <mergeCell ref="AB6:AB7"/>
    <mergeCell ref="AG6:AG7"/>
    <mergeCell ref="AF6:AF7"/>
    <mergeCell ref="C76:C77"/>
    <mergeCell ref="C90:C91"/>
    <mergeCell ref="E90:T92"/>
    <mergeCell ref="R72:U72"/>
    <mergeCell ref="V72:W72"/>
    <mergeCell ref="V73:W73"/>
  </mergeCells>
  <conditionalFormatting sqref="O8:O33">
    <cfRule type="cellIs" dxfId="22" priority="6" operator="greaterThan">
      <formula>1</formula>
    </cfRule>
  </conditionalFormatting>
  <conditionalFormatting sqref="O37:O49">
    <cfRule type="cellIs" dxfId="21" priority="5" operator="greaterThan">
      <formula>1</formula>
    </cfRule>
  </conditionalFormatting>
  <conditionalFormatting sqref="O53:O67">
    <cfRule type="cellIs" dxfId="20" priority="4" operator="greaterThan">
      <formula>1</formula>
    </cfRule>
  </conditionalFormatting>
  <conditionalFormatting sqref="O68">
    <cfRule type="cellIs" dxfId="19" priority="3" operator="greaterThan">
      <formula>1</formula>
    </cfRule>
  </conditionalFormatting>
  <conditionalFormatting sqref="O50">
    <cfRule type="cellIs" dxfId="18" priority="2" operator="greaterThan">
      <formula>1</formula>
    </cfRule>
  </conditionalFormatting>
  <conditionalFormatting sqref="O34">
    <cfRule type="cellIs" dxfId="17" priority="1" operator="greaterThan">
      <formula>1</formula>
    </cfRule>
  </conditionalFormatting>
  <pageMargins left="0.7" right="0.7" top="0.75" bottom="0.7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H31"/>
  <sheetViews>
    <sheetView showGridLines="0" view="pageLayout" topLeftCell="A4" workbookViewId="0">
      <selection activeCell="D17" sqref="D17"/>
    </sheetView>
  </sheetViews>
  <sheetFormatPr defaultRowHeight="15" x14ac:dyDescent="0.25"/>
  <cols>
    <col min="1" max="1" width="1.28515625" style="279" customWidth="1"/>
    <col min="2" max="2" width="18.5703125" style="279" customWidth="1"/>
    <col min="3" max="3" width="17.85546875" style="279" customWidth="1"/>
    <col min="4" max="4" width="14.7109375" style="279" customWidth="1"/>
    <col min="5" max="5" width="25.85546875" style="279" customWidth="1"/>
    <col min="6" max="8" width="12.140625" style="279" customWidth="1"/>
    <col min="9" max="16384" width="9.140625" style="279"/>
  </cols>
  <sheetData>
    <row r="1" spans="2:8" ht="28.5" customHeight="1" x14ac:dyDescent="0.25">
      <c r="B1" s="307" t="s">
        <v>530</v>
      </c>
      <c r="C1" s="306"/>
      <c r="D1" s="306"/>
    </row>
    <row r="2" spans="2:8" x14ac:dyDescent="0.25">
      <c r="B2" s="304" t="s">
        <v>525</v>
      </c>
      <c r="C2" s="280" t="s">
        <v>551</v>
      </c>
      <c r="D2" s="280"/>
      <c r="E2" s="299" t="s">
        <v>527</v>
      </c>
      <c r="F2" s="305" t="s">
        <v>576</v>
      </c>
      <c r="H2" s="280"/>
    </row>
    <row r="3" spans="2:8" x14ac:dyDescent="0.25">
      <c r="B3" s="304" t="s">
        <v>553</v>
      </c>
      <c r="C3" s="280" t="s">
        <v>554</v>
      </c>
      <c r="D3" s="280"/>
      <c r="E3" s="299" t="s">
        <v>556</v>
      </c>
      <c r="F3" s="309" t="s">
        <v>557</v>
      </c>
      <c r="H3" s="280"/>
    </row>
    <row r="4" spans="2:8" x14ac:dyDescent="0.25">
      <c r="B4" s="304" t="s">
        <v>552</v>
      </c>
      <c r="C4" s="280" t="s">
        <v>558</v>
      </c>
      <c r="D4" s="280"/>
      <c r="E4" s="299" t="s">
        <v>526</v>
      </c>
      <c r="F4" s="308" t="s">
        <v>555</v>
      </c>
      <c r="G4" s="280"/>
      <c r="H4" s="280"/>
    </row>
    <row r="5" spans="2:8" x14ac:dyDescent="0.25">
      <c r="B5" s="304" t="s">
        <v>568</v>
      </c>
      <c r="C5" s="280" t="s">
        <v>569</v>
      </c>
      <c r="D5" s="280"/>
      <c r="E5" s="280"/>
      <c r="F5" s="302"/>
      <c r="G5" s="280"/>
      <c r="H5" s="280"/>
    </row>
    <row r="6" spans="2:8" ht="18.75" x14ac:dyDescent="0.3">
      <c r="B6" s="303" t="s">
        <v>531</v>
      </c>
      <c r="C6" s="280"/>
      <c r="D6" s="280"/>
      <c r="E6" s="280"/>
      <c r="F6" s="302"/>
      <c r="G6" s="280"/>
      <c r="H6" s="280"/>
    </row>
    <row r="7" spans="2:8" x14ac:dyDescent="0.25">
      <c r="B7" s="280"/>
      <c r="C7" s="280"/>
      <c r="D7" s="280"/>
      <c r="E7" s="280"/>
      <c r="F7" s="302"/>
      <c r="G7" s="280"/>
      <c r="H7" s="280"/>
    </row>
    <row r="8" spans="2:8" x14ac:dyDescent="0.25">
      <c r="B8" s="299" t="s">
        <v>532</v>
      </c>
      <c r="C8" s="301">
        <v>44329</v>
      </c>
      <c r="D8" s="298"/>
      <c r="E8" s="299" t="s">
        <v>559</v>
      </c>
      <c r="F8" s="280" t="s">
        <v>560</v>
      </c>
      <c r="H8" s="297"/>
    </row>
    <row r="9" spans="2:8" x14ac:dyDescent="0.25">
      <c r="B9" s="299" t="s">
        <v>519</v>
      </c>
      <c r="C9" s="301">
        <f ca="1">TODAY()</f>
        <v>44335</v>
      </c>
      <c r="D9" s="300"/>
      <c r="E9" s="280"/>
      <c r="F9" s="280" t="s">
        <v>525</v>
      </c>
      <c r="H9" s="297"/>
    </row>
    <row r="10" spans="2:8" x14ac:dyDescent="0.25">
      <c r="B10" s="299" t="s">
        <v>572</v>
      </c>
      <c r="C10" s="280" t="s">
        <v>573</v>
      </c>
      <c r="D10" s="298"/>
      <c r="E10" s="280"/>
      <c r="F10" s="280"/>
      <c r="H10" s="297"/>
    </row>
    <row r="11" spans="2:8" x14ac:dyDescent="0.25">
      <c r="B11" s="280"/>
      <c r="C11" s="280"/>
      <c r="D11" s="280"/>
      <c r="E11" s="280"/>
      <c r="F11" s="280" t="s">
        <v>524</v>
      </c>
      <c r="H11" s="297"/>
    </row>
    <row r="12" spans="2:8" x14ac:dyDescent="0.25">
      <c r="B12" s="280"/>
      <c r="C12" s="280"/>
      <c r="D12" s="280"/>
      <c r="E12" s="280"/>
      <c r="F12" s="280" t="s">
        <v>523</v>
      </c>
      <c r="H12" s="297"/>
    </row>
    <row r="14" spans="2:8" ht="26.25" x14ac:dyDescent="0.25">
      <c r="B14" s="359" t="s">
        <v>528</v>
      </c>
      <c r="C14" s="359" t="s">
        <v>45</v>
      </c>
      <c r="D14" s="359" t="s">
        <v>494</v>
      </c>
      <c r="E14" s="359" t="s">
        <v>543</v>
      </c>
      <c r="F14" s="359" t="s">
        <v>522</v>
      </c>
      <c r="G14" s="359" t="s">
        <v>489</v>
      </c>
      <c r="H14" s="359" t="s">
        <v>548</v>
      </c>
    </row>
    <row r="15" spans="2:8" x14ac:dyDescent="0.25">
      <c r="B15" s="366" t="s">
        <v>533</v>
      </c>
      <c r="C15" s="367">
        <v>100</v>
      </c>
      <c r="D15" s="367">
        <v>35</v>
      </c>
      <c r="E15" s="368" t="s">
        <v>540</v>
      </c>
      <c r="F15" s="369" t="s">
        <v>539</v>
      </c>
      <c r="G15" s="379" t="s">
        <v>545</v>
      </c>
      <c r="H15" s="370">
        <f t="shared" ref="H15:H18" si="0">47.63/0.599</f>
        <v>79.515859766277131</v>
      </c>
    </row>
    <row r="16" spans="2:8" ht="26.25" x14ac:dyDescent="0.25">
      <c r="B16" s="360" t="s">
        <v>534</v>
      </c>
      <c r="C16" s="359">
        <f>'QC Final'!T51</f>
        <v>50</v>
      </c>
      <c r="D16" s="359">
        <f>'QC Final'!S51</f>
        <v>10</v>
      </c>
      <c r="E16" s="359" t="s">
        <v>541</v>
      </c>
      <c r="F16" s="361" t="s">
        <v>539</v>
      </c>
      <c r="G16" s="380" t="s">
        <v>546</v>
      </c>
      <c r="H16" s="362"/>
    </row>
    <row r="17" spans="2:8" x14ac:dyDescent="0.25">
      <c r="B17" s="371" t="s">
        <v>535</v>
      </c>
      <c r="C17" s="368">
        <f>'QC Final'!T69</f>
        <v>50</v>
      </c>
      <c r="D17" s="368">
        <f>'QC Final'!S69</f>
        <v>10</v>
      </c>
      <c r="E17" s="368" t="s">
        <v>541</v>
      </c>
      <c r="F17" s="369" t="s">
        <v>539</v>
      </c>
      <c r="G17" s="379" t="s">
        <v>546</v>
      </c>
      <c r="H17" s="370">
        <f t="shared" si="0"/>
        <v>79.515859766277131</v>
      </c>
    </row>
    <row r="18" spans="2:8" x14ac:dyDescent="0.25">
      <c r="B18" s="360" t="s">
        <v>536</v>
      </c>
      <c r="C18" s="359">
        <v>125</v>
      </c>
      <c r="D18" s="359">
        <v>50</v>
      </c>
      <c r="E18" s="359" t="s">
        <v>480</v>
      </c>
      <c r="F18" s="361" t="s">
        <v>539</v>
      </c>
      <c r="G18" s="380" t="s">
        <v>547</v>
      </c>
      <c r="H18" s="362">
        <f t="shared" si="0"/>
        <v>79.515859766277131</v>
      </c>
    </row>
    <row r="19" spans="2:8" x14ac:dyDescent="0.25">
      <c r="B19" s="371" t="s">
        <v>537</v>
      </c>
      <c r="C19" s="368">
        <v>175</v>
      </c>
      <c r="D19" s="368">
        <v>70</v>
      </c>
      <c r="E19" s="368" t="s">
        <v>481</v>
      </c>
      <c r="F19" s="369" t="s">
        <v>539</v>
      </c>
      <c r="G19" s="379" t="s">
        <v>549</v>
      </c>
      <c r="H19" s="370"/>
    </row>
    <row r="20" spans="2:8" ht="30" x14ac:dyDescent="0.25">
      <c r="B20" s="363" t="s">
        <v>538</v>
      </c>
      <c r="C20" s="364">
        <v>200</v>
      </c>
      <c r="D20" s="364">
        <v>95</v>
      </c>
      <c r="E20" s="364" t="s">
        <v>542</v>
      </c>
      <c r="F20" s="365" t="s">
        <v>539</v>
      </c>
      <c r="G20" s="381" t="s">
        <v>550</v>
      </c>
      <c r="H20" s="362">
        <v>150</v>
      </c>
    </row>
    <row r="21" spans="2:8" x14ac:dyDescent="0.25">
      <c r="B21" s="372" t="s">
        <v>574</v>
      </c>
      <c r="C21" s="373">
        <f>C20</f>
        <v>200</v>
      </c>
      <c r="D21" s="374" t="s">
        <v>621</v>
      </c>
      <c r="E21" s="374" t="s">
        <v>542</v>
      </c>
      <c r="F21" s="375" t="s">
        <v>620</v>
      </c>
      <c r="G21" s="382" t="str">
        <f>G20</f>
        <v>76,21 KVA</v>
      </c>
      <c r="H21" s="377">
        <f>H20</f>
        <v>150</v>
      </c>
    </row>
    <row r="22" spans="2:8" x14ac:dyDescent="0.25">
      <c r="B22" s="376" t="s">
        <v>616</v>
      </c>
      <c r="C22" s="295"/>
      <c r="D22" s="296"/>
      <c r="E22" s="296"/>
      <c r="F22" s="280" t="s">
        <v>508</v>
      </c>
      <c r="G22" s="378"/>
    </row>
    <row r="23" spans="2:8" x14ac:dyDescent="0.25">
      <c r="B23" s="376" t="s">
        <v>617</v>
      </c>
      <c r="C23" s="295"/>
      <c r="D23" s="280"/>
      <c r="E23" s="280"/>
      <c r="F23" s="280" t="s">
        <v>561</v>
      </c>
      <c r="G23" s="378">
        <f>(C21*220*1.73)/1000</f>
        <v>76.12</v>
      </c>
    </row>
    <row r="24" spans="2:8" x14ac:dyDescent="0.25">
      <c r="B24" s="280"/>
      <c r="C24" s="280"/>
      <c r="D24" s="280"/>
      <c r="E24" s="280"/>
      <c r="F24" s="280"/>
    </row>
    <row r="25" spans="2:8" x14ac:dyDescent="0.25">
      <c r="B25" s="294" t="s">
        <v>521</v>
      </c>
      <c r="C25" s="293"/>
      <c r="D25" s="293"/>
      <c r="E25" s="292"/>
      <c r="F25" s="280"/>
    </row>
    <row r="26" spans="2:8" x14ac:dyDescent="0.25">
      <c r="B26" s="291" t="s">
        <v>520</v>
      </c>
      <c r="C26" s="290" t="s">
        <v>529</v>
      </c>
      <c r="D26" s="290"/>
      <c r="E26" s="289"/>
      <c r="F26" s="280"/>
    </row>
    <row r="27" spans="2:8" x14ac:dyDescent="0.25">
      <c r="B27" s="291" t="s">
        <v>575</v>
      </c>
      <c r="C27" s="290" t="str">
        <f>C10</f>
        <v>B1</v>
      </c>
      <c r="D27" s="290"/>
      <c r="E27" s="289"/>
      <c r="F27" s="280"/>
    </row>
    <row r="28" spans="2:8" x14ac:dyDescent="0.25">
      <c r="B28" s="286" t="s">
        <v>532</v>
      </c>
      <c r="C28" s="287">
        <f>C8</f>
        <v>44329</v>
      </c>
      <c r="D28" s="288"/>
      <c r="E28" s="284"/>
      <c r="F28" s="280"/>
    </row>
    <row r="29" spans="2:8" x14ac:dyDescent="0.25">
      <c r="B29" s="286" t="s">
        <v>519</v>
      </c>
      <c r="C29" s="287">
        <f ca="1">C9</f>
        <v>44335</v>
      </c>
      <c r="D29" s="287"/>
      <c r="E29" s="284"/>
      <c r="F29" s="280"/>
    </row>
    <row r="30" spans="2:8" x14ac:dyDescent="0.25">
      <c r="B30" s="286" t="s">
        <v>618</v>
      </c>
      <c r="C30" s="285" t="s">
        <v>619</v>
      </c>
      <c r="D30" s="285"/>
      <c r="E30" s="284"/>
      <c r="F30" s="280"/>
    </row>
    <row r="31" spans="2:8" x14ac:dyDescent="0.25">
      <c r="B31" s="283"/>
      <c r="C31" s="282"/>
      <c r="D31" s="282"/>
      <c r="E31" s="281"/>
      <c r="F31" s="280"/>
    </row>
  </sheetData>
  <hyperlinks>
    <hyperlink ref="F4" r:id="rId1"/>
    <hyperlink ref="F3" r:id="rId2"/>
  </hyperlinks>
  <printOptions horizontalCentered="1"/>
  <pageMargins left="0.5" right="0.5" top="0.5" bottom="0.5" header="0.25" footer="0.25"/>
  <pageSetup scale="83" fitToHeight="0" orientation="portrait" horizontalDpi="4294967294" r:id="rId3"/>
  <headerFooter>
    <oddHeader>&amp;L&amp;K000000
&amp;R&amp;G</oddHeader>
    <oddFooter>&amp;C&amp;10Página &amp;P</oddFooter>
  </headerFooter>
  <legacyDrawing r:id="rId4"/>
  <legacyDrawingHF r:id="rId5"/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1"/>
  <sheetViews>
    <sheetView workbookViewId="0">
      <selection activeCell="F15" sqref="F15"/>
    </sheetView>
  </sheetViews>
  <sheetFormatPr defaultColWidth="12.5703125" defaultRowHeight="15" customHeight="1" x14ac:dyDescent="0.2"/>
  <cols>
    <col min="1" max="1" width="16.28515625" bestFit="1" customWidth="1"/>
    <col min="2" max="2" width="8" customWidth="1"/>
    <col min="3" max="3" width="7.42578125" customWidth="1"/>
    <col min="4" max="4" width="6.5703125" customWidth="1"/>
    <col min="5" max="5" width="7.85546875" customWidth="1"/>
    <col min="6" max="9" width="8" customWidth="1"/>
    <col min="10" max="10" width="16.28515625" bestFit="1" customWidth="1"/>
    <col min="11" max="11" width="8" customWidth="1"/>
    <col min="12" max="12" width="7.5703125" customWidth="1"/>
    <col min="13" max="13" width="7.28515625" customWidth="1"/>
    <col min="14" max="14" width="7.140625" customWidth="1"/>
    <col min="15" max="15" width="9.140625" customWidth="1"/>
    <col min="16" max="16" width="8.5703125" customWidth="1"/>
    <col min="17" max="20" width="8" customWidth="1"/>
    <col min="21" max="21" width="7.42578125" customWidth="1"/>
    <col min="22" max="22" width="7.5703125" customWidth="1"/>
    <col min="23" max="23" width="7.42578125" customWidth="1"/>
    <col min="24" max="24" width="8.5703125" customWidth="1"/>
    <col min="25" max="29" width="8" customWidth="1"/>
    <col min="30" max="30" width="7.7109375" customWidth="1"/>
    <col min="31" max="31" width="7.28515625" customWidth="1"/>
    <col min="32" max="36" width="8" customWidth="1"/>
  </cols>
  <sheetData>
    <row r="1" spans="1:24" ht="12.75" customHeight="1" x14ac:dyDescent="0.2"/>
    <row r="2" spans="1:24" ht="13.5" customHeight="1" x14ac:dyDescent="0.2"/>
    <row r="3" spans="1:24" ht="13.5" customHeight="1" x14ac:dyDescent="0.2">
      <c r="B3" s="396" t="s">
        <v>578</v>
      </c>
      <c r="C3" s="397"/>
      <c r="D3" s="397"/>
      <c r="E3" s="397"/>
      <c r="F3" s="397"/>
      <c r="G3" s="397"/>
      <c r="H3" s="397"/>
      <c r="I3" s="398"/>
      <c r="K3" s="396" t="s">
        <v>579</v>
      </c>
      <c r="L3" s="397"/>
      <c r="M3" s="397"/>
      <c r="N3" s="397"/>
      <c r="O3" s="397"/>
      <c r="P3" s="397"/>
      <c r="Q3" s="397"/>
      <c r="R3" s="398"/>
      <c r="T3" t="s">
        <v>499</v>
      </c>
    </row>
    <row r="4" spans="1:24" ht="12.75" customHeight="1" x14ac:dyDescent="0.2">
      <c r="B4" s="458" t="s">
        <v>95</v>
      </c>
      <c r="C4" s="418" t="s">
        <v>96</v>
      </c>
      <c r="D4" s="418" t="s">
        <v>97</v>
      </c>
      <c r="E4" s="418" t="s">
        <v>98</v>
      </c>
      <c r="F4" s="418" t="s">
        <v>99</v>
      </c>
      <c r="G4" s="418" t="s">
        <v>100</v>
      </c>
      <c r="H4" s="418" t="s">
        <v>101</v>
      </c>
      <c r="I4" s="456" t="s">
        <v>102</v>
      </c>
      <c r="K4" s="458" t="s">
        <v>95</v>
      </c>
      <c r="L4" s="418" t="s">
        <v>96</v>
      </c>
      <c r="M4" s="418" t="s">
        <v>97</v>
      </c>
      <c r="N4" s="418" t="s">
        <v>98</v>
      </c>
      <c r="O4" s="418" t="s">
        <v>99</v>
      </c>
      <c r="P4" s="418" t="s">
        <v>103</v>
      </c>
      <c r="Q4" s="418" t="s">
        <v>104</v>
      </c>
      <c r="R4" s="456" t="s">
        <v>105</v>
      </c>
      <c r="T4" t="s">
        <v>500</v>
      </c>
      <c r="U4" t="s">
        <v>501</v>
      </c>
      <c r="V4" t="s">
        <v>502</v>
      </c>
      <c r="W4" t="s">
        <v>503</v>
      </c>
      <c r="X4" t="s">
        <v>504</v>
      </c>
    </row>
    <row r="5" spans="1:24" ht="29.25" customHeight="1" x14ac:dyDescent="0.2">
      <c r="B5" s="430"/>
      <c r="C5" s="433"/>
      <c r="D5" s="433"/>
      <c r="E5" s="433"/>
      <c r="F5" s="433"/>
      <c r="G5" s="433"/>
      <c r="H5" s="433"/>
      <c r="I5" s="457"/>
      <c r="K5" s="430"/>
      <c r="L5" s="433"/>
      <c r="M5" s="433"/>
      <c r="N5" s="433"/>
      <c r="O5" s="433"/>
      <c r="P5" s="433"/>
      <c r="Q5" s="433"/>
      <c r="R5" s="457"/>
      <c r="T5" s="155">
        <f>U5/(V5*W5*X5)</f>
        <v>199.91318056158468</v>
      </c>
      <c r="U5">
        <v>70000</v>
      </c>
      <c r="V5">
        <v>220</v>
      </c>
      <c r="W5">
        <v>0.92</v>
      </c>
      <c r="X5">
        <v>1.73</v>
      </c>
    </row>
    <row r="6" spans="1:24" ht="12.75" customHeight="1" x14ac:dyDescent="0.2">
      <c r="A6" s="230" t="s">
        <v>585</v>
      </c>
      <c r="B6" s="60" t="s">
        <v>106</v>
      </c>
      <c r="C6" s="274">
        <f>'QC Final'!AD71</f>
        <v>71516.247899159673</v>
      </c>
      <c r="D6" s="21">
        <f>C6/(220*1.73)</f>
        <v>187.90396190005168</v>
      </c>
      <c r="E6" s="60">
        <v>0.03</v>
      </c>
      <c r="F6" s="61">
        <v>70</v>
      </c>
      <c r="G6" s="21">
        <f>IF(F6=1.5,23.3,IF(F6=2.5,14.3,IF(F6=4,8.96,IF(F6=6,6.03,IF(F6=10,3.63,IF(F6=16,2.32,IF(F6=25,1.51,IF(F6=35,1.12,IF(F6=50,0.85,IF(F6=70,0.62,IF(F6=95,0.48,"VER")))))))))))</f>
        <v>0.62</v>
      </c>
      <c r="H6" s="62">
        <f>D6*G6*E6*100/220</f>
        <v>1.588642586973164</v>
      </c>
      <c r="I6" s="62">
        <f>H6</f>
        <v>1.588642586973164</v>
      </c>
      <c r="J6" s="230" t="s">
        <v>587</v>
      </c>
      <c r="K6" s="60" t="s">
        <v>131</v>
      </c>
      <c r="L6" s="274">
        <f>'QC Final'!Z58</f>
        <v>0</v>
      </c>
      <c r="M6" s="21">
        <f>L6/(220*1.73*0.8)</f>
        <v>0</v>
      </c>
      <c r="N6" s="60">
        <v>6.4000000000000003E-3</v>
      </c>
      <c r="O6" s="61">
        <v>2.5</v>
      </c>
      <c r="P6" s="21">
        <f>IF(O6=1.5,23.3,IF(O6=2.5,14.3,IF(O6=4,8.96,IF(O6=6,6.03,IF(O6=10,3.63,IF(O6=16,2.32,IF(O6=25,1.51,IF(O6=35,1.12,IF(O6=50,0.85,IF(O6=70,0.62,IF(O6=95,0.48,"VER")))))))))))</f>
        <v>14.3</v>
      </c>
      <c r="Q6" s="62">
        <f>M6*P6*N6*100/220</f>
        <v>0</v>
      </c>
      <c r="R6" s="62">
        <f>Q6</f>
        <v>0</v>
      </c>
    </row>
    <row r="7" spans="1:24" ht="12.75" customHeight="1" x14ac:dyDescent="0.2">
      <c r="A7" s="230" t="s">
        <v>582</v>
      </c>
      <c r="B7" s="63" t="s">
        <v>107</v>
      </c>
      <c r="C7" s="334">
        <f>'QC Final'!AD35</f>
        <v>42641.559233449487</v>
      </c>
      <c r="D7" s="84">
        <f>'QC Final'!R35</f>
        <v>99.311885473850154</v>
      </c>
      <c r="E7" s="63">
        <v>1.5E-3</v>
      </c>
      <c r="F7" s="64">
        <v>35</v>
      </c>
      <c r="G7" s="21">
        <f>IF(F7=1.5,23.3,IF(F7=2.5,14.3,IF(F7=4,8.96,IF(F7=6,6.03,IF(F7=10,3.63,IF(F7=16,2.32,IF(F7=25,1.51,IF(F7=35,1.12,IF(F7=50,0.85,IF(F7=70,0.62,IF(F7=95,0.48,"VER")))))))))))</f>
        <v>1.1200000000000001</v>
      </c>
      <c r="H7" s="65">
        <f>D7*G7*E7*100/220</f>
        <v>7.5838167089121958E-2</v>
      </c>
      <c r="I7" s="65">
        <f>I6+H7</f>
        <v>1.6644807540622859</v>
      </c>
      <c r="K7" s="63"/>
      <c r="L7" s="63"/>
      <c r="M7" s="6"/>
      <c r="N7" s="63"/>
      <c r="O7" s="64"/>
      <c r="P7" s="21"/>
      <c r="Q7" s="65"/>
      <c r="R7" s="65"/>
    </row>
    <row r="8" spans="1:24" ht="12.75" customHeight="1" x14ac:dyDescent="0.2"/>
    <row r="9" spans="1:24" ht="13.5" customHeight="1" x14ac:dyDescent="0.2"/>
    <row r="10" spans="1:24" ht="13.5" customHeight="1" x14ac:dyDescent="0.2">
      <c r="B10" s="396" t="s">
        <v>577</v>
      </c>
      <c r="C10" s="397"/>
      <c r="D10" s="397"/>
      <c r="E10" s="397"/>
      <c r="F10" s="397"/>
      <c r="G10" s="397"/>
      <c r="H10" s="397"/>
      <c r="I10" s="398"/>
      <c r="K10" s="396" t="s">
        <v>581</v>
      </c>
      <c r="L10" s="397"/>
      <c r="M10" s="397"/>
      <c r="N10" s="397"/>
      <c r="O10" s="397"/>
      <c r="P10" s="397"/>
      <c r="Q10" s="397"/>
      <c r="R10" s="398"/>
    </row>
    <row r="11" spans="1:24" ht="12.75" customHeight="1" x14ac:dyDescent="0.2">
      <c r="B11" s="458" t="s">
        <v>95</v>
      </c>
      <c r="C11" s="418" t="s">
        <v>96</v>
      </c>
      <c r="D11" s="418" t="s">
        <v>97</v>
      </c>
      <c r="E11" s="418" t="s">
        <v>98</v>
      </c>
      <c r="F11" s="418" t="s">
        <v>99</v>
      </c>
      <c r="G11" s="418" t="s">
        <v>108</v>
      </c>
      <c r="H11" s="418" t="s">
        <v>109</v>
      </c>
      <c r="I11" s="456" t="s">
        <v>110</v>
      </c>
      <c r="K11" s="458" t="s">
        <v>95</v>
      </c>
      <c r="L11" s="418" t="s">
        <v>96</v>
      </c>
      <c r="M11" s="418" t="s">
        <v>97</v>
      </c>
      <c r="N11" s="418" t="s">
        <v>98</v>
      </c>
      <c r="O11" s="418" t="s">
        <v>99</v>
      </c>
      <c r="P11" s="418" t="s">
        <v>111</v>
      </c>
      <c r="Q11" s="418" t="s">
        <v>112</v>
      </c>
      <c r="R11" s="456" t="s">
        <v>113</v>
      </c>
    </row>
    <row r="12" spans="1:24" ht="30" customHeight="1" x14ac:dyDescent="0.2">
      <c r="B12" s="430"/>
      <c r="C12" s="433"/>
      <c r="D12" s="433"/>
      <c r="E12" s="433"/>
      <c r="F12" s="433"/>
      <c r="G12" s="433"/>
      <c r="H12" s="433"/>
      <c r="I12" s="457"/>
      <c r="K12" s="430"/>
      <c r="L12" s="433"/>
      <c r="M12" s="433"/>
      <c r="N12" s="433"/>
      <c r="O12" s="433"/>
      <c r="P12" s="433"/>
      <c r="Q12" s="433"/>
      <c r="R12" s="457"/>
    </row>
    <row r="13" spans="1:24" ht="12.75" customHeight="1" x14ac:dyDescent="0.2">
      <c r="A13" s="230" t="s">
        <v>584</v>
      </c>
      <c r="B13" s="60" t="s">
        <v>127</v>
      </c>
      <c r="C13" s="274">
        <f>'QC Final'!AD51</f>
        <v>20160.688665710186</v>
      </c>
      <c r="D13" s="21">
        <f>C13/(220*1.73*0.8)</f>
        <v>66.213507178501658</v>
      </c>
      <c r="E13" s="66">
        <v>6.3E-3</v>
      </c>
      <c r="F13" s="61">
        <v>10</v>
      </c>
      <c r="G13" s="21">
        <f>IF(F13=1.5,23.3,IF(F13=2.5,14.3,IF(F13=4,8.96,IF(F13=6,6.03,IF(F13=10,3.63,IF(F13=16,2.32,IF(F13=25,1.51,IF(F13=35,1.12,IF(F13=50,0.85,IF(F13=70,0.62,IF(F13=95,0.48,"VER")))))))))))</f>
        <v>3.63</v>
      </c>
      <c r="H13" s="62">
        <f>D13*G13*E13*100/220</f>
        <v>0.68828940712052478</v>
      </c>
      <c r="I13" s="62">
        <f>H13</f>
        <v>0.68828940712052478</v>
      </c>
      <c r="J13" s="230" t="s">
        <v>586</v>
      </c>
      <c r="K13" s="60" t="s">
        <v>592</v>
      </c>
      <c r="L13" s="274">
        <f>'QC Final'!P37</f>
        <v>4500</v>
      </c>
      <c r="M13" s="21">
        <f>L13/(220*1.73*0.8)</f>
        <v>14.779295848660009</v>
      </c>
      <c r="N13" s="60">
        <v>9.2999999999999992E-3</v>
      </c>
      <c r="O13" s="61">
        <v>4</v>
      </c>
      <c r="P13" s="21">
        <f>IF(O13=1.5,23.3,IF(O13=2.5,14.3,IF(O13=4,8.96,IF(O13=6,6.03,IF(O13=10,3.63,IF(O13=16,2.32,IF(O13=25,1.51,IF(O13=35,1.12,IF(O13=50,0.85,IF(O13=70,0.62,IF(O13=95,0.48,"VER")))))))))))</f>
        <v>8.9600000000000009</v>
      </c>
      <c r="Q13" s="62">
        <f>M13*P13*N13*100/220</f>
        <v>0.55978598385324607</v>
      </c>
      <c r="R13" s="62">
        <f>Q13</f>
        <v>0.55978598385324607</v>
      </c>
    </row>
    <row r="14" spans="1:24" ht="12.75" customHeight="1" x14ac:dyDescent="0.2">
      <c r="A14" s="230" t="s">
        <v>583</v>
      </c>
      <c r="B14" s="63" t="s">
        <v>591</v>
      </c>
      <c r="C14" s="334">
        <f>'QC Final'!AD69</f>
        <v>8714</v>
      </c>
      <c r="D14" s="6">
        <f>C14/(220*1.73)</f>
        <v>22.895428271150813</v>
      </c>
      <c r="E14" s="67">
        <v>2.8000000000000001E-2</v>
      </c>
      <c r="F14" s="64">
        <v>6</v>
      </c>
      <c r="G14" s="21">
        <f>IF(F14=1.5,23.3,IF(F14=2.5,14.3,IF(F14=4,8.96,IF(F14=6,6.03,IF(F14=10,3.63,IF(F14=16,2.32,IF(F14=25,1.51,IF(F14=35,1.12,IF(F14=50,0.85,IF(F14=70,0.62,IF(F14=95,0.48,"VER")))))))))))</f>
        <v>6.03</v>
      </c>
      <c r="H14" s="65">
        <f>D14*G14*E14*100/220</f>
        <v>1.7571200496823198</v>
      </c>
      <c r="I14" s="65">
        <f t="shared" ref="I14" si="0">I13+H14</f>
        <v>2.4454094568028446</v>
      </c>
      <c r="J14" s="230" t="s">
        <v>588</v>
      </c>
      <c r="K14" s="63" t="s">
        <v>593</v>
      </c>
      <c r="L14" s="63">
        <f>'QC Final'!P38</f>
        <v>3600</v>
      </c>
      <c r="M14" s="21">
        <f>L14/(220*1.73*0.8)</f>
        <v>11.823436678928008</v>
      </c>
      <c r="N14" s="63">
        <v>1.9E-2</v>
      </c>
      <c r="O14" s="64">
        <v>4</v>
      </c>
      <c r="P14" s="21">
        <f>IF(O14=1.5,23.3,IF(O14=2.5,14.3,IF(O14=4,8.96,IF(O14=6,6.03,IF(O14=10,3.63,IF(O14=16,2.32,IF(O14=25,1.51,IF(O14=35,1.12,IF(O14=50,0.85,IF(O14=70,0.62,IF(O14=95,0.48,"VER")))))))))))</f>
        <v>8.9600000000000009</v>
      </c>
      <c r="Q14" s="65">
        <f>M14*P14*N14*100/220</f>
        <v>0.91491902737304731</v>
      </c>
      <c r="R14" s="65">
        <f t="shared" ref="R14:R15" si="1">R13+Q14</f>
        <v>1.4747050112262934</v>
      </c>
    </row>
    <row r="15" spans="1:24" ht="12.75" customHeight="1" x14ac:dyDescent="0.2">
      <c r="B15" s="63"/>
      <c r="C15" s="63"/>
      <c r="D15" s="6"/>
      <c r="E15" s="67"/>
      <c r="F15" s="64"/>
      <c r="G15" s="21"/>
      <c r="H15" s="65"/>
      <c r="I15" s="65"/>
      <c r="J15" s="230" t="s">
        <v>589</v>
      </c>
      <c r="K15" s="63" t="s">
        <v>594</v>
      </c>
      <c r="L15" s="63">
        <f>'QC Final'!P39</f>
        <v>1500</v>
      </c>
      <c r="M15" s="21">
        <f>L15/(220*1.73*0.8)</f>
        <v>4.9264319495533364</v>
      </c>
      <c r="N15" s="63">
        <v>1.0999999999999999E-2</v>
      </c>
      <c r="O15" s="64">
        <v>2.5</v>
      </c>
      <c r="P15" s="21">
        <f>IF(O15=1.5,23.3,IF(O15=2.5,14.3,IF(O15=4,8.96,IF(O15=6,6.03,IF(O15=10,3.63,IF(O15=16,2.32,IF(O15=25,1.51,IF(O15=35,1.12,IF(O15=50,0.85,IF(O15=70,0.62,IF(O15=95,0.48,"VER")))))))))))</f>
        <v>14.3</v>
      </c>
      <c r="Q15" s="65">
        <f>M15*P15*N15*100/220</f>
        <v>0.35223988439306358</v>
      </c>
      <c r="R15" s="65">
        <f t="shared" si="1"/>
        <v>1.826944895619357</v>
      </c>
    </row>
    <row r="16" spans="1:24" ht="12.75" customHeight="1" x14ac:dyDescent="0.2">
      <c r="J16" s="230" t="s">
        <v>590</v>
      </c>
      <c r="K16" s="63" t="s">
        <v>595</v>
      </c>
      <c r="L16" s="63">
        <f>'QC Final'!P40</f>
        <v>1500</v>
      </c>
      <c r="M16" s="21">
        <f>L16/(220*1.73*0.8)</f>
        <v>4.9264319495533364</v>
      </c>
      <c r="N16" s="63">
        <v>1.0999999999999999E-2</v>
      </c>
      <c r="O16" s="64">
        <v>2.5</v>
      </c>
      <c r="P16" s="21">
        <f>IF(O16=1.5,23.3,IF(O16=2.5,14.3,IF(O16=4,8.96,IF(O16=6,6.03,IF(O16=10,3.63,IF(O16=16,2.32,IF(O16=25,1.51,IF(O16=35,1.12,IF(O16=50,0.85,IF(O16=70,0.62,IF(O16=95,0.48,"VER")))))))))))</f>
        <v>14.3</v>
      </c>
      <c r="Q16" s="65">
        <f>M16*P16*N16*100/220</f>
        <v>0.35223988439306358</v>
      </c>
      <c r="R16" s="65">
        <f t="shared" ref="R16" si="2">R15+Q16</f>
        <v>2.1791847800124207</v>
      </c>
    </row>
    <row r="17" spans="2:36" s="262" customFormat="1" ht="13.5" customHeight="1" x14ac:dyDescent="0.2"/>
    <row r="18" spans="2:36" ht="13.5" customHeight="1" x14ac:dyDescent="0.2"/>
    <row r="19" spans="2:36" ht="13.5" customHeight="1" x14ac:dyDescent="0.2">
      <c r="B19" s="251" t="s">
        <v>470</v>
      </c>
      <c r="K19" s="396" t="s">
        <v>115</v>
      </c>
      <c r="L19" s="397"/>
      <c r="M19" s="397"/>
      <c r="N19" s="397"/>
      <c r="O19" s="397"/>
      <c r="P19" s="397"/>
      <c r="Q19" s="397"/>
      <c r="R19" s="398"/>
      <c r="T19" s="396" t="s">
        <v>116</v>
      </c>
      <c r="U19" s="397"/>
      <c r="V19" s="397"/>
      <c r="W19" s="397"/>
      <c r="X19" s="397"/>
      <c r="Y19" s="397"/>
      <c r="Z19" s="397"/>
      <c r="AA19" s="398"/>
      <c r="AC19" s="396" t="s">
        <v>117</v>
      </c>
      <c r="AD19" s="397"/>
      <c r="AE19" s="397"/>
      <c r="AF19" s="397"/>
      <c r="AG19" s="397"/>
      <c r="AH19" s="397"/>
      <c r="AI19" s="397"/>
      <c r="AJ19" s="398"/>
    </row>
    <row r="20" spans="2:36" ht="12.75" customHeight="1" x14ac:dyDescent="0.2">
      <c r="K20" s="458" t="s">
        <v>95</v>
      </c>
      <c r="L20" s="418" t="s">
        <v>96</v>
      </c>
      <c r="M20" s="418" t="s">
        <v>97</v>
      </c>
      <c r="N20" s="418" t="s">
        <v>98</v>
      </c>
      <c r="O20" s="418" t="s">
        <v>99</v>
      </c>
      <c r="P20" s="418" t="s">
        <v>118</v>
      </c>
      <c r="Q20" s="418" t="s">
        <v>119</v>
      </c>
      <c r="R20" s="456" t="s">
        <v>120</v>
      </c>
      <c r="T20" s="458" t="s">
        <v>95</v>
      </c>
      <c r="U20" s="418" t="s">
        <v>96</v>
      </c>
      <c r="V20" s="418" t="s">
        <v>97</v>
      </c>
      <c r="W20" s="418" t="s">
        <v>98</v>
      </c>
      <c r="X20" s="418" t="s">
        <v>99</v>
      </c>
      <c r="Y20" s="418" t="s">
        <v>121</v>
      </c>
      <c r="Z20" s="418" t="s">
        <v>122</v>
      </c>
      <c r="AA20" s="456" t="s">
        <v>123</v>
      </c>
      <c r="AC20" s="458" t="s">
        <v>95</v>
      </c>
      <c r="AD20" s="418" t="s">
        <v>96</v>
      </c>
      <c r="AE20" s="418" t="s">
        <v>97</v>
      </c>
      <c r="AF20" s="418" t="s">
        <v>98</v>
      </c>
      <c r="AG20" s="418" t="s">
        <v>99</v>
      </c>
      <c r="AH20" s="418" t="s">
        <v>124</v>
      </c>
      <c r="AI20" s="418" t="s">
        <v>125</v>
      </c>
      <c r="AJ20" s="456" t="s">
        <v>126</v>
      </c>
    </row>
    <row r="21" spans="2:36" ht="27" customHeight="1" x14ac:dyDescent="0.2">
      <c r="K21" s="430"/>
      <c r="L21" s="433"/>
      <c r="M21" s="433"/>
      <c r="N21" s="433"/>
      <c r="O21" s="433"/>
      <c r="P21" s="433"/>
      <c r="Q21" s="433"/>
      <c r="R21" s="457"/>
      <c r="T21" s="430"/>
      <c r="U21" s="433"/>
      <c r="V21" s="433"/>
      <c r="W21" s="433"/>
      <c r="X21" s="433"/>
      <c r="Y21" s="433"/>
      <c r="Z21" s="433"/>
      <c r="AA21" s="457"/>
      <c r="AC21" s="430"/>
      <c r="AD21" s="433"/>
      <c r="AE21" s="433"/>
      <c r="AF21" s="433"/>
      <c r="AG21" s="433"/>
      <c r="AH21" s="433"/>
      <c r="AI21" s="433"/>
      <c r="AJ21" s="457"/>
    </row>
    <row r="22" spans="2:36" ht="12.75" customHeight="1" x14ac:dyDescent="0.2">
      <c r="K22" s="60" t="s">
        <v>106</v>
      </c>
      <c r="L22" s="60">
        <v>1600</v>
      </c>
      <c r="M22" s="21">
        <f t="shared" ref="M22:M29" si="3">L22/220</f>
        <v>7.2727272727272725</v>
      </c>
      <c r="N22" s="66">
        <v>1.2E-2</v>
      </c>
      <c r="O22" s="61">
        <v>1.5</v>
      </c>
      <c r="P22" s="21">
        <f t="shared" ref="P22:P29" si="4">IF(O22=1.5,23.3,IF(O22=2.5,14.3,IF(O22=4,8.96,IF(O22=6,6.03,IF(O22=10,3.63,IF(O22=16,2.32,IF(O22=25,1.51,IF(O22=35,1.12,IF(O22=50,0.85,IF(O22=70,0.62,IF(O22=95,0.48,"VER")))))))))))</f>
        <v>23.3</v>
      </c>
      <c r="Q22" s="62">
        <f t="shared" ref="Q22:Q29" si="5">M22*P22*N22*100/220</f>
        <v>0.92429752066115711</v>
      </c>
      <c r="R22" s="62">
        <f>Q22</f>
        <v>0.92429752066115711</v>
      </c>
      <c r="T22" s="60" t="s">
        <v>106</v>
      </c>
      <c r="U22" s="60">
        <v>1420</v>
      </c>
      <c r="V22" s="68">
        <f t="shared" ref="V22:V30" si="6">U22/220</f>
        <v>6.4545454545454541</v>
      </c>
      <c r="W22" s="66">
        <v>6.4999999999999997E-3</v>
      </c>
      <c r="X22" s="61">
        <v>2.5</v>
      </c>
      <c r="Y22" s="21">
        <f t="shared" ref="Y22:Y30" si="7">IF(X22=1.5,23.3,IF(X22=2.5,14.3,IF(X22=4,8.96,IF(X22=6,6.03,IF(X22=10,3.63,IF(X22=16,2.32,IF(X22=25,1.51,IF(X22=35,1.12,IF(X22=50,0.85,IF(X22=70,0.62,IF(X22=95,0.48,"VER")))))))))))</f>
        <v>14.3</v>
      </c>
      <c r="Z22" s="62">
        <f t="shared" ref="Z22:Z30" si="8">V22*Y22*W22*100/220</f>
        <v>0.27270454545454542</v>
      </c>
      <c r="AA22" s="62">
        <f>Z22</f>
        <v>0.27270454545454542</v>
      </c>
      <c r="AC22" s="60" t="s">
        <v>106</v>
      </c>
      <c r="AD22" s="60">
        <v>300</v>
      </c>
      <c r="AE22" s="68">
        <f t="shared" ref="AE22:AE31" si="9">AD22/220</f>
        <v>1.3636363636363635</v>
      </c>
      <c r="AF22" s="66">
        <v>1.5E-3</v>
      </c>
      <c r="AG22" s="61">
        <v>1.5</v>
      </c>
      <c r="AH22" s="21">
        <f t="shared" ref="AH22:AH31" si="10">IF(AG22=1.5,23.3,IF(AG22=2.5,14.3,IF(AG22=4,8.96,IF(AG22=6,6.03,IF(AG22=10,3.63,IF(AG22=16,2.32,IF(AG22=25,1.51,IF(AG22=35,1.12,IF(AG22=50,0.85,IF(AG22=70,0.62,IF(AG22=95,0.48,"VER")))))))))))</f>
        <v>23.3</v>
      </c>
      <c r="AI22" s="62">
        <f t="shared" ref="AI22:AI31" si="11">AE22*AH22*AF22*100/220</f>
        <v>2.1663223140495867E-2</v>
      </c>
      <c r="AJ22" s="62">
        <f>AI22</f>
        <v>2.1663223140495867E-2</v>
      </c>
    </row>
    <row r="23" spans="2:36" ht="12.75" customHeight="1" x14ac:dyDescent="0.2">
      <c r="K23" s="63" t="s">
        <v>107</v>
      </c>
      <c r="L23" s="63">
        <v>600</v>
      </c>
      <c r="M23" s="6">
        <f t="shared" si="3"/>
        <v>2.7272727272727271</v>
      </c>
      <c r="N23" s="67">
        <v>6.0000000000000001E-3</v>
      </c>
      <c r="O23" s="64">
        <v>1.5</v>
      </c>
      <c r="P23" s="21">
        <f t="shared" si="4"/>
        <v>23.3</v>
      </c>
      <c r="Q23" s="65">
        <f t="shared" si="5"/>
        <v>0.17330578512396694</v>
      </c>
      <c r="R23" s="65">
        <f t="shared" ref="R23:R29" si="12">R22+Q23</f>
        <v>1.097603305785124</v>
      </c>
      <c r="T23" s="63" t="s">
        <v>107</v>
      </c>
      <c r="U23" s="63">
        <v>200</v>
      </c>
      <c r="V23" s="69">
        <f t="shared" si="6"/>
        <v>0.90909090909090906</v>
      </c>
      <c r="W23" s="67">
        <v>6.0000000000000001E-3</v>
      </c>
      <c r="X23" s="64">
        <v>2.5</v>
      </c>
      <c r="Y23" s="21">
        <f t="shared" si="7"/>
        <v>14.3</v>
      </c>
      <c r="Z23" s="65">
        <f t="shared" si="8"/>
        <v>3.5454545454545454E-2</v>
      </c>
      <c r="AA23" s="65">
        <f t="shared" ref="AA23:AA30" si="13">AA22+Z23</f>
        <v>0.30815909090909088</v>
      </c>
      <c r="AC23" s="63" t="s">
        <v>107</v>
      </c>
      <c r="AD23" s="63">
        <v>200</v>
      </c>
      <c r="AE23" s="69">
        <f t="shared" si="9"/>
        <v>0.90909090909090906</v>
      </c>
      <c r="AF23" s="67">
        <v>1.9E-3</v>
      </c>
      <c r="AG23" s="64">
        <v>1.5</v>
      </c>
      <c r="AH23" s="21">
        <f t="shared" si="10"/>
        <v>23.3</v>
      </c>
      <c r="AI23" s="65">
        <f t="shared" si="11"/>
        <v>1.8293388429752068E-2</v>
      </c>
      <c r="AJ23" s="65">
        <f t="shared" ref="AJ23:AJ31" si="14">AJ22+AI23</f>
        <v>3.9956611570247935E-2</v>
      </c>
    </row>
    <row r="24" spans="2:36" ht="12.75" customHeight="1" x14ac:dyDescent="0.2">
      <c r="K24" s="63" t="s">
        <v>114</v>
      </c>
      <c r="L24" s="63">
        <v>400</v>
      </c>
      <c r="M24" s="6">
        <f t="shared" si="3"/>
        <v>1.8181818181818181</v>
      </c>
      <c r="N24" s="67">
        <v>6.0000000000000001E-3</v>
      </c>
      <c r="O24" s="64">
        <v>1.5</v>
      </c>
      <c r="P24" s="21">
        <f t="shared" si="4"/>
        <v>23.3</v>
      </c>
      <c r="Q24" s="65">
        <f t="shared" si="5"/>
        <v>0.11553719008264464</v>
      </c>
      <c r="R24" s="65">
        <f t="shared" si="12"/>
        <v>1.2131404958677687</v>
      </c>
      <c r="T24" s="63" t="s">
        <v>127</v>
      </c>
      <c r="U24" s="63">
        <v>1020</v>
      </c>
      <c r="V24" s="69">
        <f t="shared" si="6"/>
        <v>4.6363636363636367</v>
      </c>
      <c r="W24" s="67">
        <v>6.0000000000000001E-3</v>
      </c>
      <c r="X24" s="64">
        <v>2.5</v>
      </c>
      <c r="Y24" s="21">
        <f t="shared" si="7"/>
        <v>14.3</v>
      </c>
      <c r="Z24" s="65">
        <f t="shared" si="8"/>
        <v>0.18081818181818185</v>
      </c>
      <c r="AA24" s="65">
        <f t="shared" si="13"/>
        <v>0.48897727272727276</v>
      </c>
      <c r="AC24" s="63" t="s">
        <v>114</v>
      </c>
      <c r="AD24" s="63">
        <v>100</v>
      </c>
      <c r="AE24" s="69">
        <f t="shared" si="9"/>
        <v>0.45454545454545453</v>
      </c>
      <c r="AF24" s="67">
        <v>2E-3</v>
      </c>
      <c r="AG24" s="64">
        <v>1.5</v>
      </c>
      <c r="AH24" s="21">
        <f t="shared" si="10"/>
        <v>23.3</v>
      </c>
      <c r="AI24" s="65">
        <f t="shared" si="11"/>
        <v>9.6280991735537193E-3</v>
      </c>
      <c r="AJ24" s="65">
        <f t="shared" si="14"/>
        <v>4.9584710743801656E-2</v>
      </c>
    </row>
    <row r="25" spans="2:36" ht="12.75" customHeight="1" x14ac:dyDescent="0.2">
      <c r="K25" s="63" t="s">
        <v>128</v>
      </c>
      <c r="L25" s="63">
        <v>200</v>
      </c>
      <c r="M25" s="6">
        <f t="shared" si="3"/>
        <v>0.90909090909090906</v>
      </c>
      <c r="N25" s="67">
        <v>6.0000000000000001E-3</v>
      </c>
      <c r="O25" s="64">
        <v>1.5</v>
      </c>
      <c r="P25" s="21">
        <f t="shared" si="4"/>
        <v>23.3</v>
      </c>
      <c r="Q25" s="65">
        <f t="shared" si="5"/>
        <v>5.776859504132232E-2</v>
      </c>
      <c r="R25" s="65">
        <f t="shared" si="12"/>
        <v>1.270909090909091</v>
      </c>
      <c r="T25" s="63" t="s">
        <v>128</v>
      </c>
      <c r="U25" s="63">
        <v>820</v>
      </c>
      <c r="V25" s="69">
        <f t="shared" si="6"/>
        <v>3.7272727272727271</v>
      </c>
      <c r="W25" s="67">
        <v>6.0000000000000001E-3</v>
      </c>
      <c r="X25" s="64">
        <v>2.5</v>
      </c>
      <c r="Y25" s="21">
        <f t="shared" si="7"/>
        <v>14.3</v>
      </c>
      <c r="Z25" s="65">
        <f t="shared" si="8"/>
        <v>0.14536363636363636</v>
      </c>
      <c r="AA25" s="65">
        <f t="shared" si="13"/>
        <v>0.63434090909090912</v>
      </c>
      <c r="AC25" s="63" t="s">
        <v>129</v>
      </c>
      <c r="AD25" s="63">
        <v>100</v>
      </c>
      <c r="AE25" s="69">
        <f t="shared" si="9"/>
        <v>0.45454545454545453</v>
      </c>
      <c r="AF25" s="67">
        <v>2.7000000000000001E-3</v>
      </c>
      <c r="AG25" s="64">
        <v>1.5</v>
      </c>
      <c r="AH25" s="21">
        <f t="shared" si="10"/>
        <v>23.3</v>
      </c>
      <c r="AI25" s="65">
        <f t="shared" si="11"/>
        <v>1.2997933884297522E-2</v>
      </c>
      <c r="AJ25" s="65">
        <f t="shared" si="14"/>
        <v>6.2582644628099177E-2</v>
      </c>
    </row>
    <row r="26" spans="2:36" ht="12.75" customHeight="1" x14ac:dyDescent="0.2">
      <c r="K26" s="63" t="s">
        <v>130</v>
      </c>
      <c r="L26" s="63">
        <v>800</v>
      </c>
      <c r="M26" s="6">
        <f t="shared" si="3"/>
        <v>3.6363636363636362</v>
      </c>
      <c r="N26" s="67">
        <v>7.4999999999999997E-3</v>
      </c>
      <c r="O26" s="64">
        <v>1.5</v>
      </c>
      <c r="P26" s="21">
        <f t="shared" si="4"/>
        <v>23.3</v>
      </c>
      <c r="Q26" s="65">
        <f t="shared" si="5"/>
        <v>0.28884297520661156</v>
      </c>
      <c r="R26" s="65">
        <f t="shared" si="12"/>
        <v>1.5597520661157025</v>
      </c>
      <c r="T26" s="63" t="s">
        <v>131</v>
      </c>
      <c r="U26" s="63">
        <v>620</v>
      </c>
      <c r="V26" s="69">
        <f t="shared" si="6"/>
        <v>2.8181818181818183</v>
      </c>
      <c r="W26" s="67">
        <v>7.0000000000000001E-3</v>
      </c>
      <c r="X26" s="64">
        <v>2.5</v>
      </c>
      <c r="Y26" s="21">
        <f t="shared" si="7"/>
        <v>14.3</v>
      </c>
      <c r="Z26" s="65">
        <f t="shared" si="8"/>
        <v>0.12822727272727272</v>
      </c>
      <c r="AA26" s="65">
        <f t="shared" si="13"/>
        <v>0.76256818181818187</v>
      </c>
      <c r="AC26" s="63" t="s">
        <v>132</v>
      </c>
      <c r="AD26" s="63">
        <v>900</v>
      </c>
      <c r="AE26" s="69">
        <f t="shared" si="9"/>
        <v>4.0909090909090908</v>
      </c>
      <c r="AF26" s="67">
        <v>3.0000000000000001E-3</v>
      </c>
      <c r="AG26" s="64">
        <v>1.5</v>
      </c>
      <c r="AH26" s="21">
        <f t="shared" si="10"/>
        <v>23.3</v>
      </c>
      <c r="AI26" s="65">
        <f t="shared" si="11"/>
        <v>0.12997933884297522</v>
      </c>
      <c r="AJ26" s="65">
        <f t="shared" si="14"/>
        <v>0.19256198347107439</v>
      </c>
    </row>
    <row r="27" spans="2:36" ht="12.75" customHeight="1" x14ac:dyDescent="0.2">
      <c r="K27" s="63" t="s">
        <v>133</v>
      </c>
      <c r="L27" s="63">
        <v>200</v>
      </c>
      <c r="M27" s="6">
        <f t="shared" si="3"/>
        <v>0.90909090909090906</v>
      </c>
      <c r="N27" s="67">
        <v>6.0000000000000001E-3</v>
      </c>
      <c r="O27" s="64">
        <v>1.5</v>
      </c>
      <c r="P27" s="21">
        <f t="shared" si="4"/>
        <v>23.3</v>
      </c>
      <c r="Q27" s="65">
        <f t="shared" si="5"/>
        <v>5.776859504132232E-2</v>
      </c>
      <c r="R27" s="65">
        <f t="shared" si="12"/>
        <v>1.6175206611570248</v>
      </c>
      <c r="T27" s="63" t="s">
        <v>133</v>
      </c>
      <c r="U27" s="63">
        <v>200</v>
      </c>
      <c r="V27" s="69">
        <f t="shared" si="6"/>
        <v>0.90909090909090906</v>
      </c>
      <c r="W27" s="67">
        <v>8.5000000000000006E-3</v>
      </c>
      <c r="X27" s="64">
        <v>2.5</v>
      </c>
      <c r="Y27" s="21">
        <f t="shared" si="7"/>
        <v>14.3</v>
      </c>
      <c r="Z27" s="65">
        <f t="shared" si="8"/>
        <v>5.0227272727272732E-2</v>
      </c>
      <c r="AA27" s="65">
        <f t="shared" si="13"/>
        <v>0.81279545454545454</v>
      </c>
      <c r="AC27" s="63" t="s">
        <v>133</v>
      </c>
      <c r="AD27" s="63">
        <v>150</v>
      </c>
      <c r="AE27" s="69">
        <f t="shared" si="9"/>
        <v>0.68181818181818177</v>
      </c>
      <c r="AF27" s="67">
        <v>2.8E-3</v>
      </c>
      <c r="AG27" s="64">
        <v>1.5</v>
      </c>
      <c r="AH27" s="21">
        <f t="shared" si="10"/>
        <v>23.3</v>
      </c>
      <c r="AI27" s="65">
        <f t="shared" si="11"/>
        <v>2.0219008264462806E-2</v>
      </c>
      <c r="AJ27" s="65">
        <f t="shared" si="14"/>
        <v>0.21278099173553719</v>
      </c>
    </row>
    <row r="28" spans="2:36" ht="12.75" customHeight="1" x14ac:dyDescent="0.2">
      <c r="K28" s="63" t="s">
        <v>134</v>
      </c>
      <c r="L28" s="63">
        <v>400</v>
      </c>
      <c r="M28" s="6">
        <f t="shared" si="3"/>
        <v>1.8181818181818181</v>
      </c>
      <c r="N28" s="67">
        <v>6.0000000000000001E-3</v>
      </c>
      <c r="O28" s="64">
        <v>1.5</v>
      </c>
      <c r="P28" s="21">
        <f t="shared" si="4"/>
        <v>23.3</v>
      </c>
      <c r="Q28" s="65">
        <f t="shared" si="5"/>
        <v>0.11553719008264464</v>
      </c>
      <c r="R28" s="65">
        <f t="shared" si="12"/>
        <v>1.7330578512396695</v>
      </c>
      <c r="T28" s="63" t="s">
        <v>134</v>
      </c>
      <c r="U28" s="63">
        <v>220</v>
      </c>
      <c r="V28" s="69">
        <f t="shared" si="6"/>
        <v>1</v>
      </c>
      <c r="W28" s="67">
        <v>9.4999999999999998E-3</v>
      </c>
      <c r="X28" s="64">
        <v>2.5</v>
      </c>
      <c r="Y28" s="21">
        <f t="shared" si="7"/>
        <v>14.3</v>
      </c>
      <c r="Z28" s="65">
        <f t="shared" si="8"/>
        <v>6.1749999999999992E-2</v>
      </c>
      <c r="AA28" s="65">
        <f t="shared" si="13"/>
        <v>0.87454545454545451</v>
      </c>
      <c r="AC28" s="63" t="s">
        <v>134</v>
      </c>
      <c r="AD28" s="63">
        <v>300</v>
      </c>
      <c r="AE28" s="69">
        <f t="shared" si="9"/>
        <v>1.3636363636363635</v>
      </c>
      <c r="AF28" s="67">
        <v>2.7000000000000001E-3</v>
      </c>
      <c r="AG28" s="64">
        <v>1.5</v>
      </c>
      <c r="AH28" s="21">
        <f t="shared" si="10"/>
        <v>23.3</v>
      </c>
      <c r="AI28" s="65">
        <f t="shared" si="11"/>
        <v>3.8993801652892561E-2</v>
      </c>
      <c r="AJ28" s="65">
        <f t="shared" si="14"/>
        <v>0.25177479338842973</v>
      </c>
    </row>
    <row r="29" spans="2:36" ht="12.75" customHeight="1" x14ac:dyDescent="0.2">
      <c r="K29" s="63" t="s">
        <v>135</v>
      </c>
      <c r="L29" s="63">
        <v>200</v>
      </c>
      <c r="M29" s="6">
        <f t="shared" si="3"/>
        <v>0.90909090909090906</v>
      </c>
      <c r="N29" s="67">
        <v>6.0000000000000001E-3</v>
      </c>
      <c r="O29" s="64">
        <v>1.5</v>
      </c>
      <c r="P29" s="21">
        <f t="shared" si="4"/>
        <v>23.3</v>
      </c>
      <c r="Q29" s="65">
        <f t="shared" si="5"/>
        <v>5.776859504132232E-2</v>
      </c>
      <c r="R29" s="65">
        <f t="shared" si="12"/>
        <v>1.7908264462809917</v>
      </c>
      <c r="T29" s="63" t="s">
        <v>135</v>
      </c>
      <c r="U29" s="63">
        <v>140</v>
      </c>
      <c r="V29" s="69">
        <f t="shared" si="6"/>
        <v>0.63636363636363635</v>
      </c>
      <c r="W29" s="67">
        <v>4.0000000000000001E-3</v>
      </c>
      <c r="X29" s="64">
        <v>2.5</v>
      </c>
      <c r="Y29" s="21">
        <f t="shared" si="7"/>
        <v>14.3</v>
      </c>
      <c r="Z29" s="65">
        <f t="shared" si="8"/>
        <v>1.6545454545454547E-2</v>
      </c>
      <c r="AA29" s="65">
        <f t="shared" si="13"/>
        <v>0.89109090909090904</v>
      </c>
      <c r="AC29" s="63" t="s">
        <v>135</v>
      </c>
      <c r="AD29" s="63">
        <v>150</v>
      </c>
      <c r="AE29" s="69">
        <f t="shared" si="9"/>
        <v>0.68181818181818177</v>
      </c>
      <c r="AF29" s="67">
        <v>2.8E-3</v>
      </c>
      <c r="AG29" s="64">
        <v>1.5</v>
      </c>
      <c r="AH29" s="21">
        <f t="shared" si="10"/>
        <v>23.3</v>
      </c>
      <c r="AI29" s="65">
        <f t="shared" si="11"/>
        <v>2.0219008264462806E-2</v>
      </c>
      <c r="AJ29" s="65">
        <f t="shared" si="14"/>
        <v>0.27199380165289255</v>
      </c>
    </row>
    <row r="30" spans="2:36" ht="13.5" customHeight="1" x14ac:dyDescent="0.2">
      <c r="T30" s="63" t="s">
        <v>136</v>
      </c>
      <c r="U30" s="63">
        <v>60</v>
      </c>
      <c r="V30" s="69">
        <f t="shared" si="6"/>
        <v>0.27272727272727271</v>
      </c>
      <c r="W30" s="67">
        <v>5.0000000000000001E-3</v>
      </c>
      <c r="X30" s="64">
        <v>2.5</v>
      </c>
      <c r="Y30" s="21">
        <f t="shared" si="7"/>
        <v>14.3</v>
      </c>
      <c r="Z30" s="65">
        <f t="shared" si="8"/>
        <v>8.8636363636363635E-3</v>
      </c>
      <c r="AA30" s="65">
        <f t="shared" si="13"/>
        <v>0.89995454545454545</v>
      </c>
      <c r="AC30" s="63" t="s">
        <v>137</v>
      </c>
      <c r="AD30" s="63">
        <v>300</v>
      </c>
      <c r="AE30" s="69">
        <f t="shared" si="9"/>
        <v>1.3636363636363635</v>
      </c>
      <c r="AF30" s="67">
        <v>3.0000000000000001E-3</v>
      </c>
      <c r="AG30" s="64">
        <v>1.5</v>
      </c>
      <c r="AH30" s="21">
        <f t="shared" si="10"/>
        <v>23.3</v>
      </c>
      <c r="AI30" s="65">
        <f t="shared" si="11"/>
        <v>4.3326446280991734E-2</v>
      </c>
      <c r="AJ30" s="65">
        <f t="shared" si="14"/>
        <v>0.3153202479338843</v>
      </c>
    </row>
    <row r="31" spans="2:36" ht="13.5" customHeight="1" x14ac:dyDescent="0.2">
      <c r="K31" s="461" t="s">
        <v>138</v>
      </c>
      <c r="L31" s="397"/>
      <c r="M31" s="397"/>
      <c r="N31" s="397"/>
      <c r="O31" s="397"/>
      <c r="P31" s="397"/>
      <c r="Q31" s="397"/>
      <c r="R31" s="398"/>
      <c r="AC31" s="63" t="s">
        <v>139</v>
      </c>
      <c r="AD31" s="63">
        <v>150</v>
      </c>
      <c r="AE31" s="69">
        <f t="shared" si="9"/>
        <v>0.68181818181818177</v>
      </c>
      <c r="AF31" s="67">
        <v>2.8E-3</v>
      </c>
      <c r="AG31" s="64">
        <v>1.5</v>
      </c>
      <c r="AH31" s="21">
        <f t="shared" si="10"/>
        <v>23.3</v>
      </c>
      <c r="AI31" s="65">
        <f t="shared" si="11"/>
        <v>2.0219008264462806E-2</v>
      </c>
      <c r="AJ31" s="65">
        <f t="shared" si="14"/>
        <v>0.33553925619834712</v>
      </c>
    </row>
    <row r="32" spans="2:36" ht="12.75" customHeight="1" x14ac:dyDescent="0.2">
      <c r="K32" s="462" t="s">
        <v>95</v>
      </c>
      <c r="L32" s="459" t="s">
        <v>96</v>
      </c>
      <c r="M32" s="459" t="s">
        <v>97</v>
      </c>
      <c r="N32" s="459" t="s">
        <v>98</v>
      </c>
      <c r="O32" s="459" t="s">
        <v>99</v>
      </c>
      <c r="P32" s="459" t="s">
        <v>140</v>
      </c>
      <c r="Q32" s="459" t="s">
        <v>141</v>
      </c>
      <c r="R32" s="460" t="s">
        <v>142</v>
      </c>
    </row>
    <row r="33" spans="11:18" ht="26.25" customHeight="1" x14ac:dyDescent="0.2">
      <c r="K33" s="430"/>
      <c r="L33" s="433"/>
      <c r="M33" s="433"/>
      <c r="N33" s="433"/>
      <c r="O33" s="433"/>
      <c r="P33" s="433"/>
      <c r="Q33" s="433"/>
      <c r="R33" s="457"/>
    </row>
    <row r="34" spans="11:18" ht="12.75" customHeight="1" x14ac:dyDescent="0.2">
      <c r="K34" s="70" t="s">
        <v>106</v>
      </c>
      <c r="L34" s="70">
        <v>4000</v>
      </c>
      <c r="M34" s="71">
        <f t="shared" ref="M34:M41" si="15">L34/220</f>
        <v>18.181818181818183</v>
      </c>
      <c r="N34" s="72">
        <v>1.2E-2</v>
      </c>
      <c r="O34" s="73">
        <v>4</v>
      </c>
      <c r="P34" s="313">
        <f t="shared" ref="P34:P41" si="16">IF(O34=1.5,23.3,IF(O34=2.5,14.3,IF(O34=4,8.96,IF(O34=6,6.03,IF(O34=10,3.63,IF(O34=16,2.32,IF(O34=25,1.51,IF(O34=35,1.12,IF(O34=50,0.85,IF(O34=70,0.62,IF(O34=95,0.48,"VER")))))))))))</f>
        <v>8.9600000000000009</v>
      </c>
      <c r="Q34" s="74">
        <f t="shared" ref="Q34:Q41" si="17">M34*P34*N34*100/220</f>
        <v>0.88859504132231426</v>
      </c>
      <c r="R34" s="74">
        <f>Q34</f>
        <v>0.88859504132231426</v>
      </c>
    </row>
    <row r="35" spans="11:18" ht="12.75" customHeight="1" x14ac:dyDescent="0.2">
      <c r="K35" s="75" t="s">
        <v>107</v>
      </c>
      <c r="L35" s="75">
        <v>1500</v>
      </c>
      <c r="M35" s="76">
        <f t="shared" si="15"/>
        <v>6.8181818181818183</v>
      </c>
      <c r="N35" s="77">
        <v>6.0000000000000001E-3</v>
      </c>
      <c r="O35" s="78">
        <v>4</v>
      </c>
      <c r="P35" s="313">
        <f t="shared" si="16"/>
        <v>8.9600000000000009</v>
      </c>
      <c r="Q35" s="79">
        <f t="shared" si="17"/>
        <v>0.16661157024793391</v>
      </c>
      <c r="R35" s="79">
        <f t="shared" ref="R35:R41" si="18">R34+Q35</f>
        <v>1.0552066115702481</v>
      </c>
    </row>
    <row r="36" spans="11:18" ht="12.75" customHeight="1" x14ac:dyDescent="0.2">
      <c r="K36" s="75" t="s">
        <v>114</v>
      </c>
      <c r="L36" s="75">
        <v>1000</v>
      </c>
      <c r="M36" s="76">
        <f t="shared" si="15"/>
        <v>4.5454545454545459</v>
      </c>
      <c r="N36" s="77">
        <v>6.0000000000000001E-3</v>
      </c>
      <c r="O36" s="78">
        <v>4</v>
      </c>
      <c r="P36" s="313">
        <f t="shared" si="16"/>
        <v>8.9600000000000009</v>
      </c>
      <c r="Q36" s="79">
        <f t="shared" si="17"/>
        <v>0.11107438016528928</v>
      </c>
      <c r="R36" s="79">
        <f t="shared" si="18"/>
        <v>1.1662809917355375</v>
      </c>
    </row>
    <row r="37" spans="11:18" ht="12.75" customHeight="1" x14ac:dyDescent="0.2">
      <c r="K37" s="75" t="s">
        <v>128</v>
      </c>
      <c r="L37" s="75">
        <v>500</v>
      </c>
      <c r="M37" s="76">
        <f t="shared" si="15"/>
        <v>2.2727272727272729</v>
      </c>
      <c r="N37" s="77">
        <v>6.0000000000000001E-3</v>
      </c>
      <c r="O37" s="78">
        <v>4</v>
      </c>
      <c r="P37" s="313">
        <f t="shared" si="16"/>
        <v>8.9600000000000009</v>
      </c>
      <c r="Q37" s="79">
        <f t="shared" si="17"/>
        <v>5.5537190082644641E-2</v>
      </c>
      <c r="R37" s="79">
        <f t="shared" si="18"/>
        <v>1.2218181818181821</v>
      </c>
    </row>
    <row r="38" spans="11:18" ht="12.75" customHeight="1" x14ac:dyDescent="0.2">
      <c r="K38" s="75" t="s">
        <v>130</v>
      </c>
      <c r="L38" s="75">
        <v>2000</v>
      </c>
      <c r="M38" s="76">
        <f t="shared" si="15"/>
        <v>9.0909090909090917</v>
      </c>
      <c r="N38" s="77">
        <v>7.4999999999999997E-3</v>
      </c>
      <c r="O38" s="78">
        <v>4</v>
      </c>
      <c r="P38" s="313">
        <f t="shared" si="16"/>
        <v>8.9600000000000009</v>
      </c>
      <c r="Q38" s="79">
        <f t="shared" si="17"/>
        <v>0.27768595041322314</v>
      </c>
      <c r="R38" s="79">
        <f t="shared" si="18"/>
        <v>1.4995041322314053</v>
      </c>
    </row>
    <row r="39" spans="11:18" ht="12.75" customHeight="1" x14ac:dyDescent="0.2">
      <c r="K39" s="75" t="s">
        <v>133</v>
      </c>
      <c r="L39" s="75">
        <v>500</v>
      </c>
      <c r="M39" s="76">
        <f t="shared" si="15"/>
        <v>2.2727272727272729</v>
      </c>
      <c r="N39" s="77">
        <v>6.0000000000000001E-3</v>
      </c>
      <c r="O39" s="78">
        <v>4</v>
      </c>
      <c r="P39" s="313">
        <f t="shared" si="16"/>
        <v>8.9600000000000009</v>
      </c>
      <c r="Q39" s="79">
        <f t="shared" si="17"/>
        <v>5.5537190082644641E-2</v>
      </c>
      <c r="R39" s="79">
        <f t="shared" si="18"/>
        <v>1.55504132231405</v>
      </c>
    </row>
    <row r="40" spans="11:18" ht="12.75" customHeight="1" x14ac:dyDescent="0.2">
      <c r="K40" s="75" t="s">
        <v>134</v>
      </c>
      <c r="L40" s="75">
        <v>1000</v>
      </c>
      <c r="M40" s="76">
        <f t="shared" si="15"/>
        <v>4.5454545454545459</v>
      </c>
      <c r="N40" s="77">
        <v>6.0000000000000001E-3</v>
      </c>
      <c r="O40" s="78">
        <v>4</v>
      </c>
      <c r="P40" s="313">
        <f t="shared" si="16"/>
        <v>8.9600000000000009</v>
      </c>
      <c r="Q40" s="79">
        <f t="shared" si="17"/>
        <v>0.11107438016528928</v>
      </c>
      <c r="R40" s="79">
        <f t="shared" si="18"/>
        <v>1.6661157024793394</v>
      </c>
    </row>
    <row r="41" spans="11:18" ht="12.75" customHeight="1" x14ac:dyDescent="0.2">
      <c r="K41" s="75" t="s">
        <v>135</v>
      </c>
      <c r="L41" s="75">
        <v>500</v>
      </c>
      <c r="M41" s="76">
        <f t="shared" si="15"/>
        <v>2.2727272727272729</v>
      </c>
      <c r="N41" s="77">
        <v>6.0000000000000001E-3</v>
      </c>
      <c r="O41" s="78">
        <v>4</v>
      </c>
      <c r="P41" s="313">
        <f t="shared" si="16"/>
        <v>8.9600000000000009</v>
      </c>
      <c r="Q41" s="79">
        <f t="shared" si="17"/>
        <v>5.5537190082644641E-2</v>
      </c>
      <c r="R41" s="79">
        <f t="shared" si="18"/>
        <v>1.7216528925619841</v>
      </c>
    </row>
    <row r="42" spans="11:18" ht="12.75" customHeight="1" x14ac:dyDescent="0.2"/>
    <row r="43" spans="11:18" ht="12.75" customHeight="1" x14ac:dyDescent="0.2"/>
    <row r="44" spans="11:18" ht="12.75" customHeight="1" x14ac:dyDescent="0.2"/>
    <row r="45" spans="11:18" ht="12.75" customHeight="1" x14ac:dyDescent="0.2"/>
    <row r="46" spans="11:18" ht="12.75" customHeight="1" x14ac:dyDescent="0.2"/>
    <row r="47" spans="11:18" ht="12.75" customHeight="1" x14ac:dyDescent="0.2"/>
    <row r="48" spans="11:1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</sheetData>
  <mergeCells count="72">
    <mergeCell ref="AI20:AI21"/>
    <mergeCell ref="AJ20:AJ21"/>
    <mergeCell ref="AC19:AJ19"/>
    <mergeCell ref="AC20:AC21"/>
    <mergeCell ref="AD20:AD21"/>
    <mergeCell ref="AE20:AE21"/>
    <mergeCell ref="AF20:AF21"/>
    <mergeCell ref="AG20:AG21"/>
    <mergeCell ref="AH20:AH21"/>
    <mergeCell ref="M32:M33"/>
    <mergeCell ref="N32:N33"/>
    <mergeCell ref="O32:O33"/>
    <mergeCell ref="P32:P33"/>
    <mergeCell ref="T19:AA19"/>
    <mergeCell ref="T20:T21"/>
    <mergeCell ref="U20:U21"/>
    <mergeCell ref="V20:V21"/>
    <mergeCell ref="W20:W21"/>
    <mergeCell ref="X20:X21"/>
    <mergeCell ref="Y20:Y21"/>
    <mergeCell ref="Q32:Q33"/>
    <mergeCell ref="R32:R33"/>
    <mergeCell ref="K31:R31"/>
    <mergeCell ref="K32:K33"/>
    <mergeCell ref="L32:L33"/>
    <mergeCell ref="Q4:Q5"/>
    <mergeCell ref="H4:H5"/>
    <mergeCell ref="I4:I5"/>
    <mergeCell ref="B3:I3"/>
    <mergeCell ref="C4:C5"/>
    <mergeCell ref="D4:D5"/>
    <mergeCell ref="E4:E5"/>
    <mergeCell ref="F4:F5"/>
    <mergeCell ref="B4:B5"/>
    <mergeCell ref="G4:G5"/>
    <mergeCell ref="N20:N21"/>
    <mergeCell ref="O20:O21"/>
    <mergeCell ref="P20:P21"/>
    <mergeCell ref="R4:R5"/>
    <mergeCell ref="K3:R3"/>
    <mergeCell ref="K4:K5"/>
    <mergeCell ref="L4:L5"/>
    <mergeCell ref="O11:O12"/>
    <mergeCell ref="P11:P12"/>
    <mergeCell ref="Q11:Q12"/>
    <mergeCell ref="K10:R10"/>
    <mergeCell ref="R11:R12"/>
    <mergeCell ref="M4:M5"/>
    <mergeCell ref="N4:N5"/>
    <mergeCell ref="O4:O5"/>
    <mergeCell ref="P4:P5"/>
    <mergeCell ref="Z20:Z21"/>
    <mergeCell ref="AA20:AA21"/>
    <mergeCell ref="H11:H12"/>
    <mergeCell ref="B11:B12"/>
    <mergeCell ref="C11:C12"/>
    <mergeCell ref="D11:D12"/>
    <mergeCell ref="E11:E12"/>
    <mergeCell ref="F11:F12"/>
    <mergeCell ref="G11:G12"/>
    <mergeCell ref="N11:N12"/>
    <mergeCell ref="R20:R21"/>
    <mergeCell ref="K19:R19"/>
    <mergeCell ref="Q20:Q21"/>
    <mergeCell ref="K20:K21"/>
    <mergeCell ref="L20:L21"/>
    <mergeCell ref="M20:M21"/>
    <mergeCell ref="B10:I10"/>
    <mergeCell ref="I11:I12"/>
    <mergeCell ref="K11:K12"/>
    <mergeCell ref="L11:L12"/>
    <mergeCell ref="M11:M1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L127"/>
  <sheetViews>
    <sheetView topLeftCell="A37" workbookViewId="0">
      <selection activeCell="G34" sqref="G34"/>
    </sheetView>
  </sheetViews>
  <sheetFormatPr defaultColWidth="12.5703125" defaultRowHeight="15" customHeight="1" x14ac:dyDescent="0.2"/>
  <cols>
    <col min="1" max="3" width="8" customWidth="1"/>
    <col min="4" max="6" width="5.5703125" customWidth="1"/>
    <col min="7" max="7" width="10.5703125" customWidth="1"/>
    <col min="8" max="8" width="10.42578125" customWidth="1"/>
    <col min="9" max="9" width="8" customWidth="1"/>
    <col min="10" max="10" width="11.140625" customWidth="1"/>
    <col min="11" max="11" width="8" customWidth="1"/>
    <col min="12" max="12" width="2.7109375" customWidth="1"/>
    <col min="13" max="13" width="10.7109375" customWidth="1"/>
    <col min="14" max="14" width="6.28515625" customWidth="1"/>
    <col min="15" max="15" width="10.85546875" customWidth="1"/>
    <col min="16" max="16" width="11" customWidth="1"/>
    <col min="17" max="19" width="8" customWidth="1"/>
    <col min="20" max="20" width="5.7109375" customWidth="1"/>
    <col min="21" max="21" width="5.140625" customWidth="1"/>
    <col min="22" max="22" width="5.5703125" customWidth="1"/>
    <col min="23" max="23" width="5.42578125" customWidth="1"/>
    <col min="24" max="24" width="6.140625" customWidth="1"/>
    <col min="25" max="25" width="5.7109375" customWidth="1"/>
    <col min="26" max="26" width="9.85546875" customWidth="1"/>
    <col min="27" max="27" width="11" customWidth="1"/>
    <col min="28" max="28" width="8" customWidth="1"/>
    <col min="29" max="29" width="10.42578125" customWidth="1"/>
    <col min="30" max="31" width="8" customWidth="1"/>
    <col min="32" max="32" width="7.140625" customWidth="1"/>
    <col min="33" max="33" width="10.85546875" customWidth="1"/>
    <col min="34" max="34" width="3.42578125" customWidth="1"/>
    <col min="35" max="35" width="7.140625" customWidth="1"/>
    <col min="36" max="36" width="10.28515625" customWidth="1"/>
    <col min="37" max="37" width="11.85546875" customWidth="1"/>
    <col min="38" max="38" width="7.140625" customWidth="1"/>
  </cols>
  <sheetData>
    <row r="1" spans="2:38" ht="12.75" customHeight="1" x14ac:dyDescent="0.2"/>
    <row r="2" spans="2:38" ht="12.75" customHeight="1" x14ac:dyDescent="0.2"/>
    <row r="3" spans="2:38" s="262" customFormat="1" ht="25.5" customHeight="1" x14ac:dyDescent="0.2">
      <c r="C3" s="434" t="s">
        <v>143</v>
      </c>
      <c r="D3" s="448" t="s">
        <v>144</v>
      </c>
      <c r="E3" s="384"/>
      <c r="F3" s="385"/>
      <c r="G3" s="434" t="s">
        <v>145</v>
      </c>
      <c r="H3" s="434" t="s">
        <v>146</v>
      </c>
      <c r="I3" s="434" t="s">
        <v>147</v>
      </c>
      <c r="J3" s="434" t="s">
        <v>148</v>
      </c>
      <c r="K3" s="464" t="s">
        <v>149</v>
      </c>
      <c r="L3" s="409"/>
      <c r="M3" s="434" t="s">
        <v>150</v>
      </c>
      <c r="N3" s="434" t="s">
        <v>151</v>
      </c>
      <c r="O3" s="434" t="s">
        <v>152</v>
      </c>
      <c r="P3" s="463" t="s">
        <v>153</v>
      </c>
      <c r="Q3" s="385"/>
      <c r="S3" s="434" t="s">
        <v>143</v>
      </c>
      <c r="T3" s="448" t="s">
        <v>144</v>
      </c>
      <c r="U3" s="384"/>
      <c r="V3" s="384"/>
      <c r="W3" s="384"/>
      <c r="X3" s="384"/>
      <c r="Y3" s="385"/>
      <c r="Z3" s="434" t="s">
        <v>145</v>
      </c>
      <c r="AA3" s="434" t="s">
        <v>146</v>
      </c>
      <c r="AB3" s="434" t="s">
        <v>147</v>
      </c>
      <c r="AC3" s="434" t="s">
        <v>154</v>
      </c>
      <c r="AD3" s="434" t="s">
        <v>155</v>
      </c>
      <c r="AE3" s="434" t="s">
        <v>156</v>
      </c>
      <c r="AF3" s="434" t="s">
        <v>151</v>
      </c>
      <c r="AG3" s="434" t="s">
        <v>152</v>
      </c>
      <c r="AH3" s="463" t="s">
        <v>157</v>
      </c>
      <c r="AI3" s="385"/>
      <c r="AJ3" s="434" t="s">
        <v>158</v>
      </c>
      <c r="AK3" s="463" t="s">
        <v>159</v>
      </c>
      <c r="AL3" s="385"/>
    </row>
    <row r="4" spans="2:38" s="262" customFormat="1" ht="18" customHeight="1" x14ac:dyDescent="0.2">
      <c r="C4" s="388"/>
      <c r="D4" s="80" t="s">
        <v>604</v>
      </c>
      <c r="E4" s="80" t="s">
        <v>603</v>
      </c>
      <c r="F4" s="80" t="s">
        <v>605</v>
      </c>
      <c r="G4" s="388"/>
      <c r="H4" s="388"/>
      <c r="I4" s="388"/>
      <c r="J4" s="388"/>
      <c r="K4" s="465"/>
      <c r="L4" s="391"/>
      <c r="M4" s="388"/>
      <c r="N4" s="388"/>
      <c r="O4" s="388"/>
      <c r="P4" s="2" t="s">
        <v>163</v>
      </c>
      <c r="Q4" s="81" t="s">
        <v>164</v>
      </c>
      <c r="S4" s="388"/>
      <c r="T4" s="80" t="s">
        <v>165</v>
      </c>
      <c r="U4" s="80" t="s">
        <v>166</v>
      </c>
      <c r="V4" s="80" t="s">
        <v>165</v>
      </c>
      <c r="W4" s="80" t="s">
        <v>166</v>
      </c>
      <c r="X4" s="80" t="s">
        <v>165</v>
      </c>
      <c r="Y4" s="80" t="s">
        <v>166</v>
      </c>
      <c r="Z4" s="388"/>
      <c r="AA4" s="388"/>
      <c r="AB4" s="388"/>
      <c r="AC4" s="388"/>
      <c r="AD4" s="388"/>
      <c r="AE4" s="388"/>
      <c r="AF4" s="388"/>
      <c r="AG4" s="388"/>
      <c r="AH4" s="2"/>
      <c r="AI4" s="81" t="s">
        <v>169</v>
      </c>
      <c r="AJ4" s="388"/>
      <c r="AK4" s="81" t="s">
        <v>170</v>
      </c>
      <c r="AL4" s="81" t="s">
        <v>169</v>
      </c>
    </row>
    <row r="5" spans="2:38" s="262" customFormat="1" ht="12.75" customHeight="1" x14ac:dyDescent="0.2">
      <c r="B5" s="335" t="s">
        <v>602</v>
      </c>
      <c r="C5" s="82">
        <v>1</v>
      </c>
      <c r="D5" s="82">
        <v>0</v>
      </c>
      <c r="E5" s="82">
        <v>4</v>
      </c>
      <c r="F5" s="82">
        <v>3</v>
      </c>
      <c r="G5" s="44">
        <f t="shared" ref="G5:G27" si="0">D5*7.1+E5*10.7+F5*13.8</f>
        <v>84.2</v>
      </c>
      <c r="H5" s="44">
        <f t="shared" ref="H5:H29" si="1">SQRT(4*G5/(0.4*PI()))</f>
        <v>16.371222439596615</v>
      </c>
      <c r="I5" s="82">
        <v>33</v>
      </c>
      <c r="J5" s="44">
        <f t="shared" ref="J5:J29" si="2">SQRT(4*G5/(I5/100*PI()))</f>
        <v>18.02412269681945</v>
      </c>
      <c r="K5" s="82">
        <v>25</v>
      </c>
      <c r="L5" s="82"/>
      <c r="M5" s="83">
        <v>7.6</v>
      </c>
      <c r="N5" s="82">
        <v>1</v>
      </c>
      <c r="O5" s="65">
        <f t="shared" ref="O5:O29" si="3">IF(L5="x",15-N5*3+6,15-N5*3)</f>
        <v>12</v>
      </c>
      <c r="P5" s="84" t="str">
        <f t="shared" ref="P5:P29" si="4">IF(M5&lt;=O5,"ok!","aumentar 'D'")</f>
        <v>ok!</v>
      </c>
      <c r="Q5" s="85">
        <f t="shared" ref="Q5:Q29" si="5">IF(P5="ok!",K5,"")</f>
        <v>25</v>
      </c>
      <c r="S5" s="86">
        <v>1</v>
      </c>
      <c r="T5" s="86">
        <v>5</v>
      </c>
      <c r="U5" s="86">
        <v>7.1</v>
      </c>
      <c r="V5" s="86">
        <v>2</v>
      </c>
      <c r="W5" s="86">
        <v>10.7</v>
      </c>
      <c r="X5" s="86"/>
      <c r="Y5" s="86"/>
      <c r="Z5" s="13">
        <f>T5*U5+V5*W5+X5*Y5</f>
        <v>56.9</v>
      </c>
      <c r="AA5" s="87">
        <f>SQRT(4*Z5/(0.4*PI()))</f>
        <v>13.458020851469092</v>
      </c>
      <c r="AB5" s="86">
        <v>33</v>
      </c>
      <c r="AC5" s="87">
        <f>SQRT(4*Z5/(AB5/100*PI()))</f>
        <v>14.816793307782481</v>
      </c>
      <c r="AD5" s="86">
        <v>20</v>
      </c>
      <c r="AE5" s="88">
        <v>9</v>
      </c>
      <c r="AF5" s="86">
        <v>2</v>
      </c>
      <c r="AG5" s="89">
        <f>15-AF5*3</f>
        <v>9</v>
      </c>
      <c r="AH5" s="88" t="s">
        <v>171</v>
      </c>
      <c r="AI5" s="89">
        <f>IF(AH5="x",IF(AD5=20,25,IF(AD5=25,32,IF(AD5=32,40,IF(AD5=40,50,IF(AD5=50,60,""))))),"")</f>
        <v>25</v>
      </c>
      <c r="AJ5" s="89"/>
      <c r="AK5" s="87" t="str">
        <f>IF(AE5&lt;=AG5,"ok!","aumentar 'D'")</f>
        <v>ok!</v>
      </c>
      <c r="AL5" s="90">
        <f>IF(AK5="ok!",AD5,"")</f>
        <v>20</v>
      </c>
    </row>
    <row r="6" spans="2:38" s="262" customFormat="1" ht="12.75" customHeight="1" x14ac:dyDescent="0.2">
      <c r="B6" s="336"/>
      <c r="C6" s="82">
        <v>2</v>
      </c>
      <c r="D6" s="82">
        <v>2</v>
      </c>
      <c r="E6" s="82">
        <v>5</v>
      </c>
      <c r="F6" s="82">
        <v>0</v>
      </c>
      <c r="G6" s="44">
        <f t="shared" si="0"/>
        <v>67.7</v>
      </c>
      <c r="H6" s="44">
        <f t="shared" si="1"/>
        <v>14.679774962390475</v>
      </c>
      <c r="I6" s="82">
        <v>33</v>
      </c>
      <c r="J6" s="44">
        <f t="shared" si="2"/>
        <v>16.161900313801095</v>
      </c>
      <c r="K6" s="82">
        <v>20</v>
      </c>
      <c r="L6" s="82"/>
      <c r="M6" s="83">
        <v>6.2</v>
      </c>
      <c r="N6" s="82">
        <v>1</v>
      </c>
      <c r="O6" s="65">
        <f t="shared" si="3"/>
        <v>12</v>
      </c>
      <c r="P6" s="84" t="str">
        <f t="shared" si="4"/>
        <v>ok!</v>
      </c>
      <c r="Q6" s="85">
        <f t="shared" si="5"/>
        <v>20</v>
      </c>
    </row>
    <row r="7" spans="2:38" s="262" customFormat="1" ht="12.75" customHeight="1" x14ac:dyDescent="0.2">
      <c r="B7" s="336"/>
      <c r="C7" s="82">
        <v>3</v>
      </c>
      <c r="D7" s="82">
        <v>2</v>
      </c>
      <c r="E7" s="82">
        <v>4</v>
      </c>
      <c r="F7" s="82">
        <v>3</v>
      </c>
      <c r="G7" s="44">
        <f t="shared" si="0"/>
        <v>98.4</v>
      </c>
      <c r="H7" s="44">
        <f t="shared" si="1"/>
        <v>17.697935698969246</v>
      </c>
      <c r="I7" s="82">
        <v>33</v>
      </c>
      <c r="J7" s="44">
        <f t="shared" si="2"/>
        <v>19.484785922101409</v>
      </c>
      <c r="K7" s="82">
        <v>25</v>
      </c>
      <c r="L7" s="82"/>
      <c r="M7" s="83">
        <v>3.6</v>
      </c>
      <c r="N7" s="82">
        <v>1</v>
      </c>
      <c r="O7" s="65">
        <f t="shared" si="3"/>
        <v>12</v>
      </c>
      <c r="P7" s="84" t="str">
        <f t="shared" si="4"/>
        <v>ok!</v>
      </c>
      <c r="Q7" s="85">
        <f t="shared" si="5"/>
        <v>25</v>
      </c>
    </row>
    <row r="8" spans="2:38" s="262" customFormat="1" ht="12.75" customHeight="1" x14ac:dyDescent="0.2">
      <c r="B8" s="336"/>
      <c r="C8" s="82">
        <v>4</v>
      </c>
      <c r="D8" s="82">
        <v>0</v>
      </c>
      <c r="E8" s="82">
        <v>4</v>
      </c>
      <c r="F8" s="82">
        <v>3</v>
      </c>
      <c r="G8" s="44">
        <f t="shared" si="0"/>
        <v>84.2</v>
      </c>
      <c r="H8" s="44">
        <f t="shared" si="1"/>
        <v>16.371222439596615</v>
      </c>
      <c r="I8" s="82">
        <v>33</v>
      </c>
      <c r="J8" s="44">
        <f t="shared" si="2"/>
        <v>18.02412269681945</v>
      </c>
      <c r="K8" s="82">
        <v>25</v>
      </c>
      <c r="L8" s="82"/>
      <c r="M8" s="83">
        <v>4.2</v>
      </c>
      <c r="N8" s="82">
        <v>1</v>
      </c>
      <c r="O8" s="65">
        <f t="shared" si="3"/>
        <v>12</v>
      </c>
      <c r="P8" s="84" t="str">
        <f t="shared" si="4"/>
        <v>ok!</v>
      </c>
      <c r="Q8" s="85">
        <f t="shared" si="5"/>
        <v>25</v>
      </c>
    </row>
    <row r="9" spans="2:38" s="262" customFormat="1" ht="12.75" customHeight="1" x14ac:dyDescent="0.2">
      <c r="B9" s="336"/>
      <c r="C9" s="82">
        <v>5</v>
      </c>
      <c r="D9" s="82">
        <v>2</v>
      </c>
      <c r="E9" s="82">
        <v>2</v>
      </c>
      <c r="F9" s="82">
        <v>7</v>
      </c>
      <c r="G9" s="44">
        <f t="shared" si="0"/>
        <v>132.19999999999999</v>
      </c>
      <c r="H9" s="44">
        <f t="shared" si="1"/>
        <v>20.513548438409462</v>
      </c>
      <c r="I9" s="82">
        <v>33</v>
      </c>
      <c r="J9" s="44">
        <f t="shared" si="2"/>
        <v>22.584673524853255</v>
      </c>
      <c r="K9" s="82">
        <v>32</v>
      </c>
      <c r="L9" s="82"/>
      <c r="M9" s="83">
        <v>3.3</v>
      </c>
      <c r="N9" s="82">
        <v>1</v>
      </c>
      <c r="O9" s="65">
        <f t="shared" si="3"/>
        <v>12</v>
      </c>
      <c r="P9" s="84" t="str">
        <f t="shared" si="4"/>
        <v>ok!</v>
      </c>
      <c r="Q9" s="85">
        <f t="shared" si="5"/>
        <v>32</v>
      </c>
    </row>
    <row r="10" spans="2:38" s="262" customFormat="1" ht="12.75" customHeight="1" x14ac:dyDescent="0.2">
      <c r="B10" s="336"/>
      <c r="C10" s="82">
        <v>6</v>
      </c>
      <c r="D10" s="82">
        <v>7</v>
      </c>
      <c r="E10" s="82">
        <v>5</v>
      </c>
      <c r="F10" s="82">
        <v>0</v>
      </c>
      <c r="G10" s="44">
        <f t="shared" si="0"/>
        <v>103.19999999999999</v>
      </c>
      <c r="H10" s="44">
        <f t="shared" si="1"/>
        <v>18.124453165314311</v>
      </c>
      <c r="I10" s="82">
        <v>33</v>
      </c>
      <c r="J10" s="44">
        <f t="shared" si="2"/>
        <v>19.954366197740828</v>
      </c>
      <c r="K10" s="82">
        <v>25</v>
      </c>
      <c r="L10" s="82"/>
      <c r="M10" s="83">
        <v>3.1</v>
      </c>
      <c r="N10" s="82">
        <v>0</v>
      </c>
      <c r="O10" s="65">
        <f t="shared" si="3"/>
        <v>15</v>
      </c>
      <c r="P10" s="84" t="str">
        <f t="shared" si="4"/>
        <v>ok!</v>
      </c>
      <c r="Q10" s="85">
        <f t="shared" si="5"/>
        <v>25</v>
      </c>
    </row>
    <row r="11" spans="2:38" s="262" customFormat="1" ht="12.75" customHeight="1" x14ac:dyDescent="0.2">
      <c r="B11" s="336"/>
      <c r="C11" s="82">
        <v>7</v>
      </c>
      <c r="D11" s="82">
        <v>5</v>
      </c>
      <c r="E11" s="82">
        <v>3</v>
      </c>
      <c r="F11" s="82">
        <v>0</v>
      </c>
      <c r="G11" s="44">
        <f t="shared" si="0"/>
        <v>67.599999999999994</v>
      </c>
      <c r="H11" s="44">
        <f t="shared" si="1"/>
        <v>14.668929172241663</v>
      </c>
      <c r="I11" s="82">
        <v>33</v>
      </c>
      <c r="J11" s="44">
        <f t="shared" si="2"/>
        <v>16.149959491843088</v>
      </c>
      <c r="K11" s="82">
        <v>20</v>
      </c>
      <c r="L11" s="82"/>
      <c r="M11" s="83">
        <v>6.2</v>
      </c>
      <c r="N11" s="82">
        <v>1</v>
      </c>
      <c r="O11" s="65">
        <f t="shared" si="3"/>
        <v>12</v>
      </c>
      <c r="P11" s="84" t="str">
        <f t="shared" si="4"/>
        <v>ok!</v>
      </c>
      <c r="Q11" s="85">
        <f t="shared" si="5"/>
        <v>20</v>
      </c>
    </row>
    <row r="12" spans="2:38" s="262" customFormat="1" ht="12.75" customHeight="1" x14ac:dyDescent="0.2">
      <c r="B12" s="336"/>
      <c r="C12" s="82">
        <v>8</v>
      </c>
      <c r="D12" s="82">
        <v>2</v>
      </c>
      <c r="E12" s="82">
        <v>5</v>
      </c>
      <c r="F12" s="82">
        <v>0</v>
      </c>
      <c r="G12" s="44">
        <f t="shared" si="0"/>
        <v>67.7</v>
      </c>
      <c r="H12" s="44">
        <f t="shared" si="1"/>
        <v>14.679774962390475</v>
      </c>
      <c r="I12" s="82">
        <v>33</v>
      </c>
      <c r="J12" s="44">
        <f t="shared" si="2"/>
        <v>16.161900313801095</v>
      </c>
      <c r="K12" s="82">
        <v>20</v>
      </c>
      <c r="L12" s="82"/>
      <c r="M12" s="83">
        <v>4.4000000000000004</v>
      </c>
      <c r="N12" s="82">
        <v>0</v>
      </c>
      <c r="O12" s="65">
        <f t="shared" si="3"/>
        <v>15</v>
      </c>
      <c r="P12" s="84" t="str">
        <f t="shared" si="4"/>
        <v>ok!</v>
      </c>
      <c r="Q12" s="85">
        <f t="shared" si="5"/>
        <v>20</v>
      </c>
    </row>
    <row r="13" spans="2:38" s="262" customFormat="1" ht="12.75" customHeight="1" x14ac:dyDescent="0.2">
      <c r="B13" s="336"/>
      <c r="C13" s="82">
        <v>9</v>
      </c>
      <c r="D13" s="82">
        <v>9</v>
      </c>
      <c r="E13" s="82">
        <v>3</v>
      </c>
      <c r="F13" s="82">
        <v>0</v>
      </c>
      <c r="G13" s="44">
        <f t="shared" si="0"/>
        <v>96</v>
      </c>
      <c r="H13" s="44">
        <f t="shared" si="1"/>
        <v>17.480774889473267</v>
      </c>
      <c r="I13" s="82">
        <v>33</v>
      </c>
      <c r="J13" s="44">
        <f t="shared" si="2"/>
        <v>19.245699739640827</v>
      </c>
      <c r="K13" s="82">
        <v>25</v>
      </c>
      <c r="L13" s="82"/>
      <c r="M13" s="83">
        <v>5.6</v>
      </c>
      <c r="N13" s="82">
        <v>1</v>
      </c>
      <c r="O13" s="65">
        <f t="shared" si="3"/>
        <v>12</v>
      </c>
      <c r="P13" s="84" t="str">
        <f t="shared" si="4"/>
        <v>ok!</v>
      </c>
      <c r="Q13" s="85">
        <f t="shared" si="5"/>
        <v>25</v>
      </c>
    </row>
    <row r="14" spans="2:38" s="262" customFormat="1" ht="12.75" customHeight="1" x14ac:dyDescent="0.2">
      <c r="B14" s="336"/>
      <c r="C14" s="82">
        <v>10</v>
      </c>
      <c r="D14" s="82">
        <v>4</v>
      </c>
      <c r="E14" s="82">
        <v>5</v>
      </c>
      <c r="F14" s="82">
        <v>0</v>
      </c>
      <c r="G14" s="44">
        <f t="shared" si="0"/>
        <v>81.900000000000006</v>
      </c>
      <c r="H14" s="44">
        <f t="shared" si="1"/>
        <v>16.146076823319174</v>
      </c>
      <c r="I14" s="82">
        <v>33</v>
      </c>
      <c r="J14" s="44">
        <f t="shared" si="2"/>
        <v>17.776245531420944</v>
      </c>
      <c r="K14" s="82">
        <v>25</v>
      </c>
      <c r="L14" s="82"/>
      <c r="M14" s="83">
        <v>5.2</v>
      </c>
      <c r="N14" s="82">
        <v>1</v>
      </c>
      <c r="O14" s="65">
        <f t="shared" si="3"/>
        <v>12</v>
      </c>
      <c r="P14" s="84" t="str">
        <f t="shared" si="4"/>
        <v>ok!</v>
      </c>
      <c r="Q14" s="85">
        <f t="shared" si="5"/>
        <v>25</v>
      </c>
    </row>
    <row r="15" spans="2:38" s="262" customFormat="1" ht="12.75" customHeight="1" x14ac:dyDescent="0.2">
      <c r="B15" s="336"/>
      <c r="C15" s="82">
        <v>11</v>
      </c>
      <c r="D15" s="82">
        <v>4</v>
      </c>
      <c r="E15" s="82">
        <v>5</v>
      </c>
      <c r="F15" s="82">
        <v>0</v>
      </c>
      <c r="G15" s="44">
        <f t="shared" si="0"/>
        <v>81.900000000000006</v>
      </c>
      <c r="H15" s="44">
        <f t="shared" si="1"/>
        <v>16.146076823319174</v>
      </c>
      <c r="I15" s="82">
        <v>33</v>
      </c>
      <c r="J15" s="44">
        <f t="shared" si="2"/>
        <v>17.776245531420944</v>
      </c>
      <c r="K15" s="82">
        <v>25</v>
      </c>
      <c r="L15" s="82"/>
      <c r="M15" s="83">
        <v>5.0999999999999996</v>
      </c>
      <c r="N15" s="82">
        <v>1</v>
      </c>
      <c r="O15" s="65">
        <f t="shared" si="3"/>
        <v>12</v>
      </c>
      <c r="P15" s="84" t="str">
        <f t="shared" si="4"/>
        <v>ok!</v>
      </c>
      <c r="Q15" s="85">
        <f t="shared" si="5"/>
        <v>25</v>
      </c>
    </row>
    <row r="16" spans="2:38" s="262" customFormat="1" ht="12.75" customHeight="1" x14ac:dyDescent="0.2">
      <c r="B16" s="336"/>
      <c r="C16" s="82">
        <v>12</v>
      </c>
      <c r="D16" s="82">
        <v>2</v>
      </c>
      <c r="E16" s="82">
        <v>2</v>
      </c>
      <c r="F16" s="82">
        <v>3</v>
      </c>
      <c r="G16" s="44">
        <f t="shared" si="0"/>
        <v>77</v>
      </c>
      <c r="H16" s="44">
        <f t="shared" si="1"/>
        <v>15.655625581928012</v>
      </c>
      <c r="I16" s="82">
        <v>33</v>
      </c>
      <c r="J16" s="44">
        <f t="shared" si="2"/>
        <v>17.236276486088034</v>
      </c>
      <c r="K16" s="82">
        <v>20</v>
      </c>
      <c r="L16" s="82"/>
      <c r="M16" s="83">
        <v>4.9000000000000004</v>
      </c>
      <c r="N16" s="82">
        <v>0</v>
      </c>
      <c r="O16" s="65">
        <f t="shared" si="3"/>
        <v>15</v>
      </c>
      <c r="P16" s="84" t="str">
        <f t="shared" si="4"/>
        <v>ok!</v>
      </c>
      <c r="Q16" s="85">
        <f t="shared" si="5"/>
        <v>20</v>
      </c>
    </row>
    <row r="17" spans="2:38" s="262" customFormat="1" ht="12.75" customHeight="1" x14ac:dyDescent="0.2">
      <c r="B17" s="336"/>
      <c r="C17" s="82">
        <v>13</v>
      </c>
      <c r="D17" s="82">
        <v>3</v>
      </c>
      <c r="E17" s="82">
        <v>3</v>
      </c>
      <c r="F17" s="82">
        <v>0</v>
      </c>
      <c r="G17" s="44">
        <f t="shared" si="0"/>
        <v>53.399999999999991</v>
      </c>
      <c r="H17" s="44">
        <f t="shared" si="1"/>
        <v>13.037541149394091</v>
      </c>
      <c r="I17" s="82">
        <v>33</v>
      </c>
      <c r="J17" s="44">
        <f t="shared" si="2"/>
        <v>14.353860391826776</v>
      </c>
      <c r="K17" s="82">
        <v>20</v>
      </c>
      <c r="L17" s="82"/>
      <c r="M17" s="83">
        <v>5.4</v>
      </c>
      <c r="N17" s="82">
        <v>1</v>
      </c>
      <c r="O17" s="65">
        <f t="shared" si="3"/>
        <v>12</v>
      </c>
      <c r="P17" s="84" t="str">
        <f t="shared" si="4"/>
        <v>ok!</v>
      </c>
      <c r="Q17" s="85">
        <f t="shared" si="5"/>
        <v>20</v>
      </c>
    </row>
    <row r="18" spans="2:38" s="262" customFormat="1" ht="12.75" customHeight="1" x14ac:dyDescent="0.2">
      <c r="B18" s="336"/>
      <c r="C18" s="82">
        <v>14</v>
      </c>
      <c r="D18" s="82">
        <v>3</v>
      </c>
      <c r="E18" s="82">
        <v>3</v>
      </c>
      <c r="F18" s="82">
        <v>0</v>
      </c>
      <c r="G18" s="44">
        <f t="shared" si="0"/>
        <v>53.399999999999991</v>
      </c>
      <c r="H18" s="44">
        <f t="shared" si="1"/>
        <v>13.037541149394091</v>
      </c>
      <c r="I18" s="82">
        <v>33</v>
      </c>
      <c r="J18" s="44">
        <f t="shared" si="2"/>
        <v>14.353860391826776</v>
      </c>
      <c r="K18" s="82">
        <v>20</v>
      </c>
      <c r="L18" s="82"/>
      <c r="M18" s="83">
        <v>5.0999999999999996</v>
      </c>
      <c r="N18" s="82">
        <v>1</v>
      </c>
      <c r="O18" s="65">
        <f t="shared" si="3"/>
        <v>12</v>
      </c>
      <c r="P18" s="84" t="str">
        <f t="shared" si="4"/>
        <v>ok!</v>
      </c>
      <c r="Q18" s="85">
        <f t="shared" si="5"/>
        <v>20</v>
      </c>
    </row>
    <row r="19" spans="2:38" s="262" customFormat="1" ht="12.75" customHeight="1" x14ac:dyDescent="0.2">
      <c r="B19" s="337"/>
      <c r="C19" s="82">
        <v>15</v>
      </c>
      <c r="D19" s="82">
        <v>2</v>
      </c>
      <c r="E19" s="82">
        <v>2</v>
      </c>
      <c r="F19" s="82">
        <v>3</v>
      </c>
      <c r="G19" s="44">
        <f t="shared" si="0"/>
        <v>77</v>
      </c>
      <c r="H19" s="44">
        <f t="shared" si="1"/>
        <v>15.655625581928012</v>
      </c>
      <c r="I19" s="82">
        <v>33</v>
      </c>
      <c r="J19" s="44">
        <f t="shared" si="2"/>
        <v>17.236276486088034</v>
      </c>
      <c r="K19" s="82">
        <v>25</v>
      </c>
      <c r="L19" s="82"/>
      <c r="M19" s="83">
        <v>3.7</v>
      </c>
      <c r="N19" s="82">
        <v>0</v>
      </c>
      <c r="O19" s="65">
        <f t="shared" si="3"/>
        <v>15</v>
      </c>
      <c r="P19" s="84" t="str">
        <f t="shared" si="4"/>
        <v>ok!</v>
      </c>
      <c r="Q19" s="85">
        <f t="shared" si="5"/>
        <v>25</v>
      </c>
    </row>
    <row r="20" spans="2:38" s="262" customFormat="1" ht="12.75" customHeight="1" x14ac:dyDescent="0.2">
      <c r="B20" s="91"/>
      <c r="C20" s="82"/>
      <c r="D20" s="82"/>
      <c r="E20" s="82"/>
      <c r="F20" s="82"/>
      <c r="G20" s="44">
        <f t="shared" si="0"/>
        <v>0</v>
      </c>
      <c r="H20" s="44">
        <f t="shared" si="1"/>
        <v>0</v>
      </c>
      <c r="I20" s="82">
        <v>33</v>
      </c>
      <c r="J20" s="44">
        <f t="shared" si="2"/>
        <v>0</v>
      </c>
      <c r="K20" s="82"/>
      <c r="L20" s="82"/>
      <c r="M20" s="83"/>
      <c r="N20" s="82"/>
      <c r="O20" s="65">
        <f t="shared" si="3"/>
        <v>15</v>
      </c>
      <c r="P20" s="84" t="str">
        <f t="shared" si="4"/>
        <v>ok!</v>
      </c>
      <c r="Q20" s="85">
        <f t="shared" si="5"/>
        <v>0</v>
      </c>
    </row>
    <row r="21" spans="2:38" s="262" customFormat="1" ht="12.75" customHeight="1" x14ac:dyDescent="0.2">
      <c r="B21" s="91"/>
      <c r="C21" s="82"/>
      <c r="D21" s="82">
        <v>4</v>
      </c>
      <c r="E21" s="82">
        <v>7</v>
      </c>
      <c r="F21" s="82"/>
      <c r="G21" s="44">
        <f t="shared" si="0"/>
        <v>103.29999999999998</v>
      </c>
      <c r="H21" s="44">
        <f t="shared" si="1"/>
        <v>18.133232266417803</v>
      </c>
      <c r="I21" s="82">
        <v>33</v>
      </c>
      <c r="J21" s="44">
        <f t="shared" si="2"/>
        <v>19.964031669946152</v>
      </c>
      <c r="K21" s="82"/>
      <c r="L21" s="82"/>
      <c r="M21" s="83"/>
      <c r="N21" s="82"/>
      <c r="O21" s="65">
        <f t="shared" si="3"/>
        <v>15</v>
      </c>
      <c r="P21" s="84" t="str">
        <f t="shared" si="4"/>
        <v>ok!</v>
      </c>
      <c r="Q21" s="85">
        <f t="shared" si="5"/>
        <v>0</v>
      </c>
    </row>
    <row r="22" spans="2:38" s="262" customFormat="1" ht="12.75" customHeight="1" x14ac:dyDescent="0.2">
      <c r="B22" s="91"/>
      <c r="C22" s="82"/>
      <c r="D22" s="82">
        <v>2</v>
      </c>
      <c r="E22" s="82">
        <v>5</v>
      </c>
      <c r="F22" s="82"/>
      <c r="G22" s="44">
        <f t="shared" si="0"/>
        <v>67.7</v>
      </c>
      <c r="H22" s="44">
        <f t="shared" si="1"/>
        <v>14.679774962390475</v>
      </c>
      <c r="I22" s="82">
        <v>33</v>
      </c>
      <c r="J22" s="44">
        <f t="shared" si="2"/>
        <v>16.161900313801095</v>
      </c>
      <c r="K22" s="82"/>
      <c r="L22" s="82"/>
      <c r="M22" s="83"/>
      <c r="N22" s="82"/>
      <c r="O22" s="65">
        <f t="shared" si="3"/>
        <v>15</v>
      </c>
      <c r="P22" s="84" t="str">
        <f t="shared" si="4"/>
        <v>ok!</v>
      </c>
      <c r="Q22" s="85">
        <f t="shared" si="5"/>
        <v>0</v>
      </c>
    </row>
    <row r="23" spans="2:38" s="262" customFormat="1" ht="12.75" customHeight="1" x14ac:dyDescent="0.2">
      <c r="B23" s="91"/>
      <c r="C23" s="82"/>
      <c r="D23" s="82">
        <v>2</v>
      </c>
      <c r="E23" s="82">
        <v>4</v>
      </c>
      <c r="F23" s="82">
        <v>3</v>
      </c>
      <c r="G23" s="44">
        <f t="shared" si="0"/>
        <v>98.4</v>
      </c>
      <c r="H23" s="44">
        <f t="shared" si="1"/>
        <v>17.697935698969246</v>
      </c>
      <c r="I23" s="82">
        <v>33</v>
      </c>
      <c r="J23" s="44">
        <f t="shared" si="2"/>
        <v>19.484785922101409</v>
      </c>
      <c r="K23" s="82"/>
      <c r="L23" s="82"/>
      <c r="M23" s="83"/>
      <c r="N23" s="82"/>
      <c r="O23" s="65">
        <f t="shared" si="3"/>
        <v>15</v>
      </c>
      <c r="P23" s="84" t="str">
        <f t="shared" si="4"/>
        <v>ok!</v>
      </c>
      <c r="Q23" s="85">
        <f t="shared" si="5"/>
        <v>0</v>
      </c>
    </row>
    <row r="24" spans="2:38" s="262" customFormat="1" ht="12.75" customHeight="1" x14ac:dyDescent="0.2">
      <c r="B24" s="91"/>
      <c r="C24" s="82"/>
      <c r="D24" s="82"/>
      <c r="E24" s="82"/>
      <c r="F24" s="82">
        <v>5</v>
      </c>
      <c r="G24" s="44">
        <f t="shared" si="0"/>
        <v>69</v>
      </c>
      <c r="H24" s="44">
        <f t="shared" si="1"/>
        <v>14.820047957642227</v>
      </c>
      <c r="I24" s="82">
        <v>33</v>
      </c>
      <c r="J24" s="44">
        <f t="shared" si="2"/>
        <v>16.316335798799017</v>
      </c>
      <c r="K24" s="82"/>
      <c r="L24" s="82"/>
      <c r="M24" s="83"/>
      <c r="N24" s="82"/>
      <c r="O24" s="65">
        <f t="shared" si="3"/>
        <v>15</v>
      </c>
      <c r="P24" s="84" t="str">
        <f t="shared" si="4"/>
        <v>ok!</v>
      </c>
      <c r="Q24" s="85">
        <f t="shared" si="5"/>
        <v>0</v>
      </c>
    </row>
    <row r="25" spans="2:38" s="262" customFormat="1" ht="12.75" customHeight="1" x14ac:dyDescent="0.2">
      <c r="B25" s="91"/>
      <c r="C25" s="82"/>
      <c r="D25" s="82">
        <v>4</v>
      </c>
      <c r="E25" s="82">
        <v>4</v>
      </c>
      <c r="F25" s="82"/>
      <c r="G25" s="44">
        <f t="shared" si="0"/>
        <v>71.199999999999989</v>
      </c>
      <c r="H25" s="44">
        <f t="shared" si="1"/>
        <v>15.054455784347002</v>
      </c>
      <c r="I25" s="82">
        <v>33</v>
      </c>
      <c r="J25" s="44">
        <f t="shared" si="2"/>
        <v>16.574410322262992</v>
      </c>
      <c r="K25" s="82"/>
      <c r="L25" s="82"/>
      <c r="M25" s="83"/>
      <c r="N25" s="82"/>
      <c r="O25" s="65">
        <f t="shared" si="3"/>
        <v>15</v>
      </c>
      <c r="P25" s="84" t="str">
        <f t="shared" si="4"/>
        <v>ok!</v>
      </c>
      <c r="Q25" s="85">
        <f t="shared" si="5"/>
        <v>0</v>
      </c>
    </row>
    <row r="26" spans="2:38" s="262" customFormat="1" ht="12.75" customHeight="1" x14ac:dyDescent="0.2">
      <c r="B26" s="91"/>
      <c r="C26" s="82"/>
      <c r="D26" s="82"/>
      <c r="E26" s="82">
        <v>2</v>
      </c>
      <c r="F26" s="82">
        <v>3</v>
      </c>
      <c r="G26" s="44">
        <f t="shared" si="0"/>
        <v>62.800000000000004</v>
      </c>
      <c r="H26" s="44">
        <f t="shared" si="1"/>
        <v>14.138550439257221</v>
      </c>
      <c r="I26" s="82">
        <v>33</v>
      </c>
      <c r="J26" s="44">
        <f t="shared" si="2"/>
        <v>15.566031725033588</v>
      </c>
      <c r="K26" s="82"/>
      <c r="L26" s="82"/>
      <c r="M26" s="83"/>
      <c r="N26" s="82"/>
      <c r="O26" s="65">
        <f t="shared" si="3"/>
        <v>15</v>
      </c>
      <c r="P26" s="84" t="str">
        <f t="shared" si="4"/>
        <v>ok!</v>
      </c>
      <c r="Q26" s="85">
        <f t="shared" si="5"/>
        <v>0</v>
      </c>
    </row>
    <row r="27" spans="2:38" s="262" customFormat="1" ht="12.75" customHeight="1" x14ac:dyDescent="0.2">
      <c r="B27" s="91"/>
      <c r="C27" s="82"/>
      <c r="D27" s="82">
        <v>2</v>
      </c>
      <c r="E27" s="82">
        <v>2</v>
      </c>
      <c r="F27" s="82">
        <v>3</v>
      </c>
      <c r="G27" s="44">
        <f t="shared" si="0"/>
        <v>77</v>
      </c>
      <c r="H27" s="44">
        <f t="shared" si="1"/>
        <v>15.655625581928012</v>
      </c>
      <c r="I27" s="82">
        <v>33</v>
      </c>
      <c r="J27" s="44">
        <f t="shared" si="2"/>
        <v>17.236276486088034</v>
      </c>
      <c r="K27" s="82"/>
      <c r="L27" s="82"/>
      <c r="M27" s="83"/>
      <c r="N27" s="82"/>
      <c r="O27" s="65">
        <f t="shared" si="3"/>
        <v>15</v>
      </c>
      <c r="P27" s="84" t="str">
        <f t="shared" si="4"/>
        <v>ok!</v>
      </c>
      <c r="Q27" s="85">
        <f t="shared" si="5"/>
        <v>0</v>
      </c>
    </row>
    <row r="28" spans="2:38" s="262" customFormat="1" ht="12.75" customHeight="1" x14ac:dyDescent="0.2">
      <c r="B28" s="91"/>
      <c r="C28" s="82"/>
      <c r="D28" s="82">
        <v>5</v>
      </c>
      <c r="E28" s="82"/>
      <c r="F28" s="82"/>
      <c r="G28" s="44">
        <f t="shared" ref="G28:G29" si="6">D28*56.7+E28*71</f>
        <v>283.5</v>
      </c>
      <c r="H28" s="44">
        <f t="shared" si="1"/>
        <v>30.040115301560455</v>
      </c>
      <c r="I28" s="82">
        <v>34</v>
      </c>
      <c r="J28" s="44">
        <f t="shared" si="2"/>
        <v>32.583079826463639</v>
      </c>
      <c r="K28" s="82">
        <v>32</v>
      </c>
      <c r="L28" s="82"/>
      <c r="M28" s="83">
        <v>4</v>
      </c>
      <c r="N28" s="82">
        <v>2</v>
      </c>
      <c r="O28" s="65">
        <f t="shared" si="3"/>
        <v>9</v>
      </c>
      <c r="P28" s="84" t="str">
        <f t="shared" si="4"/>
        <v>ok!</v>
      </c>
      <c r="Q28" s="85">
        <f t="shared" si="5"/>
        <v>32</v>
      </c>
    </row>
    <row r="29" spans="2:38" s="262" customFormat="1" ht="12.75" customHeight="1" x14ac:dyDescent="0.2">
      <c r="B29" s="91"/>
      <c r="C29" s="82"/>
      <c r="D29" s="82"/>
      <c r="E29" s="82">
        <v>10</v>
      </c>
      <c r="F29" s="82"/>
      <c r="G29" s="44">
        <f t="shared" si="6"/>
        <v>710</v>
      </c>
      <c r="H29" s="44">
        <f t="shared" si="1"/>
        <v>47.539459314393909</v>
      </c>
      <c r="I29" s="82">
        <v>35</v>
      </c>
      <c r="J29" s="44">
        <f t="shared" si="2"/>
        <v>50.821819744840347</v>
      </c>
      <c r="K29" s="82">
        <v>75</v>
      </c>
      <c r="L29" s="82" t="s">
        <v>171</v>
      </c>
      <c r="M29" s="83">
        <v>15</v>
      </c>
      <c r="N29" s="82">
        <v>2</v>
      </c>
      <c r="O29" s="65">
        <f t="shared" si="3"/>
        <v>15</v>
      </c>
      <c r="P29" s="84" t="str">
        <f t="shared" si="4"/>
        <v>ok!</v>
      </c>
      <c r="Q29" s="85">
        <f t="shared" si="5"/>
        <v>75</v>
      </c>
    </row>
    <row r="30" spans="2:38" ht="12.75" customHeight="1" x14ac:dyDescent="0.2"/>
    <row r="31" spans="2:38" ht="12.75" customHeight="1" x14ac:dyDescent="0.2"/>
    <row r="32" spans="2:38" ht="25.5" customHeight="1" x14ac:dyDescent="0.2">
      <c r="C32" s="434" t="s">
        <v>143</v>
      </c>
      <c r="D32" s="448" t="s">
        <v>144</v>
      </c>
      <c r="E32" s="384"/>
      <c r="F32" s="385"/>
      <c r="G32" s="434" t="s">
        <v>145</v>
      </c>
      <c r="H32" s="434" t="s">
        <v>146</v>
      </c>
      <c r="I32" s="434" t="s">
        <v>147</v>
      </c>
      <c r="J32" s="434" t="s">
        <v>148</v>
      </c>
      <c r="K32" s="464" t="s">
        <v>149</v>
      </c>
      <c r="L32" s="409"/>
      <c r="M32" s="434" t="s">
        <v>150</v>
      </c>
      <c r="N32" s="434" t="s">
        <v>151</v>
      </c>
      <c r="O32" s="434" t="s">
        <v>152</v>
      </c>
      <c r="P32" s="463" t="s">
        <v>153</v>
      </c>
      <c r="Q32" s="385"/>
      <c r="S32" s="434" t="s">
        <v>143</v>
      </c>
      <c r="T32" s="448" t="s">
        <v>144</v>
      </c>
      <c r="U32" s="384"/>
      <c r="V32" s="384"/>
      <c r="W32" s="384"/>
      <c r="X32" s="384"/>
      <c r="Y32" s="385"/>
      <c r="Z32" s="434" t="s">
        <v>145</v>
      </c>
      <c r="AA32" s="434" t="s">
        <v>146</v>
      </c>
      <c r="AB32" s="434" t="s">
        <v>147</v>
      </c>
      <c r="AC32" s="434" t="s">
        <v>154</v>
      </c>
      <c r="AD32" s="434" t="s">
        <v>155</v>
      </c>
      <c r="AE32" s="434" t="s">
        <v>156</v>
      </c>
      <c r="AF32" s="434" t="s">
        <v>151</v>
      </c>
      <c r="AG32" s="434" t="s">
        <v>152</v>
      </c>
      <c r="AH32" s="463" t="s">
        <v>157</v>
      </c>
      <c r="AI32" s="385"/>
      <c r="AJ32" s="434" t="s">
        <v>158</v>
      </c>
      <c r="AK32" s="463" t="s">
        <v>159</v>
      </c>
      <c r="AL32" s="385"/>
    </row>
    <row r="33" spans="2:38" ht="18" customHeight="1" x14ac:dyDescent="0.2">
      <c r="C33" s="388"/>
      <c r="D33" s="80" t="s">
        <v>160</v>
      </c>
      <c r="E33" s="80" t="s">
        <v>161</v>
      </c>
      <c r="F33" s="80" t="s">
        <v>162</v>
      </c>
      <c r="G33" s="388"/>
      <c r="H33" s="388"/>
      <c r="I33" s="388"/>
      <c r="J33" s="388"/>
      <c r="K33" s="465"/>
      <c r="L33" s="391"/>
      <c r="M33" s="388"/>
      <c r="N33" s="388"/>
      <c r="O33" s="388"/>
      <c r="P33" s="2" t="s">
        <v>163</v>
      </c>
      <c r="Q33" s="81" t="s">
        <v>164</v>
      </c>
      <c r="S33" s="388"/>
      <c r="T33" s="80" t="s">
        <v>165</v>
      </c>
      <c r="U33" s="80" t="s">
        <v>166</v>
      </c>
      <c r="V33" s="80" t="s">
        <v>165</v>
      </c>
      <c r="W33" s="80" t="s">
        <v>167</v>
      </c>
      <c r="X33" s="80" t="s">
        <v>165</v>
      </c>
      <c r="Y33" s="80" t="s">
        <v>168</v>
      </c>
      <c r="Z33" s="388"/>
      <c r="AA33" s="388"/>
      <c r="AB33" s="388"/>
      <c r="AC33" s="388"/>
      <c r="AD33" s="388"/>
      <c r="AE33" s="388"/>
      <c r="AF33" s="388"/>
      <c r="AG33" s="388"/>
      <c r="AH33" s="2"/>
      <c r="AI33" s="81" t="s">
        <v>169</v>
      </c>
      <c r="AJ33" s="388"/>
      <c r="AK33" s="81" t="s">
        <v>170</v>
      </c>
      <c r="AL33" s="81" t="s">
        <v>169</v>
      </c>
    </row>
    <row r="34" spans="2:38" ht="12.75" customHeight="1" x14ac:dyDescent="0.2">
      <c r="B34" s="447" t="s">
        <v>432</v>
      </c>
      <c r="C34" s="82">
        <v>1</v>
      </c>
      <c r="D34" s="82">
        <v>0</v>
      </c>
      <c r="E34" s="82">
        <v>4</v>
      </c>
      <c r="F34" s="82">
        <v>3</v>
      </c>
      <c r="G34" s="44">
        <f t="shared" ref="G34:G56" si="7">D34*7.1+E34*10.7+F34*13.8</f>
        <v>84.2</v>
      </c>
      <c r="H34" s="44">
        <f t="shared" ref="H34:H58" si="8">SQRT(4*G34/(0.4*PI()))</f>
        <v>16.371222439596615</v>
      </c>
      <c r="I34" s="82">
        <v>33</v>
      </c>
      <c r="J34" s="44">
        <f t="shared" ref="J34:J58" si="9">SQRT(4*G34/(I34/100*PI()))</f>
        <v>18.02412269681945</v>
      </c>
      <c r="K34" s="82">
        <v>25</v>
      </c>
      <c r="L34" s="82"/>
      <c r="M34" s="83">
        <v>7.6</v>
      </c>
      <c r="N34" s="82">
        <v>1</v>
      </c>
      <c r="O34" s="65">
        <f t="shared" ref="O34:O58" si="10">IF(L34="x",15-N34*3+6,15-N34*3)</f>
        <v>12</v>
      </c>
      <c r="P34" s="84" t="str">
        <f t="shared" ref="P34:P58" si="11">IF(M34&lt;=O34,"ok!","aumentar 'D'")</f>
        <v>ok!</v>
      </c>
      <c r="Q34" s="85">
        <f t="shared" ref="Q34:Q58" si="12">IF(P34="ok!",K34,"")</f>
        <v>25</v>
      </c>
      <c r="S34" s="86">
        <v>1</v>
      </c>
      <c r="T34" s="86">
        <v>5</v>
      </c>
      <c r="U34" s="86">
        <v>7.1</v>
      </c>
      <c r="V34" s="86">
        <v>2</v>
      </c>
      <c r="W34" s="86">
        <v>10.7</v>
      </c>
      <c r="X34" s="86"/>
      <c r="Y34" s="86"/>
      <c r="Z34" s="13">
        <f>T34*U34+V34*W34+X34*Y34</f>
        <v>56.9</v>
      </c>
      <c r="AA34" s="87">
        <f>SQRT(4*Z34/(0.4*PI()))</f>
        <v>13.458020851469092</v>
      </c>
      <c r="AB34" s="86">
        <v>33</v>
      </c>
      <c r="AC34" s="87">
        <f>SQRT(4*Z34/(AB34/100*PI()))</f>
        <v>14.816793307782481</v>
      </c>
      <c r="AD34" s="86">
        <v>20</v>
      </c>
      <c r="AE34" s="88">
        <v>9</v>
      </c>
      <c r="AF34" s="86">
        <v>2</v>
      </c>
      <c r="AG34" s="89">
        <f>15-AF34*3</f>
        <v>9</v>
      </c>
      <c r="AH34" s="88" t="s">
        <v>171</v>
      </c>
      <c r="AI34" s="89">
        <f>IF(AH34="x",IF(AD34=20,25,IF(AD34=25,32,IF(AD34=32,40,IF(AD34=40,50,IF(AD34=50,60,""))))),"")</f>
        <v>25</v>
      </c>
      <c r="AJ34" s="89"/>
      <c r="AK34" s="87" t="str">
        <f>IF(AE34&lt;=AG34,"ok!","aumentar 'D'")</f>
        <v>ok!</v>
      </c>
      <c r="AL34" s="90">
        <f>IF(AK34="ok!",AD34,"")</f>
        <v>20</v>
      </c>
    </row>
    <row r="35" spans="2:38" ht="12.75" customHeight="1" x14ac:dyDescent="0.2">
      <c r="B35" s="387"/>
      <c r="C35" s="82">
        <v>2</v>
      </c>
      <c r="D35" s="82">
        <v>2</v>
      </c>
      <c r="E35" s="82">
        <v>5</v>
      </c>
      <c r="F35" s="82">
        <v>0</v>
      </c>
      <c r="G35" s="44">
        <f t="shared" si="7"/>
        <v>67.7</v>
      </c>
      <c r="H35" s="44">
        <f t="shared" si="8"/>
        <v>14.679774962390475</v>
      </c>
      <c r="I35" s="82">
        <v>33</v>
      </c>
      <c r="J35" s="44">
        <f t="shared" si="9"/>
        <v>16.161900313801095</v>
      </c>
      <c r="K35" s="82">
        <v>20</v>
      </c>
      <c r="L35" s="82"/>
      <c r="M35" s="83">
        <v>6.2</v>
      </c>
      <c r="N35" s="82">
        <v>1</v>
      </c>
      <c r="O35" s="65">
        <f t="shared" si="10"/>
        <v>12</v>
      </c>
      <c r="P35" s="84" t="str">
        <f t="shared" si="11"/>
        <v>ok!</v>
      </c>
      <c r="Q35" s="85">
        <f t="shared" si="12"/>
        <v>20</v>
      </c>
    </row>
    <row r="36" spans="2:38" ht="12.75" customHeight="1" x14ac:dyDescent="0.2">
      <c r="B36" s="387"/>
      <c r="C36" s="82">
        <v>3</v>
      </c>
      <c r="D36" s="82">
        <v>2</v>
      </c>
      <c r="E36" s="82">
        <v>4</v>
      </c>
      <c r="F36" s="82">
        <v>3</v>
      </c>
      <c r="G36" s="44">
        <f t="shared" si="7"/>
        <v>98.4</v>
      </c>
      <c r="H36" s="44">
        <f t="shared" si="8"/>
        <v>17.697935698969246</v>
      </c>
      <c r="I36" s="82">
        <v>33</v>
      </c>
      <c r="J36" s="44">
        <f t="shared" si="9"/>
        <v>19.484785922101409</v>
      </c>
      <c r="K36" s="82">
        <v>25</v>
      </c>
      <c r="L36" s="82"/>
      <c r="M36" s="83">
        <v>3.6</v>
      </c>
      <c r="N36" s="82">
        <v>1</v>
      </c>
      <c r="O36" s="65">
        <f t="shared" si="10"/>
        <v>12</v>
      </c>
      <c r="P36" s="84" t="str">
        <f t="shared" si="11"/>
        <v>ok!</v>
      </c>
      <c r="Q36" s="85">
        <f t="shared" si="12"/>
        <v>25</v>
      </c>
    </row>
    <row r="37" spans="2:38" ht="12.75" customHeight="1" x14ac:dyDescent="0.2">
      <c r="B37" s="387"/>
      <c r="C37" s="82">
        <v>4</v>
      </c>
      <c r="D37" s="82">
        <v>0</v>
      </c>
      <c r="E37" s="82">
        <v>4</v>
      </c>
      <c r="F37" s="82">
        <v>3</v>
      </c>
      <c r="G37" s="44">
        <f t="shared" si="7"/>
        <v>84.2</v>
      </c>
      <c r="H37" s="44">
        <f t="shared" si="8"/>
        <v>16.371222439596615</v>
      </c>
      <c r="I37" s="82">
        <v>33</v>
      </c>
      <c r="J37" s="44">
        <f t="shared" si="9"/>
        <v>18.02412269681945</v>
      </c>
      <c r="K37" s="82">
        <v>25</v>
      </c>
      <c r="L37" s="82"/>
      <c r="M37" s="83">
        <v>4.2</v>
      </c>
      <c r="N37" s="82">
        <v>1</v>
      </c>
      <c r="O37" s="65">
        <f t="shared" si="10"/>
        <v>12</v>
      </c>
      <c r="P37" s="84" t="str">
        <f t="shared" si="11"/>
        <v>ok!</v>
      </c>
      <c r="Q37" s="85">
        <f t="shared" si="12"/>
        <v>25</v>
      </c>
    </row>
    <row r="38" spans="2:38" ht="12.75" customHeight="1" x14ac:dyDescent="0.2">
      <c r="B38" s="387"/>
      <c r="C38" s="82">
        <v>5</v>
      </c>
      <c r="D38" s="82">
        <v>2</v>
      </c>
      <c r="E38" s="82">
        <v>2</v>
      </c>
      <c r="F38" s="82">
        <v>7</v>
      </c>
      <c r="G38" s="44">
        <f t="shared" si="7"/>
        <v>132.19999999999999</v>
      </c>
      <c r="H38" s="44">
        <f t="shared" si="8"/>
        <v>20.513548438409462</v>
      </c>
      <c r="I38" s="82">
        <v>33</v>
      </c>
      <c r="J38" s="44">
        <f t="shared" si="9"/>
        <v>22.584673524853255</v>
      </c>
      <c r="K38" s="82">
        <v>32</v>
      </c>
      <c r="L38" s="82"/>
      <c r="M38" s="83">
        <v>3.3</v>
      </c>
      <c r="N38" s="82">
        <v>1</v>
      </c>
      <c r="O38" s="65">
        <f t="shared" si="10"/>
        <v>12</v>
      </c>
      <c r="P38" s="84" t="str">
        <f t="shared" si="11"/>
        <v>ok!</v>
      </c>
      <c r="Q38" s="85">
        <f t="shared" si="12"/>
        <v>32</v>
      </c>
    </row>
    <row r="39" spans="2:38" ht="12.75" customHeight="1" x14ac:dyDescent="0.2">
      <c r="B39" s="387"/>
      <c r="C39" s="82">
        <v>6</v>
      </c>
      <c r="D39" s="82">
        <v>7</v>
      </c>
      <c r="E39" s="82">
        <v>5</v>
      </c>
      <c r="F39" s="82">
        <v>0</v>
      </c>
      <c r="G39" s="44">
        <f t="shared" si="7"/>
        <v>103.19999999999999</v>
      </c>
      <c r="H39" s="44">
        <f t="shared" si="8"/>
        <v>18.124453165314311</v>
      </c>
      <c r="I39" s="82">
        <v>33</v>
      </c>
      <c r="J39" s="44">
        <f t="shared" si="9"/>
        <v>19.954366197740828</v>
      </c>
      <c r="K39" s="82">
        <v>25</v>
      </c>
      <c r="L39" s="82"/>
      <c r="M39" s="83">
        <v>3.1</v>
      </c>
      <c r="N39" s="82">
        <v>0</v>
      </c>
      <c r="O39" s="65">
        <f t="shared" si="10"/>
        <v>15</v>
      </c>
      <c r="P39" s="84" t="str">
        <f t="shared" si="11"/>
        <v>ok!</v>
      </c>
      <c r="Q39" s="85">
        <f t="shared" si="12"/>
        <v>25</v>
      </c>
    </row>
    <row r="40" spans="2:38" ht="12.75" customHeight="1" x14ac:dyDescent="0.2">
      <c r="B40" s="387"/>
      <c r="C40" s="82">
        <v>7</v>
      </c>
      <c r="D40" s="82">
        <v>5</v>
      </c>
      <c r="E40" s="82">
        <v>3</v>
      </c>
      <c r="F40" s="82">
        <v>0</v>
      </c>
      <c r="G40" s="44">
        <f t="shared" si="7"/>
        <v>67.599999999999994</v>
      </c>
      <c r="H40" s="44">
        <f t="shared" si="8"/>
        <v>14.668929172241663</v>
      </c>
      <c r="I40" s="82">
        <v>33</v>
      </c>
      <c r="J40" s="44">
        <f t="shared" si="9"/>
        <v>16.149959491843088</v>
      </c>
      <c r="K40" s="82">
        <v>20</v>
      </c>
      <c r="L40" s="82"/>
      <c r="M40" s="83">
        <v>6.2</v>
      </c>
      <c r="N40" s="82">
        <v>1</v>
      </c>
      <c r="O40" s="65">
        <f t="shared" si="10"/>
        <v>12</v>
      </c>
      <c r="P40" s="84" t="str">
        <f t="shared" si="11"/>
        <v>ok!</v>
      </c>
      <c r="Q40" s="85">
        <f t="shared" si="12"/>
        <v>20</v>
      </c>
    </row>
    <row r="41" spans="2:38" ht="12.75" customHeight="1" x14ac:dyDescent="0.2">
      <c r="B41" s="387"/>
      <c r="C41" s="82">
        <v>8</v>
      </c>
      <c r="D41" s="82">
        <v>2</v>
      </c>
      <c r="E41" s="82">
        <v>5</v>
      </c>
      <c r="F41" s="82">
        <v>0</v>
      </c>
      <c r="G41" s="44">
        <f t="shared" si="7"/>
        <v>67.7</v>
      </c>
      <c r="H41" s="44">
        <f t="shared" si="8"/>
        <v>14.679774962390475</v>
      </c>
      <c r="I41" s="82">
        <v>33</v>
      </c>
      <c r="J41" s="44">
        <f t="shared" si="9"/>
        <v>16.161900313801095</v>
      </c>
      <c r="K41" s="82">
        <v>20</v>
      </c>
      <c r="L41" s="82"/>
      <c r="M41" s="83">
        <v>4.4000000000000004</v>
      </c>
      <c r="N41" s="82">
        <v>0</v>
      </c>
      <c r="O41" s="65">
        <f t="shared" si="10"/>
        <v>15</v>
      </c>
      <c r="P41" s="84" t="str">
        <f t="shared" si="11"/>
        <v>ok!</v>
      </c>
      <c r="Q41" s="85">
        <f t="shared" si="12"/>
        <v>20</v>
      </c>
    </row>
    <row r="42" spans="2:38" ht="12.75" customHeight="1" x14ac:dyDescent="0.2">
      <c r="B42" s="387"/>
      <c r="C42" s="82">
        <v>9</v>
      </c>
      <c r="D42" s="82">
        <v>9</v>
      </c>
      <c r="E42" s="82">
        <v>3</v>
      </c>
      <c r="F42" s="82">
        <v>0</v>
      </c>
      <c r="G42" s="44">
        <f t="shared" si="7"/>
        <v>96</v>
      </c>
      <c r="H42" s="44">
        <f t="shared" si="8"/>
        <v>17.480774889473267</v>
      </c>
      <c r="I42" s="82">
        <v>33</v>
      </c>
      <c r="J42" s="44">
        <f t="shared" si="9"/>
        <v>19.245699739640827</v>
      </c>
      <c r="K42" s="82">
        <v>25</v>
      </c>
      <c r="L42" s="82"/>
      <c r="M42" s="83">
        <v>5.6</v>
      </c>
      <c r="N42" s="82">
        <v>1</v>
      </c>
      <c r="O42" s="65">
        <f t="shared" si="10"/>
        <v>12</v>
      </c>
      <c r="P42" s="84" t="str">
        <f t="shared" si="11"/>
        <v>ok!</v>
      </c>
      <c r="Q42" s="85">
        <f t="shared" si="12"/>
        <v>25</v>
      </c>
    </row>
    <row r="43" spans="2:38" ht="12.75" customHeight="1" x14ac:dyDescent="0.2">
      <c r="B43" s="387"/>
      <c r="C43" s="82">
        <v>10</v>
      </c>
      <c r="D43" s="82">
        <v>4</v>
      </c>
      <c r="E43" s="82">
        <v>5</v>
      </c>
      <c r="F43" s="82">
        <v>0</v>
      </c>
      <c r="G43" s="44">
        <f t="shared" si="7"/>
        <v>81.900000000000006</v>
      </c>
      <c r="H43" s="44">
        <f t="shared" si="8"/>
        <v>16.146076823319174</v>
      </c>
      <c r="I43" s="82">
        <v>33</v>
      </c>
      <c r="J43" s="44">
        <f t="shared" si="9"/>
        <v>17.776245531420944</v>
      </c>
      <c r="K43" s="82">
        <v>25</v>
      </c>
      <c r="L43" s="82"/>
      <c r="M43" s="83">
        <v>5.2</v>
      </c>
      <c r="N43" s="82">
        <v>1</v>
      </c>
      <c r="O43" s="65">
        <f t="shared" si="10"/>
        <v>12</v>
      </c>
      <c r="P43" s="84" t="str">
        <f t="shared" si="11"/>
        <v>ok!</v>
      </c>
      <c r="Q43" s="85">
        <f t="shared" si="12"/>
        <v>25</v>
      </c>
    </row>
    <row r="44" spans="2:38" ht="12.75" customHeight="1" x14ac:dyDescent="0.2">
      <c r="B44" s="387"/>
      <c r="C44" s="82">
        <v>11</v>
      </c>
      <c r="D44" s="82">
        <v>4</v>
      </c>
      <c r="E44" s="82">
        <v>5</v>
      </c>
      <c r="F44" s="82">
        <v>0</v>
      </c>
      <c r="G44" s="44">
        <f t="shared" si="7"/>
        <v>81.900000000000006</v>
      </c>
      <c r="H44" s="44">
        <f t="shared" si="8"/>
        <v>16.146076823319174</v>
      </c>
      <c r="I44" s="82">
        <v>33</v>
      </c>
      <c r="J44" s="44">
        <f t="shared" si="9"/>
        <v>17.776245531420944</v>
      </c>
      <c r="K44" s="82">
        <v>25</v>
      </c>
      <c r="L44" s="82"/>
      <c r="M44" s="83">
        <v>5.0999999999999996</v>
      </c>
      <c r="N44" s="82">
        <v>1</v>
      </c>
      <c r="O44" s="65">
        <f t="shared" si="10"/>
        <v>12</v>
      </c>
      <c r="P44" s="84" t="str">
        <f t="shared" si="11"/>
        <v>ok!</v>
      </c>
      <c r="Q44" s="85">
        <f t="shared" si="12"/>
        <v>25</v>
      </c>
    </row>
    <row r="45" spans="2:38" ht="12.75" customHeight="1" x14ac:dyDescent="0.2">
      <c r="B45" s="387"/>
      <c r="C45" s="82">
        <v>12</v>
      </c>
      <c r="D45" s="82">
        <v>2</v>
      </c>
      <c r="E45" s="82">
        <v>2</v>
      </c>
      <c r="F45" s="82">
        <v>3</v>
      </c>
      <c r="G45" s="44">
        <f t="shared" si="7"/>
        <v>77</v>
      </c>
      <c r="H45" s="44">
        <f t="shared" si="8"/>
        <v>15.655625581928012</v>
      </c>
      <c r="I45" s="82">
        <v>33</v>
      </c>
      <c r="J45" s="44">
        <f t="shared" si="9"/>
        <v>17.236276486088034</v>
      </c>
      <c r="K45" s="82">
        <v>20</v>
      </c>
      <c r="L45" s="82"/>
      <c r="M45" s="83">
        <v>4.9000000000000004</v>
      </c>
      <c r="N45" s="82">
        <v>0</v>
      </c>
      <c r="O45" s="65">
        <f t="shared" si="10"/>
        <v>15</v>
      </c>
      <c r="P45" s="84" t="str">
        <f t="shared" si="11"/>
        <v>ok!</v>
      </c>
      <c r="Q45" s="85">
        <f t="shared" si="12"/>
        <v>20</v>
      </c>
    </row>
    <row r="46" spans="2:38" ht="12.75" customHeight="1" x14ac:dyDescent="0.2">
      <c r="B46" s="387"/>
      <c r="C46" s="82">
        <v>13</v>
      </c>
      <c r="D46" s="82">
        <v>3</v>
      </c>
      <c r="E46" s="82">
        <v>3</v>
      </c>
      <c r="F46" s="82">
        <v>0</v>
      </c>
      <c r="G46" s="44">
        <f t="shared" si="7"/>
        <v>53.399999999999991</v>
      </c>
      <c r="H46" s="44">
        <f t="shared" si="8"/>
        <v>13.037541149394091</v>
      </c>
      <c r="I46" s="82">
        <v>33</v>
      </c>
      <c r="J46" s="44">
        <f t="shared" si="9"/>
        <v>14.353860391826776</v>
      </c>
      <c r="K46" s="82">
        <v>20</v>
      </c>
      <c r="L46" s="82"/>
      <c r="M46" s="83">
        <v>5.4</v>
      </c>
      <c r="N46" s="82">
        <v>1</v>
      </c>
      <c r="O46" s="65">
        <f t="shared" si="10"/>
        <v>12</v>
      </c>
      <c r="P46" s="84" t="str">
        <f t="shared" si="11"/>
        <v>ok!</v>
      </c>
      <c r="Q46" s="85">
        <f t="shared" si="12"/>
        <v>20</v>
      </c>
    </row>
    <row r="47" spans="2:38" ht="12.75" customHeight="1" x14ac:dyDescent="0.2">
      <c r="B47" s="387"/>
      <c r="C47" s="82">
        <v>14</v>
      </c>
      <c r="D47" s="82">
        <v>3</v>
      </c>
      <c r="E47" s="82">
        <v>3</v>
      </c>
      <c r="F47" s="82">
        <v>0</v>
      </c>
      <c r="G47" s="44">
        <f t="shared" si="7"/>
        <v>53.399999999999991</v>
      </c>
      <c r="H47" s="44">
        <f t="shared" si="8"/>
        <v>13.037541149394091</v>
      </c>
      <c r="I47" s="82">
        <v>33</v>
      </c>
      <c r="J47" s="44">
        <f t="shared" si="9"/>
        <v>14.353860391826776</v>
      </c>
      <c r="K47" s="82">
        <v>20</v>
      </c>
      <c r="L47" s="82"/>
      <c r="M47" s="83">
        <v>5.0999999999999996</v>
      </c>
      <c r="N47" s="82">
        <v>1</v>
      </c>
      <c r="O47" s="65">
        <f t="shared" si="10"/>
        <v>12</v>
      </c>
      <c r="P47" s="84" t="str">
        <f t="shared" si="11"/>
        <v>ok!</v>
      </c>
      <c r="Q47" s="85">
        <f t="shared" si="12"/>
        <v>20</v>
      </c>
    </row>
    <row r="48" spans="2:38" ht="12.75" customHeight="1" x14ac:dyDescent="0.2">
      <c r="B48" s="388"/>
      <c r="C48" s="82">
        <v>15</v>
      </c>
      <c r="D48" s="82">
        <v>2</v>
      </c>
      <c r="E48" s="82">
        <v>2</v>
      </c>
      <c r="F48" s="82">
        <v>3</v>
      </c>
      <c r="G48" s="44">
        <f t="shared" si="7"/>
        <v>77</v>
      </c>
      <c r="H48" s="44">
        <f t="shared" si="8"/>
        <v>15.655625581928012</v>
      </c>
      <c r="I48" s="82">
        <v>33</v>
      </c>
      <c r="J48" s="44">
        <f t="shared" si="9"/>
        <v>17.236276486088034</v>
      </c>
      <c r="K48" s="82">
        <v>25</v>
      </c>
      <c r="L48" s="82"/>
      <c r="M48" s="83">
        <v>3.7</v>
      </c>
      <c r="N48" s="82">
        <v>0</v>
      </c>
      <c r="O48" s="65">
        <f t="shared" si="10"/>
        <v>15</v>
      </c>
      <c r="P48" s="84" t="str">
        <f t="shared" si="11"/>
        <v>ok!</v>
      </c>
      <c r="Q48" s="85">
        <f t="shared" si="12"/>
        <v>25</v>
      </c>
    </row>
    <row r="49" spans="2:17" ht="12.75" customHeight="1" x14ac:dyDescent="0.2">
      <c r="B49" s="91"/>
      <c r="C49" s="82"/>
      <c r="D49" s="82"/>
      <c r="E49" s="82"/>
      <c r="F49" s="82"/>
      <c r="G49" s="44">
        <f t="shared" si="7"/>
        <v>0</v>
      </c>
      <c r="H49" s="44">
        <f t="shared" si="8"/>
        <v>0</v>
      </c>
      <c r="I49" s="82">
        <v>33</v>
      </c>
      <c r="J49" s="44">
        <f t="shared" si="9"/>
        <v>0</v>
      </c>
      <c r="K49" s="82"/>
      <c r="L49" s="82"/>
      <c r="M49" s="83"/>
      <c r="N49" s="82"/>
      <c r="O49" s="65">
        <f t="shared" si="10"/>
        <v>15</v>
      </c>
      <c r="P49" s="84" t="str">
        <f t="shared" si="11"/>
        <v>ok!</v>
      </c>
      <c r="Q49" s="85">
        <f t="shared" si="12"/>
        <v>0</v>
      </c>
    </row>
    <row r="50" spans="2:17" ht="12.75" customHeight="1" x14ac:dyDescent="0.2">
      <c r="B50" s="91"/>
      <c r="C50" s="82"/>
      <c r="D50" s="82">
        <v>4</v>
      </c>
      <c r="E50" s="82">
        <v>7</v>
      </c>
      <c r="F50" s="82"/>
      <c r="G50" s="44">
        <f t="shared" si="7"/>
        <v>103.29999999999998</v>
      </c>
      <c r="H50" s="44">
        <f t="shared" si="8"/>
        <v>18.133232266417803</v>
      </c>
      <c r="I50" s="82">
        <v>33</v>
      </c>
      <c r="J50" s="44">
        <f t="shared" si="9"/>
        <v>19.964031669946152</v>
      </c>
      <c r="K50" s="82"/>
      <c r="L50" s="82"/>
      <c r="M50" s="83"/>
      <c r="N50" s="82"/>
      <c r="O50" s="65">
        <f t="shared" si="10"/>
        <v>15</v>
      </c>
      <c r="P50" s="84" t="str">
        <f t="shared" si="11"/>
        <v>ok!</v>
      </c>
      <c r="Q50" s="85">
        <f t="shared" si="12"/>
        <v>0</v>
      </c>
    </row>
    <row r="51" spans="2:17" ht="12.75" customHeight="1" x14ac:dyDescent="0.2">
      <c r="B51" s="91"/>
      <c r="C51" s="82"/>
      <c r="D51" s="82">
        <v>2</v>
      </c>
      <c r="E51" s="82">
        <v>5</v>
      </c>
      <c r="F51" s="82"/>
      <c r="G51" s="44">
        <f t="shared" si="7"/>
        <v>67.7</v>
      </c>
      <c r="H51" s="44">
        <f t="shared" si="8"/>
        <v>14.679774962390475</v>
      </c>
      <c r="I51" s="82">
        <v>33</v>
      </c>
      <c r="J51" s="44">
        <f t="shared" si="9"/>
        <v>16.161900313801095</v>
      </c>
      <c r="K51" s="82"/>
      <c r="L51" s="82"/>
      <c r="M51" s="83"/>
      <c r="N51" s="82"/>
      <c r="O51" s="65">
        <f t="shared" si="10"/>
        <v>15</v>
      </c>
      <c r="P51" s="84" t="str">
        <f t="shared" si="11"/>
        <v>ok!</v>
      </c>
      <c r="Q51" s="85">
        <f t="shared" si="12"/>
        <v>0</v>
      </c>
    </row>
    <row r="52" spans="2:17" ht="12.75" customHeight="1" x14ac:dyDescent="0.2">
      <c r="B52" s="91"/>
      <c r="C52" s="82"/>
      <c r="D52" s="82">
        <v>2</v>
      </c>
      <c r="E52" s="82">
        <v>4</v>
      </c>
      <c r="F52" s="82">
        <v>3</v>
      </c>
      <c r="G52" s="44">
        <f t="shared" si="7"/>
        <v>98.4</v>
      </c>
      <c r="H52" s="44">
        <f t="shared" si="8"/>
        <v>17.697935698969246</v>
      </c>
      <c r="I52" s="82">
        <v>33</v>
      </c>
      <c r="J52" s="44">
        <f t="shared" si="9"/>
        <v>19.484785922101409</v>
      </c>
      <c r="K52" s="82"/>
      <c r="L52" s="82"/>
      <c r="M52" s="83"/>
      <c r="N52" s="82"/>
      <c r="O52" s="65">
        <f t="shared" si="10"/>
        <v>15</v>
      </c>
      <c r="P52" s="84" t="str">
        <f t="shared" si="11"/>
        <v>ok!</v>
      </c>
      <c r="Q52" s="85">
        <f t="shared" si="12"/>
        <v>0</v>
      </c>
    </row>
    <row r="53" spans="2:17" ht="12.75" customHeight="1" x14ac:dyDescent="0.2">
      <c r="B53" s="91"/>
      <c r="C53" s="82"/>
      <c r="D53" s="82"/>
      <c r="E53" s="82"/>
      <c r="F53" s="82">
        <v>5</v>
      </c>
      <c r="G53" s="44">
        <f t="shared" si="7"/>
        <v>69</v>
      </c>
      <c r="H53" s="44">
        <f t="shared" si="8"/>
        <v>14.820047957642227</v>
      </c>
      <c r="I53" s="82">
        <v>33</v>
      </c>
      <c r="J53" s="44">
        <f t="shared" si="9"/>
        <v>16.316335798799017</v>
      </c>
      <c r="K53" s="82"/>
      <c r="L53" s="82"/>
      <c r="M53" s="83"/>
      <c r="N53" s="82"/>
      <c r="O53" s="65">
        <f t="shared" si="10"/>
        <v>15</v>
      </c>
      <c r="P53" s="84" t="str">
        <f t="shared" si="11"/>
        <v>ok!</v>
      </c>
      <c r="Q53" s="85">
        <f t="shared" si="12"/>
        <v>0</v>
      </c>
    </row>
    <row r="54" spans="2:17" ht="12.75" customHeight="1" x14ac:dyDescent="0.2">
      <c r="B54" s="91"/>
      <c r="C54" s="82"/>
      <c r="D54" s="82">
        <v>4</v>
      </c>
      <c r="E54" s="82">
        <v>4</v>
      </c>
      <c r="F54" s="82"/>
      <c r="G54" s="44">
        <f t="shared" si="7"/>
        <v>71.199999999999989</v>
      </c>
      <c r="H54" s="44">
        <f t="shared" si="8"/>
        <v>15.054455784347002</v>
      </c>
      <c r="I54" s="82">
        <v>33</v>
      </c>
      <c r="J54" s="44">
        <f t="shared" si="9"/>
        <v>16.574410322262992</v>
      </c>
      <c r="K54" s="82"/>
      <c r="L54" s="82"/>
      <c r="M54" s="83"/>
      <c r="N54" s="82"/>
      <c r="O54" s="65">
        <f t="shared" si="10"/>
        <v>15</v>
      </c>
      <c r="P54" s="84" t="str">
        <f t="shared" si="11"/>
        <v>ok!</v>
      </c>
      <c r="Q54" s="85">
        <f t="shared" si="12"/>
        <v>0</v>
      </c>
    </row>
    <row r="55" spans="2:17" ht="12.75" customHeight="1" x14ac:dyDescent="0.2">
      <c r="B55" s="91"/>
      <c r="C55" s="82"/>
      <c r="D55" s="82"/>
      <c r="E55" s="82">
        <v>2</v>
      </c>
      <c r="F55" s="82">
        <v>3</v>
      </c>
      <c r="G55" s="44">
        <f t="shared" si="7"/>
        <v>62.800000000000004</v>
      </c>
      <c r="H55" s="44">
        <f t="shared" si="8"/>
        <v>14.138550439257221</v>
      </c>
      <c r="I55" s="82">
        <v>33</v>
      </c>
      <c r="J55" s="44">
        <f t="shared" si="9"/>
        <v>15.566031725033588</v>
      </c>
      <c r="K55" s="82"/>
      <c r="L55" s="82"/>
      <c r="M55" s="83"/>
      <c r="N55" s="82"/>
      <c r="O55" s="65">
        <f t="shared" si="10"/>
        <v>15</v>
      </c>
      <c r="P55" s="84" t="str">
        <f t="shared" si="11"/>
        <v>ok!</v>
      </c>
      <c r="Q55" s="85">
        <f t="shared" si="12"/>
        <v>0</v>
      </c>
    </row>
    <row r="56" spans="2:17" ht="12.75" customHeight="1" x14ac:dyDescent="0.2">
      <c r="B56" s="91"/>
      <c r="C56" s="82"/>
      <c r="D56" s="82">
        <v>2</v>
      </c>
      <c r="E56" s="82">
        <v>2</v>
      </c>
      <c r="F56" s="82">
        <v>3</v>
      </c>
      <c r="G56" s="44">
        <f t="shared" si="7"/>
        <v>77</v>
      </c>
      <c r="H56" s="44">
        <f t="shared" si="8"/>
        <v>15.655625581928012</v>
      </c>
      <c r="I56" s="82">
        <v>33</v>
      </c>
      <c r="J56" s="44">
        <f t="shared" si="9"/>
        <v>17.236276486088034</v>
      </c>
      <c r="K56" s="82"/>
      <c r="L56" s="82"/>
      <c r="M56" s="83"/>
      <c r="N56" s="82"/>
      <c r="O56" s="65">
        <f t="shared" si="10"/>
        <v>15</v>
      </c>
      <c r="P56" s="84" t="str">
        <f t="shared" si="11"/>
        <v>ok!</v>
      </c>
      <c r="Q56" s="85">
        <f t="shared" si="12"/>
        <v>0</v>
      </c>
    </row>
    <row r="57" spans="2:17" ht="12.75" customHeight="1" x14ac:dyDescent="0.2">
      <c r="B57" s="91"/>
      <c r="C57" s="82"/>
      <c r="D57" s="82">
        <v>5</v>
      </c>
      <c r="E57" s="82"/>
      <c r="F57" s="82"/>
      <c r="G57" s="44">
        <f t="shared" ref="G57:G58" si="13">D57*56.7+E57*71</f>
        <v>283.5</v>
      </c>
      <c r="H57" s="44">
        <f t="shared" si="8"/>
        <v>30.040115301560455</v>
      </c>
      <c r="I57" s="82">
        <v>34</v>
      </c>
      <c r="J57" s="44">
        <f t="shared" si="9"/>
        <v>32.583079826463639</v>
      </c>
      <c r="K57" s="82">
        <v>32</v>
      </c>
      <c r="L57" s="82"/>
      <c r="M57" s="83">
        <v>4</v>
      </c>
      <c r="N57" s="82">
        <v>2</v>
      </c>
      <c r="O57" s="65">
        <f t="shared" si="10"/>
        <v>9</v>
      </c>
      <c r="P57" s="84" t="str">
        <f t="shared" si="11"/>
        <v>ok!</v>
      </c>
      <c r="Q57" s="85">
        <f t="shared" si="12"/>
        <v>32</v>
      </c>
    </row>
    <row r="58" spans="2:17" ht="12.75" customHeight="1" x14ac:dyDescent="0.2">
      <c r="B58" s="91"/>
      <c r="C58" s="82"/>
      <c r="D58" s="82"/>
      <c r="E58" s="82">
        <v>10</v>
      </c>
      <c r="F58" s="82"/>
      <c r="G58" s="44">
        <f t="shared" si="13"/>
        <v>710</v>
      </c>
      <c r="H58" s="44">
        <f t="shared" si="8"/>
        <v>47.539459314393909</v>
      </c>
      <c r="I58" s="82">
        <v>35</v>
      </c>
      <c r="J58" s="44">
        <f t="shared" si="9"/>
        <v>50.821819744840347</v>
      </c>
      <c r="K58" s="82">
        <v>75</v>
      </c>
      <c r="L58" s="82" t="s">
        <v>171</v>
      </c>
      <c r="M58" s="83">
        <v>15</v>
      </c>
      <c r="N58" s="82">
        <v>2</v>
      </c>
      <c r="O58" s="65">
        <f t="shared" si="10"/>
        <v>15</v>
      </c>
      <c r="P58" s="84" t="str">
        <f t="shared" si="11"/>
        <v>ok!</v>
      </c>
      <c r="Q58" s="85">
        <f t="shared" si="12"/>
        <v>75</v>
      </c>
    </row>
    <row r="59" spans="2:17" ht="27" customHeight="1" x14ac:dyDescent="0.2">
      <c r="C59" s="434" t="s">
        <v>143</v>
      </c>
      <c r="D59" s="448" t="s">
        <v>144</v>
      </c>
      <c r="E59" s="384"/>
      <c r="F59" s="385"/>
      <c r="G59" s="434" t="s">
        <v>145</v>
      </c>
      <c r="H59" s="434" t="s">
        <v>146</v>
      </c>
      <c r="I59" s="434" t="s">
        <v>147</v>
      </c>
      <c r="J59" s="434" t="s">
        <v>148</v>
      </c>
      <c r="K59" s="464" t="s">
        <v>149</v>
      </c>
      <c r="L59" s="409"/>
      <c r="M59" s="434" t="s">
        <v>150</v>
      </c>
      <c r="N59" s="434" t="s">
        <v>151</v>
      </c>
      <c r="O59" s="434" t="s">
        <v>152</v>
      </c>
      <c r="P59" s="463" t="s">
        <v>153</v>
      </c>
      <c r="Q59" s="385"/>
    </row>
    <row r="60" spans="2:17" ht="18" customHeight="1" x14ac:dyDescent="0.2">
      <c r="C60" s="388"/>
      <c r="D60" s="80" t="s">
        <v>160</v>
      </c>
      <c r="E60" s="80" t="s">
        <v>161</v>
      </c>
      <c r="F60" s="80" t="s">
        <v>162</v>
      </c>
      <c r="G60" s="388"/>
      <c r="H60" s="388"/>
      <c r="I60" s="388"/>
      <c r="J60" s="388"/>
      <c r="K60" s="465"/>
      <c r="L60" s="391"/>
      <c r="M60" s="388"/>
      <c r="N60" s="388"/>
      <c r="O60" s="388"/>
      <c r="P60" s="2" t="s">
        <v>163</v>
      </c>
      <c r="Q60" s="81" t="s">
        <v>164</v>
      </c>
    </row>
    <row r="61" spans="2:17" ht="12.75" customHeight="1" x14ac:dyDescent="0.2">
      <c r="B61" s="447" t="s">
        <v>435</v>
      </c>
      <c r="C61" s="82">
        <v>1</v>
      </c>
      <c r="D61" s="82">
        <v>2</v>
      </c>
      <c r="E61" s="82">
        <v>4</v>
      </c>
      <c r="F61" s="82">
        <v>7</v>
      </c>
      <c r="G61" s="44">
        <f t="shared" ref="G61:G70" si="14">D61*7.1+E61*10.7+F61*13.8</f>
        <v>153.60000000000002</v>
      </c>
      <c r="H61" s="44">
        <f t="shared" ref="H61:H70" si="15">SQRT(4*G61/(0.4*PI()))</f>
        <v>22.111625566165472</v>
      </c>
      <c r="I61" s="82">
        <v>33</v>
      </c>
      <c r="J61" s="44">
        <f t="shared" ref="J61:J70" si="16">SQRT(4*G61/(I61/100*PI()))</f>
        <v>24.344098536389833</v>
      </c>
      <c r="K61" s="82">
        <v>32</v>
      </c>
      <c r="L61" s="82"/>
      <c r="M61" s="83">
        <v>2.5</v>
      </c>
      <c r="N61" s="82">
        <v>1</v>
      </c>
      <c r="O61" s="65">
        <f t="shared" ref="O61:O70" si="17">IF(L61="x",15-N61*3+6,15-N61*3)</f>
        <v>12</v>
      </c>
      <c r="P61" s="84" t="str">
        <f t="shared" ref="P61:P70" si="18">IF(M61&lt;=O61,"ok!","aumentar 'D'")</f>
        <v>ok!</v>
      </c>
      <c r="Q61" s="85">
        <f t="shared" ref="Q61:Q70" si="19">IF(P61="ok!",K61,"")</f>
        <v>32</v>
      </c>
    </row>
    <row r="62" spans="2:17" ht="12.75" customHeight="1" x14ac:dyDescent="0.2">
      <c r="B62" s="387"/>
      <c r="C62" s="82">
        <v>2</v>
      </c>
      <c r="D62" s="82">
        <v>2</v>
      </c>
      <c r="E62" s="82">
        <v>6</v>
      </c>
      <c r="F62" s="82">
        <v>3</v>
      </c>
      <c r="G62" s="44">
        <f t="shared" si="14"/>
        <v>119.8</v>
      </c>
      <c r="H62" s="44">
        <f t="shared" si="15"/>
        <v>19.527806933913016</v>
      </c>
      <c r="I62" s="82">
        <v>33</v>
      </c>
      <c r="J62" s="44">
        <f t="shared" si="16"/>
        <v>21.499407846621523</v>
      </c>
      <c r="K62" s="82">
        <v>32</v>
      </c>
      <c r="L62" s="82"/>
      <c r="M62" s="83">
        <v>2.2999999999999998</v>
      </c>
      <c r="N62" s="82">
        <v>1</v>
      </c>
      <c r="O62" s="65">
        <f t="shared" si="17"/>
        <v>12</v>
      </c>
      <c r="P62" s="84" t="str">
        <f t="shared" si="18"/>
        <v>ok!</v>
      </c>
      <c r="Q62" s="85">
        <f t="shared" si="19"/>
        <v>32</v>
      </c>
    </row>
    <row r="63" spans="2:17" ht="12.75" customHeight="1" x14ac:dyDescent="0.2">
      <c r="B63" s="387"/>
      <c r="C63" s="82">
        <v>3</v>
      </c>
      <c r="D63" s="82">
        <v>2</v>
      </c>
      <c r="E63" s="82">
        <v>6</v>
      </c>
      <c r="F63" s="82">
        <v>3</v>
      </c>
      <c r="G63" s="44">
        <f t="shared" si="14"/>
        <v>119.8</v>
      </c>
      <c r="H63" s="44">
        <f t="shared" si="15"/>
        <v>19.527806933913016</v>
      </c>
      <c r="I63" s="82">
        <v>33</v>
      </c>
      <c r="J63" s="44">
        <f t="shared" si="16"/>
        <v>21.499407846621523</v>
      </c>
      <c r="K63" s="82">
        <v>32</v>
      </c>
      <c r="L63" s="82"/>
      <c r="M63" s="83">
        <v>5.7</v>
      </c>
      <c r="N63" s="82">
        <v>1</v>
      </c>
      <c r="O63" s="65">
        <f t="shared" si="17"/>
        <v>12</v>
      </c>
      <c r="P63" s="84" t="str">
        <f t="shared" si="18"/>
        <v>ok!</v>
      </c>
      <c r="Q63" s="85">
        <f t="shared" si="19"/>
        <v>32</v>
      </c>
    </row>
    <row r="64" spans="2:17" ht="12.75" customHeight="1" x14ac:dyDescent="0.2">
      <c r="B64" s="387"/>
      <c r="C64" s="82">
        <v>4</v>
      </c>
      <c r="D64" s="82">
        <v>2</v>
      </c>
      <c r="E64" s="82">
        <v>2</v>
      </c>
      <c r="F64" s="82">
        <v>3</v>
      </c>
      <c r="G64" s="44">
        <f t="shared" si="14"/>
        <v>77</v>
      </c>
      <c r="H64" s="44">
        <f t="shared" si="15"/>
        <v>15.655625581928012</v>
      </c>
      <c r="I64" s="82">
        <v>33</v>
      </c>
      <c r="J64" s="44">
        <f t="shared" si="16"/>
        <v>17.236276486088034</v>
      </c>
      <c r="K64" s="82">
        <v>25</v>
      </c>
      <c r="L64" s="82"/>
      <c r="M64" s="83">
        <v>3.7</v>
      </c>
      <c r="N64" s="82">
        <v>0</v>
      </c>
      <c r="O64" s="65">
        <f t="shared" si="17"/>
        <v>15</v>
      </c>
      <c r="P64" s="84" t="str">
        <f t="shared" si="18"/>
        <v>ok!</v>
      </c>
      <c r="Q64" s="85">
        <f t="shared" si="19"/>
        <v>25</v>
      </c>
    </row>
    <row r="65" spans="2:17" ht="12.75" customHeight="1" x14ac:dyDescent="0.2">
      <c r="B65" s="387"/>
      <c r="C65" s="82">
        <v>5</v>
      </c>
      <c r="D65" s="82">
        <v>5</v>
      </c>
      <c r="E65" s="82">
        <v>3</v>
      </c>
      <c r="F65" s="82">
        <v>0</v>
      </c>
      <c r="G65" s="44">
        <f t="shared" si="14"/>
        <v>67.599999999999994</v>
      </c>
      <c r="H65" s="44">
        <f t="shared" si="15"/>
        <v>14.668929172241663</v>
      </c>
      <c r="I65" s="82">
        <v>33</v>
      </c>
      <c r="J65" s="44">
        <f t="shared" si="16"/>
        <v>16.149959491843088</v>
      </c>
      <c r="K65" s="82">
        <v>20</v>
      </c>
      <c r="L65" s="82"/>
      <c r="M65" s="83">
        <v>4.0999999999999996</v>
      </c>
      <c r="N65" s="82">
        <v>1</v>
      </c>
      <c r="O65" s="65">
        <f t="shared" si="17"/>
        <v>12</v>
      </c>
      <c r="P65" s="84" t="str">
        <f t="shared" si="18"/>
        <v>ok!</v>
      </c>
      <c r="Q65" s="85">
        <f t="shared" si="19"/>
        <v>20</v>
      </c>
    </row>
    <row r="66" spans="2:17" ht="12.75" customHeight="1" x14ac:dyDescent="0.2">
      <c r="B66" s="387"/>
      <c r="C66" s="82">
        <v>6</v>
      </c>
      <c r="D66" s="82">
        <v>5</v>
      </c>
      <c r="E66" s="82">
        <v>5</v>
      </c>
      <c r="F66" s="82">
        <v>0</v>
      </c>
      <c r="G66" s="44">
        <f t="shared" si="14"/>
        <v>89</v>
      </c>
      <c r="H66" s="44">
        <f t="shared" si="15"/>
        <v>16.831393249032409</v>
      </c>
      <c r="I66" s="82">
        <v>33</v>
      </c>
      <c r="J66" s="44">
        <f t="shared" si="16"/>
        <v>18.530754083777126</v>
      </c>
      <c r="K66" s="82">
        <v>25</v>
      </c>
      <c r="L66" s="82"/>
      <c r="M66" s="83">
        <v>3.4</v>
      </c>
      <c r="N66" s="82">
        <v>0</v>
      </c>
      <c r="O66" s="65">
        <f t="shared" si="17"/>
        <v>15</v>
      </c>
      <c r="P66" s="84" t="str">
        <f t="shared" si="18"/>
        <v>ok!</v>
      </c>
      <c r="Q66" s="85">
        <f t="shared" si="19"/>
        <v>25</v>
      </c>
    </row>
    <row r="67" spans="2:17" ht="12.75" customHeight="1" x14ac:dyDescent="0.2">
      <c r="B67" s="387"/>
      <c r="C67" s="82">
        <v>7</v>
      </c>
      <c r="D67" s="82">
        <v>3</v>
      </c>
      <c r="E67" s="82">
        <v>5</v>
      </c>
      <c r="F67" s="82">
        <v>0</v>
      </c>
      <c r="G67" s="44">
        <f t="shared" si="14"/>
        <v>74.8</v>
      </c>
      <c r="H67" s="44">
        <f t="shared" si="15"/>
        <v>15.430353037616328</v>
      </c>
      <c r="I67" s="82">
        <v>33</v>
      </c>
      <c r="J67" s="44">
        <f t="shared" si="16"/>
        <v>16.988259577523046</v>
      </c>
      <c r="K67" s="82">
        <v>20</v>
      </c>
      <c r="L67" s="82"/>
      <c r="M67" s="83">
        <v>4.9000000000000004</v>
      </c>
      <c r="N67" s="82">
        <v>1</v>
      </c>
      <c r="O67" s="65">
        <f t="shared" si="17"/>
        <v>12</v>
      </c>
      <c r="P67" s="84" t="str">
        <f t="shared" si="18"/>
        <v>ok!</v>
      </c>
      <c r="Q67" s="85">
        <f t="shared" si="19"/>
        <v>20</v>
      </c>
    </row>
    <row r="68" spans="2:17" ht="12.75" customHeight="1" x14ac:dyDescent="0.2">
      <c r="B68" s="387"/>
      <c r="C68" s="82">
        <v>8</v>
      </c>
      <c r="D68" s="82">
        <v>4</v>
      </c>
      <c r="E68" s="82">
        <v>5</v>
      </c>
      <c r="F68" s="82">
        <v>0</v>
      </c>
      <c r="G68" s="44">
        <f t="shared" si="14"/>
        <v>81.900000000000006</v>
      </c>
      <c r="H68" s="44">
        <f t="shared" si="15"/>
        <v>16.146076823319174</v>
      </c>
      <c r="I68" s="82">
        <v>33</v>
      </c>
      <c r="J68" s="44">
        <f t="shared" si="16"/>
        <v>17.776245531420944</v>
      </c>
      <c r="K68" s="82">
        <v>25</v>
      </c>
      <c r="L68" s="82"/>
      <c r="M68" s="83">
        <v>5.0999999999999996</v>
      </c>
      <c r="N68" s="82">
        <v>1</v>
      </c>
      <c r="O68" s="65">
        <f t="shared" si="17"/>
        <v>12</v>
      </c>
      <c r="P68" s="84" t="str">
        <f t="shared" si="18"/>
        <v>ok!</v>
      </c>
      <c r="Q68" s="85">
        <f t="shared" si="19"/>
        <v>25</v>
      </c>
    </row>
    <row r="69" spans="2:17" ht="12.75" customHeight="1" x14ac:dyDescent="0.2">
      <c r="B69" s="387"/>
      <c r="C69" s="82">
        <v>9</v>
      </c>
      <c r="D69" s="82">
        <v>8</v>
      </c>
      <c r="E69" s="82">
        <v>5</v>
      </c>
      <c r="F69" s="82">
        <v>0</v>
      </c>
      <c r="G69" s="44">
        <f t="shared" si="14"/>
        <v>110.3</v>
      </c>
      <c r="H69" s="44">
        <f t="shared" si="15"/>
        <v>18.73755065265258</v>
      </c>
      <c r="I69" s="82">
        <v>33</v>
      </c>
      <c r="J69" s="44">
        <f t="shared" si="16"/>
        <v>20.62936431579028</v>
      </c>
      <c r="K69" s="82">
        <v>25</v>
      </c>
      <c r="L69" s="82"/>
      <c r="M69" s="83">
        <v>2.15</v>
      </c>
      <c r="N69" s="82">
        <v>0</v>
      </c>
      <c r="O69" s="65">
        <f t="shared" si="17"/>
        <v>15</v>
      </c>
      <c r="P69" s="84" t="str">
        <f t="shared" si="18"/>
        <v>ok!</v>
      </c>
      <c r="Q69" s="85">
        <f t="shared" si="19"/>
        <v>25</v>
      </c>
    </row>
    <row r="70" spans="2:17" ht="12.75" customHeight="1" x14ac:dyDescent="0.2">
      <c r="B70" s="388"/>
      <c r="C70" s="82">
        <v>10</v>
      </c>
      <c r="D70" s="82">
        <v>6</v>
      </c>
      <c r="E70" s="82">
        <v>3</v>
      </c>
      <c r="F70" s="82">
        <v>0</v>
      </c>
      <c r="G70" s="44">
        <f t="shared" si="14"/>
        <v>74.699999999999989</v>
      </c>
      <c r="H70" s="44">
        <f t="shared" si="15"/>
        <v>15.42003518087075</v>
      </c>
      <c r="I70" s="82">
        <v>33</v>
      </c>
      <c r="J70" s="44">
        <f t="shared" si="16"/>
        <v>16.976899991112401</v>
      </c>
      <c r="K70" s="82">
        <v>20</v>
      </c>
      <c r="L70" s="82"/>
      <c r="M70" s="83">
        <v>5.8</v>
      </c>
      <c r="N70" s="82">
        <v>1</v>
      </c>
      <c r="O70" s="65">
        <f t="shared" si="17"/>
        <v>12</v>
      </c>
      <c r="P70" s="84" t="str">
        <f t="shared" si="18"/>
        <v>ok!</v>
      </c>
      <c r="Q70" s="85">
        <f t="shared" si="19"/>
        <v>20</v>
      </c>
    </row>
    <row r="71" spans="2:17" ht="12.75" customHeight="1" x14ac:dyDescent="0.2"/>
    <row r="72" spans="2:17" ht="12.75" customHeight="1" x14ac:dyDescent="0.2"/>
    <row r="73" spans="2:17" ht="26.25" customHeight="1" x14ac:dyDescent="0.2">
      <c r="C73" s="434" t="s">
        <v>143</v>
      </c>
      <c r="D73" s="448" t="s">
        <v>144</v>
      </c>
      <c r="E73" s="384"/>
      <c r="F73" s="385"/>
      <c r="G73" s="434" t="s">
        <v>145</v>
      </c>
      <c r="H73" s="434" t="s">
        <v>146</v>
      </c>
      <c r="I73" s="434" t="s">
        <v>147</v>
      </c>
      <c r="J73" s="434" t="s">
        <v>148</v>
      </c>
      <c r="K73" s="464" t="s">
        <v>149</v>
      </c>
      <c r="L73" s="409"/>
      <c r="M73" s="434" t="s">
        <v>150</v>
      </c>
      <c r="N73" s="434" t="s">
        <v>151</v>
      </c>
      <c r="O73" s="434" t="s">
        <v>152</v>
      </c>
      <c r="P73" s="463" t="s">
        <v>153</v>
      </c>
      <c r="Q73" s="385"/>
    </row>
    <row r="74" spans="2:17" ht="18" customHeight="1" x14ac:dyDescent="0.2">
      <c r="C74" s="388"/>
      <c r="D74" s="80" t="s">
        <v>160</v>
      </c>
      <c r="E74" s="80" t="s">
        <v>161</v>
      </c>
      <c r="F74" s="80" t="s">
        <v>162</v>
      </c>
      <c r="G74" s="388"/>
      <c r="H74" s="388"/>
      <c r="I74" s="388"/>
      <c r="J74" s="388"/>
      <c r="K74" s="465"/>
      <c r="L74" s="391"/>
      <c r="M74" s="388"/>
      <c r="N74" s="388"/>
      <c r="O74" s="388"/>
      <c r="P74" s="2" t="s">
        <v>163</v>
      </c>
      <c r="Q74" s="81" t="s">
        <v>164</v>
      </c>
    </row>
    <row r="75" spans="2:17" ht="12.75" customHeight="1" x14ac:dyDescent="0.2">
      <c r="B75" s="467" t="s">
        <v>434</v>
      </c>
      <c r="C75" s="82">
        <v>1</v>
      </c>
      <c r="D75" s="82">
        <v>6</v>
      </c>
      <c r="E75" s="82">
        <v>3</v>
      </c>
      <c r="F75" s="82">
        <v>0</v>
      </c>
      <c r="G75" s="44">
        <f t="shared" ref="G75:G81" si="20">D75*7.1+E75*10.7+F75*13.8</f>
        <v>74.699999999999989</v>
      </c>
      <c r="H75" s="44">
        <f t="shared" ref="H75:H81" si="21">SQRT(4*G75/(0.4*PI()))</f>
        <v>15.42003518087075</v>
      </c>
      <c r="I75" s="82">
        <v>33</v>
      </c>
      <c r="J75" s="44">
        <f t="shared" ref="J75:J81" si="22">SQRT(4*G75/(I75/100*PI()))</f>
        <v>16.976899991112401</v>
      </c>
      <c r="K75" s="82">
        <v>20</v>
      </c>
      <c r="L75" s="82"/>
      <c r="M75" s="83">
        <v>2.4</v>
      </c>
      <c r="N75" s="82">
        <v>0</v>
      </c>
      <c r="O75" s="65">
        <f t="shared" ref="O75:O81" si="23">IF(L75="x",15-N75*3+6,15-N75*3)</f>
        <v>15</v>
      </c>
      <c r="P75" s="84" t="str">
        <f t="shared" ref="P75:P81" si="24">IF(M75&lt;=O75,"ok!","aumentar 'D'")</f>
        <v>ok!</v>
      </c>
      <c r="Q75" s="85">
        <f t="shared" ref="Q75:Q81" si="25">IF(P75="ok!",K75,"")</f>
        <v>20</v>
      </c>
    </row>
    <row r="76" spans="2:17" ht="12.75" customHeight="1" x14ac:dyDescent="0.2">
      <c r="B76" s="387"/>
      <c r="C76" s="82">
        <v>2</v>
      </c>
      <c r="D76" s="82">
        <v>6</v>
      </c>
      <c r="E76" s="82">
        <v>3</v>
      </c>
      <c r="F76" s="82">
        <v>0</v>
      </c>
      <c r="G76" s="44">
        <f t="shared" si="20"/>
        <v>74.699999999999989</v>
      </c>
      <c r="H76" s="44">
        <f t="shared" si="21"/>
        <v>15.42003518087075</v>
      </c>
      <c r="I76" s="82">
        <v>33</v>
      </c>
      <c r="J76" s="44">
        <f t="shared" si="22"/>
        <v>16.976899991112401</v>
      </c>
      <c r="K76" s="82">
        <v>20</v>
      </c>
      <c r="L76" s="82"/>
      <c r="M76" s="83">
        <v>2.7</v>
      </c>
      <c r="N76" s="82">
        <v>0</v>
      </c>
      <c r="O76" s="65">
        <f t="shared" si="23"/>
        <v>15</v>
      </c>
      <c r="P76" s="84" t="str">
        <f t="shared" si="24"/>
        <v>ok!</v>
      </c>
      <c r="Q76" s="85">
        <f t="shared" si="25"/>
        <v>20</v>
      </c>
    </row>
    <row r="77" spans="2:17" ht="12.75" customHeight="1" x14ac:dyDescent="0.2">
      <c r="B77" s="387"/>
      <c r="C77" s="82">
        <v>3</v>
      </c>
      <c r="D77" s="82">
        <v>9</v>
      </c>
      <c r="E77" s="82">
        <v>3</v>
      </c>
      <c r="F77" s="82">
        <v>0</v>
      </c>
      <c r="G77" s="44">
        <f t="shared" si="20"/>
        <v>96</v>
      </c>
      <c r="H77" s="44">
        <f t="shared" si="21"/>
        <v>17.480774889473267</v>
      </c>
      <c r="I77" s="82">
        <v>33</v>
      </c>
      <c r="J77" s="44">
        <f t="shared" si="22"/>
        <v>19.245699739640827</v>
      </c>
      <c r="K77" s="82">
        <v>25</v>
      </c>
      <c r="L77" s="82"/>
      <c r="M77" s="83">
        <v>5.2</v>
      </c>
      <c r="N77" s="82">
        <v>1</v>
      </c>
      <c r="O77" s="65">
        <f t="shared" si="23"/>
        <v>12</v>
      </c>
      <c r="P77" s="84" t="str">
        <f t="shared" si="24"/>
        <v>ok!</v>
      </c>
      <c r="Q77" s="85">
        <f t="shared" si="25"/>
        <v>25</v>
      </c>
    </row>
    <row r="78" spans="2:17" ht="12.75" customHeight="1" x14ac:dyDescent="0.2">
      <c r="B78" s="387"/>
      <c r="C78" s="82">
        <v>4</v>
      </c>
      <c r="D78" s="82">
        <v>7</v>
      </c>
      <c r="E78" s="82">
        <v>3</v>
      </c>
      <c r="F78" s="82">
        <v>0</v>
      </c>
      <c r="G78" s="44">
        <f t="shared" si="20"/>
        <v>81.799999999999983</v>
      </c>
      <c r="H78" s="44">
        <f t="shared" si="21"/>
        <v>16.136216622812821</v>
      </c>
      <c r="I78" s="82">
        <v>33</v>
      </c>
      <c r="J78" s="44">
        <f t="shared" si="22"/>
        <v>17.765389807946566</v>
      </c>
      <c r="K78" s="82">
        <v>25</v>
      </c>
      <c r="L78" s="82"/>
      <c r="M78" s="83">
        <v>2.2999999999999998</v>
      </c>
      <c r="N78" s="82">
        <v>0</v>
      </c>
      <c r="O78" s="65">
        <f t="shared" si="23"/>
        <v>15</v>
      </c>
      <c r="P78" s="84" t="str">
        <f t="shared" si="24"/>
        <v>ok!</v>
      </c>
      <c r="Q78" s="85">
        <f t="shared" si="25"/>
        <v>25</v>
      </c>
    </row>
    <row r="79" spans="2:17" ht="12.75" customHeight="1" x14ac:dyDescent="0.2">
      <c r="B79" s="387"/>
      <c r="C79" s="82">
        <v>5</v>
      </c>
      <c r="D79" s="82">
        <v>6</v>
      </c>
      <c r="E79" s="82">
        <v>3</v>
      </c>
      <c r="F79" s="82">
        <v>0</v>
      </c>
      <c r="G79" s="44">
        <f t="shared" si="20"/>
        <v>74.699999999999989</v>
      </c>
      <c r="H79" s="44">
        <f t="shared" si="21"/>
        <v>15.42003518087075</v>
      </c>
      <c r="I79" s="82">
        <v>33</v>
      </c>
      <c r="J79" s="44">
        <f t="shared" si="22"/>
        <v>16.976899991112401</v>
      </c>
      <c r="K79" s="82">
        <v>20</v>
      </c>
      <c r="L79" s="82"/>
      <c r="M79" s="83">
        <v>5.2</v>
      </c>
      <c r="N79" s="82">
        <v>1</v>
      </c>
      <c r="O79" s="65">
        <f t="shared" si="23"/>
        <v>12</v>
      </c>
      <c r="P79" s="84" t="str">
        <f t="shared" si="24"/>
        <v>ok!</v>
      </c>
      <c r="Q79" s="85">
        <f t="shared" si="25"/>
        <v>20</v>
      </c>
    </row>
    <row r="80" spans="2:17" ht="12.75" customHeight="1" x14ac:dyDescent="0.2">
      <c r="B80" s="387"/>
      <c r="C80" s="82">
        <v>6</v>
      </c>
      <c r="D80" s="82">
        <v>2</v>
      </c>
      <c r="E80" s="82">
        <v>5</v>
      </c>
      <c r="F80" s="82">
        <v>0</v>
      </c>
      <c r="G80" s="44">
        <f t="shared" si="20"/>
        <v>67.7</v>
      </c>
      <c r="H80" s="44">
        <f t="shared" si="21"/>
        <v>14.679774962390475</v>
      </c>
      <c r="I80" s="82">
        <v>33</v>
      </c>
      <c r="J80" s="44">
        <f t="shared" si="22"/>
        <v>16.161900313801095</v>
      </c>
      <c r="K80" s="82">
        <v>20</v>
      </c>
      <c r="L80" s="82"/>
      <c r="M80" s="83">
        <v>2.7</v>
      </c>
      <c r="N80" s="82">
        <v>1</v>
      </c>
      <c r="O80" s="65">
        <f t="shared" si="23"/>
        <v>12</v>
      </c>
      <c r="P80" s="84" t="str">
        <f t="shared" si="24"/>
        <v>ok!</v>
      </c>
      <c r="Q80" s="85">
        <f t="shared" si="25"/>
        <v>20</v>
      </c>
    </row>
    <row r="81" spans="2:17" ht="12.75" customHeight="1" x14ac:dyDescent="0.2">
      <c r="B81" s="388"/>
      <c r="C81" s="82">
        <v>7</v>
      </c>
      <c r="D81" s="82">
        <v>2</v>
      </c>
      <c r="E81" s="82">
        <v>7</v>
      </c>
      <c r="F81" s="82">
        <v>0</v>
      </c>
      <c r="G81" s="44">
        <f t="shared" si="20"/>
        <v>89.1</v>
      </c>
      <c r="H81" s="44">
        <f t="shared" si="21"/>
        <v>16.840846433292999</v>
      </c>
      <c r="I81" s="82">
        <v>33</v>
      </c>
      <c r="J81" s="44">
        <f t="shared" si="22"/>
        <v>18.5411616971131</v>
      </c>
      <c r="K81" s="82">
        <v>25</v>
      </c>
      <c r="L81" s="82"/>
      <c r="M81" s="83">
        <v>4.2</v>
      </c>
      <c r="N81" s="82">
        <v>1</v>
      </c>
      <c r="O81" s="65">
        <f t="shared" si="23"/>
        <v>12</v>
      </c>
      <c r="P81" s="84" t="str">
        <f t="shared" si="24"/>
        <v>ok!</v>
      </c>
      <c r="Q81" s="85">
        <f t="shared" si="25"/>
        <v>25</v>
      </c>
    </row>
    <row r="82" spans="2:17" ht="12.75" customHeight="1" x14ac:dyDescent="0.2"/>
    <row r="83" spans="2:17" ht="12.75" customHeight="1" x14ac:dyDescent="0.2"/>
    <row r="84" spans="2:17" ht="13.5" customHeight="1" x14ac:dyDescent="0.2"/>
    <row r="85" spans="2:17" ht="13.5" customHeight="1" x14ac:dyDescent="0.2">
      <c r="B85" s="1"/>
      <c r="C85" s="396" t="s">
        <v>172</v>
      </c>
      <c r="D85" s="397"/>
      <c r="E85" s="397"/>
      <c r="F85" s="397"/>
      <c r="G85" s="397"/>
      <c r="H85" s="397"/>
      <c r="I85" s="397"/>
      <c r="J85" s="397"/>
      <c r="K85" s="397"/>
      <c r="L85" s="397"/>
      <c r="M85" s="397"/>
      <c r="N85" s="397"/>
      <c r="O85" s="397"/>
      <c r="P85" s="397"/>
      <c r="Q85" s="398"/>
    </row>
    <row r="86" spans="2:17" ht="7.5" customHeight="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2:17" ht="21.75" customHeight="1" x14ac:dyDescent="0.2">
      <c r="B87" s="1"/>
      <c r="C87" s="458" t="s">
        <v>143</v>
      </c>
      <c r="D87" s="476" t="s">
        <v>144</v>
      </c>
      <c r="E87" s="422"/>
      <c r="F87" s="423"/>
      <c r="G87" s="418" t="s">
        <v>145</v>
      </c>
      <c r="H87" s="418" t="s">
        <v>146</v>
      </c>
      <c r="I87" s="418" t="s">
        <v>147</v>
      </c>
      <c r="J87" s="418" t="s">
        <v>148</v>
      </c>
      <c r="K87" s="472" t="s">
        <v>149</v>
      </c>
      <c r="L87" s="473"/>
      <c r="M87" s="418" t="s">
        <v>150</v>
      </c>
      <c r="N87" s="418" t="s">
        <v>151</v>
      </c>
      <c r="O87" s="418" t="s">
        <v>152</v>
      </c>
      <c r="P87" s="466" t="s">
        <v>153</v>
      </c>
      <c r="Q87" s="426"/>
    </row>
    <row r="88" spans="2:17" ht="18" customHeight="1" x14ac:dyDescent="0.2">
      <c r="B88" s="1"/>
      <c r="C88" s="430"/>
      <c r="D88" s="92" t="s">
        <v>160</v>
      </c>
      <c r="E88" s="92" t="s">
        <v>161</v>
      </c>
      <c r="F88" s="92" t="s">
        <v>162</v>
      </c>
      <c r="G88" s="433"/>
      <c r="H88" s="433"/>
      <c r="I88" s="433"/>
      <c r="J88" s="433"/>
      <c r="K88" s="474"/>
      <c r="L88" s="475"/>
      <c r="M88" s="433"/>
      <c r="N88" s="433"/>
      <c r="O88" s="433"/>
      <c r="P88" s="93" t="s">
        <v>163</v>
      </c>
      <c r="Q88" s="94" t="s">
        <v>164</v>
      </c>
    </row>
    <row r="89" spans="2:17" ht="12.75" customHeight="1" x14ac:dyDescent="0.2">
      <c r="B89" s="447" t="s">
        <v>432</v>
      </c>
      <c r="C89" s="95">
        <v>1</v>
      </c>
      <c r="D89" s="96">
        <v>0</v>
      </c>
      <c r="E89" s="96">
        <v>4</v>
      </c>
      <c r="F89" s="96">
        <v>3</v>
      </c>
      <c r="G89" s="41">
        <f t="shared" ref="G89:G120" si="26">D89*7.1+E89*10.7+F89*13.8</f>
        <v>84.2</v>
      </c>
      <c r="H89" s="41">
        <f t="shared" ref="H89:H120" si="27">SQRT(4*G89/(0.4*PI()))</f>
        <v>16.371222439596615</v>
      </c>
      <c r="I89" s="96">
        <v>33</v>
      </c>
      <c r="J89" s="41">
        <f t="shared" ref="J89:J120" si="28">SQRT(4*G89/(I89/100*PI()))</f>
        <v>18.02412269681945</v>
      </c>
      <c r="K89" s="96">
        <v>25</v>
      </c>
      <c r="L89" s="96"/>
      <c r="M89" s="97">
        <v>7.6</v>
      </c>
      <c r="N89" s="96">
        <v>1</v>
      </c>
      <c r="O89" s="98">
        <f t="shared" ref="O89:O120" si="29">IF(L89="x",15-N89*3+6,15-N89*3)</f>
        <v>12</v>
      </c>
      <c r="P89" s="99" t="str">
        <f t="shared" ref="P89:P120" si="30">IF(M89&lt;=O89,"ok!","aumentar 'D'")</f>
        <v>ok!</v>
      </c>
      <c r="Q89" s="100">
        <f t="shared" ref="Q89:Q120" si="31">IF(P89="ok!",K89,"")</f>
        <v>25</v>
      </c>
    </row>
    <row r="90" spans="2:17" ht="12.75" customHeight="1" x14ac:dyDescent="0.2">
      <c r="B90" s="387"/>
      <c r="C90" s="101">
        <v>2</v>
      </c>
      <c r="D90" s="82">
        <v>2</v>
      </c>
      <c r="E90" s="82">
        <v>5</v>
      </c>
      <c r="F90" s="82">
        <v>0</v>
      </c>
      <c r="G90" s="44">
        <f t="shared" si="26"/>
        <v>67.7</v>
      </c>
      <c r="H90" s="44">
        <f t="shared" si="27"/>
        <v>14.679774962390475</v>
      </c>
      <c r="I90" s="82">
        <v>33</v>
      </c>
      <c r="J90" s="44">
        <f t="shared" si="28"/>
        <v>16.161900313801095</v>
      </c>
      <c r="K90" s="82">
        <v>20</v>
      </c>
      <c r="L90" s="82"/>
      <c r="M90" s="83">
        <v>6.2</v>
      </c>
      <c r="N90" s="82">
        <v>1</v>
      </c>
      <c r="O90" s="65">
        <f t="shared" si="29"/>
        <v>12</v>
      </c>
      <c r="P90" s="84" t="str">
        <f t="shared" si="30"/>
        <v>ok!</v>
      </c>
      <c r="Q90" s="102">
        <f t="shared" si="31"/>
        <v>20</v>
      </c>
    </row>
    <row r="91" spans="2:17" ht="12.75" customHeight="1" x14ac:dyDescent="0.2">
      <c r="B91" s="387"/>
      <c r="C91" s="101">
        <v>3</v>
      </c>
      <c r="D91" s="82">
        <v>2</v>
      </c>
      <c r="E91" s="82">
        <v>4</v>
      </c>
      <c r="F91" s="82">
        <v>3</v>
      </c>
      <c r="G91" s="44">
        <f t="shared" si="26"/>
        <v>98.4</v>
      </c>
      <c r="H91" s="44">
        <f t="shared" si="27"/>
        <v>17.697935698969246</v>
      </c>
      <c r="I91" s="82">
        <v>33</v>
      </c>
      <c r="J91" s="44">
        <f t="shared" si="28"/>
        <v>19.484785922101409</v>
      </c>
      <c r="K91" s="82">
        <v>25</v>
      </c>
      <c r="L91" s="82"/>
      <c r="M91" s="83">
        <v>3.6</v>
      </c>
      <c r="N91" s="82">
        <v>1</v>
      </c>
      <c r="O91" s="65">
        <f t="shared" si="29"/>
        <v>12</v>
      </c>
      <c r="P91" s="84" t="str">
        <f t="shared" si="30"/>
        <v>ok!</v>
      </c>
      <c r="Q91" s="102">
        <f t="shared" si="31"/>
        <v>25</v>
      </c>
    </row>
    <row r="92" spans="2:17" ht="12.75" customHeight="1" x14ac:dyDescent="0.2">
      <c r="B92" s="387"/>
      <c r="C92" s="101">
        <v>4</v>
      </c>
      <c r="D92" s="82">
        <v>0</v>
      </c>
      <c r="E92" s="82">
        <v>4</v>
      </c>
      <c r="F92" s="82">
        <v>3</v>
      </c>
      <c r="G92" s="44">
        <f t="shared" si="26"/>
        <v>84.2</v>
      </c>
      <c r="H92" s="44">
        <f t="shared" si="27"/>
        <v>16.371222439596615</v>
      </c>
      <c r="I92" s="82">
        <v>33</v>
      </c>
      <c r="J92" s="44">
        <f t="shared" si="28"/>
        <v>18.02412269681945</v>
      </c>
      <c r="K92" s="82">
        <v>25</v>
      </c>
      <c r="L92" s="82"/>
      <c r="M92" s="83">
        <v>4.2</v>
      </c>
      <c r="N92" s="82">
        <v>1</v>
      </c>
      <c r="O92" s="65">
        <f t="shared" si="29"/>
        <v>12</v>
      </c>
      <c r="P92" s="84" t="str">
        <f t="shared" si="30"/>
        <v>ok!</v>
      </c>
      <c r="Q92" s="102">
        <f t="shared" si="31"/>
        <v>25</v>
      </c>
    </row>
    <row r="93" spans="2:17" ht="12.75" customHeight="1" x14ac:dyDescent="0.2">
      <c r="B93" s="387"/>
      <c r="C93" s="101">
        <v>5</v>
      </c>
      <c r="D93" s="82">
        <v>2</v>
      </c>
      <c r="E93" s="82">
        <v>2</v>
      </c>
      <c r="F93" s="82">
        <v>7</v>
      </c>
      <c r="G93" s="44">
        <f t="shared" si="26"/>
        <v>132.19999999999999</v>
      </c>
      <c r="H93" s="44">
        <f t="shared" si="27"/>
        <v>20.513548438409462</v>
      </c>
      <c r="I93" s="82">
        <v>33</v>
      </c>
      <c r="J93" s="44">
        <f t="shared" si="28"/>
        <v>22.584673524853255</v>
      </c>
      <c r="K93" s="82">
        <v>32</v>
      </c>
      <c r="L93" s="82"/>
      <c r="M93" s="83">
        <v>3.3</v>
      </c>
      <c r="N93" s="82">
        <v>1</v>
      </c>
      <c r="O93" s="65">
        <f t="shared" si="29"/>
        <v>12</v>
      </c>
      <c r="P93" s="84" t="str">
        <f t="shared" si="30"/>
        <v>ok!</v>
      </c>
      <c r="Q93" s="102">
        <f t="shared" si="31"/>
        <v>32</v>
      </c>
    </row>
    <row r="94" spans="2:17" ht="12.75" customHeight="1" x14ac:dyDescent="0.2">
      <c r="B94" s="387"/>
      <c r="C94" s="101">
        <v>6</v>
      </c>
      <c r="D94" s="82">
        <v>7</v>
      </c>
      <c r="E94" s="82">
        <v>5</v>
      </c>
      <c r="F94" s="82">
        <v>0</v>
      </c>
      <c r="G94" s="44">
        <f t="shared" si="26"/>
        <v>103.19999999999999</v>
      </c>
      <c r="H94" s="44">
        <f t="shared" si="27"/>
        <v>18.124453165314311</v>
      </c>
      <c r="I94" s="82">
        <v>33</v>
      </c>
      <c r="J94" s="44">
        <f t="shared" si="28"/>
        <v>19.954366197740828</v>
      </c>
      <c r="K94" s="82">
        <v>25</v>
      </c>
      <c r="L94" s="82"/>
      <c r="M94" s="83">
        <v>3.1</v>
      </c>
      <c r="N94" s="82">
        <v>0</v>
      </c>
      <c r="O94" s="65">
        <f t="shared" si="29"/>
        <v>15</v>
      </c>
      <c r="P94" s="84" t="str">
        <f t="shared" si="30"/>
        <v>ok!</v>
      </c>
      <c r="Q94" s="102">
        <f t="shared" si="31"/>
        <v>25</v>
      </c>
    </row>
    <row r="95" spans="2:17" ht="12.75" customHeight="1" x14ac:dyDescent="0.2">
      <c r="B95" s="387"/>
      <c r="C95" s="101">
        <v>7</v>
      </c>
      <c r="D95" s="82">
        <v>5</v>
      </c>
      <c r="E95" s="82">
        <v>3</v>
      </c>
      <c r="F95" s="82">
        <v>0</v>
      </c>
      <c r="G95" s="44">
        <f t="shared" si="26"/>
        <v>67.599999999999994</v>
      </c>
      <c r="H95" s="44">
        <f t="shared" si="27"/>
        <v>14.668929172241663</v>
      </c>
      <c r="I95" s="82">
        <v>33</v>
      </c>
      <c r="J95" s="44">
        <f t="shared" si="28"/>
        <v>16.149959491843088</v>
      </c>
      <c r="K95" s="82">
        <v>20</v>
      </c>
      <c r="L95" s="82"/>
      <c r="M95" s="83">
        <v>6.2</v>
      </c>
      <c r="N95" s="82">
        <v>1</v>
      </c>
      <c r="O95" s="65">
        <f t="shared" si="29"/>
        <v>12</v>
      </c>
      <c r="P95" s="84" t="str">
        <f t="shared" si="30"/>
        <v>ok!</v>
      </c>
      <c r="Q95" s="102">
        <f t="shared" si="31"/>
        <v>20</v>
      </c>
    </row>
    <row r="96" spans="2:17" ht="12.75" customHeight="1" x14ac:dyDescent="0.2">
      <c r="B96" s="387"/>
      <c r="C96" s="101">
        <v>8</v>
      </c>
      <c r="D96" s="82">
        <v>2</v>
      </c>
      <c r="E96" s="82">
        <v>5</v>
      </c>
      <c r="F96" s="82">
        <v>0</v>
      </c>
      <c r="G96" s="44">
        <f t="shared" si="26"/>
        <v>67.7</v>
      </c>
      <c r="H96" s="44">
        <f t="shared" si="27"/>
        <v>14.679774962390475</v>
      </c>
      <c r="I96" s="82">
        <v>33</v>
      </c>
      <c r="J96" s="44">
        <f t="shared" si="28"/>
        <v>16.161900313801095</v>
      </c>
      <c r="K96" s="82">
        <v>20</v>
      </c>
      <c r="L96" s="82"/>
      <c r="M96" s="83">
        <v>4.4000000000000004</v>
      </c>
      <c r="N96" s="82">
        <v>0</v>
      </c>
      <c r="O96" s="65">
        <f t="shared" si="29"/>
        <v>15</v>
      </c>
      <c r="P96" s="84" t="str">
        <f t="shared" si="30"/>
        <v>ok!</v>
      </c>
      <c r="Q96" s="102">
        <f t="shared" si="31"/>
        <v>20</v>
      </c>
    </row>
    <row r="97" spans="2:17" ht="12.75" customHeight="1" x14ac:dyDescent="0.2">
      <c r="B97" s="387"/>
      <c r="C97" s="101">
        <v>9</v>
      </c>
      <c r="D97" s="82">
        <v>9</v>
      </c>
      <c r="E97" s="82">
        <v>3</v>
      </c>
      <c r="F97" s="82">
        <v>0</v>
      </c>
      <c r="G97" s="44">
        <f t="shared" si="26"/>
        <v>96</v>
      </c>
      <c r="H97" s="44">
        <f t="shared" si="27"/>
        <v>17.480774889473267</v>
      </c>
      <c r="I97" s="82">
        <v>33</v>
      </c>
      <c r="J97" s="44">
        <f t="shared" si="28"/>
        <v>19.245699739640827</v>
      </c>
      <c r="K97" s="82">
        <v>25</v>
      </c>
      <c r="L97" s="82"/>
      <c r="M97" s="83">
        <v>5.6</v>
      </c>
      <c r="N97" s="82">
        <v>1</v>
      </c>
      <c r="O97" s="65">
        <f t="shared" si="29"/>
        <v>12</v>
      </c>
      <c r="P97" s="84" t="str">
        <f t="shared" si="30"/>
        <v>ok!</v>
      </c>
      <c r="Q97" s="102">
        <f t="shared" si="31"/>
        <v>25</v>
      </c>
    </row>
    <row r="98" spans="2:17" ht="12.75" customHeight="1" x14ac:dyDescent="0.2">
      <c r="B98" s="387"/>
      <c r="C98" s="101">
        <v>10</v>
      </c>
      <c r="D98" s="82">
        <v>4</v>
      </c>
      <c r="E98" s="82">
        <v>5</v>
      </c>
      <c r="F98" s="82">
        <v>0</v>
      </c>
      <c r="G98" s="44">
        <f t="shared" si="26"/>
        <v>81.900000000000006</v>
      </c>
      <c r="H98" s="44">
        <f t="shared" si="27"/>
        <v>16.146076823319174</v>
      </c>
      <c r="I98" s="82">
        <v>33</v>
      </c>
      <c r="J98" s="44">
        <f t="shared" si="28"/>
        <v>17.776245531420944</v>
      </c>
      <c r="K98" s="82">
        <v>25</v>
      </c>
      <c r="L98" s="82"/>
      <c r="M98" s="83">
        <v>5.2</v>
      </c>
      <c r="N98" s="82">
        <v>1</v>
      </c>
      <c r="O98" s="65">
        <f t="shared" si="29"/>
        <v>12</v>
      </c>
      <c r="P98" s="84" t="str">
        <f t="shared" si="30"/>
        <v>ok!</v>
      </c>
      <c r="Q98" s="102">
        <f t="shared" si="31"/>
        <v>25</v>
      </c>
    </row>
    <row r="99" spans="2:17" ht="12.75" customHeight="1" x14ac:dyDescent="0.2">
      <c r="B99" s="387"/>
      <c r="C99" s="101">
        <v>11</v>
      </c>
      <c r="D99" s="82">
        <v>4</v>
      </c>
      <c r="E99" s="82">
        <v>5</v>
      </c>
      <c r="F99" s="82">
        <v>0</v>
      </c>
      <c r="G99" s="44">
        <f t="shared" si="26"/>
        <v>81.900000000000006</v>
      </c>
      <c r="H99" s="44">
        <f t="shared" si="27"/>
        <v>16.146076823319174</v>
      </c>
      <c r="I99" s="82">
        <v>33</v>
      </c>
      <c r="J99" s="44">
        <f t="shared" si="28"/>
        <v>17.776245531420944</v>
      </c>
      <c r="K99" s="82">
        <v>25</v>
      </c>
      <c r="L99" s="82"/>
      <c r="M99" s="83">
        <v>5.0999999999999996</v>
      </c>
      <c r="N99" s="82">
        <v>1</v>
      </c>
      <c r="O99" s="65">
        <f t="shared" si="29"/>
        <v>12</v>
      </c>
      <c r="P99" s="84" t="str">
        <f t="shared" si="30"/>
        <v>ok!</v>
      </c>
      <c r="Q99" s="102">
        <f t="shared" si="31"/>
        <v>25</v>
      </c>
    </row>
    <row r="100" spans="2:17" ht="12.75" customHeight="1" x14ac:dyDescent="0.2">
      <c r="B100" s="387"/>
      <c r="C100" s="101">
        <v>12</v>
      </c>
      <c r="D100" s="82">
        <v>2</v>
      </c>
      <c r="E100" s="82">
        <v>2</v>
      </c>
      <c r="F100" s="82">
        <v>3</v>
      </c>
      <c r="G100" s="44">
        <f t="shared" si="26"/>
        <v>77</v>
      </c>
      <c r="H100" s="44">
        <f t="shared" si="27"/>
        <v>15.655625581928012</v>
      </c>
      <c r="I100" s="82">
        <v>33</v>
      </c>
      <c r="J100" s="44">
        <f t="shared" si="28"/>
        <v>17.236276486088034</v>
      </c>
      <c r="K100" s="82">
        <v>20</v>
      </c>
      <c r="L100" s="82"/>
      <c r="M100" s="83">
        <v>4.9000000000000004</v>
      </c>
      <c r="N100" s="82">
        <v>0</v>
      </c>
      <c r="O100" s="65">
        <f t="shared" si="29"/>
        <v>15</v>
      </c>
      <c r="P100" s="84" t="str">
        <f t="shared" si="30"/>
        <v>ok!</v>
      </c>
      <c r="Q100" s="102">
        <f t="shared" si="31"/>
        <v>20</v>
      </c>
    </row>
    <row r="101" spans="2:17" ht="12.75" customHeight="1" x14ac:dyDescent="0.2">
      <c r="B101" s="387"/>
      <c r="C101" s="101">
        <v>13</v>
      </c>
      <c r="D101" s="82">
        <v>3</v>
      </c>
      <c r="E101" s="82">
        <v>3</v>
      </c>
      <c r="F101" s="82">
        <v>0</v>
      </c>
      <c r="G101" s="44">
        <f t="shared" si="26"/>
        <v>53.399999999999991</v>
      </c>
      <c r="H101" s="44">
        <f t="shared" si="27"/>
        <v>13.037541149394091</v>
      </c>
      <c r="I101" s="82">
        <v>33</v>
      </c>
      <c r="J101" s="44">
        <f t="shared" si="28"/>
        <v>14.353860391826776</v>
      </c>
      <c r="K101" s="82">
        <v>20</v>
      </c>
      <c r="L101" s="82"/>
      <c r="M101" s="83">
        <v>5.4</v>
      </c>
      <c r="N101" s="82">
        <v>1</v>
      </c>
      <c r="O101" s="65">
        <f t="shared" si="29"/>
        <v>12</v>
      </c>
      <c r="P101" s="84" t="str">
        <f t="shared" si="30"/>
        <v>ok!</v>
      </c>
      <c r="Q101" s="102">
        <f t="shared" si="31"/>
        <v>20</v>
      </c>
    </row>
    <row r="102" spans="2:17" ht="12.75" customHeight="1" x14ac:dyDescent="0.2">
      <c r="B102" s="387"/>
      <c r="C102" s="101">
        <v>14</v>
      </c>
      <c r="D102" s="82">
        <v>3</v>
      </c>
      <c r="E102" s="82">
        <v>3</v>
      </c>
      <c r="F102" s="82">
        <v>0</v>
      </c>
      <c r="G102" s="44">
        <f t="shared" si="26"/>
        <v>53.399999999999991</v>
      </c>
      <c r="H102" s="44">
        <f t="shared" si="27"/>
        <v>13.037541149394091</v>
      </c>
      <c r="I102" s="82">
        <v>33</v>
      </c>
      <c r="J102" s="44">
        <f t="shared" si="28"/>
        <v>14.353860391826776</v>
      </c>
      <c r="K102" s="82">
        <v>20</v>
      </c>
      <c r="L102" s="82"/>
      <c r="M102" s="83">
        <v>5.0999999999999996</v>
      </c>
      <c r="N102" s="82">
        <v>1</v>
      </c>
      <c r="O102" s="65">
        <f t="shared" si="29"/>
        <v>12</v>
      </c>
      <c r="P102" s="84" t="str">
        <f t="shared" si="30"/>
        <v>ok!</v>
      </c>
      <c r="Q102" s="102">
        <f t="shared" si="31"/>
        <v>20</v>
      </c>
    </row>
    <row r="103" spans="2:17" ht="13.5" customHeight="1" x14ac:dyDescent="0.2">
      <c r="B103" s="388"/>
      <c r="C103" s="103">
        <v>15</v>
      </c>
      <c r="D103" s="104">
        <v>2</v>
      </c>
      <c r="E103" s="104">
        <v>2</v>
      </c>
      <c r="F103" s="104">
        <v>3</v>
      </c>
      <c r="G103" s="48">
        <f t="shared" si="26"/>
        <v>77</v>
      </c>
      <c r="H103" s="48">
        <f t="shared" si="27"/>
        <v>15.655625581928012</v>
      </c>
      <c r="I103" s="104">
        <v>33</v>
      </c>
      <c r="J103" s="48">
        <f t="shared" si="28"/>
        <v>17.236276486088034</v>
      </c>
      <c r="K103" s="104">
        <v>25</v>
      </c>
      <c r="L103" s="104"/>
      <c r="M103" s="105">
        <v>3.7</v>
      </c>
      <c r="N103" s="104">
        <v>0</v>
      </c>
      <c r="O103" s="106">
        <f t="shared" si="29"/>
        <v>15</v>
      </c>
      <c r="P103" s="107" t="str">
        <f t="shared" si="30"/>
        <v>ok!</v>
      </c>
      <c r="Q103" s="108">
        <f t="shared" si="31"/>
        <v>25</v>
      </c>
    </row>
    <row r="104" spans="2:17" ht="12.75" customHeight="1" x14ac:dyDescent="0.2">
      <c r="B104" s="447" t="s">
        <v>435</v>
      </c>
      <c r="C104" s="95">
        <v>1</v>
      </c>
      <c r="D104" s="96">
        <v>2</v>
      </c>
      <c r="E104" s="96">
        <v>4</v>
      </c>
      <c r="F104" s="96">
        <v>7</v>
      </c>
      <c r="G104" s="41">
        <f t="shared" si="26"/>
        <v>153.60000000000002</v>
      </c>
      <c r="H104" s="41">
        <f t="shared" si="27"/>
        <v>22.111625566165472</v>
      </c>
      <c r="I104" s="96">
        <v>33</v>
      </c>
      <c r="J104" s="41">
        <f t="shared" si="28"/>
        <v>24.344098536389833</v>
      </c>
      <c r="K104" s="96">
        <v>32</v>
      </c>
      <c r="L104" s="96"/>
      <c r="M104" s="97">
        <v>2.5</v>
      </c>
      <c r="N104" s="96">
        <v>1</v>
      </c>
      <c r="O104" s="98">
        <f t="shared" si="29"/>
        <v>12</v>
      </c>
      <c r="P104" s="99" t="str">
        <f t="shared" si="30"/>
        <v>ok!</v>
      </c>
      <c r="Q104" s="100">
        <f t="shared" si="31"/>
        <v>32</v>
      </c>
    </row>
    <row r="105" spans="2:17" ht="12.75" customHeight="1" x14ac:dyDescent="0.2">
      <c r="B105" s="387"/>
      <c r="C105" s="101">
        <v>2</v>
      </c>
      <c r="D105" s="82">
        <v>2</v>
      </c>
      <c r="E105" s="82">
        <v>6</v>
      </c>
      <c r="F105" s="82">
        <v>3</v>
      </c>
      <c r="G105" s="44">
        <f t="shared" si="26"/>
        <v>119.8</v>
      </c>
      <c r="H105" s="44">
        <f t="shared" si="27"/>
        <v>19.527806933913016</v>
      </c>
      <c r="I105" s="82">
        <v>33</v>
      </c>
      <c r="J105" s="44">
        <f t="shared" si="28"/>
        <v>21.499407846621523</v>
      </c>
      <c r="K105" s="82">
        <v>32</v>
      </c>
      <c r="L105" s="82"/>
      <c r="M105" s="83">
        <v>2.2999999999999998</v>
      </c>
      <c r="N105" s="82">
        <v>1</v>
      </c>
      <c r="O105" s="65">
        <f t="shared" si="29"/>
        <v>12</v>
      </c>
      <c r="P105" s="84" t="str">
        <f t="shared" si="30"/>
        <v>ok!</v>
      </c>
      <c r="Q105" s="102">
        <f t="shared" si="31"/>
        <v>32</v>
      </c>
    </row>
    <row r="106" spans="2:17" ht="12.75" customHeight="1" x14ac:dyDescent="0.2">
      <c r="B106" s="387"/>
      <c r="C106" s="101">
        <v>3</v>
      </c>
      <c r="D106" s="82">
        <v>2</v>
      </c>
      <c r="E106" s="82">
        <v>6</v>
      </c>
      <c r="F106" s="82">
        <v>3</v>
      </c>
      <c r="G106" s="44">
        <f t="shared" si="26"/>
        <v>119.8</v>
      </c>
      <c r="H106" s="44">
        <f t="shared" si="27"/>
        <v>19.527806933913016</v>
      </c>
      <c r="I106" s="82">
        <v>33</v>
      </c>
      <c r="J106" s="44">
        <f t="shared" si="28"/>
        <v>21.499407846621523</v>
      </c>
      <c r="K106" s="82">
        <v>32</v>
      </c>
      <c r="L106" s="82"/>
      <c r="M106" s="83">
        <v>5.7</v>
      </c>
      <c r="N106" s="82">
        <v>1</v>
      </c>
      <c r="O106" s="65">
        <f t="shared" si="29"/>
        <v>12</v>
      </c>
      <c r="P106" s="84" t="str">
        <f t="shared" si="30"/>
        <v>ok!</v>
      </c>
      <c r="Q106" s="102">
        <f t="shared" si="31"/>
        <v>32</v>
      </c>
    </row>
    <row r="107" spans="2:17" ht="12.75" customHeight="1" x14ac:dyDescent="0.2">
      <c r="B107" s="387"/>
      <c r="C107" s="101">
        <v>4</v>
      </c>
      <c r="D107" s="82">
        <v>2</v>
      </c>
      <c r="E107" s="82">
        <v>2</v>
      </c>
      <c r="F107" s="82">
        <v>3</v>
      </c>
      <c r="G107" s="44">
        <f t="shared" si="26"/>
        <v>77</v>
      </c>
      <c r="H107" s="44">
        <f t="shared" si="27"/>
        <v>15.655625581928012</v>
      </c>
      <c r="I107" s="82">
        <v>33</v>
      </c>
      <c r="J107" s="44">
        <f t="shared" si="28"/>
        <v>17.236276486088034</v>
      </c>
      <c r="K107" s="82">
        <v>25</v>
      </c>
      <c r="L107" s="82"/>
      <c r="M107" s="83">
        <v>3.7</v>
      </c>
      <c r="N107" s="82">
        <v>0</v>
      </c>
      <c r="O107" s="65">
        <f t="shared" si="29"/>
        <v>15</v>
      </c>
      <c r="P107" s="84" t="str">
        <f t="shared" si="30"/>
        <v>ok!</v>
      </c>
      <c r="Q107" s="102">
        <f t="shared" si="31"/>
        <v>25</v>
      </c>
    </row>
    <row r="108" spans="2:17" ht="12.75" customHeight="1" x14ac:dyDescent="0.2">
      <c r="B108" s="387"/>
      <c r="C108" s="101">
        <v>5</v>
      </c>
      <c r="D108" s="82">
        <v>5</v>
      </c>
      <c r="E108" s="82">
        <v>3</v>
      </c>
      <c r="F108" s="82">
        <v>0</v>
      </c>
      <c r="G108" s="44">
        <f t="shared" si="26"/>
        <v>67.599999999999994</v>
      </c>
      <c r="H108" s="44">
        <f t="shared" si="27"/>
        <v>14.668929172241663</v>
      </c>
      <c r="I108" s="82">
        <v>33</v>
      </c>
      <c r="J108" s="44">
        <f t="shared" si="28"/>
        <v>16.149959491843088</v>
      </c>
      <c r="K108" s="82">
        <v>20</v>
      </c>
      <c r="L108" s="82"/>
      <c r="M108" s="83">
        <v>4.0999999999999996</v>
      </c>
      <c r="N108" s="82">
        <v>1</v>
      </c>
      <c r="O108" s="65">
        <f t="shared" si="29"/>
        <v>12</v>
      </c>
      <c r="P108" s="84" t="str">
        <f t="shared" si="30"/>
        <v>ok!</v>
      </c>
      <c r="Q108" s="102">
        <f t="shared" si="31"/>
        <v>20</v>
      </c>
    </row>
    <row r="109" spans="2:17" ht="12.75" customHeight="1" x14ac:dyDescent="0.2">
      <c r="B109" s="387"/>
      <c r="C109" s="101">
        <v>6</v>
      </c>
      <c r="D109" s="82">
        <v>5</v>
      </c>
      <c r="E109" s="82">
        <v>5</v>
      </c>
      <c r="F109" s="82">
        <v>0</v>
      </c>
      <c r="G109" s="44">
        <f t="shared" si="26"/>
        <v>89</v>
      </c>
      <c r="H109" s="44">
        <f t="shared" si="27"/>
        <v>16.831393249032409</v>
      </c>
      <c r="I109" s="82">
        <v>33</v>
      </c>
      <c r="J109" s="44">
        <f t="shared" si="28"/>
        <v>18.530754083777126</v>
      </c>
      <c r="K109" s="82">
        <v>25</v>
      </c>
      <c r="L109" s="82"/>
      <c r="M109" s="83">
        <v>3.4</v>
      </c>
      <c r="N109" s="82">
        <v>0</v>
      </c>
      <c r="O109" s="65">
        <f t="shared" si="29"/>
        <v>15</v>
      </c>
      <c r="P109" s="84" t="str">
        <f t="shared" si="30"/>
        <v>ok!</v>
      </c>
      <c r="Q109" s="102">
        <f t="shared" si="31"/>
        <v>25</v>
      </c>
    </row>
    <row r="110" spans="2:17" ht="12.75" customHeight="1" x14ac:dyDescent="0.2">
      <c r="B110" s="387"/>
      <c r="C110" s="101">
        <v>7</v>
      </c>
      <c r="D110" s="82">
        <v>3</v>
      </c>
      <c r="E110" s="82">
        <v>5</v>
      </c>
      <c r="F110" s="82">
        <v>0</v>
      </c>
      <c r="G110" s="44">
        <f t="shared" si="26"/>
        <v>74.8</v>
      </c>
      <c r="H110" s="44">
        <f t="shared" si="27"/>
        <v>15.430353037616328</v>
      </c>
      <c r="I110" s="82">
        <v>33</v>
      </c>
      <c r="J110" s="44">
        <f t="shared" si="28"/>
        <v>16.988259577523046</v>
      </c>
      <c r="K110" s="82">
        <v>20</v>
      </c>
      <c r="L110" s="82"/>
      <c r="M110" s="83">
        <v>4.9000000000000004</v>
      </c>
      <c r="N110" s="82">
        <v>1</v>
      </c>
      <c r="O110" s="65">
        <f t="shared" si="29"/>
        <v>12</v>
      </c>
      <c r="P110" s="84" t="str">
        <f t="shared" si="30"/>
        <v>ok!</v>
      </c>
      <c r="Q110" s="102">
        <f t="shared" si="31"/>
        <v>20</v>
      </c>
    </row>
    <row r="111" spans="2:17" ht="12.75" customHeight="1" x14ac:dyDescent="0.2">
      <c r="B111" s="387"/>
      <c r="C111" s="101">
        <v>8</v>
      </c>
      <c r="D111" s="82">
        <v>4</v>
      </c>
      <c r="E111" s="82">
        <v>5</v>
      </c>
      <c r="F111" s="82">
        <v>0</v>
      </c>
      <c r="G111" s="44">
        <f t="shared" si="26"/>
        <v>81.900000000000006</v>
      </c>
      <c r="H111" s="44">
        <f t="shared" si="27"/>
        <v>16.146076823319174</v>
      </c>
      <c r="I111" s="82">
        <v>33</v>
      </c>
      <c r="J111" s="44">
        <f t="shared" si="28"/>
        <v>17.776245531420944</v>
      </c>
      <c r="K111" s="82">
        <v>25</v>
      </c>
      <c r="L111" s="82"/>
      <c r="M111" s="83">
        <v>5.0999999999999996</v>
      </c>
      <c r="N111" s="82">
        <v>1</v>
      </c>
      <c r="O111" s="65">
        <f t="shared" si="29"/>
        <v>12</v>
      </c>
      <c r="P111" s="84" t="str">
        <f t="shared" si="30"/>
        <v>ok!</v>
      </c>
      <c r="Q111" s="102">
        <f t="shared" si="31"/>
        <v>25</v>
      </c>
    </row>
    <row r="112" spans="2:17" ht="12.75" customHeight="1" x14ac:dyDescent="0.2">
      <c r="B112" s="387"/>
      <c r="C112" s="101">
        <v>9</v>
      </c>
      <c r="D112" s="82">
        <v>8</v>
      </c>
      <c r="E112" s="82">
        <v>5</v>
      </c>
      <c r="F112" s="82">
        <v>0</v>
      </c>
      <c r="G112" s="44">
        <f t="shared" si="26"/>
        <v>110.3</v>
      </c>
      <c r="H112" s="44">
        <f t="shared" si="27"/>
        <v>18.73755065265258</v>
      </c>
      <c r="I112" s="82">
        <v>33</v>
      </c>
      <c r="J112" s="44">
        <f t="shared" si="28"/>
        <v>20.62936431579028</v>
      </c>
      <c r="K112" s="82">
        <v>25</v>
      </c>
      <c r="L112" s="82"/>
      <c r="M112" s="83">
        <v>2.15</v>
      </c>
      <c r="N112" s="82">
        <v>0</v>
      </c>
      <c r="O112" s="65">
        <f t="shared" si="29"/>
        <v>15</v>
      </c>
      <c r="P112" s="84" t="str">
        <f t="shared" si="30"/>
        <v>ok!</v>
      </c>
      <c r="Q112" s="102">
        <f t="shared" si="31"/>
        <v>25</v>
      </c>
    </row>
    <row r="113" spans="2:17" ht="13.5" customHeight="1" x14ac:dyDescent="0.2">
      <c r="B113" s="388"/>
      <c r="C113" s="103">
        <v>10</v>
      </c>
      <c r="D113" s="104">
        <v>6</v>
      </c>
      <c r="E113" s="104">
        <v>3</v>
      </c>
      <c r="F113" s="104">
        <v>0</v>
      </c>
      <c r="G113" s="48">
        <f t="shared" si="26"/>
        <v>74.699999999999989</v>
      </c>
      <c r="H113" s="48">
        <f t="shared" si="27"/>
        <v>15.42003518087075</v>
      </c>
      <c r="I113" s="104">
        <v>33</v>
      </c>
      <c r="J113" s="48">
        <f t="shared" si="28"/>
        <v>16.976899991112401</v>
      </c>
      <c r="K113" s="104">
        <v>20</v>
      </c>
      <c r="L113" s="104"/>
      <c r="M113" s="105">
        <v>5.8</v>
      </c>
      <c r="N113" s="104">
        <v>1</v>
      </c>
      <c r="O113" s="106">
        <f t="shared" si="29"/>
        <v>12</v>
      </c>
      <c r="P113" s="107" t="str">
        <f t="shared" si="30"/>
        <v>ok!</v>
      </c>
      <c r="Q113" s="108">
        <f t="shared" si="31"/>
        <v>20</v>
      </c>
    </row>
    <row r="114" spans="2:17" ht="12.75" customHeight="1" x14ac:dyDescent="0.2">
      <c r="B114" s="468" t="s">
        <v>434</v>
      </c>
      <c r="C114" s="95">
        <v>1</v>
      </c>
      <c r="D114" s="96">
        <v>6</v>
      </c>
      <c r="E114" s="96">
        <v>3</v>
      </c>
      <c r="F114" s="96">
        <v>0</v>
      </c>
      <c r="G114" s="41">
        <f t="shared" si="26"/>
        <v>74.699999999999989</v>
      </c>
      <c r="H114" s="41">
        <f t="shared" si="27"/>
        <v>15.42003518087075</v>
      </c>
      <c r="I114" s="96">
        <v>33</v>
      </c>
      <c r="J114" s="41">
        <f t="shared" si="28"/>
        <v>16.976899991112401</v>
      </c>
      <c r="K114" s="96">
        <v>20</v>
      </c>
      <c r="L114" s="96"/>
      <c r="M114" s="97">
        <v>2.4</v>
      </c>
      <c r="N114" s="96">
        <v>0</v>
      </c>
      <c r="O114" s="98">
        <f t="shared" si="29"/>
        <v>15</v>
      </c>
      <c r="P114" s="99" t="str">
        <f t="shared" si="30"/>
        <v>ok!</v>
      </c>
      <c r="Q114" s="100">
        <f t="shared" si="31"/>
        <v>20</v>
      </c>
    </row>
    <row r="115" spans="2:17" ht="12.75" customHeight="1" x14ac:dyDescent="0.2">
      <c r="B115" s="469"/>
      <c r="C115" s="101">
        <v>2</v>
      </c>
      <c r="D115" s="82">
        <v>6</v>
      </c>
      <c r="E115" s="82">
        <v>3</v>
      </c>
      <c r="F115" s="82">
        <v>0</v>
      </c>
      <c r="G115" s="44">
        <f t="shared" si="26"/>
        <v>74.699999999999989</v>
      </c>
      <c r="H115" s="44">
        <f t="shared" si="27"/>
        <v>15.42003518087075</v>
      </c>
      <c r="I115" s="82">
        <v>33</v>
      </c>
      <c r="J115" s="44">
        <f t="shared" si="28"/>
        <v>16.976899991112401</v>
      </c>
      <c r="K115" s="82">
        <v>20</v>
      </c>
      <c r="L115" s="82"/>
      <c r="M115" s="83">
        <v>2.7</v>
      </c>
      <c r="N115" s="82">
        <v>0</v>
      </c>
      <c r="O115" s="65">
        <f t="shared" si="29"/>
        <v>15</v>
      </c>
      <c r="P115" s="84" t="str">
        <f t="shared" si="30"/>
        <v>ok!</v>
      </c>
      <c r="Q115" s="102">
        <f t="shared" si="31"/>
        <v>20</v>
      </c>
    </row>
    <row r="116" spans="2:17" ht="12.75" customHeight="1" x14ac:dyDescent="0.2">
      <c r="B116" s="469"/>
      <c r="C116" s="101">
        <v>3</v>
      </c>
      <c r="D116" s="82">
        <v>9</v>
      </c>
      <c r="E116" s="82">
        <v>3</v>
      </c>
      <c r="F116" s="82">
        <v>0</v>
      </c>
      <c r="G116" s="44">
        <f t="shared" si="26"/>
        <v>96</v>
      </c>
      <c r="H116" s="44">
        <f t="shared" si="27"/>
        <v>17.480774889473267</v>
      </c>
      <c r="I116" s="82">
        <v>33</v>
      </c>
      <c r="J116" s="44">
        <f t="shared" si="28"/>
        <v>19.245699739640827</v>
      </c>
      <c r="K116" s="82">
        <v>25</v>
      </c>
      <c r="L116" s="82"/>
      <c r="M116" s="83">
        <v>5.2</v>
      </c>
      <c r="N116" s="82">
        <v>1</v>
      </c>
      <c r="O116" s="65">
        <f t="shared" si="29"/>
        <v>12</v>
      </c>
      <c r="P116" s="84" t="str">
        <f t="shared" si="30"/>
        <v>ok!</v>
      </c>
      <c r="Q116" s="102">
        <f t="shared" si="31"/>
        <v>25</v>
      </c>
    </row>
    <row r="117" spans="2:17" ht="12.75" customHeight="1" x14ac:dyDescent="0.2">
      <c r="B117" s="469"/>
      <c r="C117" s="101">
        <v>4</v>
      </c>
      <c r="D117" s="82">
        <v>7</v>
      </c>
      <c r="E117" s="82">
        <v>3</v>
      </c>
      <c r="F117" s="82">
        <v>0</v>
      </c>
      <c r="G117" s="44">
        <f t="shared" si="26"/>
        <v>81.799999999999983</v>
      </c>
      <c r="H117" s="44">
        <f t="shared" si="27"/>
        <v>16.136216622812821</v>
      </c>
      <c r="I117" s="82">
        <v>33</v>
      </c>
      <c r="J117" s="44">
        <f t="shared" si="28"/>
        <v>17.765389807946566</v>
      </c>
      <c r="K117" s="82">
        <v>25</v>
      </c>
      <c r="L117" s="82"/>
      <c r="M117" s="83">
        <v>2.2999999999999998</v>
      </c>
      <c r="N117" s="82">
        <v>0</v>
      </c>
      <c r="O117" s="65">
        <f t="shared" si="29"/>
        <v>15</v>
      </c>
      <c r="P117" s="84" t="str">
        <f t="shared" si="30"/>
        <v>ok!</v>
      </c>
      <c r="Q117" s="102">
        <f t="shared" si="31"/>
        <v>25</v>
      </c>
    </row>
    <row r="118" spans="2:17" ht="12.75" customHeight="1" x14ac:dyDescent="0.2">
      <c r="B118" s="469"/>
      <c r="C118" s="101">
        <v>5</v>
      </c>
      <c r="D118" s="82">
        <v>6</v>
      </c>
      <c r="E118" s="82">
        <v>3</v>
      </c>
      <c r="F118" s="82">
        <v>0</v>
      </c>
      <c r="G118" s="44">
        <f t="shared" si="26"/>
        <v>74.699999999999989</v>
      </c>
      <c r="H118" s="44">
        <f t="shared" si="27"/>
        <v>15.42003518087075</v>
      </c>
      <c r="I118" s="82">
        <v>33</v>
      </c>
      <c r="J118" s="44">
        <f t="shared" si="28"/>
        <v>16.976899991112401</v>
      </c>
      <c r="K118" s="82">
        <v>20</v>
      </c>
      <c r="L118" s="82"/>
      <c r="M118" s="83">
        <v>5.2</v>
      </c>
      <c r="N118" s="82">
        <v>1</v>
      </c>
      <c r="O118" s="65">
        <f t="shared" si="29"/>
        <v>12</v>
      </c>
      <c r="P118" s="84" t="str">
        <f t="shared" si="30"/>
        <v>ok!</v>
      </c>
      <c r="Q118" s="102">
        <f t="shared" si="31"/>
        <v>20</v>
      </c>
    </row>
    <row r="119" spans="2:17" ht="12.75" customHeight="1" x14ac:dyDescent="0.2">
      <c r="B119" s="469"/>
      <c r="C119" s="101">
        <v>6</v>
      </c>
      <c r="D119" s="82">
        <v>2</v>
      </c>
      <c r="E119" s="82">
        <v>5</v>
      </c>
      <c r="F119" s="82">
        <v>0</v>
      </c>
      <c r="G119" s="44">
        <f t="shared" si="26"/>
        <v>67.7</v>
      </c>
      <c r="H119" s="44">
        <f t="shared" si="27"/>
        <v>14.679774962390475</v>
      </c>
      <c r="I119" s="82">
        <v>33</v>
      </c>
      <c r="J119" s="44">
        <f t="shared" si="28"/>
        <v>16.161900313801095</v>
      </c>
      <c r="K119" s="82">
        <v>20</v>
      </c>
      <c r="L119" s="82"/>
      <c r="M119" s="83">
        <v>2.7</v>
      </c>
      <c r="N119" s="82">
        <v>1</v>
      </c>
      <c r="O119" s="65">
        <f t="shared" si="29"/>
        <v>12</v>
      </c>
      <c r="P119" s="84" t="str">
        <f t="shared" si="30"/>
        <v>ok!</v>
      </c>
      <c r="Q119" s="102">
        <f t="shared" si="31"/>
        <v>20</v>
      </c>
    </row>
    <row r="120" spans="2:17" ht="13.5" customHeight="1" x14ac:dyDescent="0.2">
      <c r="B120" s="470"/>
      <c r="C120" s="103">
        <v>7</v>
      </c>
      <c r="D120" s="104">
        <v>2</v>
      </c>
      <c r="E120" s="104">
        <v>7</v>
      </c>
      <c r="F120" s="104">
        <v>0</v>
      </c>
      <c r="G120" s="48">
        <f t="shared" si="26"/>
        <v>89.1</v>
      </c>
      <c r="H120" s="48">
        <f t="shared" si="27"/>
        <v>16.840846433292999</v>
      </c>
      <c r="I120" s="104">
        <v>33</v>
      </c>
      <c r="J120" s="48">
        <f t="shared" si="28"/>
        <v>18.5411616971131</v>
      </c>
      <c r="K120" s="104">
        <v>25</v>
      </c>
      <c r="L120" s="104"/>
      <c r="M120" s="105">
        <v>4.2</v>
      </c>
      <c r="N120" s="104">
        <v>1</v>
      </c>
      <c r="O120" s="106">
        <f t="shared" si="29"/>
        <v>12</v>
      </c>
      <c r="P120" s="107" t="str">
        <f t="shared" si="30"/>
        <v>ok!</v>
      </c>
      <c r="Q120" s="108">
        <f t="shared" si="31"/>
        <v>25</v>
      </c>
    </row>
    <row r="121" spans="2:17" ht="13.5" customHeight="1" x14ac:dyDescent="0.2">
      <c r="B121" s="109" t="s">
        <v>173</v>
      </c>
      <c r="C121" s="471" t="s">
        <v>174</v>
      </c>
      <c r="D121" s="397"/>
      <c r="E121" s="397"/>
      <c r="F121" s="397"/>
      <c r="G121" s="397"/>
      <c r="H121" s="397"/>
      <c r="I121" s="397"/>
      <c r="J121" s="397"/>
      <c r="K121" s="397"/>
      <c r="L121" s="397"/>
      <c r="M121" s="397"/>
      <c r="N121" s="397"/>
      <c r="O121" s="397"/>
      <c r="P121" s="397"/>
      <c r="Q121" s="398"/>
    </row>
    <row r="122" spans="2:17" ht="12.75" customHeight="1" x14ac:dyDescent="0.2"/>
    <row r="123" spans="2:17" ht="12.75" customHeight="1" x14ac:dyDescent="0.2"/>
    <row r="124" spans="2:17" ht="12.75" customHeight="1" x14ac:dyDescent="0.2"/>
    <row r="125" spans="2:17" ht="12.75" customHeight="1" x14ac:dyDescent="0.2"/>
    <row r="126" spans="2:17" ht="12.75" customHeight="1" x14ac:dyDescent="0.2"/>
    <row r="127" spans="2:17" ht="12.75" customHeight="1" x14ac:dyDescent="0.2"/>
  </sheetData>
  <mergeCells count="89">
    <mergeCell ref="N59:N60"/>
    <mergeCell ref="M73:M74"/>
    <mergeCell ref="N73:N74"/>
    <mergeCell ref="C59:C60"/>
    <mergeCell ref="D59:F59"/>
    <mergeCell ref="I59:I60"/>
    <mergeCell ref="J59:J60"/>
    <mergeCell ref="K59:L60"/>
    <mergeCell ref="M59:M60"/>
    <mergeCell ref="H73:H74"/>
    <mergeCell ref="K73:L74"/>
    <mergeCell ref="I73:I74"/>
    <mergeCell ref="J73:J74"/>
    <mergeCell ref="B104:B113"/>
    <mergeCell ref="B114:B120"/>
    <mergeCell ref="C121:Q121"/>
    <mergeCell ref="C85:Q85"/>
    <mergeCell ref="B89:B103"/>
    <mergeCell ref="N87:N88"/>
    <mergeCell ref="K87:L88"/>
    <mergeCell ref="C87:C88"/>
    <mergeCell ref="D87:F87"/>
    <mergeCell ref="G87:G88"/>
    <mergeCell ref="H87:H88"/>
    <mergeCell ref="I87:I88"/>
    <mergeCell ref="J87:J88"/>
    <mergeCell ref="AK32:AL32"/>
    <mergeCell ref="AD32:AD33"/>
    <mergeCell ref="AE32:AE33"/>
    <mergeCell ref="AF32:AF33"/>
    <mergeCell ref="AG32:AG33"/>
    <mergeCell ref="AH32:AI32"/>
    <mergeCell ref="AJ32:AJ33"/>
    <mergeCell ref="D32:F32"/>
    <mergeCell ref="C32:C33"/>
    <mergeCell ref="G32:G33"/>
    <mergeCell ref="B34:B48"/>
    <mergeCell ref="M87:M88"/>
    <mergeCell ref="M32:M33"/>
    <mergeCell ref="K32:L33"/>
    <mergeCell ref="I32:I33"/>
    <mergeCell ref="J32:J33"/>
    <mergeCell ref="H59:H60"/>
    <mergeCell ref="G59:G60"/>
    <mergeCell ref="B61:B70"/>
    <mergeCell ref="B75:B81"/>
    <mergeCell ref="C73:C74"/>
    <mergeCell ref="D73:F73"/>
    <mergeCell ref="G73:G74"/>
    <mergeCell ref="P59:Q59"/>
    <mergeCell ref="O73:O74"/>
    <mergeCell ref="P73:Q73"/>
    <mergeCell ref="O87:O88"/>
    <mergeCell ref="P87:Q87"/>
    <mergeCell ref="O59:O60"/>
    <mergeCell ref="T32:Y32"/>
    <mergeCell ref="Z32:Z33"/>
    <mergeCell ref="AA32:AA33"/>
    <mergeCell ref="AB32:AB33"/>
    <mergeCell ref="AC32:AC33"/>
    <mergeCell ref="S32:S33"/>
    <mergeCell ref="N32:N33"/>
    <mergeCell ref="O32:O33"/>
    <mergeCell ref="P32:Q32"/>
    <mergeCell ref="H32:H33"/>
    <mergeCell ref="C3:C4"/>
    <mergeCell ref="D3:F3"/>
    <mergeCell ref="G3:G4"/>
    <mergeCell ref="H3:H4"/>
    <mergeCell ref="I3:I4"/>
    <mergeCell ref="J3:J4"/>
    <mergeCell ref="K3:L4"/>
    <mergeCell ref="M3:M4"/>
    <mergeCell ref="N3:N4"/>
    <mergeCell ref="O3:O4"/>
    <mergeCell ref="P3:Q3"/>
    <mergeCell ref="S3:S4"/>
    <mergeCell ref="T3:Y3"/>
    <mergeCell ref="Z3:Z4"/>
    <mergeCell ref="AA3:AA4"/>
    <mergeCell ref="AG3:AG4"/>
    <mergeCell ref="AH3:AI3"/>
    <mergeCell ref="AJ3:AJ4"/>
    <mergeCell ref="AK3:AL3"/>
    <mergeCell ref="AB3:AB4"/>
    <mergeCell ref="AC3:AC4"/>
    <mergeCell ref="AD3:AD4"/>
    <mergeCell ref="AE3:AE4"/>
    <mergeCell ref="AF3:AF4"/>
  </mergeCells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opLeftCell="B1" workbookViewId="0">
      <selection activeCell="F14" sqref="F14"/>
    </sheetView>
  </sheetViews>
  <sheetFormatPr defaultColWidth="12.5703125" defaultRowHeight="15" customHeight="1" x14ac:dyDescent="0.2"/>
  <cols>
    <col min="1" max="1" width="8" customWidth="1"/>
    <col min="2" max="2" width="26.5703125" customWidth="1"/>
    <col min="3" max="3" width="11.7109375" customWidth="1"/>
    <col min="4" max="4" width="6.5703125" customWidth="1"/>
    <col min="5" max="5" width="12.5703125" customWidth="1"/>
    <col min="6" max="6" width="7" style="253" customWidth="1"/>
    <col min="7" max="7" width="12.42578125" style="253" customWidth="1"/>
    <col min="8" max="8" width="7" customWidth="1"/>
    <col min="9" max="9" width="12.42578125" customWidth="1"/>
    <col min="10" max="10" width="6.85546875" customWidth="1"/>
    <col min="11" max="11" width="12.42578125" customWidth="1"/>
    <col min="12" max="12" width="3.42578125" customWidth="1"/>
    <col min="13" max="14" width="8" customWidth="1"/>
    <col min="15" max="15" width="30.85546875" customWidth="1"/>
    <col min="16" max="18" width="8" customWidth="1"/>
  </cols>
  <sheetData>
    <row r="1" spans="1:20" ht="13.5" customHeight="1" x14ac:dyDescent="0.2"/>
    <row r="2" spans="1:20" ht="13.5" customHeight="1" x14ac:dyDescent="0.2">
      <c r="B2" s="396" t="s">
        <v>175</v>
      </c>
      <c r="C2" s="397"/>
      <c r="D2" s="397"/>
      <c r="E2" s="397"/>
      <c r="F2" s="397"/>
      <c r="G2" s="397"/>
      <c r="H2" s="397"/>
      <c r="I2" s="397"/>
      <c r="J2" s="397"/>
      <c r="K2" s="398"/>
      <c r="M2" s="396" t="s">
        <v>438</v>
      </c>
      <c r="N2" s="397"/>
      <c r="O2" s="397"/>
      <c r="P2" s="397"/>
      <c r="Q2" s="398"/>
    </row>
    <row r="3" spans="1:20" ht="9" customHeight="1" thickBo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20" ht="12.75" customHeight="1" x14ac:dyDescent="0.2">
      <c r="B4" s="424" t="s">
        <v>0</v>
      </c>
      <c r="C4" s="110" t="s">
        <v>176</v>
      </c>
      <c r="D4" s="421" t="s">
        <v>436</v>
      </c>
      <c r="E4" s="423"/>
      <c r="F4" s="421" t="s">
        <v>437</v>
      </c>
      <c r="G4" s="423"/>
      <c r="H4" s="421" t="s">
        <v>496</v>
      </c>
      <c r="I4" s="423"/>
      <c r="J4" s="421" t="s">
        <v>76</v>
      </c>
      <c r="K4" s="426"/>
      <c r="M4" s="458" t="s">
        <v>177</v>
      </c>
      <c r="N4" s="418" t="s">
        <v>178</v>
      </c>
      <c r="O4" s="418" t="s">
        <v>179</v>
      </c>
      <c r="P4" s="418" t="s">
        <v>180</v>
      </c>
      <c r="Q4" s="456" t="s">
        <v>181</v>
      </c>
      <c r="R4" s="456" t="s">
        <v>440</v>
      </c>
    </row>
    <row r="5" spans="1:20" ht="13.5" customHeight="1" thickBot="1" x14ac:dyDescent="0.25">
      <c r="B5" s="430"/>
      <c r="C5" s="51" t="s">
        <v>182</v>
      </c>
      <c r="D5" s="51" t="s">
        <v>165</v>
      </c>
      <c r="E5" s="51" t="s">
        <v>11</v>
      </c>
      <c r="F5" s="51" t="s">
        <v>165</v>
      </c>
      <c r="G5" s="51" t="s">
        <v>11</v>
      </c>
      <c r="H5" s="51" t="s">
        <v>165</v>
      </c>
      <c r="I5" s="51" t="s">
        <v>11</v>
      </c>
      <c r="J5" s="51" t="s">
        <v>165</v>
      </c>
      <c r="K5" s="52" t="s">
        <v>11</v>
      </c>
      <c r="M5" s="430"/>
      <c r="N5" s="433"/>
      <c r="O5" s="433"/>
      <c r="P5" s="433"/>
      <c r="Q5" s="457"/>
      <c r="R5" s="457"/>
      <c r="T5" s="253">
        <v>3600</v>
      </c>
    </row>
    <row r="6" spans="1:20" ht="12.75" customHeight="1" x14ac:dyDescent="0.2">
      <c r="B6" s="111" t="s">
        <v>183</v>
      </c>
      <c r="C6" s="39">
        <v>500</v>
      </c>
      <c r="D6" s="39">
        <v>0</v>
      </c>
      <c r="E6" s="40">
        <f t="shared" ref="E6:E26" si="0">C6*D6</f>
        <v>0</v>
      </c>
      <c r="F6" s="39">
        <v>0</v>
      </c>
      <c r="G6" s="270">
        <f>C6*F6</f>
        <v>0</v>
      </c>
      <c r="H6" s="39">
        <v>0</v>
      </c>
      <c r="I6" s="40">
        <f t="shared" ref="I6:I26" si="1">H6*C6</f>
        <v>0</v>
      </c>
      <c r="J6" s="5">
        <f>H6+F6+D6</f>
        <v>0</v>
      </c>
      <c r="K6" s="112">
        <f>I6+G6+E6</f>
        <v>0</v>
      </c>
      <c r="M6" s="22" t="s">
        <v>184</v>
      </c>
      <c r="N6" s="22" t="s">
        <v>185</v>
      </c>
      <c r="O6" s="22" t="s">
        <v>186</v>
      </c>
      <c r="P6" s="21">
        <f>E11+E12++E14+E15+E16+E17</f>
        <v>8690</v>
      </c>
      <c r="Q6" s="62">
        <f t="shared" ref="Q6:R8" si="2">IF(OR(M6="c",M6="d"),0.85,1)</f>
        <v>1</v>
      </c>
      <c r="R6" s="62">
        <v>0.35</v>
      </c>
      <c r="S6">
        <f>P6*Q6*R6</f>
        <v>3041.5</v>
      </c>
      <c r="T6" s="253">
        <v>1500</v>
      </c>
    </row>
    <row r="7" spans="1:20" ht="12.75" customHeight="1" x14ac:dyDescent="0.2">
      <c r="A7" s="9"/>
      <c r="B7" s="113" t="s">
        <v>16</v>
      </c>
      <c r="C7" s="5">
        <v>4400</v>
      </c>
      <c r="D7" s="5">
        <v>0</v>
      </c>
      <c r="E7" s="6">
        <f t="shared" si="0"/>
        <v>0</v>
      </c>
      <c r="F7" s="256">
        <v>2</v>
      </c>
      <c r="G7" s="187">
        <f t="shared" ref="G7:G26" si="3">C7*F7</f>
        <v>8800</v>
      </c>
      <c r="H7" s="197">
        <v>1</v>
      </c>
      <c r="I7" s="6">
        <f t="shared" si="1"/>
        <v>4400</v>
      </c>
      <c r="J7" s="5">
        <f>H7+F7+D7</f>
        <v>3</v>
      </c>
      <c r="K7" s="209">
        <f t="shared" ref="K7" si="4">C7*J7</f>
        <v>13200</v>
      </c>
      <c r="M7" s="5" t="s">
        <v>187</v>
      </c>
      <c r="N7" s="5">
        <v>1</v>
      </c>
      <c r="O7" s="5" t="s">
        <v>495</v>
      </c>
      <c r="P7" s="6">
        <v>3000</v>
      </c>
      <c r="Q7" s="62">
        <f t="shared" si="2"/>
        <v>1</v>
      </c>
      <c r="R7" s="62">
        <f t="shared" si="2"/>
        <v>1</v>
      </c>
      <c r="T7" s="253">
        <f>T5/T6</f>
        <v>2.4</v>
      </c>
    </row>
    <row r="8" spans="1:20" ht="12.75" customHeight="1" x14ac:dyDescent="0.2">
      <c r="A8" s="9"/>
      <c r="B8" s="113" t="s">
        <v>189</v>
      </c>
      <c r="C8" s="5">
        <v>1500</v>
      </c>
      <c r="D8" s="5">
        <v>4</v>
      </c>
      <c r="E8" s="6">
        <f>(C8*D8)*1.35</f>
        <v>8100.0000000000009</v>
      </c>
      <c r="F8" s="256">
        <v>2</v>
      </c>
      <c r="G8" s="187">
        <f t="shared" si="3"/>
        <v>3000</v>
      </c>
      <c r="H8" s="197">
        <v>1</v>
      </c>
      <c r="I8" s="6">
        <f>(H8*C8)*2.4</f>
        <v>3600</v>
      </c>
      <c r="J8" s="5">
        <f>H8+F8+D8</f>
        <v>7</v>
      </c>
      <c r="K8" s="209">
        <f>E8+G8+I8</f>
        <v>14700</v>
      </c>
      <c r="M8" s="407" t="s">
        <v>190</v>
      </c>
      <c r="N8" s="407">
        <v>4</v>
      </c>
      <c r="O8" s="386" t="s">
        <v>191</v>
      </c>
      <c r="P8" s="478">
        <f>E18+E19+E20+E10</f>
        <v>6700</v>
      </c>
      <c r="Q8" s="479">
        <f t="shared" si="2"/>
        <v>1</v>
      </c>
      <c r="R8" s="479">
        <f t="shared" si="2"/>
        <v>1</v>
      </c>
    </row>
    <row r="9" spans="1:20" ht="12.75" customHeight="1" x14ac:dyDescent="0.2">
      <c r="A9" s="9"/>
      <c r="B9" s="113" t="s">
        <v>192</v>
      </c>
      <c r="C9" s="5">
        <v>300</v>
      </c>
      <c r="D9" s="5">
        <v>1</v>
      </c>
      <c r="E9" s="6">
        <f t="shared" si="0"/>
        <v>300</v>
      </c>
      <c r="F9" s="256">
        <v>0</v>
      </c>
      <c r="G9" s="187">
        <f t="shared" si="3"/>
        <v>0</v>
      </c>
      <c r="H9" s="197">
        <v>0</v>
      </c>
      <c r="I9" s="6">
        <f t="shared" si="1"/>
        <v>0</v>
      </c>
      <c r="J9" s="5">
        <f>H9+F9+D9</f>
        <v>1</v>
      </c>
      <c r="K9" s="209">
        <f>E9+G9+I9</f>
        <v>300</v>
      </c>
      <c r="M9" s="388"/>
      <c r="N9" s="388"/>
      <c r="O9" s="388"/>
      <c r="P9" s="388"/>
      <c r="Q9" s="388"/>
      <c r="R9" s="388"/>
    </row>
    <row r="10" spans="1:20" ht="12.75" customHeight="1" x14ac:dyDescent="0.2">
      <c r="A10" s="9"/>
      <c r="B10" s="113" t="s">
        <v>193</v>
      </c>
      <c r="C10" s="5">
        <v>1200</v>
      </c>
      <c r="D10" s="5">
        <v>1</v>
      </c>
      <c r="E10" s="6">
        <f t="shared" si="0"/>
        <v>1200</v>
      </c>
      <c r="F10" s="256">
        <v>0</v>
      </c>
      <c r="G10" s="187">
        <f t="shared" si="3"/>
        <v>0</v>
      </c>
      <c r="H10" s="197">
        <v>0</v>
      </c>
      <c r="I10" s="6">
        <f t="shared" si="1"/>
        <v>0</v>
      </c>
      <c r="J10" s="5">
        <f t="shared" ref="J10:J25" si="5">H10+F10+D10</f>
        <v>1</v>
      </c>
      <c r="K10" s="209">
        <f t="shared" ref="K10:K26" si="6">E10+G10+I10</f>
        <v>1200</v>
      </c>
      <c r="M10" s="5" t="s">
        <v>194</v>
      </c>
      <c r="N10" s="5">
        <v>6</v>
      </c>
      <c r="O10" s="5" t="s">
        <v>195</v>
      </c>
      <c r="P10" s="6">
        <f>E6+E9+E13+E21+E22+E23+E25</f>
        <v>7600</v>
      </c>
      <c r="Q10" s="65">
        <f t="shared" ref="Q10:R11" si="7">IF(OR(M10="c",M10="d"),0.85,1)</f>
        <v>1</v>
      </c>
      <c r="R10" s="65">
        <f t="shared" si="7"/>
        <v>1</v>
      </c>
    </row>
    <row r="11" spans="1:20" ht="12.75" customHeight="1" x14ac:dyDescent="0.2">
      <c r="A11" s="9"/>
      <c r="B11" s="113" t="s">
        <v>196</v>
      </c>
      <c r="C11" s="5">
        <v>100</v>
      </c>
      <c r="D11" s="5">
        <f>44+9</f>
        <v>53</v>
      </c>
      <c r="E11" s="6">
        <f t="shared" si="0"/>
        <v>5300</v>
      </c>
      <c r="F11" s="256">
        <v>16</v>
      </c>
      <c r="G11" s="187">
        <f t="shared" si="3"/>
        <v>1600</v>
      </c>
      <c r="H11" s="197">
        <v>16</v>
      </c>
      <c r="I11" s="6">
        <f t="shared" si="1"/>
        <v>1600</v>
      </c>
      <c r="J11" s="5">
        <f t="shared" si="5"/>
        <v>85</v>
      </c>
      <c r="K11" s="209">
        <f t="shared" si="6"/>
        <v>8500</v>
      </c>
      <c r="M11" s="5" t="s">
        <v>197</v>
      </c>
      <c r="N11" s="5">
        <v>3</v>
      </c>
      <c r="O11" s="5" t="s">
        <v>189</v>
      </c>
      <c r="P11" s="6">
        <f>E8</f>
        <v>8100.0000000000009</v>
      </c>
      <c r="Q11" s="65">
        <f t="shared" si="7"/>
        <v>0.85</v>
      </c>
      <c r="R11" s="65">
        <f t="shared" si="7"/>
        <v>1</v>
      </c>
    </row>
    <row r="12" spans="1:20" ht="12.75" customHeight="1" x14ac:dyDescent="0.2">
      <c r="A12" s="9"/>
      <c r="B12" s="113" t="s">
        <v>196</v>
      </c>
      <c r="C12" s="5">
        <v>600</v>
      </c>
      <c r="D12" s="5">
        <v>1</v>
      </c>
      <c r="E12" s="6">
        <f t="shared" si="0"/>
        <v>600</v>
      </c>
      <c r="F12" s="256">
        <v>1</v>
      </c>
      <c r="G12" s="187">
        <f t="shared" si="3"/>
        <v>600</v>
      </c>
      <c r="H12" s="197">
        <v>1</v>
      </c>
      <c r="I12" s="6">
        <f t="shared" si="1"/>
        <v>600</v>
      </c>
      <c r="J12" s="5">
        <f t="shared" si="5"/>
        <v>3</v>
      </c>
      <c r="K12" s="272">
        <f t="shared" si="6"/>
        <v>1800</v>
      </c>
      <c r="M12" s="477" t="s">
        <v>198</v>
      </c>
      <c r="N12" s="384"/>
      <c r="O12" s="385"/>
      <c r="P12" s="6">
        <f>SUM(P6:P11)</f>
        <v>34090</v>
      </c>
      <c r="Q12" s="28"/>
    </row>
    <row r="13" spans="1:20" ht="13.5" customHeight="1" thickBot="1" x14ac:dyDescent="0.25">
      <c r="A13" s="9"/>
      <c r="B13" s="113" t="s">
        <v>199</v>
      </c>
      <c r="C13" s="5">
        <v>300</v>
      </c>
      <c r="D13" s="5">
        <v>1</v>
      </c>
      <c r="E13" s="6">
        <f t="shared" si="0"/>
        <v>300</v>
      </c>
      <c r="F13" s="256">
        <v>0</v>
      </c>
      <c r="G13" s="187">
        <f t="shared" si="3"/>
        <v>0</v>
      </c>
      <c r="H13" s="197">
        <v>0</v>
      </c>
      <c r="I13" s="6">
        <f t="shared" si="1"/>
        <v>0</v>
      </c>
      <c r="J13" s="5">
        <f t="shared" si="5"/>
        <v>1</v>
      </c>
      <c r="K13" s="272">
        <f t="shared" si="6"/>
        <v>300</v>
      </c>
    </row>
    <row r="14" spans="1:20" ht="13.5" customHeight="1" thickBot="1" x14ac:dyDescent="0.25">
      <c r="A14" s="9"/>
      <c r="B14" s="113" t="s">
        <v>497</v>
      </c>
      <c r="C14" s="5">
        <v>20</v>
      </c>
      <c r="D14" s="5">
        <v>0</v>
      </c>
      <c r="E14" s="6">
        <f t="shared" si="0"/>
        <v>0</v>
      </c>
      <c r="F14" s="256">
        <v>0</v>
      </c>
      <c r="G14" s="187">
        <f t="shared" si="3"/>
        <v>0</v>
      </c>
      <c r="H14" s="197">
        <v>0</v>
      </c>
      <c r="I14" s="6">
        <f t="shared" si="1"/>
        <v>0</v>
      </c>
      <c r="J14" s="5">
        <f t="shared" si="5"/>
        <v>0</v>
      </c>
      <c r="K14" s="272">
        <f t="shared" si="6"/>
        <v>0</v>
      </c>
      <c r="M14" s="396" t="s">
        <v>439</v>
      </c>
      <c r="N14" s="397"/>
      <c r="O14" s="397"/>
      <c r="P14" s="397"/>
      <c r="Q14" s="398"/>
    </row>
    <row r="15" spans="1:20" ht="13.5" customHeight="1" thickBot="1" x14ac:dyDescent="0.25">
      <c r="A15" s="9"/>
      <c r="B15" s="113" t="s">
        <v>200</v>
      </c>
      <c r="C15" s="5">
        <v>60</v>
      </c>
      <c r="D15" s="5">
        <v>9</v>
      </c>
      <c r="E15" s="6">
        <f t="shared" si="0"/>
        <v>540</v>
      </c>
      <c r="F15" s="256">
        <v>8</v>
      </c>
      <c r="G15" s="187">
        <f t="shared" si="3"/>
        <v>480</v>
      </c>
      <c r="H15" s="197">
        <v>8</v>
      </c>
      <c r="I15" s="6">
        <f t="shared" si="1"/>
        <v>480</v>
      </c>
      <c r="J15" s="5">
        <f t="shared" si="5"/>
        <v>25</v>
      </c>
      <c r="K15" s="272">
        <f t="shared" si="6"/>
        <v>1500</v>
      </c>
      <c r="L15" s="1"/>
      <c r="M15" s="1"/>
      <c r="N15" s="1"/>
      <c r="O15" s="1"/>
      <c r="P15" s="1"/>
      <c r="Q15" s="1"/>
      <c r="R15" s="1"/>
    </row>
    <row r="16" spans="1:20" ht="12.75" customHeight="1" x14ac:dyDescent="0.2">
      <c r="A16" s="9"/>
      <c r="B16" s="113" t="s">
        <v>200</v>
      </c>
      <c r="C16" s="5">
        <v>100</v>
      </c>
      <c r="D16" s="5">
        <v>21</v>
      </c>
      <c r="E16" s="6">
        <f t="shared" si="0"/>
        <v>2100</v>
      </c>
      <c r="F16" s="256">
        <v>9</v>
      </c>
      <c r="G16" s="187">
        <f t="shared" si="3"/>
        <v>900</v>
      </c>
      <c r="H16" s="197">
        <v>9</v>
      </c>
      <c r="I16" s="6">
        <f t="shared" si="1"/>
        <v>900</v>
      </c>
      <c r="J16" s="5">
        <f t="shared" si="5"/>
        <v>39</v>
      </c>
      <c r="K16" s="272">
        <f t="shared" si="6"/>
        <v>3900</v>
      </c>
      <c r="M16" s="458" t="s">
        <v>177</v>
      </c>
      <c r="N16" s="418" t="s">
        <v>178</v>
      </c>
      <c r="O16" s="418" t="s">
        <v>179</v>
      </c>
      <c r="P16" s="418" t="s">
        <v>180</v>
      </c>
      <c r="Q16" s="456" t="s">
        <v>181</v>
      </c>
      <c r="R16" s="456" t="s">
        <v>440</v>
      </c>
    </row>
    <row r="17" spans="1:18" ht="13.5" customHeight="1" thickBot="1" x14ac:dyDescent="0.25">
      <c r="A17" s="9"/>
      <c r="B17" s="113" t="s">
        <v>200</v>
      </c>
      <c r="C17" s="5">
        <v>150</v>
      </c>
      <c r="D17" s="5">
        <v>1</v>
      </c>
      <c r="E17" s="6">
        <f t="shared" si="0"/>
        <v>150</v>
      </c>
      <c r="F17" s="256">
        <v>5</v>
      </c>
      <c r="G17" s="187">
        <f t="shared" si="3"/>
        <v>750</v>
      </c>
      <c r="H17" s="197">
        <v>5</v>
      </c>
      <c r="I17" s="6">
        <f t="shared" si="1"/>
        <v>750</v>
      </c>
      <c r="J17" s="5">
        <f t="shared" si="5"/>
        <v>11</v>
      </c>
      <c r="K17" s="272">
        <f t="shared" si="6"/>
        <v>1650</v>
      </c>
      <c r="M17" s="430"/>
      <c r="N17" s="433"/>
      <c r="O17" s="433"/>
      <c r="P17" s="433"/>
      <c r="Q17" s="457"/>
      <c r="R17" s="457"/>
    </row>
    <row r="18" spans="1:18" ht="12.75" customHeight="1" x14ac:dyDescent="0.2">
      <c r="A18" s="9"/>
      <c r="B18" s="113" t="s">
        <v>201</v>
      </c>
      <c r="C18" s="5">
        <v>1200</v>
      </c>
      <c r="D18" s="5">
        <v>1</v>
      </c>
      <c r="E18" s="6">
        <f t="shared" si="0"/>
        <v>1200</v>
      </c>
      <c r="F18" s="256">
        <v>1</v>
      </c>
      <c r="G18" s="187">
        <f t="shared" si="3"/>
        <v>1200</v>
      </c>
      <c r="H18" s="197">
        <v>1</v>
      </c>
      <c r="I18" s="6">
        <f t="shared" si="1"/>
        <v>1200</v>
      </c>
      <c r="J18" s="5">
        <f t="shared" si="5"/>
        <v>3</v>
      </c>
      <c r="K18" s="272">
        <f t="shared" si="6"/>
        <v>3600</v>
      </c>
      <c r="M18" s="22" t="s">
        <v>184</v>
      </c>
      <c r="N18" s="22" t="s">
        <v>185</v>
      </c>
      <c r="O18" s="22" t="s">
        <v>186</v>
      </c>
      <c r="P18" s="21">
        <f>I11+I12++I14+I15+I16+I17</f>
        <v>4330</v>
      </c>
      <c r="Q18" s="62">
        <f t="shared" ref="Q18:R20" si="8">IF(OR(M18="c",M18="d"),0.85,1)</f>
        <v>1</v>
      </c>
      <c r="R18" s="62">
        <f t="shared" si="8"/>
        <v>1</v>
      </c>
    </row>
    <row r="19" spans="1:18" ht="12.75" customHeight="1" x14ac:dyDescent="0.2">
      <c r="A19" s="9"/>
      <c r="B19" s="113" t="s">
        <v>202</v>
      </c>
      <c r="C19" s="5">
        <v>800</v>
      </c>
      <c r="D19" s="5">
        <v>1</v>
      </c>
      <c r="E19" s="6">
        <f t="shared" si="0"/>
        <v>800</v>
      </c>
      <c r="F19" s="256">
        <v>1</v>
      </c>
      <c r="G19" s="187">
        <f t="shared" si="3"/>
        <v>800</v>
      </c>
      <c r="H19" s="197">
        <v>1</v>
      </c>
      <c r="I19" s="6">
        <f t="shared" si="1"/>
        <v>800</v>
      </c>
      <c r="J19" s="5">
        <f t="shared" si="5"/>
        <v>3</v>
      </c>
      <c r="K19" s="272">
        <f t="shared" si="6"/>
        <v>2400</v>
      </c>
      <c r="M19" s="5" t="s">
        <v>203</v>
      </c>
      <c r="N19" s="5">
        <v>2</v>
      </c>
      <c r="O19" s="5" t="s">
        <v>188</v>
      </c>
      <c r="P19" s="6">
        <f>I7</f>
        <v>4400</v>
      </c>
      <c r="Q19" s="62">
        <f t="shared" si="8"/>
        <v>1</v>
      </c>
      <c r="R19" s="62">
        <f t="shared" si="8"/>
        <v>1</v>
      </c>
    </row>
    <row r="20" spans="1:18" ht="12.75" customHeight="1" x14ac:dyDescent="0.2">
      <c r="A20" s="9"/>
      <c r="B20" s="113" t="s">
        <v>204</v>
      </c>
      <c r="C20" s="5">
        <v>3500</v>
      </c>
      <c r="D20" s="5">
        <v>1</v>
      </c>
      <c r="E20" s="6">
        <f t="shared" si="0"/>
        <v>3500</v>
      </c>
      <c r="F20" s="256">
        <v>1</v>
      </c>
      <c r="G20" s="187">
        <f t="shared" si="3"/>
        <v>3500</v>
      </c>
      <c r="H20" s="197">
        <v>1</v>
      </c>
      <c r="I20" s="6">
        <f t="shared" si="1"/>
        <v>3500</v>
      </c>
      <c r="J20" s="5">
        <f t="shared" si="5"/>
        <v>3</v>
      </c>
      <c r="K20" s="272">
        <f t="shared" si="6"/>
        <v>10500</v>
      </c>
      <c r="M20" s="407" t="s">
        <v>205</v>
      </c>
      <c r="N20" s="407">
        <v>4</v>
      </c>
      <c r="O20" s="386" t="s">
        <v>191</v>
      </c>
      <c r="P20" s="478">
        <f>I18+I19+I20+I10</f>
        <v>5500</v>
      </c>
      <c r="Q20" s="479">
        <f t="shared" si="8"/>
        <v>1</v>
      </c>
      <c r="R20" s="479">
        <f t="shared" si="8"/>
        <v>1</v>
      </c>
    </row>
    <row r="21" spans="1:18" ht="12.75" customHeight="1" x14ac:dyDescent="0.2">
      <c r="B21" s="113" t="s">
        <v>206</v>
      </c>
      <c r="C21" s="5">
        <v>500</v>
      </c>
      <c r="D21" s="5">
        <v>2</v>
      </c>
      <c r="E21" s="6">
        <f t="shared" si="0"/>
        <v>1000</v>
      </c>
      <c r="F21" s="256">
        <v>0</v>
      </c>
      <c r="G21" s="187">
        <f t="shared" si="3"/>
        <v>0</v>
      </c>
      <c r="H21" s="197">
        <v>0</v>
      </c>
      <c r="I21" s="6">
        <f t="shared" si="1"/>
        <v>0</v>
      </c>
      <c r="J21" s="5">
        <f t="shared" si="5"/>
        <v>2</v>
      </c>
      <c r="K21" s="272">
        <f t="shared" si="6"/>
        <v>1000</v>
      </c>
      <c r="M21" s="388"/>
      <c r="N21" s="388"/>
      <c r="O21" s="388"/>
      <c r="P21" s="388"/>
      <c r="Q21" s="388"/>
      <c r="R21" s="388"/>
    </row>
    <row r="22" spans="1:18" ht="12.75" customHeight="1" x14ac:dyDescent="0.2">
      <c r="B22" s="113" t="s">
        <v>22</v>
      </c>
      <c r="C22" s="5">
        <v>1200</v>
      </c>
      <c r="D22" s="5">
        <v>1</v>
      </c>
      <c r="E22" s="6">
        <f t="shared" si="0"/>
        <v>1200</v>
      </c>
      <c r="F22" s="256">
        <v>1</v>
      </c>
      <c r="G22" s="187">
        <f t="shared" si="3"/>
        <v>1200</v>
      </c>
      <c r="H22" s="197">
        <v>1</v>
      </c>
      <c r="I22" s="6">
        <f t="shared" si="1"/>
        <v>1200</v>
      </c>
      <c r="J22" s="5">
        <f t="shared" si="5"/>
        <v>3</v>
      </c>
      <c r="K22" s="272">
        <f t="shared" si="6"/>
        <v>3600</v>
      </c>
      <c r="M22" s="5" t="s">
        <v>207</v>
      </c>
      <c r="N22" s="5">
        <v>5</v>
      </c>
      <c r="O22" s="5" t="s">
        <v>195</v>
      </c>
      <c r="P22" s="6">
        <f>I6+I9+I13+I22+I23+I25+I21</f>
        <v>3000</v>
      </c>
      <c r="Q22" s="65">
        <f t="shared" ref="Q22:R23" si="9">IF(OR(M22="c",M22="d"),0.85,1)</f>
        <v>1</v>
      </c>
      <c r="R22" s="65">
        <f t="shared" si="9"/>
        <v>1</v>
      </c>
    </row>
    <row r="23" spans="1:18" ht="12.75" customHeight="1" x14ac:dyDescent="0.2">
      <c r="B23" s="113" t="s">
        <v>208</v>
      </c>
      <c r="C23" s="5">
        <v>600</v>
      </c>
      <c r="D23" s="5">
        <v>3</v>
      </c>
      <c r="E23" s="6">
        <f t="shared" si="0"/>
        <v>1800</v>
      </c>
      <c r="F23" s="256">
        <v>3</v>
      </c>
      <c r="G23" s="187">
        <f t="shared" si="3"/>
        <v>1800</v>
      </c>
      <c r="H23" s="197">
        <v>3</v>
      </c>
      <c r="I23" s="6">
        <f t="shared" si="1"/>
        <v>1800</v>
      </c>
      <c r="J23" s="5">
        <f t="shared" si="5"/>
        <v>9</v>
      </c>
      <c r="K23" s="272">
        <f t="shared" si="6"/>
        <v>5400</v>
      </c>
      <c r="M23" s="5" t="s">
        <v>197</v>
      </c>
      <c r="N23" s="5">
        <v>2</v>
      </c>
      <c r="O23" s="5" t="s">
        <v>189</v>
      </c>
      <c r="P23" s="6">
        <v>3000</v>
      </c>
      <c r="Q23" s="65">
        <f t="shared" si="9"/>
        <v>0.85</v>
      </c>
      <c r="R23" s="65">
        <f t="shared" si="9"/>
        <v>1</v>
      </c>
    </row>
    <row r="24" spans="1:18" ht="12.75" customHeight="1" x14ac:dyDescent="0.2">
      <c r="B24" s="113" t="s">
        <v>209</v>
      </c>
      <c r="C24" s="5">
        <v>300</v>
      </c>
      <c r="D24" s="5">
        <v>6</v>
      </c>
      <c r="E24" s="6">
        <f t="shared" ref="E24" si="10">C24*D24</f>
        <v>1800</v>
      </c>
      <c r="F24" s="256">
        <v>4</v>
      </c>
      <c r="G24" s="187">
        <f t="shared" si="3"/>
        <v>1200</v>
      </c>
      <c r="H24" s="197">
        <v>4</v>
      </c>
      <c r="I24" s="6">
        <f t="shared" ref="I24" si="11">H24*C24</f>
        <v>1200</v>
      </c>
      <c r="J24" s="5">
        <f t="shared" si="5"/>
        <v>14</v>
      </c>
      <c r="K24" s="272">
        <f t="shared" si="6"/>
        <v>4200</v>
      </c>
      <c r="M24" s="477" t="s">
        <v>198</v>
      </c>
      <c r="N24" s="384"/>
      <c r="O24" s="385"/>
      <c r="P24" s="6">
        <f>SUM(P18:P23)</f>
        <v>20230</v>
      </c>
      <c r="Q24" s="1"/>
    </row>
    <row r="25" spans="1:18" ht="13.5" customHeight="1" x14ac:dyDescent="0.2">
      <c r="B25" s="113" t="s">
        <v>483</v>
      </c>
      <c r="C25" s="5">
        <v>3000</v>
      </c>
      <c r="D25" s="5">
        <v>1</v>
      </c>
      <c r="E25" s="6">
        <f t="shared" si="0"/>
        <v>3000</v>
      </c>
      <c r="F25" s="256">
        <v>0</v>
      </c>
      <c r="G25" s="187">
        <f t="shared" si="3"/>
        <v>0</v>
      </c>
      <c r="H25" s="197">
        <v>0</v>
      </c>
      <c r="I25" s="6">
        <f t="shared" si="1"/>
        <v>0</v>
      </c>
      <c r="J25" s="5">
        <f t="shared" si="5"/>
        <v>1</v>
      </c>
      <c r="K25" s="209">
        <f t="shared" si="6"/>
        <v>3000</v>
      </c>
      <c r="M25" s="266"/>
      <c r="N25" s="252"/>
      <c r="O25" s="252"/>
      <c r="P25" s="269"/>
      <c r="Q25" s="265"/>
    </row>
    <row r="26" spans="1:18" ht="13.5" customHeight="1" thickBot="1" x14ac:dyDescent="0.25">
      <c r="B26" s="114" t="s">
        <v>31</v>
      </c>
      <c r="C26" s="47">
        <v>7500</v>
      </c>
      <c r="D26" s="47">
        <v>0</v>
      </c>
      <c r="E26" s="115">
        <f t="shared" si="0"/>
        <v>0</v>
      </c>
      <c r="F26" s="47">
        <v>0</v>
      </c>
      <c r="G26" s="172">
        <f t="shared" si="3"/>
        <v>0</v>
      </c>
      <c r="H26" s="47">
        <v>0</v>
      </c>
      <c r="I26" s="115">
        <f t="shared" si="1"/>
        <v>0</v>
      </c>
      <c r="J26" s="47">
        <v>0</v>
      </c>
      <c r="K26" s="271">
        <f t="shared" si="6"/>
        <v>0</v>
      </c>
      <c r="M26" s="266"/>
      <c r="N26" s="252"/>
      <c r="O26" s="252"/>
      <c r="P26" s="269"/>
      <c r="Q26" s="265"/>
    </row>
    <row r="27" spans="1:18" ht="13.5" customHeight="1" x14ac:dyDescent="0.2">
      <c r="B27" s="1"/>
      <c r="C27" s="389" t="s">
        <v>76</v>
      </c>
      <c r="D27" s="391"/>
      <c r="E27" s="21">
        <f>SUM(E6:E26)</f>
        <v>32890</v>
      </c>
      <c r="F27" s="116"/>
      <c r="G27" s="21">
        <f>SUM(G6:G26)</f>
        <v>25830</v>
      </c>
      <c r="H27" s="116"/>
      <c r="I27" s="21">
        <f>SUM(I6:I26)</f>
        <v>22030</v>
      </c>
      <c r="J27" s="116"/>
      <c r="K27" s="21">
        <f>SUM(K6:K26)</f>
        <v>80750</v>
      </c>
    </row>
    <row r="28" spans="1:18" ht="9" customHeight="1" thickBot="1" x14ac:dyDescent="0.25">
      <c r="L28" s="1"/>
      <c r="R28" s="1"/>
    </row>
    <row r="29" spans="1:18" ht="12.75" customHeight="1" thickBot="1" x14ac:dyDescent="0.25">
      <c r="M29" s="396" t="s">
        <v>516</v>
      </c>
      <c r="N29" s="397"/>
      <c r="O29" s="397"/>
      <c r="P29" s="397"/>
      <c r="Q29" s="398"/>
    </row>
    <row r="30" spans="1:18" ht="13.5" customHeight="1" thickBot="1" x14ac:dyDescent="0.25">
      <c r="M30" s="1"/>
      <c r="N30" s="1"/>
      <c r="O30" s="1"/>
      <c r="P30" s="1"/>
      <c r="Q30" s="1"/>
    </row>
    <row r="31" spans="1:18" ht="12.75" customHeight="1" x14ac:dyDescent="0.2">
      <c r="M31" s="458" t="s">
        <v>177</v>
      </c>
      <c r="N31" s="418" t="s">
        <v>178</v>
      </c>
      <c r="O31" s="418" t="s">
        <v>179</v>
      </c>
      <c r="P31" s="418" t="s">
        <v>180</v>
      </c>
      <c r="Q31" s="456" t="s">
        <v>181</v>
      </c>
    </row>
    <row r="32" spans="1:18" ht="12.75" customHeight="1" thickBot="1" x14ac:dyDescent="0.25">
      <c r="M32" s="430"/>
      <c r="N32" s="433"/>
      <c r="O32" s="433"/>
      <c r="P32" s="433"/>
      <c r="Q32" s="457"/>
    </row>
    <row r="33" spans="13:17" ht="12.75" customHeight="1" x14ac:dyDescent="0.2">
      <c r="M33" s="22" t="s">
        <v>184</v>
      </c>
      <c r="N33" s="22" t="s">
        <v>185</v>
      </c>
      <c r="O33" s="22" t="s">
        <v>186</v>
      </c>
      <c r="P33" s="21">
        <f>K11+K12++K14+K15+K16+K17</f>
        <v>17350</v>
      </c>
      <c r="Q33" s="62">
        <f t="shared" ref="Q33:Q36" si="12">IF(OR(M33="c",M33="d"),0.85,1)</f>
        <v>1</v>
      </c>
    </row>
    <row r="34" spans="13:17" ht="12.75" customHeight="1" x14ac:dyDescent="0.2">
      <c r="M34" s="30" t="s">
        <v>210</v>
      </c>
      <c r="N34" s="30">
        <v>4</v>
      </c>
      <c r="O34" s="117" t="s">
        <v>211</v>
      </c>
      <c r="P34" s="118">
        <f>K18</f>
        <v>3600</v>
      </c>
      <c r="Q34" s="119">
        <f t="shared" si="12"/>
        <v>1</v>
      </c>
    </row>
    <row r="35" spans="13:17" ht="12.75" customHeight="1" x14ac:dyDescent="0.2">
      <c r="M35" s="5" t="s">
        <v>212</v>
      </c>
      <c r="N35" s="5">
        <v>4</v>
      </c>
      <c r="O35" s="5" t="s">
        <v>195</v>
      </c>
      <c r="P35" s="6">
        <f>K6+K9+K13+K21+K22+K23+K25</f>
        <v>13600</v>
      </c>
      <c r="Q35" s="65">
        <f t="shared" si="12"/>
        <v>1</v>
      </c>
    </row>
    <row r="36" spans="13:17" ht="12.75" customHeight="1" x14ac:dyDescent="0.2">
      <c r="M36" s="5" t="s">
        <v>213</v>
      </c>
      <c r="N36" s="5">
        <v>2</v>
      </c>
      <c r="O36" s="5" t="s">
        <v>214</v>
      </c>
      <c r="P36" s="6">
        <f>K26+K25</f>
        <v>3000</v>
      </c>
      <c r="Q36" s="65">
        <f t="shared" si="12"/>
        <v>0.85</v>
      </c>
    </row>
    <row r="37" spans="13:17" ht="12.75" customHeight="1" x14ac:dyDescent="0.2">
      <c r="M37" s="477" t="s">
        <v>198</v>
      </c>
      <c r="N37" s="384"/>
      <c r="O37" s="385"/>
      <c r="P37" s="6">
        <f>SUM(P33:P36)</f>
        <v>37550</v>
      </c>
      <c r="Q37" s="1"/>
    </row>
    <row r="38" spans="13:17" ht="12.75" customHeight="1" x14ac:dyDescent="0.2"/>
    <row r="39" spans="13:17" ht="12.75" customHeight="1" thickBot="1" x14ac:dyDescent="0.25"/>
    <row r="40" spans="13:17" ht="12.75" customHeight="1" thickBot="1" x14ac:dyDescent="0.25">
      <c r="M40" s="396" t="s">
        <v>515</v>
      </c>
      <c r="N40" s="397"/>
      <c r="O40" s="397"/>
      <c r="P40" s="397"/>
      <c r="Q40" s="398"/>
    </row>
    <row r="41" spans="13:17" ht="12.75" customHeight="1" thickBot="1" x14ac:dyDescent="0.25">
      <c r="M41" s="1"/>
      <c r="N41" s="1"/>
      <c r="O41" s="1"/>
      <c r="P41" s="1"/>
      <c r="Q41" s="1"/>
    </row>
    <row r="42" spans="13:17" ht="12.75" customHeight="1" x14ac:dyDescent="0.2">
      <c r="M42" s="458" t="s">
        <v>177</v>
      </c>
      <c r="N42" s="418" t="s">
        <v>178</v>
      </c>
      <c r="O42" s="418" t="s">
        <v>179</v>
      </c>
      <c r="P42" s="418" t="s">
        <v>180</v>
      </c>
      <c r="Q42" s="456" t="s">
        <v>181</v>
      </c>
    </row>
    <row r="43" spans="13:17" ht="12.75" customHeight="1" thickBot="1" x14ac:dyDescent="0.25">
      <c r="M43" s="430"/>
      <c r="N43" s="433"/>
      <c r="O43" s="433"/>
      <c r="P43" s="433"/>
      <c r="Q43" s="457"/>
    </row>
    <row r="44" spans="13:17" ht="12.75" customHeight="1" x14ac:dyDescent="0.2">
      <c r="M44" s="22" t="s">
        <v>184</v>
      </c>
      <c r="N44" s="22" t="s">
        <v>185</v>
      </c>
      <c r="O44" s="22" t="s">
        <v>186</v>
      </c>
      <c r="P44" s="21">
        <f>I37+I38++I40+I41+I42+I43</f>
        <v>0</v>
      </c>
      <c r="Q44" s="62">
        <f t="shared" ref="Q44:Q46" si="13">IF(OR(M44="c",M44="d"),0.85,1)</f>
        <v>1</v>
      </c>
    </row>
    <row r="45" spans="13:17" ht="12.75" customHeight="1" x14ac:dyDescent="0.2">
      <c r="M45" s="5" t="s">
        <v>187</v>
      </c>
      <c r="N45" s="5">
        <v>2</v>
      </c>
      <c r="O45" s="5" t="s">
        <v>188</v>
      </c>
      <c r="P45" s="6">
        <f>I33</f>
        <v>0</v>
      </c>
      <c r="Q45" s="62">
        <f t="shared" si="13"/>
        <v>1</v>
      </c>
    </row>
    <row r="46" spans="13:17" ht="12.75" customHeight="1" x14ac:dyDescent="0.2">
      <c r="M46" s="407" t="s">
        <v>190</v>
      </c>
      <c r="N46" s="407">
        <v>4</v>
      </c>
      <c r="O46" s="386" t="s">
        <v>191</v>
      </c>
      <c r="P46" s="478">
        <f>I44+I45+I46+I36</f>
        <v>0</v>
      </c>
      <c r="Q46" s="479">
        <f t="shared" si="13"/>
        <v>1</v>
      </c>
    </row>
    <row r="47" spans="13:17" ht="12.75" customHeight="1" x14ac:dyDescent="0.2">
      <c r="M47" s="388"/>
      <c r="N47" s="388"/>
      <c r="O47" s="388"/>
      <c r="P47" s="388"/>
      <c r="Q47" s="388"/>
    </row>
    <row r="48" spans="13:17" ht="12.75" customHeight="1" x14ac:dyDescent="0.2">
      <c r="M48" s="5" t="s">
        <v>194</v>
      </c>
      <c r="N48" s="5">
        <v>5</v>
      </c>
      <c r="O48" s="5" t="s">
        <v>195</v>
      </c>
      <c r="P48" s="6">
        <f>I32+I35+I39+I48+I49+I51+I47</f>
        <v>0</v>
      </c>
      <c r="Q48" s="65">
        <f t="shared" ref="Q48:Q49" si="14">IF(OR(M48="c",M48="d"),0.85,1)</f>
        <v>1</v>
      </c>
    </row>
    <row r="49" spans="13:17" ht="12.75" customHeight="1" x14ac:dyDescent="0.2">
      <c r="M49" s="5" t="s">
        <v>197</v>
      </c>
      <c r="N49" s="5">
        <v>2</v>
      </c>
      <c r="O49" s="5" t="s">
        <v>189</v>
      </c>
      <c r="P49" s="6">
        <v>3000</v>
      </c>
      <c r="Q49" s="65">
        <f t="shared" si="14"/>
        <v>0.85</v>
      </c>
    </row>
    <row r="50" spans="13:17" ht="12.75" customHeight="1" x14ac:dyDescent="0.2">
      <c r="M50" s="477" t="s">
        <v>198</v>
      </c>
      <c r="N50" s="384"/>
      <c r="O50" s="385"/>
      <c r="P50" s="6">
        <f>SUM(P44:P49)</f>
        <v>3000</v>
      </c>
      <c r="Q50" s="1"/>
    </row>
    <row r="51" spans="13:17" ht="12.75" customHeight="1" x14ac:dyDescent="0.2"/>
    <row r="52" spans="13:17" ht="12.75" customHeight="1" x14ac:dyDescent="0.2"/>
    <row r="53" spans="13:17" ht="12.75" customHeight="1" x14ac:dyDescent="0.2"/>
    <row r="54" spans="13:17" ht="12.75" customHeight="1" x14ac:dyDescent="0.2"/>
    <row r="55" spans="13:17" ht="12.75" customHeight="1" x14ac:dyDescent="0.2"/>
    <row r="56" spans="13:17" ht="12.75" customHeight="1" x14ac:dyDescent="0.2"/>
    <row r="57" spans="13:17" ht="12.75" customHeight="1" x14ac:dyDescent="0.2"/>
    <row r="58" spans="13:17" ht="12.75" customHeight="1" x14ac:dyDescent="0.2"/>
    <row r="59" spans="13:17" ht="12.75" customHeight="1" x14ac:dyDescent="0.2"/>
    <row r="60" spans="13:17" ht="12.75" customHeight="1" x14ac:dyDescent="0.2"/>
    <row r="61" spans="13:17" ht="12.75" customHeight="1" x14ac:dyDescent="0.2"/>
    <row r="62" spans="13:17" ht="12.75" customHeight="1" x14ac:dyDescent="0.2"/>
    <row r="63" spans="13:17" ht="12.75" customHeight="1" x14ac:dyDescent="0.2"/>
    <row r="64" spans="13:17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mergeCells count="54">
    <mergeCell ref="R4:R5"/>
    <mergeCell ref="R8:R9"/>
    <mergeCell ref="R16:R17"/>
    <mergeCell ref="R20:R21"/>
    <mergeCell ref="M37:O37"/>
    <mergeCell ref="N31:N32"/>
    <mergeCell ref="Q31:Q32"/>
    <mergeCell ref="M31:M32"/>
    <mergeCell ref="O31:O32"/>
    <mergeCell ref="P31:P32"/>
    <mergeCell ref="N16:N17"/>
    <mergeCell ref="M16:M17"/>
    <mergeCell ref="N8:N9"/>
    <mergeCell ref="O8:O9"/>
    <mergeCell ref="P8:P9"/>
    <mergeCell ref="Q8:Q9"/>
    <mergeCell ref="C27:D27"/>
    <mergeCell ref="M24:O24"/>
    <mergeCell ref="M29:Q29"/>
    <mergeCell ref="Q20:Q21"/>
    <mergeCell ref="O16:O17"/>
    <mergeCell ref="P16:P17"/>
    <mergeCell ref="Q16:Q17"/>
    <mergeCell ref="M20:M21"/>
    <mergeCell ref="N20:N21"/>
    <mergeCell ref="O20:O21"/>
    <mergeCell ref="P20:P21"/>
    <mergeCell ref="M14:Q14"/>
    <mergeCell ref="M12:O12"/>
    <mergeCell ref="M8:M9"/>
    <mergeCell ref="P4:P5"/>
    <mergeCell ref="Q4:Q5"/>
    <mergeCell ref="M2:Q2"/>
    <mergeCell ref="B4:B5"/>
    <mergeCell ref="D4:E4"/>
    <mergeCell ref="B2:K2"/>
    <mergeCell ref="H4:I4"/>
    <mergeCell ref="J4:K4"/>
    <mergeCell ref="N4:N5"/>
    <mergeCell ref="M4:M5"/>
    <mergeCell ref="O4:O5"/>
    <mergeCell ref="F4:G4"/>
    <mergeCell ref="Q46:Q47"/>
    <mergeCell ref="M40:Q40"/>
    <mergeCell ref="M42:M43"/>
    <mergeCell ref="N42:N43"/>
    <mergeCell ref="O42:O43"/>
    <mergeCell ref="P42:P43"/>
    <mergeCell ref="Q42:Q43"/>
    <mergeCell ref="M50:O50"/>
    <mergeCell ref="M46:M47"/>
    <mergeCell ref="N46:N47"/>
    <mergeCell ref="O46:O47"/>
    <mergeCell ref="P46:P4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Caixas de Diálogo</vt:lpstr>
      </vt:variant>
      <vt:variant>
        <vt:i4>1</vt:i4>
      </vt:variant>
    </vt:vector>
  </HeadingPairs>
  <TitlesOfParts>
    <vt:vector size="13" baseType="lpstr">
      <vt:lpstr>Previsão de Cargas</vt:lpstr>
      <vt:lpstr>QDFL - Pav. Térreo Inf e Super</vt:lpstr>
      <vt:lpstr>QC - Ar Condicionados</vt:lpstr>
      <vt:lpstr>QC - Área Gourmet</vt:lpstr>
      <vt:lpstr>QC Final</vt:lpstr>
      <vt:lpstr>Resumo dos Painéis</vt:lpstr>
      <vt:lpstr>Queda de Tensão por Trecho</vt:lpstr>
      <vt:lpstr>Eletroduto</vt:lpstr>
      <vt:lpstr>Demanda</vt:lpstr>
      <vt:lpstr>Orçam.</vt:lpstr>
      <vt:lpstr>Planilha2</vt:lpstr>
      <vt:lpstr>Previsão de Cargas (2)</vt:lpstr>
      <vt:lpstr>Caixa de diálogo1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Iuri Nogueira Lubacheski</dc:creator>
  <cp:keywords>Designer</cp:keywords>
  <cp:lastModifiedBy>Alexandre</cp:lastModifiedBy>
  <cp:lastPrinted>2021-05-18T15:04:15Z</cp:lastPrinted>
  <dcterms:created xsi:type="dcterms:W3CDTF">2008-04-27T16:50:30Z</dcterms:created>
  <dcterms:modified xsi:type="dcterms:W3CDTF">2021-05-19T12:48:44Z</dcterms:modified>
</cp:coreProperties>
</file>