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/>
  <mc:AlternateContent xmlns:mc="http://schemas.openxmlformats.org/markup-compatibility/2006">
    <mc:Choice Requires="x15">
      <x15ac:absPath xmlns:x15ac="http://schemas.microsoft.com/office/spreadsheetml/2010/11/ac" url="/Users/swity/Downloads/"/>
    </mc:Choice>
  </mc:AlternateContent>
  <xr:revisionPtr revIDLastSave="0" documentId="13_ncr:1_{598466D7-81CD-0E47-BC19-7CF07066F9B3}" xr6:coauthVersionLast="47" xr6:coauthVersionMax="47" xr10:uidLastSave="{00000000-0000-0000-0000-000000000000}"/>
  <bookViews>
    <workbookView xWindow="0" yWindow="760" windowWidth="29400" windowHeight="16560" activeTab="1" xr2:uid="{00000000-000D-0000-FFFF-FFFF00000000}"/>
  </bookViews>
  <sheets>
    <sheet name="ANALISIS" sheetId="1" r:id="rId1"/>
    <sheet name="FLUJO DE EFECTIV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G64" i="2"/>
  <c r="F11" i="1"/>
  <c r="H78" i="2"/>
  <c r="I77" i="2"/>
  <c r="H77" i="2"/>
  <c r="G77" i="2"/>
  <c r="F77" i="2"/>
  <c r="E77" i="2"/>
  <c r="D77" i="2"/>
  <c r="C77" i="2"/>
  <c r="I42" i="2"/>
  <c r="L43" i="2"/>
  <c r="K43" i="2"/>
  <c r="J43" i="2"/>
  <c r="F43" i="2"/>
  <c r="E42" i="2"/>
  <c r="J42" i="2" l="1"/>
  <c r="K42" i="2" s="1"/>
  <c r="L42" i="2" s="1"/>
  <c r="F42" i="2"/>
  <c r="J38" i="2"/>
  <c r="I38" i="2"/>
  <c r="H38" i="2"/>
  <c r="G38" i="2"/>
  <c r="F38" i="2"/>
  <c r="E37" i="2"/>
  <c r="C3" i="2"/>
  <c r="D91" i="2"/>
  <c r="E23" i="1"/>
  <c r="D23" i="1"/>
  <c r="B13" i="1" l="1"/>
  <c r="B22" i="1"/>
  <c r="B23" i="1" s="1"/>
  <c r="F4" i="1"/>
  <c r="D3" i="2"/>
  <c r="C107" i="2"/>
  <c r="D107" i="2" s="1"/>
  <c r="E107" i="2" s="1"/>
  <c r="F107" i="2" s="1"/>
  <c r="G107" i="2" s="1"/>
  <c r="H107" i="2" s="1"/>
  <c r="I107" i="2" s="1"/>
  <c r="H13" i="2"/>
  <c r="D13" i="2"/>
  <c r="E13" i="2" s="1"/>
  <c r="I13" i="2"/>
  <c r="I78" i="2"/>
  <c r="F91" i="2"/>
  <c r="G91" i="2" s="1"/>
  <c r="D89" i="2"/>
  <c r="F89" i="2" s="1"/>
  <c r="B34" i="2"/>
  <c r="F26" i="2"/>
  <c r="G26" i="2" s="1"/>
  <c r="H26" i="2" s="1"/>
  <c r="I26" i="2" s="1"/>
  <c r="J26" i="2" s="1"/>
  <c r="E20" i="2"/>
  <c r="E19" i="2"/>
  <c r="E89" i="2" l="1"/>
  <c r="G89" i="2" s="1"/>
  <c r="G92" i="2" s="1"/>
  <c r="B95" i="2" s="1"/>
  <c r="B99" i="2" s="1"/>
  <c r="H20" i="2"/>
  <c r="I33" i="2" s="1"/>
  <c r="E27" i="2"/>
  <c r="E32" i="2"/>
  <c r="J33" i="2" l="1"/>
  <c r="F33" i="2"/>
  <c r="F32" i="2" s="1"/>
  <c r="F37" i="2"/>
  <c r="G37" i="2" s="1"/>
  <c r="H37" i="2" s="1"/>
  <c r="H33" i="2"/>
  <c r="G33" i="2"/>
  <c r="I28" i="2"/>
  <c r="H28" i="2"/>
  <c r="G28" i="2"/>
  <c r="J28" i="2"/>
  <c r="F28" i="2"/>
  <c r="I37" i="2" l="1"/>
  <c r="J37" i="2" s="1"/>
  <c r="G32" i="2"/>
  <c r="H32" i="2" s="1"/>
  <c r="I32" i="2" s="1"/>
  <c r="J32" i="2" s="1"/>
  <c r="F27" i="2"/>
  <c r="G27" i="2" s="1"/>
  <c r="H27" i="2" s="1"/>
  <c r="I27" i="2" s="1"/>
  <c r="J27" i="2" s="1"/>
  <c r="G78" i="2" l="1"/>
  <c r="B18" i="2"/>
  <c r="G13" i="2"/>
  <c r="F13" i="2"/>
  <c r="C13" i="2"/>
  <c r="C12" i="2"/>
  <c r="D12" i="2" s="1"/>
  <c r="D14" i="2" s="1"/>
  <c r="D67" i="2" s="1"/>
  <c r="D81" i="2" s="1"/>
  <c r="C11" i="2"/>
  <c r="D11" i="2" s="1"/>
  <c r="E11" i="2" s="1"/>
  <c r="F11" i="2" s="1"/>
  <c r="G11" i="2" s="1"/>
  <c r="H11" i="2" s="1"/>
  <c r="I11" i="2" s="1"/>
  <c r="D6" i="2"/>
  <c r="E6" i="2" s="1"/>
  <c r="F6" i="2" s="1"/>
  <c r="G6" i="2" s="1"/>
  <c r="H6" i="2" s="1"/>
  <c r="I6" i="2" s="1"/>
  <c r="B29" i="1"/>
  <c r="C2" i="2"/>
  <c r="D2" i="2" s="1"/>
  <c r="E2" i="2" s="1"/>
  <c r="F2" i="2" s="1"/>
  <c r="G2" i="2" s="1"/>
  <c r="H2" i="2" s="1"/>
  <c r="I2" i="2" s="1"/>
  <c r="B20" i="2" l="1"/>
  <c r="B21" i="2" s="1"/>
  <c r="B66" i="2"/>
  <c r="B80" i="2" s="1"/>
  <c r="B71" i="2"/>
  <c r="E12" i="2"/>
  <c r="C14" i="2"/>
  <c r="C67" i="2" s="1"/>
  <c r="C81" i="2" s="1"/>
  <c r="F8" i="1"/>
  <c r="B85" i="2" l="1"/>
  <c r="B108" i="2" s="1"/>
  <c r="B109" i="2" s="1"/>
  <c r="B31" i="2"/>
  <c r="B35" i="2" s="1"/>
  <c r="I51" i="2" s="1"/>
  <c r="B91" i="2"/>
  <c r="F12" i="2"/>
  <c r="E14" i="2"/>
  <c r="E67" i="2" s="1"/>
  <c r="E81" i="2" s="1"/>
  <c r="C4" i="2"/>
  <c r="C5" i="2" s="1"/>
  <c r="C8" i="2" s="1"/>
  <c r="D4" i="2"/>
  <c r="D5" i="2" s="1"/>
  <c r="D8" i="2" s="1"/>
  <c r="E3" i="2"/>
  <c r="B89" i="2" l="1"/>
  <c r="G51" i="2"/>
  <c r="C51" i="2"/>
  <c r="E51" i="2"/>
  <c r="F51" i="2"/>
  <c r="H51" i="2"/>
  <c r="D51" i="2"/>
  <c r="B92" i="2"/>
  <c r="C55" i="2"/>
  <c r="C62" i="2"/>
  <c r="C76" i="2" s="1"/>
  <c r="D55" i="2"/>
  <c r="D62" i="2"/>
  <c r="D76" i="2" s="1"/>
  <c r="G12" i="2"/>
  <c r="F14" i="2"/>
  <c r="F3" i="2"/>
  <c r="E4" i="2"/>
  <c r="E5" i="2" s="1"/>
  <c r="E8" i="2" s="1"/>
  <c r="C49" i="2" l="1"/>
  <c r="G14" i="2"/>
  <c r="G67" i="2" s="1"/>
  <c r="G81" i="2" s="1"/>
  <c r="H12" i="2"/>
  <c r="C69" i="2"/>
  <c r="C83" i="2" s="1"/>
  <c r="C50" i="2"/>
  <c r="E62" i="2"/>
  <c r="E76" i="2" s="1"/>
  <c r="E55" i="2"/>
  <c r="F67" i="2"/>
  <c r="F81" i="2" s="1"/>
  <c r="F4" i="2"/>
  <c r="F5" i="2" s="1"/>
  <c r="F8" i="2" s="1"/>
  <c r="G3" i="2"/>
  <c r="H14" i="2" l="1"/>
  <c r="H67" i="2" s="1"/>
  <c r="H81" i="2" s="1"/>
  <c r="I12" i="2"/>
  <c r="I14" i="2" s="1"/>
  <c r="I67" i="2" s="1"/>
  <c r="I81" i="2" s="1"/>
  <c r="G4" i="2"/>
  <c r="G5" i="2" s="1"/>
  <c r="G8" i="2" s="1"/>
  <c r="G62" i="2" s="1"/>
  <c r="G76" i="2" s="1"/>
  <c r="H3" i="2"/>
  <c r="C56" i="2"/>
  <c r="C57" i="2" s="1"/>
  <c r="C70" i="2" s="1"/>
  <c r="C84" i="2" s="1"/>
  <c r="C48" i="2"/>
  <c r="F55" i="2"/>
  <c r="F62" i="2"/>
  <c r="F76" i="2" s="1"/>
  <c r="F12" i="1"/>
  <c r="F9" i="1"/>
  <c r="F3" i="1"/>
  <c r="G55" i="2" l="1"/>
  <c r="I3" i="2"/>
  <c r="I4" i="2" s="1"/>
  <c r="I5" i="2" s="1"/>
  <c r="I8" i="2" s="1"/>
  <c r="H4" i="2"/>
  <c r="H5" i="2" s="1"/>
  <c r="H8" i="2" s="1"/>
  <c r="C68" i="2"/>
  <c r="C47" i="2"/>
  <c r="D49" i="2" s="1"/>
  <c r="H62" i="2" l="1"/>
  <c r="H76" i="2" s="1"/>
  <c r="H55" i="2"/>
  <c r="I62" i="2"/>
  <c r="I76" i="2" s="1"/>
  <c r="I55" i="2"/>
  <c r="D50" i="2"/>
  <c r="D56" i="2" s="1"/>
  <c r="D57" i="2" s="1"/>
  <c r="D70" i="2" s="1"/>
  <c r="D84" i="2" s="1"/>
  <c r="D69" i="2"/>
  <c r="D83" i="2" s="1"/>
  <c r="C82" i="2"/>
  <c r="C85" i="2" s="1"/>
  <c r="C71" i="2"/>
  <c r="C108" i="2" l="1"/>
  <c r="C109" i="2" s="1"/>
  <c r="D48" i="2"/>
  <c r="D47" i="2" l="1"/>
  <c r="E49" i="2" s="1"/>
  <c r="D68" i="2"/>
  <c r="D71" i="2" l="1"/>
  <c r="D82" i="2"/>
  <c r="D85" i="2" s="1"/>
  <c r="E50" i="2"/>
  <c r="E56" i="2" s="1"/>
  <c r="E57" i="2" s="1"/>
  <c r="E70" i="2" s="1"/>
  <c r="E84" i="2" s="1"/>
  <c r="E69" i="2"/>
  <c r="E83" i="2" s="1"/>
  <c r="D108" i="2" l="1"/>
  <c r="D109" i="2" s="1"/>
  <c r="E48" i="2"/>
  <c r="E68" i="2" s="1"/>
  <c r="E82" i="2" s="1"/>
  <c r="E85" i="2" s="1"/>
  <c r="E108" i="2" s="1"/>
  <c r="E109" i="2" l="1"/>
  <c r="E71" i="2"/>
  <c r="E47" i="2"/>
  <c r="F49" i="2" s="1"/>
  <c r="F50" i="2" s="1"/>
  <c r="F56" i="2" s="1"/>
  <c r="F57" i="2" s="1"/>
  <c r="F70" i="2" s="1"/>
  <c r="F84" i="2" s="1"/>
  <c r="F69" i="2" l="1"/>
  <c r="F83" i="2" s="1"/>
  <c r="F48" i="2"/>
  <c r="F47" i="2" l="1"/>
  <c r="G49" i="2" s="1"/>
  <c r="F68" i="2"/>
  <c r="G50" i="2" l="1"/>
  <c r="G56" i="2" s="1"/>
  <c r="G57" i="2" s="1"/>
  <c r="G70" i="2" s="1"/>
  <c r="G84" i="2" s="1"/>
  <c r="G69" i="2"/>
  <c r="G83" i="2" s="1"/>
  <c r="F71" i="2"/>
  <c r="F82" i="2"/>
  <c r="F85" i="2" s="1"/>
  <c r="F108" i="2" l="1"/>
  <c r="F109" i="2" s="1"/>
  <c r="G48" i="2"/>
  <c r="G47" i="2" l="1"/>
  <c r="H49" i="2" s="1"/>
  <c r="G68" i="2"/>
  <c r="H50" i="2" l="1"/>
  <c r="H56" i="2" s="1"/>
  <c r="H57" i="2" s="1"/>
  <c r="H70" i="2" s="1"/>
  <c r="H84" i="2" s="1"/>
  <c r="H69" i="2"/>
  <c r="H83" i="2" s="1"/>
  <c r="G82" i="2"/>
  <c r="G85" i="2" s="1"/>
  <c r="G71" i="2"/>
  <c r="G108" i="2" l="1"/>
  <c r="G109" i="2" s="1"/>
  <c r="H48" i="2"/>
  <c r="H47" i="2" l="1"/>
  <c r="I49" i="2" s="1"/>
  <c r="H68" i="2"/>
  <c r="H71" i="2" l="1"/>
  <c r="H82" i="2"/>
  <c r="H85" i="2" s="1"/>
  <c r="I69" i="2"/>
  <c r="I83" i="2" s="1"/>
  <c r="I50" i="2"/>
  <c r="I56" i="2" s="1"/>
  <c r="I57" i="2" s="1"/>
  <c r="I70" i="2" s="1"/>
  <c r="I84" i="2" s="1"/>
  <c r="I48" i="2" l="1"/>
  <c r="I47" i="2" s="1"/>
  <c r="H108" i="2"/>
  <c r="H109" i="2" s="1"/>
  <c r="I68" i="2" l="1"/>
  <c r="I82" i="2" s="1"/>
  <c r="I85" i="2" s="1"/>
  <c r="I71" i="2" l="1"/>
  <c r="I108" i="2"/>
  <c r="I109" i="2" s="1"/>
  <c r="B104" i="2"/>
  <c r="B101" i="2"/>
  <c r="B103" i="2" l="1"/>
  <c r="B1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Isaac A Loría López</author>
  </authors>
  <commentList>
    <comment ref="B12" authorId="0" shapeId="0" xr:uid="{C1124DA9-72A6-49A7-A9D5-1BEE3A0A7AA2}">
      <text>
        <r>
          <rPr>
            <b/>
            <sz val="9"/>
            <color rgb="FF000000"/>
            <rFont val="Tahoma"/>
            <family val="2"/>
          </rPr>
          <t>Isaac A Loría López: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TIPO DE CAMBIO 20.29</t>
        </r>
      </text>
    </comment>
    <comment ref="B23" authorId="0" shapeId="0" xr:uid="{E29B76F0-A950-410E-854C-548B9747453E}">
      <text>
        <r>
          <rPr>
            <b/>
            <sz val="9"/>
            <color rgb="FF000000"/>
            <rFont val="Tahoma"/>
            <family val="2"/>
          </rPr>
          <t>Isaac A Loría López: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INV REQUERIDA + 0.05 PARA TEMA DE IMPREVISTOS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Isaac A Loría López</author>
  </authors>
  <commentList>
    <comment ref="A95" authorId="0" shapeId="0" xr:uid="{D316A1B9-57BD-4228-89DA-31BAB793214B}">
      <text>
        <r>
          <rPr>
            <b/>
            <sz val="9"/>
            <color rgb="FF000000"/>
            <rFont val="Tahoma"/>
            <family val="2"/>
          </rPr>
          <t>Isaac A Loría López: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COSTO CAPITAL</t>
        </r>
      </text>
    </comment>
    <comment ref="A96" authorId="0" shapeId="0" xr:uid="{43822F15-F22C-4A86-ACB5-9A1291C01007}">
      <text>
        <r>
          <rPr>
            <b/>
            <sz val="9"/>
            <color rgb="FF000000"/>
            <rFont val="Tahoma"/>
            <family val="2"/>
          </rPr>
          <t>Isaac A Loría López: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RIESGO PAIS</t>
        </r>
      </text>
    </comment>
    <comment ref="A97" authorId="0" shapeId="0" xr:uid="{33ED6F98-898E-4799-9159-5E4D3CC97C77}">
      <text>
        <r>
          <rPr>
            <b/>
            <sz val="9"/>
            <color rgb="FF000000"/>
            <rFont val="Tahoma"/>
            <family val="2"/>
          </rPr>
          <t>Isaac A Loría López: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GANANCIA ESPERADA</t>
        </r>
      </text>
    </comment>
    <comment ref="A98" authorId="0" shapeId="0" xr:uid="{7DE9D7A4-AF6B-43BB-9F6C-8E9AD543A51C}">
      <text>
        <r>
          <rPr>
            <b/>
            <sz val="9"/>
            <color rgb="FF000000"/>
            <rFont val="Tahoma"/>
            <family val="2"/>
          </rPr>
          <t>Isaac A Loría López: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INFLACION</t>
        </r>
      </text>
    </comment>
  </commentList>
</comments>
</file>

<file path=xl/sharedStrings.xml><?xml version="1.0" encoding="utf-8"?>
<sst xmlns="http://schemas.openxmlformats.org/spreadsheetml/2006/main" count="175" uniqueCount="114">
  <si>
    <t>TOTAL</t>
  </si>
  <si>
    <t>CONCEPTO</t>
  </si>
  <si>
    <t>PRECIO</t>
  </si>
  <si>
    <t>AÑOS VIDA</t>
  </si>
  <si>
    <t>DE POR VIDA</t>
  </si>
  <si>
    <t>INVERSION REQUERIDA</t>
  </si>
  <si>
    <t>INVERSION SOLICITADA</t>
  </si>
  <si>
    <t>CASAS</t>
  </si>
  <si>
    <t>TARGET</t>
  </si>
  <si>
    <t>TRABAJADORES</t>
  </si>
  <si>
    <t>TICKET PROMEDIO</t>
  </si>
  <si>
    <t xml:space="preserve">RETENCION </t>
  </si>
  <si>
    <t>AÑO</t>
  </si>
  <si>
    <t>TOTAL INGRESOS</t>
  </si>
  <si>
    <t>INGRESO POR RETENCIÓN DEL 15(%)</t>
  </si>
  <si>
    <t>CEDULA DE EGRESOS</t>
  </si>
  <si>
    <t>RETENCION</t>
  </si>
  <si>
    <t>TRABAJOS REALIZADOS</t>
  </si>
  <si>
    <t>POBLACION CANCÚN</t>
  </si>
  <si>
    <t>POBLACION QUINTANA ROO</t>
  </si>
  <si>
    <t>TOTAL TRABAJADORES CUENTA PROPIA CANCÚN</t>
  </si>
  <si>
    <t>TRABAJADORES DOMESTICOS QROO</t>
  </si>
  <si>
    <t>TRABAJADORES DOMESTICOS CUN</t>
  </si>
  <si>
    <t>REALIZADOS POR SERVIRALIA</t>
  </si>
  <si>
    <t>SALARIOS (GASTOS ADMINISTRATIVOS)</t>
  </si>
  <si>
    <t>GASTOS DE OPERACIÓN</t>
  </si>
  <si>
    <t>TOTAL DE EGRESOS</t>
  </si>
  <si>
    <t>D</t>
  </si>
  <si>
    <t>P</t>
  </si>
  <si>
    <t>INVERSION</t>
  </si>
  <si>
    <t>MONTO (INV)</t>
  </si>
  <si>
    <t>D - P</t>
  </si>
  <si>
    <t>60-40</t>
  </si>
  <si>
    <t>DEPRECIACIÓN</t>
  </si>
  <si>
    <t>VR (%)</t>
  </si>
  <si>
    <t>VR ($)</t>
  </si>
  <si>
    <t>OBJETO</t>
  </si>
  <si>
    <t>MONTO</t>
  </si>
  <si>
    <t>VIDA UTIL</t>
  </si>
  <si>
    <t>EQUIPO CELULAR</t>
  </si>
  <si>
    <t>EQUIPO COMPUTO</t>
  </si>
  <si>
    <t>SALARIOS TRABAJADORES AÑO 1</t>
  </si>
  <si>
    <t>TRABAJOS X TRABAJADOR</t>
  </si>
  <si>
    <t>SALDO (VL)</t>
  </si>
  <si>
    <t>TRABAJOS X TRABAJADOR ANUALES</t>
  </si>
  <si>
    <t>DEPRECIACIÓN EQUIPO CELULAR</t>
  </si>
  <si>
    <t>DEPRECIACIÓN EQUIPO COMPUTO</t>
  </si>
  <si>
    <t>DEUDA</t>
  </si>
  <si>
    <t>i</t>
  </si>
  <si>
    <t>N (contrato)</t>
  </si>
  <si>
    <t>i / IVA</t>
  </si>
  <si>
    <t>SALDO</t>
  </si>
  <si>
    <t>ABONO</t>
  </si>
  <si>
    <t>INTERES</t>
  </si>
  <si>
    <t>IVA</t>
  </si>
  <si>
    <t>PAGO</t>
  </si>
  <si>
    <t>TABLA DE IVA PAGADO / COBRADO</t>
  </si>
  <si>
    <t>IVA COBRADO</t>
  </si>
  <si>
    <t>IVA PAGADO</t>
  </si>
  <si>
    <t>DIFERENCIA</t>
  </si>
  <si>
    <t>FLUJO DE EFECTIVO ANTES DE IMPUESTOS (FEAI)</t>
  </si>
  <si>
    <t>FUENTES</t>
  </si>
  <si>
    <t>INGRESO</t>
  </si>
  <si>
    <t>VENTA DEL ACT</t>
  </si>
  <si>
    <t>USO</t>
  </si>
  <si>
    <t>EGRESOS</t>
  </si>
  <si>
    <t>ABONO DEUDA</t>
  </si>
  <si>
    <t>FEIA</t>
  </si>
  <si>
    <t>FLUJO DE EFECTIVO DESPUES DE IMPUESTOS (FEDI)</t>
  </si>
  <si>
    <t>COSTO DE CAPITAL (WACC)</t>
  </si>
  <si>
    <t>FUENTES EXTERNAS</t>
  </si>
  <si>
    <t>(%)</t>
  </si>
  <si>
    <t>i/r</t>
  </si>
  <si>
    <t>i DI</t>
  </si>
  <si>
    <t>K</t>
  </si>
  <si>
    <t>K DI</t>
  </si>
  <si>
    <t>FUENTES INTERNAS</t>
  </si>
  <si>
    <t>ACCIONES</t>
  </si>
  <si>
    <t>TREMA</t>
  </si>
  <si>
    <t>ß</t>
  </si>
  <si>
    <t>µ</t>
  </si>
  <si>
    <t>f</t>
  </si>
  <si>
    <t>&gt;0 se acepta</t>
  </si>
  <si>
    <t>VALOR ACTUAL EQUIVALENTE (VAE)</t>
  </si>
  <si>
    <t>VALOR FUTURO NETO (VFN)</t>
  </si>
  <si>
    <t>VALOR PRESENTE NETO (VPN)</t>
  </si>
  <si>
    <t>TIR</t>
  </si>
  <si>
    <t>BALANCE DEL PROYECTO</t>
  </si>
  <si>
    <t>FEDI</t>
  </si>
  <si>
    <t>PB</t>
  </si>
  <si>
    <t>PATRIMONIO</t>
  </si>
  <si>
    <t>^– se recupera la inversión en el año 5</t>
  </si>
  <si>
    <t>CÉDULA DE INGRESOS</t>
  </si>
  <si>
    <t>CÉDULA DE EGRESOS</t>
  </si>
  <si>
    <t>TABLA DE AMORTIZACIÓN DE DEUDA</t>
  </si>
  <si>
    <t>&gt; trema se acepta</t>
  </si>
  <si>
    <t>-</t>
  </si>
  <si>
    <t>DOMINIO</t>
  </si>
  <si>
    <t>DEPRECIACIÓN DOMINIO WEB</t>
  </si>
  <si>
    <t>DOMINIO WEB</t>
  </si>
  <si>
    <t>HOSPEDAJE WEB</t>
  </si>
  <si>
    <t>CERTIFICADO SSL</t>
  </si>
  <si>
    <t>PLAN DE INTERNET FIJO</t>
  </si>
  <si>
    <t>EQUIPO DE COMPUTO</t>
  </si>
  <si>
    <t>DISEÑO WEB</t>
  </si>
  <si>
    <t>CAMPAÑA DE PUBLICIDAD</t>
  </si>
  <si>
    <t>CHATBOT</t>
  </si>
  <si>
    <t>VPN (NORD LAYER)</t>
  </si>
  <si>
    <t>SALARIO PROGRAMADOR BACK END</t>
  </si>
  <si>
    <t>ESPECIALISTA EN MARKETING</t>
  </si>
  <si>
    <t>DESARROLLADOR DE APLICACIONES</t>
  </si>
  <si>
    <t>ENCARGADO DE IA</t>
  </si>
  <si>
    <t>DEPRECIACIÓN HOSPEDAJE WEB</t>
  </si>
  <si>
    <t>DEPRECIACIÓN CERTIFICADO 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</si>
</sst>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[$$-80A]* #,##0.00_-;\-[$$-80A]* #,##0.00_-;_-[$$-80A]* &quot;-&quot;??_-;_-@_-"/>
    <numFmt numFmtId="167" formatCode="&quot;$&quot;#,##0.00"/>
    <numFmt numFmtId="168" formatCode="0.0%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b/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A5C8C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65" fontId="0" fillId="0" borderId="0" xfId="1" applyFont="1"/>
    <xf numFmtId="165" fontId="0" fillId="0" borderId="0" xfId="0" applyNumberFormat="1"/>
    <xf numFmtId="165" fontId="0" fillId="0" borderId="1" xfId="1" applyFont="1" applyBorder="1"/>
    <xf numFmtId="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0" xfId="2" applyNumberFormat="1" applyFont="1"/>
    <xf numFmtId="0" fontId="3" fillId="0" borderId="0" xfId="0" applyFont="1"/>
    <xf numFmtId="165" fontId="0" fillId="0" borderId="1" xfId="1" applyFon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2" fillId="0" borderId="0" xfId="0" applyFont="1"/>
    <xf numFmtId="3" fontId="7" fillId="0" borderId="0" xfId="0" applyNumberFormat="1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0" xfId="0" applyFont="1"/>
    <xf numFmtId="168" fontId="8" fillId="0" borderId="0" xfId="0" applyNumberFormat="1" applyFont="1"/>
    <xf numFmtId="9" fontId="0" fillId="0" borderId="1" xfId="0" applyNumberForma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5" fontId="0" fillId="0" borderId="1" xfId="1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2A5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="111" zoomScaleNormal="100" workbookViewId="0">
      <selection activeCell="G17" sqref="G17"/>
    </sheetView>
  </sheetViews>
  <sheetFormatPr baseColWidth="10" defaultColWidth="9" defaultRowHeight="15" x14ac:dyDescent="0.2"/>
  <cols>
    <col min="1" max="1" width="31.33203125" bestFit="1" customWidth="1"/>
    <col min="2" max="2" width="13.6640625" bestFit="1" customWidth="1"/>
    <col min="3" max="3" width="12" bestFit="1" customWidth="1"/>
    <col min="4" max="4" width="13.5" bestFit="1" customWidth="1"/>
    <col min="5" max="5" width="29.6640625" bestFit="1" customWidth="1"/>
    <col min="6" max="6" width="15.33203125" customWidth="1"/>
  </cols>
  <sheetData>
    <row r="1" spans="1:6" x14ac:dyDescent="0.2">
      <c r="A1" s="50" t="s">
        <v>15</v>
      </c>
      <c r="B1" s="51"/>
      <c r="C1" s="52"/>
      <c r="E1" s="49" t="s">
        <v>14</v>
      </c>
      <c r="F1" s="49"/>
    </row>
    <row r="2" spans="1:6" x14ac:dyDescent="0.2">
      <c r="A2" s="5" t="s">
        <v>1</v>
      </c>
      <c r="B2" s="5" t="s">
        <v>2</v>
      </c>
      <c r="C2" s="5" t="s">
        <v>3</v>
      </c>
      <c r="E2" s="5" t="s">
        <v>7</v>
      </c>
      <c r="F2" s="7">
        <v>277749</v>
      </c>
    </row>
    <row r="3" spans="1:6" x14ac:dyDescent="0.2">
      <c r="A3" s="5" t="s">
        <v>97</v>
      </c>
      <c r="B3" s="6">
        <v>3250</v>
      </c>
      <c r="C3" s="5">
        <v>5</v>
      </c>
      <c r="E3" s="5" t="s">
        <v>8</v>
      </c>
      <c r="F3" s="5">
        <f>ROUNDDOWN(F2*0.01,0)</f>
        <v>2777</v>
      </c>
    </row>
    <row r="4" spans="1:6" x14ac:dyDescent="0.2">
      <c r="A4" s="5" t="s">
        <v>39</v>
      </c>
      <c r="B4" s="6">
        <v>9200</v>
      </c>
      <c r="C4" s="5">
        <v>5</v>
      </c>
      <c r="E4" s="5" t="s">
        <v>9</v>
      </c>
      <c r="F4" s="43">
        <f>B29*0.5%</f>
        <v>76.924777471795338</v>
      </c>
    </row>
    <row r="5" spans="1:6" x14ac:dyDescent="0.2">
      <c r="A5" s="5" t="s">
        <v>102</v>
      </c>
      <c r="B5" s="18">
        <v>16800</v>
      </c>
      <c r="C5" s="5">
        <v>1</v>
      </c>
      <c r="D5" s="1"/>
      <c r="E5" s="5" t="s">
        <v>42</v>
      </c>
      <c r="F5" s="5">
        <v>10</v>
      </c>
    </row>
    <row r="6" spans="1:6" x14ac:dyDescent="0.2">
      <c r="A6" s="5" t="s">
        <v>103</v>
      </c>
      <c r="B6" s="6">
        <v>100000</v>
      </c>
      <c r="C6" s="5">
        <v>5</v>
      </c>
      <c r="E6" s="5" t="s">
        <v>10</v>
      </c>
      <c r="F6" s="5">
        <v>1500</v>
      </c>
    </row>
    <row r="7" spans="1:6" x14ac:dyDescent="0.2">
      <c r="A7" s="5" t="s">
        <v>100</v>
      </c>
      <c r="B7" s="18">
        <v>7200</v>
      </c>
      <c r="C7" s="5">
        <v>1</v>
      </c>
      <c r="E7" s="5" t="s">
        <v>11</v>
      </c>
      <c r="F7" s="8">
        <v>0.15</v>
      </c>
    </row>
    <row r="8" spans="1:6" x14ac:dyDescent="0.2">
      <c r="A8" s="5" t="s">
        <v>101</v>
      </c>
      <c r="B8" s="6">
        <v>3300</v>
      </c>
      <c r="C8" s="5">
        <v>3</v>
      </c>
      <c r="E8" s="5" t="s">
        <v>44</v>
      </c>
      <c r="F8" s="43">
        <f>(F4*10)*12</f>
        <v>9230.9732966154406</v>
      </c>
    </row>
    <row r="9" spans="1:6" x14ac:dyDescent="0.2">
      <c r="A9" s="5" t="s">
        <v>104</v>
      </c>
      <c r="B9" s="6">
        <v>296000</v>
      </c>
      <c r="C9" s="5" t="s">
        <v>4</v>
      </c>
      <c r="E9" s="5"/>
      <c r="F9" s="11">
        <f>(((F4*F5)*(F6*F7))*12)</f>
        <v>2076968.991738474</v>
      </c>
    </row>
    <row r="10" spans="1:6" x14ac:dyDescent="0.2">
      <c r="A10" s="5" t="s">
        <v>105</v>
      </c>
      <c r="B10" s="6">
        <v>100000</v>
      </c>
      <c r="C10" s="5">
        <v>3</v>
      </c>
    </row>
    <row r="11" spans="1:6" x14ac:dyDescent="0.2">
      <c r="A11" s="5" t="s">
        <v>106</v>
      </c>
      <c r="B11" s="6">
        <v>60000</v>
      </c>
      <c r="C11" s="5" t="s">
        <v>4</v>
      </c>
      <c r="F11" s="9">
        <f>((F4*F5)*F6)*12</f>
        <v>13846459.944923161</v>
      </c>
    </row>
    <row r="12" spans="1:6" x14ac:dyDescent="0.2">
      <c r="A12" s="5" t="s">
        <v>107</v>
      </c>
      <c r="B12" s="18">
        <v>13644</v>
      </c>
      <c r="C12" s="5">
        <v>1</v>
      </c>
      <c r="F12" s="10">
        <f>F11/50</f>
        <v>276929.19889846322</v>
      </c>
    </row>
    <row r="13" spans="1:6" x14ac:dyDescent="0.2">
      <c r="A13" s="5" t="s">
        <v>0</v>
      </c>
      <c r="B13" s="6">
        <f>SUM(B3:B12)</f>
        <v>609394</v>
      </c>
      <c r="C13" s="5"/>
    </row>
    <row r="15" spans="1:6" x14ac:dyDescent="0.2">
      <c r="A15" s="49" t="s">
        <v>41</v>
      </c>
      <c r="B15" s="49"/>
      <c r="C15" s="16"/>
    </row>
    <row r="16" spans="1:6" x14ac:dyDescent="0.2">
      <c r="A16" s="2" t="s">
        <v>108</v>
      </c>
      <c r="B16" s="3">
        <v>180000</v>
      </c>
    </row>
    <row r="17" spans="1:5" x14ac:dyDescent="0.2">
      <c r="A17" s="2" t="s">
        <v>109</v>
      </c>
      <c r="B17" s="3">
        <v>120000</v>
      </c>
    </row>
    <row r="18" spans="1:5" x14ac:dyDescent="0.2">
      <c r="A18" s="2" t="s">
        <v>110</v>
      </c>
      <c r="B18" s="3">
        <v>240000</v>
      </c>
    </row>
    <row r="19" spans="1:5" x14ac:dyDescent="0.2">
      <c r="A19" s="2" t="s">
        <v>111</v>
      </c>
      <c r="B19" s="3">
        <v>120000</v>
      </c>
    </row>
    <row r="20" spans="1:5" x14ac:dyDescent="0.2">
      <c r="B20" s="3">
        <v>660000</v>
      </c>
    </row>
    <row r="22" spans="1:5" x14ac:dyDescent="0.2">
      <c r="A22" s="2" t="s">
        <v>5</v>
      </c>
      <c r="B22" s="3">
        <f>B13+B20</f>
        <v>1269394</v>
      </c>
      <c r="C22" s="1"/>
      <c r="D22" s="41" t="s">
        <v>90</v>
      </c>
      <c r="E22" s="41" t="s">
        <v>47</v>
      </c>
    </row>
    <row r="23" spans="1:5" x14ac:dyDescent="0.2">
      <c r="A23" s="2" t="s">
        <v>6</v>
      </c>
      <c r="B23" s="3">
        <f>B22*1.05</f>
        <v>1332863.7</v>
      </c>
      <c r="D23" s="3">
        <f>B23*0.4</f>
        <v>533145.48</v>
      </c>
      <c r="E23" s="3">
        <f>B23*0.6</f>
        <v>799718.22</v>
      </c>
    </row>
    <row r="24" spans="1:5" x14ac:dyDescent="0.2">
      <c r="C24" s="1"/>
    </row>
    <row r="25" spans="1:5" x14ac:dyDescent="0.2">
      <c r="A25" s="49" t="s">
        <v>20</v>
      </c>
      <c r="B25" s="49"/>
    </row>
    <row r="26" spans="1:5" x14ac:dyDescent="0.2">
      <c r="A26" s="2" t="s">
        <v>19</v>
      </c>
      <c r="B26" s="7">
        <v>1891176</v>
      </c>
    </row>
    <row r="27" spans="1:5" x14ac:dyDescent="0.2">
      <c r="A27" s="2" t="s">
        <v>18</v>
      </c>
      <c r="B27" s="7">
        <v>888797</v>
      </c>
      <c r="C27" s="15"/>
    </row>
    <row r="28" spans="1:5" x14ac:dyDescent="0.2">
      <c r="A28" s="2" t="s">
        <v>21</v>
      </c>
      <c r="B28" s="7">
        <v>32736</v>
      </c>
    </row>
    <row r="29" spans="1:5" x14ac:dyDescent="0.2">
      <c r="A29" s="2" t="s">
        <v>22</v>
      </c>
      <c r="B29" s="7">
        <f>(B28*(B27/B26))</f>
        <v>15384.955494359067</v>
      </c>
    </row>
  </sheetData>
  <mergeCells count="4">
    <mergeCell ref="E1:F1"/>
    <mergeCell ref="A25:B25"/>
    <mergeCell ref="A15:B15"/>
    <mergeCell ref="A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5EF7-9F71-4A46-B83D-3F3E90F6C5E3}">
  <dimension ref="A1:L113"/>
  <sheetViews>
    <sheetView tabSelected="1" topLeftCell="A16" zoomScale="125" workbookViewId="0">
      <selection activeCell="C37" sqref="C37"/>
    </sheetView>
  </sheetViews>
  <sheetFormatPr baseColWidth="10" defaultColWidth="9" defaultRowHeight="15" x14ac:dyDescent="0.2"/>
  <cols>
    <col min="1" max="1" width="31.33203125" style="4" bestFit="1" customWidth="1"/>
    <col min="2" max="2" width="18" style="4" bestFit="1" customWidth="1"/>
    <col min="3" max="3" width="13.5" style="4" bestFit="1" customWidth="1"/>
    <col min="4" max="4" width="15.5" style="4" bestFit="1" customWidth="1"/>
    <col min="5" max="9" width="13.5" style="4" bestFit="1" customWidth="1"/>
    <col min="10" max="10" width="10.33203125" style="4" bestFit="1" customWidth="1"/>
    <col min="11" max="12" width="9.83203125" style="4" bestFit="1" customWidth="1"/>
    <col min="13" max="16384" width="9" style="4"/>
  </cols>
  <sheetData>
    <row r="1" spans="1:9" x14ac:dyDescent="0.2">
      <c r="A1" s="59" t="s">
        <v>92</v>
      </c>
      <c r="B1" s="60"/>
      <c r="C1" s="60"/>
      <c r="D1" s="60"/>
      <c r="E1" s="60"/>
      <c r="F1" s="60"/>
      <c r="G1" s="60"/>
      <c r="H1" s="60"/>
      <c r="I1" s="60"/>
    </row>
    <row r="2" spans="1:9" x14ac:dyDescent="0.2">
      <c r="A2" s="14" t="s">
        <v>12</v>
      </c>
      <c r="B2" s="5">
        <v>0</v>
      </c>
      <c r="C2" s="5">
        <f>B2+1</f>
        <v>1</v>
      </c>
      <c r="D2" s="5">
        <f>C2+1</f>
        <v>2</v>
      </c>
      <c r="E2" s="5">
        <f>D2+1</f>
        <v>3</v>
      </c>
      <c r="F2" s="5">
        <f>E2+1</f>
        <v>4</v>
      </c>
      <c r="G2" s="5">
        <f>F2+1</f>
        <v>5</v>
      </c>
      <c r="H2" s="5">
        <f t="shared" ref="H2:I2" si="0">G2+1</f>
        <v>6</v>
      </c>
      <c r="I2" s="5">
        <f t="shared" si="0"/>
        <v>7</v>
      </c>
    </row>
    <row r="3" spans="1:9" x14ac:dyDescent="0.2">
      <c r="A3" s="14" t="s">
        <v>9</v>
      </c>
      <c r="B3" s="5"/>
      <c r="C3" s="5">
        <f>ROUNDDOWN(ANALISIS!F4,0)</f>
        <v>76</v>
      </c>
      <c r="D3" s="5">
        <f>ROUNDDOWN(C3*1.25,0)</f>
        <v>95</v>
      </c>
      <c r="E3" s="5">
        <f t="shared" ref="E3:G3" si="1">ROUNDDOWN(D3*1.25,0)</f>
        <v>118</v>
      </c>
      <c r="F3" s="5">
        <f t="shared" si="1"/>
        <v>147</v>
      </c>
      <c r="G3" s="5">
        <f t="shared" si="1"/>
        <v>183</v>
      </c>
      <c r="H3" s="5">
        <f t="shared" ref="H3:I3" si="2">ROUNDDOWN(G3*1.25,0)</f>
        <v>228</v>
      </c>
      <c r="I3" s="5">
        <f t="shared" si="2"/>
        <v>285</v>
      </c>
    </row>
    <row r="4" spans="1:9" x14ac:dyDescent="0.2">
      <c r="A4" s="14" t="s">
        <v>17</v>
      </c>
      <c r="B4" s="5"/>
      <c r="C4" s="5">
        <f>(C3*10)*12</f>
        <v>9120</v>
      </c>
      <c r="D4" s="5">
        <f>(D3*10)*12</f>
        <v>11400</v>
      </c>
      <c r="E4" s="5">
        <f t="shared" ref="E4:G4" si="3">(E3*10)*12</f>
        <v>14160</v>
      </c>
      <c r="F4" s="5">
        <f t="shared" si="3"/>
        <v>17640</v>
      </c>
      <c r="G4" s="5">
        <f t="shared" si="3"/>
        <v>21960</v>
      </c>
      <c r="H4" s="5">
        <f t="shared" ref="H4" si="4">(H3*10)*12</f>
        <v>27360</v>
      </c>
      <c r="I4" s="5">
        <f t="shared" ref="I4" si="5">(I3*10)*12</f>
        <v>34200</v>
      </c>
    </row>
    <row r="5" spans="1:9" x14ac:dyDescent="0.2">
      <c r="A5" s="14" t="s">
        <v>23</v>
      </c>
      <c r="B5" s="5"/>
      <c r="C5" s="5">
        <f>C4*0.4</f>
        <v>3648</v>
      </c>
      <c r="D5" s="5">
        <f>D4*0.4</f>
        <v>4560</v>
      </c>
      <c r="E5" s="5">
        <f t="shared" ref="E5:G5" si="6">E4*0.4</f>
        <v>5664</v>
      </c>
      <c r="F5" s="5">
        <f t="shared" si="6"/>
        <v>7056</v>
      </c>
      <c r="G5" s="5">
        <f t="shared" si="6"/>
        <v>8784</v>
      </c>
      <c r="H5" s="5">
        <f t="shared" ref="H5" si="7">H4*0.4</f>
        <v>10944</v>
      </c>
      <c r="I5" s="5">
        <f t="shared" ref="I5" si="8">I4*0.4</f>
        <v>13680</v>
      </c>
    </row>
    <row r="6" spans="1:9" x14ac:dyDescent="0.2">
      <c r="A6" s="14" t="s">
        <v>10</v>
      </c>
      <c r="B6" s="5"/>
      <c r="C6" s="17">
        <v>1500</v>
      </c>
      <c r="D6" s="17">
        <f>C6*1.15</f>
        <v>1724.9999999999998</v>
      </c>
      <c r="E6" s="17">
        <f t="shared" ref="E6:G6" si="9">D6*1.15</f>
        <v>1983.7499999999995</v>
      </c>
      <c r="F6" s="17">
        <f t="shared" si="9"/>
        <v>2281.3124999999991</v>
      </c>
      <c r="G6" s="17">
        <f t="shared" si="9"/>
        <v>2623.5093749999987</v>
      </c>
      <c r="H6" s="17">
        <f t="shared" ref="H6:I6" si="10">G6*1.15</f>
        <v>3017.0357812499983</v>
      </c>
      <c r="I6" s="17">
        <f t="shared" si="10"/>
        <v>3469.5911484374978</v>
      </c>
    </row>
    <row r="7" spans="1:9" x14ac:dyDescent="0.2">
      <c r="A7" s="14" t="s">
        <v>16</v>
      </c>
      <c r="B7" s="5"/>
      <c r="C7" s="8">
        <v>0.15</v>
      </c>
      <c r="D7" s="8">
        <v>0.15</v>
      </c>
      <c r="E7" s="8">
        <v>0.15</v>
      </c>
      <c r="F7" s="8">
        <v>0.15</v>
      </c>
      <c r="G7" s="8">
        <v>0.15</v>
      </c>
      <c r="H7" s="8">
        <v>0.15</v>
      </c>
      <c r="I7" s="8">
        <v>0.15</v>
      </c>
    </row>
    <row r="8" spans="1:9" x14ac:dyDescent="0.2">
      <c r="A8" s="14" t="s">
        <v>13</v>
      </c>
      <c r="B8" s="5"/>
      <c r="C8" s="14">
        <f>(C5*C6)*C7</f>
        <v>820800</v>
      </c>
      <c r="D8" s="14">
        <f>(D5*D6)*D7</f>
        <v>1179899.9999999998</v>
      </c>
      <c r="E8" s="14">
        <f t="shared" ref="E8:G8" si="11">(E5*E6)*E7</f>
        <v>1685393.9999999998</v>
      </c>
      <c r="F8" s="14">
        <f t="shared" si="11"/>
        <v>2414541.149999999</v>
      </c>
      <c r="G8" s="14">
        <f t="shared" si="11"/>
        <v>3456735.9524999983</v>
      </c>
      <c r="H8" s="14">
        <f t="shared" ref="H8" si="12">(H5*H6)*H7</f>
        <v>4952765.9384999974</v>
      </c>
      <c r="I8" s="14">
        <f t="shared" ref="I8" si="13">(I5*I6)*I7</f>
        <v>7119601.0365937455</v>
      </c>
    </row>
    <row r="10" spans="1:9" x14ac:dyDescent="0.2">
      <c r="A10" s="61" t="s">
        <v>93</v>
      </c>
      <c r="B10" s="62"/>
      <c r="C10" s="62"/>
      <c r="D10" s="62"/>
      <c r="E10" s="62"/>
      <c r="F10" s="62"/>
      <c r="G10" s="62"/>
      <c r="H10" s="62"/>
      <c r="I10" s="62"/>
    </row>
    <row r="11" spans="1:9" x14ac:dyDescent="0.2">
      <c r="A11" s="5" t="s">
        <v>12</v>
      </c>
      <c r="B11" s="5">
        <v>0</v>
      </c>
      <c r="C11" s="5">
        <f>B11+1</f>
        <v>1</v>
      </c>
      <c r="D11" s="5">
        <f t="shared" ref="D11:G11" si="14">C11+1</f>
        <v>2</v>
      </c>
      <c r="E11" s="5">
        <f t="shared" si="14"/>
        <v>3</v>
      </c>
      <c r="F11" s="5">
        <f t="shared" si="14"/>
        <v>4</v>
      </c>
      <c r="G11" s="5">
        <f t="shared" si="14"/>
        <v>5</v>
      </c>
      <c r="H11" s="5">
        <f t="shared" ref="H11:I11" si="15">G11+1</f>
        <v>6</v>
      </c>
      <c r="I11" s="5">
        <f t="shared" si="15"/>
        <v>7</v>
      </c>
    </row>
    <row r="12" spans="1:9" x14ac:dyDescent="0.2">
      <c r="A12" s="5" t="s">
        <v>24</v>
      </c>
      <c r="C12" s="17">
        <f>ANALISIS!B20</f>
        <v>660000</v>
      </c>
      <c r="D12" s="19">
        <f>C12*1.05</f>
        <v>693000</v>
      </c>
      <c r="E12" s="19">
        <f>D12*1.05</f>
        <v>727650</v>
      </c>
      <c r="F12" s="19">
        <f>E12*1.05</f>
        <v>764032.5</v>
      </c>
      <c r="G12" s="19">
        <f>F12*1.05</f>
        <v>802234.125</v>
      </c>
      <c r="H12" s="19">
        <f t="shared" ref="H12:I12" si="16">G12*1.05</f>
        <v>842345.83125000005</v>
      </c>
      <c r="I12" s="19">
        <f t="shared" si="16"/>
        <v>884463.12281250011</v>
      </c>
    </row>
    <row r="13" spans="1:9" x14ac:dyDescent="0.2">
      <c r="A13" s="5" t="s">
        <v>25</v>
      </c>
      <c r="B13" s="5"/>
      <c r="C13" s="17">
        <f>ANALISIS!B13</f>
        <v>609394</v>
      </c>
      <c r="D13" s="19">
        <f>ANALISIS!B5+ANALISIS!B7+ANALISIS!B12</f>
        <v>37644</v>
      </c>
      <c r="E13" s="19">
        <f>D13</f>
        <v>37644</v>
      </c>
      <c r="F13" s="19">
        <f>E13+ANALISIS!B8+ANALISIS!B10</f>
        <v>140944</v>
      </c>
      <c r="G13" s="19">
        <f>E13</f>
        <v>37644</v>
      </c>
      <c r="H13" s="19">
        <f>ANALISIS!B3+ANALISIS!B4+ANALISIS!B5+ANALISIS!B6+ANALISIS!B7+ANALISIS!B12</f>
        <v>150094</v>
      </c>
      <c r="I13" s="19">
        <f>ANALISIS!B5+ANALISIS!B7+ANALISIS!B12+ANALISIS!B10+ANALISIS!B8</f>
        <v>140944</v>
      </c>
    </row>
    <row r="14" spans="1:9" x14ac:dyDescent="0.2">
      <c r="A14" s="5" t="s">
        <v>26</v>
      </c>
      <c r="B14" s="5"/>
      <c r="C14" s="17">
        <f>SUM(C12:C13)</f>
        <v>1269394</v>
      </c>
      <c r="D14" s="19">
        <f>SUM(D12:D13)</f>
        <v>730644</v>
      </c>
      <c r="E14" s="19">
        <f>SUM(E12:E13)</f>
        <v>765294</v>
      </c>
      <c r="F14" s="19">
        <f>SUM(F12:F13)</f>
        <v>904976.5</v>
      </c>
      <c r="G14" s="19">
        <f>SUM(G12:G13)</f>
        <v>839878.125</v>
      </c>
      <c r="H14" s="19">
        <f t="shared" ref="H14:I14" si="17">SUM(H12:H13)</f>
        <v>992439.83125000005</v>
      </c>
      <c r="I14" s="19">
        <f t="shared" si="17"/>
        <v>1025407.1228125001</v>
      </c>
    </row>
    <row r="17" spans="1:12" x14ac:dyDescent="0.2">
      <c r="A17" s="49" t="s">
        <v>29</v>
      </c>
      <c r="B17" s="49"/>
      <c r="D17" s="49" t="s">
        <v>33</v>
      </c>
      <c r="E17" s="49"/>
      <c r="F17" s="49"/>
      <c r="G17" s="49"/>
      <c r="H17" s="49"/>
    </row>
    <row r="18" spans="1:12" x14ac:dyDescent="0.2">
      <c r="A18" s="5" t="s">
        <v>30</v>
      </c>
      <c r="B18" s="12">
        <f>ANALISIS!B23</f>
        <v>1332863.7</v>
      </c>
      <c r="D18" s="5" t="s">
        <v>36</v>
      </c>
      <c r="E18" s="7" t="s">
        <v>37</v>
      </c>
      <c r="F18" s="5" t="s">
        <v>38</v>
      </c>
      <c r="G18" s="5" t="s">
        <v>34</v>
      </c>
      <c r="H18" s="5" t="s">
        <v>35</v>
      </c>
    </row>
    <row r="19" spans="1:12" x14ac:dyDescent="0.2">
      <c r="A19" s="5" t="s">
        <v>31</v>
      </c>
      <c r="B19" s="5" t="s">
        <v>32</v>
      </c>
      <c r="D19" s="5" t="s">
        <v>39</v>
      </c>
      <c r="E19" s="20">
        <f>ANALISIS!B4</f>
        <v>9200</v>
      </c>
      <c r="F19" s="5">
        <v>5</v>
      </c>
      <c r="G19" s="8" t="s">
        <v>96</v>
      </c>
      <c r="H19" s="21">
        <v>1</v>
      </c>
    </row>
    <row r="20" spans="1:12" x14ac:dyDescent="0.2">
      <c r="A20" s="5" t="s">
        <v>27</v>
      </c>
      <c r="B20" s="12">
        <f>B18*0.6</f>
        <v>799718.22</v>
      </c>
      <c r="D20" s="5" t="s">
        <v>40</v>
      </c>
      <c r="E20" s="20">
        <f>ANALISIS!B6</f>
        <v>100000</v>
      </c>
      <c r="F20" s="5">
        <v>5</v>
      </c>
      <c r="G20" s="8">
        <v>0.4</v>
      </c>
      <c r="H20" s="21">
        <f>E20*G20</f>
        <v>40000</v>
      </c>
    </row>
    <row r="21" spans="1:12" x14ac:dyDescent="0.2">
      <c r="A21" s="5" t="s">
        <v>28</v>
      </c>
      <c r="B21" s="12">
        <f>B18-B20</f>
        <v>533145.48</v>
      </c>
      <c r="D21" s="5" t="s">
        <v>99</v>
      </c>
      <c r="E21" s="20">
        <v>3250</v>
      </c>
      <c r="F21" s="5">
        <v>5</v>
      </c>
      <c r="G21" s="8" t="s">
        <v>96</v>
      </c>
      <c r="H21" s="21">
        <v>1</v>
      </c>
      <c r="K21"/>
      <c r="L21"/>
    </row>
    <row r="22" spans="1:12" x14ac:dyDescent="0.2">
      <c r="B22" s="31"/>
      <c r="D22" s="5" t="s">
        <v>100</v>
      </c>
      <c r="E22" s="20">
        <v>7200</v>
      </c>
      <c r="F22" s="5">
        <v>1</v>
      </c>
      <c r="G22" s="8" t="s">
        <v>96</v>
      </c>
      <c r="H22" s="21">
        <v>1</v>
      </c>
      <c r="K22"/>
      <c r="L22"/>
    </row>
    <row r="23" spans="1:12" x14ac:dyDescent="0.2">
      <c r="B23" s="31"/>
      <c r="D23" s="5" t="s">
        <v>101</v>
      </c>
      <c r="E23" s="20">
        <v>3300</v>
      </c>
      <c r="F23" s="5">
        <v>3</v>
      </c>
      <c r="G23" s="8" t="s">
        <v>96</v>
      </c>
      <c r="H23" s="21">
        <v>1</v>
      </c>
      <c r="K23"/>
      <c r="L23"/>
    </row>
    <row r="24" spans="1:12" x14ac:dyDescent="0.2">
      <c r="B24" s="31"/>
      <c r="E24" s="22"/>
      <c r="K24"/>
      <c r="L24"/>
    </row>
    <row r="25" spans="1:12" x14ac:dyDescent="0.2">
      <c r="D25" s="61" t="s">
        <v>45</v>
      </c>
      <c r="E25" s="62"/>
      <c r="F25" s="62"/>
      <c r="G25" s="62"/>
      <c r="H25" s="62"/>
      <c r="I25" s="62"/>
      <c r="J25" s="62"/>
      <c r="K25"/>
      <c r="L25"/>
    </row>
    <row r="26" spans="1:12" x14ac:dyDescent="0.2">
      <c r="D26" s="5" t="s">
        <v>12</v>
      </c>
      <c r="E26" s="5">
        <v>0</v>
      </c>
      <c r="F26" s="5">
        <f>E26+1</f>
        <v>1</v>
      </c>
      <c r="G26" s="5">
        <f>F26+1</f>
        <v>2</v>
      </c>
      <c r="H26" s="5">
        <f>G26+1</f>
        <v>3</v>
      </c>
      <c r="I26" s="5">
        <f>H26+1</f>
        <v>4</v>
      </c>
      <c r="J26" s="5">
        <f>I26+1</f>
        <v>5</v>
      </c>
      <c r="K26"/>
      <c r="L26"/>
    </row>
    <row r="27" spans="1:12" x14ac:dyDescent="0.2">
      <c r="D27" s="5" t="s">
        <v>43</v>
      </c>
      <c r="E27" s="21">
        <f>E19</f>
        <v>9200</v>
      </c>
      <c r="F27" s="21">
        <f>E27-F28</f>
        <v>7360.2</v>
      </c>
      <c r="G27" s="21">
        <f t="shared" ref="G27:J27" si="18">F27-G28</f>
        <v>5520.4</v>
      </c>
      <c r="H27" s="21">
        <f t="shared" si="18"/>
        <v>3680.5999999999995</v>
      </c>
      <c r="I27" s="21">
        <f t="shared" si="18"/>
        <v>1840.7999999999995</v>
      </c>
      <c r="J27" s="21">
        <f t="shared" si="18"/>
        <v>0.99999999999954525</v>
      </c>
      <c r="K27"/>
      <c r="L27"/>
    </row>
    <row r="28" spans="1:12" x14ac:dyDescent="0.2">
      <c r="D28" s="5" t="s">
        <v>33</v>
      </c>
      <c r="E28" s="5"/>
      <c r="F28" s="19">
        <f>SLN($E$19,$H$19,$F$19)</f>
        <v>1839.8</v>
      </c>
      <c r="G28" s="19">
        <f t="shared" ref="G28:J28" si="19">SLN($E$19,$H$19,$F$19)</f>
        <v>1839.8</v>
      </c>
      <c r="H28" s="19">
        <f t="shared" si="19"/>
        <v>1839.8</v>
      </c>
      <c r="I28" s="19">
        <f t="shared" si="19"/>
        <v>1839.8</v>
      </c>
      <c r="J28" s="21">
        <f t="shared" si="19"/>
        <v>1839.8</v>
      </c>
      <c r="K28"/>
      <c r="L28"/>
    </row>
    <row r="29" spans="1:12" x14ac:dyDescent="0.2">
      <c r="K29"/>
      <c r="L29"/>
    </row>
    <row r="30" spans="1:12" x14ac:dyDescent="0.2">
      <c r="A30" s="49" t="s">
        <v>47</v>
      </c>
      <c r="B30" s="49"/>
      <c r="D30" s="61" t="s">
        <v>46</v>
      </c>
      <c r="E30" s="62"/>
      <c r="F30" s="62"/>
      <c r="G30" s="62"/>
      <c r="H30" s="62"/>
      <c r="I30" s="62"/>
      <c r="J30" s="62"/>
      <c r="K30"/>
      <c r="L30"/>
    </row>
    <row r="31" spans="1:12" x14ac:dyDescent="0.2">
      <c r="A31" s="5" t="s">
        <v>27</v>
      </c>
      <c r="B31" s="45">
        <f>B20</f>
        <v>799718.22</v>
      </c>
      <c r="D31" s="5" t="s">
        <v>12</v>
      </c>
      <c r="E31" s="5">
        <v>0</v>
      </c>
      <c r="F31" s="5">
        <v>1</v>
      </c>
      <c r="G31" s="5">
        <v>2</v>
      </c>
      <c r="H31" s="5">
        <v>3</v>
      </c>
      <c r="I31" s="5">
        <v>4</v>
      </c>
      <c r="J31" s="5">
        <v>5</v>
      </c>
      <c r="K31"/>
      <c r="L31"/>
    </row>
    <row r="32" spans="1:12" x14ac:dyDescent="0.2">
      <c r="A32" s="5" t="s">
        <v>48</v>
      </c>
      <c r="B32" s="23">
        <v>0.12</v>
      </c>
      <c r="D32" s="5" t="s">
        <v>43</v>
      </c>
      <c r="E32" s="21">
        <f>E20</f>
        <v>100000</v>
      </c>
      <c r="F32" s="21">
        <f>E32-F33</f>
        <v>88000</v>
      </c>
      <c r="G32" s="21">
        <f t="shared" ref="G32:J32" si="20">F32-G33</f>
        <v>76000</v>
      </c>
      <c r="H32" s="21">
        <f t="shared" si="20"/>
        <v>64000</v>
      </c>
      <c r="I32" s="21">
        <f t="shared" si="20"/>
        <v>52000</v>
      </c>
      <c r="J32" s="19">
        <f t="shared" si="20"/>
        <v>40000</v>
      </c>
      <c r="K32"/>
      <c r="L32"/>
    </row>
    <row r="33" spans="1:12" x14ac:dyDescent="0.2">
      <c r="A33" s="5" t="s">
        <v>49</v>
      </c>
      <c r="B33" s="5">
        <v>7</v>
      </c>
      <c r="D33" s="5" t="s">
        <v>33</v>
      </c>
      <c r="E33" s="5"/>
      <c r="F33" s="19">
        <f>SLN($E$20,$H$20,$F$20)</f>
        <v>12000</v>
      </c>
      <c r="G33" s="19">
        <f t="shared" ref="G33:J33" si="21">SLN($E$20,$H$20,$F$20)</f>
        <v>12000</v>
      </c>
      <c r="H33" s="19">
        <f t="shared" si="21"/>
        <v>12000</v>
      </c>
      <c r="I33" s="19">
        <f t="shared" si="21"/>
        <v>12000</v>
      </c>
      <c r="J33" s="19">
        <f t="shared" si="21"/>
        <v>12000</v>
      </c>
      <c r="K33"/>
      <c r="L33"/>
    </row>
    <row r="34" spans="1:12" x14ac:dyDescent="0.2">
      <c r="A34" s="5" t="s">
        <v>50</v>
      </c>
      <c r="B34" s="23">
        <f>B32*1.16</f>
        <v>0.13919999999999999</v>
      </c>
    </row>
    <row r="35" spans="1:12" x14ac:dyDescent="0.2">
      <c r="A35" s="5" t="s">
        <v>55</v>
      </c>
      <c r="B35" s="24">
        <f>PMT(B34,B33,-B31)</f>
        <v>186032.56658282853</v>
      </c>
      <c r="D35" s="61" t="s">
        <v>98</v>
      </c>
      <c r="E35" s="62"/>
      <c r="F35" s="62"/>
      <c r="G35" s="62"/>
      <c r="H35" s="62"/>
      <c r="I35" s="62"/>
      <c r="J35" s="62"/>
    </row>
    <row r="36" spans="1:12" x14ac:dyDescent="0.2">
      <c r="B36" s="44"/>
      <c r="D36" s="5" t="s">
        <v>12</v>
      </c>
      <c r="E36" s="5">
        <v>0</v>
      </c>
      <c r="F36" s="5">
        <v>1</v>
      </c>
      <c r="G36" s="5">
        <v>2</v>
      </c>
      <c r="H36" s="5">
        <v>3</v>
      </c>
      <c r="I36" s="5">
        <v>4</v>
      </c>
      <c r="J36" s="5">
        <v>5</v>
      </c>
    </row>
    <row r="37" spans="1:12" x14ac:dyDescent="0.2">
      <c r="B37" s="44"/>
      <c r="D37" s="5" t="s">
        <v>43</v>
      </c>
      <c r="E37" s="21">
        <f>E21</f>
        <v>3250</v>
      </c>
      <c r="F37" s="21">
        <f>E37-F38</f>
        <v>2600.1999999999998</v>
      </c>
      <c r="G37" s="21">
        <f t="shared" ref="G37" si="22">F37-G38</f>
        <v>1950.3999999999999</v>
      </c>
      <c r="H37" s="21">
        <f t="shared" ref="H37" si="23">G37-H38</f>
        <v>1300.5999999999999</v>
      </c>
      <c r="I37" s="21">
        <f t="shared" ref="I37" si="24">H37-I38</f>
        <v>650.79999999999995</v>
      </c>
      <c r="J37" s="19">
        <f t="shared" ref="J37" si="25">I37-J38</f>
        <v>1</v>
      </c>
    </row>
    <row r="38" spans="1:12" x14ac:dyDescent="0.2">
      <c r="B38" s="44"/>
      <c r="D38" s="5" t="s">
        <v>33</v>
      </c>
      <c r="E38" s="5"/>
      <c r="F38" s="19">
        <f>SLN($E$21,$H$21,$F$21)</f>
        <v>649.79999999999995</v>
      </c>
      <c r="G38" s="19">
        <f t="shared" ref="G38:J38" si="26">SLN($E$21,$H$21,$F$21)</f>
        <v>649.79999999999995</v>
      </c>
      <c r="H38" s="19">
        <f t="shared" si="26"/>
        <v>649.79999999999995</v>
      </c>
      <c r="I38" s="19">
        <f t="shared" si="26"/>
        <v>649.79999999999995</v>
      </c>
      <c r="J38" s="19">
        <f t="shared" si="26"/>
        <v>649.79999999999995</v>
      </c>
    </row>
    <row r="39" spans="1:12" x14ac:dyDescent="0.2">
      <c r="B39" s="44"/>
      <c r="F39" s="30"/>
      <c r="G39" s="30"/>
      <c r="H39" s="30"/>
      <c r="I39" s="30"/>
      <c r="J39" s="30"/>
    </row>
    <row r="40" spans="1:12" x14ac:dyDescent="0.2">
      <c r="B40" s="44"/>
      <c r="D40" s="50" t="s">
        <v>112</v>
      </c>
      <c r="E40" s="51"/>
      <c r="F40" s="52"/>
      <c r="G40" s="26"/>
      <c r="H40" s="61" t="s">
        <v>113</v>
      </c>
      <c r="I40" s="62"/>
      <c r="J40" s="62"/>
      <c r="K40" s="62"/>
      <c r="L40" s="62"/>
    </row>
    <row r="41" spans="1:12" x14ac:dyDescent="0.2">
      <c r="B41" s="44"/>
      <c r="D41" s="5" t="s">
        <v>12</v>
      </c>
      <c r="E41" s="5">
        <v>0</v>
      </c>
      <c r="F41" s="5">
        <v>1</v>
      </c>
      <c r="H41" s="5" t="s">
        <v>12</v>
      </c>
      <c r="I41" s="5">
        <v>0</v>
      </c>
      <c r="J41" s="5">
        <v>1</v>
      </c>
      <c r="K41" s="5">
        <v>2</v>
      </c>
      <c r="L41" s="5">
        <v>3</v>
      </c>
    </row>
    <row r="42" spans="1:12" x14ac:dyDescent="0.2">
      <c r="B42" s="44"/>
      <c r="D42" s="5" t="s">
        <v>43</v>
      </c>
      <c r="E42" s="21">
        <f>E22</f>
        <v>7200</v>
      </c>
      <c r="F42" s="21">
        <f>E42-F43</f>
        <v>1</v>
      </c>
      <c r="G42" s="46"/>
      <c r="H42" s="5" t="s">
        <v>43</v>
      </c>
      <c r="I42" s="21">
        <f>E23</f>
        <v>3300</v>
      </c>
      <c r="J42" s="21">
        <f>I42-J43</f>
        <v>2200.333333333333</v>
      </c>
      <c r="K42" s="21">
        <f t="shared" ref="K42:L42" si="27">J42-K43</f>
        <v>1100.6666666666663</v>
      </c>
      <c r="L42" s="21">
        <f t="shared" si="27"/>
        <v>0.99999999999954525</v>
      </c>
    </row>
    <row r="43" spans="1:12" x14ac:dyDescent="0.2">
      <c r="D43" s="5" t="s">
        <v>33</v>
      </c>
      <c r="E43" s="5"/>
      <c r="F43" s="19">
        <f>SLN($E$22,$H$22,$F$22)</f>
        <v>7199</v>
      </c>
      <c r="G43" s="30"/>
      <c r="H43" s="5" t="s">
        <v>33</v>
      </c>
      <c r="I43" s="5"/>
      <c r="J43" s="19">
        <f>SLN($E$23,$H$23,$F$23)</f>
        <v>1099.6666666666667</v>
      </c>
      <c r="K43" s="19">
        <f t="shared" ref="K43:L43" si="28">SLN($E$23,$H$23,$F$23)</f>
        <v>1099.6666666666667</v>
      </c>
      <c r="L43" s="19">
        <f t="shared" si="28"/>
        <v>1099.6666666666667</v>
      </c>
    </row>
    <row r="44" spans="1:12" x14ac:dyDescent="0.2">
      <c r="D44" s="47"/>
      <c r="E44" s="47"/>
      <c r="F44" s="48"/>
      <c r="G44" s="30"/>
      <c r="H44" s="30"/>
      <c r="I44" s="30"/>
      <c r="J44" s="30"/>
    </row>
    <row r="45" spans="1:12" x14ac:dyDescent="0.2">
      <c r="A45" s="61" t="s">
        <v>94</v>
      </c>
      <c r="B45" s="62"/>
      <c r="C45" s="62"/>
      <c r="D45" s="62"/>
      <c r="E45" s="62"/>
      <c r="F45" s="62"/>
      <c r="G45" s="62"/>
      <c r="H45" s="62"/>
      <c r="I45" s="62"/>
    </row>
    <row r="46" spans="1:12" x14ac:dyDescent="0.2">
      <c r="A46" s="5" t="s">
        <v>12</v>
      </c>
      <c r="B46" s="5">
        <v>0</v>
      </c>
      <c r="C46" s="5">
        <v>1</v>
      </c>
      <c r="D46" s="5">
        <v>2</v>
      </c>
      <c r="E46" s="5">
        <v>3</v>
      </c>
      <c r="F46" s="5">
        <v>4</v>
      </c>
      <c r="G46" s="5">
        <v>5</v>
      </c>
      <c r="H46" s="5">
        <v>6</v>
      </c>
      <c r="I46" s="5">
        <v>7</v>
      </c>
    </row>
    <row r="47" spans="1:12" x14ac:dyDescent="0.2">
      <c r="A47" s="5" t="s">
        <v>51</v>
      </c>
      <c r="B47" s="17">
        <f>B31</f>
        <v>799718.22</v>
      </c>
      <c r="C47" s="17">
        <f>B47-C48</f>
        <v>725006.42964117147</v>
      </c>
      <c r="D47" s="17">
        <f t="shared" ref="D47:G47" si="29">C47-D48</f>
        <v>639894.758064394</v>
      </c>
      <c r="E47" s="17">
        <f t="shared" si="29"/>
        <v>542935.54180412914</v>
      </c>
      <c r="F47" s="17">
        <f t="shared" si="29"/>
        <v>432479.60264043539</v>
      </c>
      <c r="G47" s="17">
        <f t="shared" si="29"/>
        <v>306648.19674515544</v>
      </c>
      <c r="H47" s="17">
        <f>G47-H48</f>
        <v>163301.05914925257</v>
      </c>
      <c r="I47" s="17">
        <f>H47-I48</f>
        <v>0</v>
      </c>
    </row>
    <row r="48" spans="1:12" x14ac:dyDescent="0.2">
      <c r="A48" s="5" t="s">
        <v>52</v>
      </c>
      <c r="B48" s="17"/>
      <c r="C48" s="17">
        <f>C51-C49-C50</f>
        <v>74711.790358828541</v>
      </c>
      <c r="D48" s="17">
        <f t="shared" ref="D48:G48" si="30">D51-D49-D50</f>
        <v>85111.671576777473</v>
      </c>
      <c r="E48" s="17">
        <f t="shared" si="30"/>
        <v>96959.21626026489</v>
      </c>
      <c r="F48" s="17">
        <f t="shared" si="30"/>
        <v>110455.93916369375</v>
      </c>
      <c r="G48" s="17">
        <f t="shared" si="30"/>
        <v>125831.40589527994</v>
      </c>
      <c r="H48" s="17">
        <f>H51-H49-H50</f>
        <v>143347.13759590287</v>
      </c>
      <c r="I48" s="17">
        <f>I51-I49-I50</f>
        <v>163301.05914925257</v>
      </c>
    </row>
    <row r="49" spans="1:10" x14ac:dyDescent="0.2">
      <c r="A49" s="5" t="s">
        <v>53</v>
      </c>
      <c r="B49" s="17"/>
      <c r="C49" s="17">
        <f>B47*$B$32</f>
        <v>95966.186399999991</v>
      </c>
      <c r="D49" s="17">
        <f t="shared" ref="D49:G49" si="31">C47*$B$32</f>
        <v>87000.77155694057</v>
      </c>
      <c r="E49" s="17">
        <f t="shared" si="31"/>
        <v>76787.370967727271</v>
      </c>
      <c r="F49" s="17">
        <f t="shared" si="31"/>
        <v>65152.265016495498</v>
      </c>
      <c r="G49" s="17">
        <f t="shared" si="31"/>
        <v>51897.552316852241</v>
      </c>
      <c r="H49" s="17">
        <f>G47*$B$32</f>
        <v>36797.78360941865</v>
      </c>
      <c r="I49" s="17">
        <f>H47*$B$32</f>
        <v>19596.127097910306</v>
      </c>
    </row>
    <row r="50" spans="1:10" x14ac:dyDescent="0.2">
      <c r="A50" s="5" t="s">
        <v>54</v>
      </c>
      <c r="B50" s="17"/>
      <c r="C50" s="17">
        <f>C49*0.16</f>
        <v>15354.589823999999</v>
      </c>
      <c r="D50" s="17">
        <f t="shared" ref="D50:G50" si="32">D49*0.16</f>
        <v>13920.123449110491</v>
      </c>
      <c r="E50" s="17">
        <f t="shared" si="32"/>
        <v>12285.979354836363</v>
      </c>
      <c r="F50" s="17">
        <f t="shared" si="32"/>
        <v>10424.362402639279</v>
      </c>
      <c r="G50" s="17">
        <f t="shared" si="32"/>
        <v>8303.6083706963582</v>
      </c>
      <c r="H50" s="17">
        <f>H49*0.16</f>
        <v>5887.645377506984</v>
      </c>
      <c r="I50" s="17">
        <f>I49*0.16</f>
        <v>3135.380335665649</v>
      </c>
    </row>
    <row r="51" spans="1:10" x14ac:dyDescent="0.2">
      <c r="A51" s="5" t="s">
        <v>55</v>
      </c>
      <c r="B51" s="17"/>
      <c r="C51" s="17">
        <f>$B$35</f>
        <v>186032.56658282853</v>
      </c>
      <c r="D51" s="17">
        <f t="shared" ref="D51:G51" si="33">$B$35</f>
        <v>186032.56658282853</v>
      </c>
      <c r="E51" s="17">
        <f t="shared" si="33"/>
        <v>186032.56658282853</v>
      </c>
      <c r="F51" s="17">
        <f t="shared" si="33"/>
        <v>186032.56658282853</v>
      </c>
      <c r="G51" s="17">
        <f t="shared" si="33"/>
        <v>186032.56658282853</v>
      </c>
      <c r="H51" s="17">
        <f>$B$35</f>
        <v>186032.56658282853</v>
      </c>
      <c r="I51" s="17">
        <f>$B$35</f>
        <v>186032.56658282853</v>
      </c>
    </row>
    <row r="53" spans="1:10" x14ac:dyDescent="0.2">
      <c r="A53" s="57" t="s">
        <v>56</v>
      </c>
      <c r="B53" s="58"/>
      <c r="C53" s="58"/>
      <c r="D53" s="58"/>
      <c r="E53" s="58"/>
      <c r="F53" s="58"/>
      <c r="G53" s="58"/>
      <c r="H53" s="58"/>
      <c r="I53" s="58"/>
      <c r="J53" s="26"/>
    </row>
    <row r="54" spans="1:10" x14ac:dyDescent="0.2">
      <c r="A54" s="5" t="s">
        <v>12</v>
      </c>
      <c r="B54" s="5">
        <v>0</v>
      </c>
      <c r="C54" s="5">
        <v>1</v>
      </c>
      <c r="D54" s="5">
        <v>2</v>
      </c>
      <c r="E54" s="5">
        <v>3</v>
      </c>
      <c r="F54" s="5">
        <v>4</v>
      </c>
      <c r="G54" s="5">
        <v>5</v>
      </c>
      <c r="H54" s="5">
        <v>6</v>
      </c>
      <c r="I54" s="5">
        <v>7</v>
      </c>
    </row>
    <row r="55" spans="1:10" x14ac:dyDescent="0.2">
      <c r="A55" s="5" t="s">
        <v>57</v>
      </c>
      <c r="B55" s="5"/>
      <c r="C55" s="7">
        <f t="shared" ref="C55:I55" si="34">C8*0.16</f>
        <v>131328</v>
      </c>
      <c r="D55" s="7">
        <f t="shared" si="34"/>
        <v>188783.99999999997</v>
      </c>
      <c r="E55" s="7">
        <f t="shared" si="34"/>
        <v>269663.03999999998</v>
      </c>
      <c r="F55" s="7">
        <f t="shared" si="34"/>
        <v>386326.58399999986</v>
      </c>
      <c r="G55" s="7">
        <f t="shared" si="34"/>
        <v>553077.75239999976</v>
      </c>
      <c r="H55" s="7">
        <f t="shared" si="34"/>
        <v>792442.55015999964</v>
      </c>
      <c r="I55" s="7">
        <f t="shared" si="34"/>
        <v>1139136.1658549993</v>
      </c>
      <c r="J55" s="22"/>
    </row>
    <row r="56" spans="1:10" x14ac:dyDescent="0.2">
      <c r="A56" s="5" t="s">
        <v>58</v>
      </c>
      <c r="B56" s="5"/>
      <c r="C56" s="7">
        <f t="shared" ref="C56:I56" si="35">(C14*0.16)+C50</f>
        <v>218457.629824</v>
      </c>
      <c r="D56" s="7">
        <f t="shared" si="35"/>
        <v>130823.16344911049</v>
      </c>
      <c r="E56" s="7">
        <f t="shared" si="35"/>
        <v>134733.01935483637</v>
      </c>
      <c r="F56" s="7">
        <f t="shared" si="35"/>
        <v>155220.60240263928</v>
      </c>
      <c r="G56" s="7">
        <f t="shared" si="35"/>
        <v>142684.10837069637</v>
      </c>
      <c r="H56" s="7">
        <f t="shared" si="35"/>
        <v>164678.01837750702</v>
      </c>
      <c r="I56" s="7">
        <f t="shared" si="35"/>
        <v>167200.51998566568</v>
      </c>
      <c r="J56" s="22"/>
    </row>
    <row r="57" spans="1:10" x14ac:dyDescent="0.2">
      <c r="A57" s="5" t="s">
        <v>59</v>
      </c>
      <c r="B57" s="5"/>
      <c r="C57" s="7">
        <f>C56-C55</f>
        <v>87129.629824000003</v>
      </c>
      <c r="D57" s="7">
        <f>(D56-D55)+C57</f>
        <v>29168.793273110525</v>
      </c>
      <c r="E57" s="25">
        <f>(E56-E55)+D57</f>
        <v>-105761.22737205308</v>
      </c>
      <c r="F57" s="25">
        <f>F56-F55</f>
        <v>-231105.98159736057</v>
      </c>
      <c r="G57" s="25">
        <f>G56-G55</f>
        <v>-410393.6440293034</v>
      </c>
      <c r="H57" s="25">
        <f>H56-H55</f>
        <v>-627764.53178249265</v>
      </c>
      <c r="I57" s="25">
        <f>I56-I55</f>
        <v>-971935.64586933365</v>
      </c>
      <c r="J57" s="27"/>
    </row>
    <row r="59" spans="1:10" x14ac:dyDescent="0.2">
      <c r="A59" s="57" t="s">
        <v>60</v>
      </c>
      <c r="B59" s="58"/>
      <c r="C59" s="58"/>
      <c r="D59" s="58"/>
      <c r="E59" s="58"/>
      <c r="F59" s="58"/>
      <c r="G59" s="58"/>
      <c r="H59" s="58"/>
      <c r="I59" s="58"/>
      <c r="J59" s="26"/>
    </row>
    <row r="60" spans="1:10" x14ac:dyDescent="0.2">
      <c r="A60" s="5" t="s">
        <v>12</v>
      </c>
      <c r="B60" s="5">
        <v>0</v>
      </c>
      <c r="C60" s="5">
        <v>1</v>
      </c>
      <c r="D60" s="5">
        <v>2</v>
      </c>
      <c r="E60" s="5">
        <v>3</v>
      </c>
      <c r="F60" s="5">
        <v>4</v>
      </c>
      <c r="G60" s="5">
        <v>5</v>
      </c>
      <c r="H60" s="5">
        <v>6</v>
      </c>
      <c r="I60" s="5">
        <v>7</v>
      </c>
    </row>
    <row r="61" spans="1:10" x14ac:dyDescent="0.2">
      <c r="A61" s="53" t="s">
        <v>61</v>
      </c>
      <c r="B61" s="54"/>
      <c r="C61" s="54"/>
      <c r="D61" s="54"/>
      <c r="E61" s="54"/>
      <c r="F61" s="54"/>
      <c r="G61" s="54"/>
      <c r="H61" s="54"/>
      <c r="I61" s="54"/>
      <c r="J61" s="29"/>
    </row>
    <row r="62" spans="1:10" x14ac:dyDescent="0.2">
      <c r="A62" s="5" t="s">
        <v>62</v>
      </c>
      <c r="B62" s="5"/>
      <c r="C62" s="7">
        <f t="shared" ref="C62:I62" si="36">C8</f>
        <v>820800</v>
      </c>
      <c r="D62" s="7">
        <f t="shared" si="36"/>
        <v>1179899.9999999998</v>
      </c>
      <c r="E62" s="7">
        <f t="shared" si="36"/>
        <v>1685393.9999999998</v>
      </c>
      <c r="F62" s="7">
        <f t="shared" si="36"/>
        <v>2414541.149999999</v>
      </c>
      <c r="G62" s="7">
        <f t="shared" si="36"/>
        <v>3456735.9524999983</v>
      </c>
      <c r="H62" s="7">
        <f t="shared" si="36"/>
        <v>4952765.9384999974</v>
      </c>
      <c r="I62" s="7">
        <f t="shared" si="36"/>
        <v>7119601.0365937455</v>
      </c>
      <c r="J62" s="22"/>
    </row>
    <row r="63" spans="1:10" x14ac:dyDescent="0.2">
      <c r="A63" s="5" t="s">
        <v>33</v>
      </c>
      <c r="B63" s="5"/>
      <c r="C63" s="5"/>
      <c r="D63" s="5"/>
      <c r="E63" s="5"/>
      <c r="F63" s="5"/>
      <c r="G63" s="5"/>
      <c r="H63" s="5"/>
      <c r="I63" s="5"/>
    </row>
    <row r="64" spans="1:10" x14ac:dyDescent="0.2">
      <c r="A64" s="5" t="s">
        <v>63</v>
      </c>
      <c r="B64" s="5"/>
      <c r="C64" s="5"/>
      <c r="D64" s="5"/>
      <c r="E64" s="5"/>
      <c r="F64" s="5"/>
      <c r="G64" s="19">
        <f>J27+J32</f>
        <v>40001</v>
      </c>
      <c r="H64" s="19"/>
      <c r="I64" s="19"/>
      <c r="J64" s="30"/>
    </row>
    <row r="65" spans="1:10" x14ac:dyDescent="0.2">
      <c r="A65" s="53" t="s">
        <v>64</v>
      </c>
      <c r="B65" s="54"/>
      <c r="C65" s="54"/>
      <c r="D65" s="54"/>
      <c r="E65" s="54"/>
      <c r="F65" s="54"/>
      <c r="G65" s="54"/>
      <c r="H65" s="54"/>
      <c r="I65" s="54"/>
      <c r="J65" s="29"/>
    </row>
    <row r="66" spans="1:10" x14ac:dyDescent="0.2">
      <c r="A66" s="5" t="s">
        <v>29</v>
      </c>
      <c r="B66" s="7">
        <f>-B18</f>
        <v>-1332863.7</v>
      </c>
      <c r="C66" s="5"/>
      <c r="D66" s="5"/>
      <c r="E66" s="5"/>
      <c r="F66" s="5"/>
      <c r="G66" s="5"/>
      <c r="H66" s="5"/>
      <c r="I66" s="5"/>
    </row>
    <row r="67" spans="1:10" x14ac:dyDescent="0.2">
      <c r="A67" s="5" t="s">
        <v>65</v>
      </c>
      <c r="B67" s="5"/>
      <c r="C67" s="7">
        <f t="shared" ref="C67:I67" si="37">-C14</f>
        <v>-1269394</v>
      </c>
      <c r="D67" s="7">
        <f t="shared" si="37"/>
        <v>-730644</v>
      </c>
      <c r="E67" s="7">
        <f t="shared" si="37"/>
        <v>-765294</v>
      </c>
      <c r="F67" s="7">
        <f t="shared" si="37"/>
        <v>-904976.5</v>
      </c>
      <c r="G67" s="7">
        <f t="shared" si="37"/>
        <v>-839878.125</v>
      </c>
      <c r="H67" s="7">
        <f t="shared" si="37"/>
        <v>-992439.83125000005</v>
      </c>
      <c r="I67" s="7">
        <f t="shared" si="37"/>
        <v>-1025407.1228125001</v>
      </c>
      <c r="J67" s="22"/>
    </row>
    <row r="68" spans="1:10" x14ac:dyDescent="0.2">
      <c r="A68" s="5" t="s">
        <v>66</v>
      </c>
      <c r="B68" s="5"/>
      <c r="C68" s="12">
        <f t="shared" ref="C68:I69" si="38">-C48</f>
        <v>-74711.790358828541</v>
      </c>
      <c r="D68" s="12">
        <f t="shared" si="38"/>
        <v>-85111.671576777473</v>
      </c>
      <c r="E68" s="12">
        <f t="shared" si="38"/>
        <v>-96959.21626026489</v>
      </c>
      <c r="F68" s="12">
        <f t="shared" si="38"/>
        <v>-110455.93916369375</v>
      </c>
      <c r="G68" s="12">
        <f t="shared" si="38"/>
        <v>-125831.40589527994</v>
      </c>
      <c r="H68" s="12">
        <f t="shared" si="38"/>
        <v>-143347.13759590287</v>
      </c>
      <c r="I68" s="12">
        <f t="shared" si="38"/>
        <v>-163301.05914925257</v>
      </c>
      <c r="J68" s="31"/>
    </row>
    <row r="69" spans="1:10" x14ac:dyDescent="0.2">
      <c r="A69" s="5" t="s">
        <v>53</v>
      </c>
      <c r="B69" s="5"/>
      <c r="C69" s="12">
        <f t="shared" si="38"/>
        <v>-95966.186399999991</v>
      </c>
      <c r="D69" s="12">
        <f t="shared" si="38"/>
        <v>-87000.77155694057</v>
      </c>
      <c r="E69" s="12">
        <f t="shared" si="38"/>
        <v>-76787.370967727271</v>
      </c>
      <c r="F69" s="12">
        <f t="shared" si="38"/>
        <v>-65152.265016495498</v>
      </c>
      <c r="G69" s="12">
        <f t="shared" si="38"/>
        <v>-51897.552316852241</v>
      </c>
      <c r="H69" s="12">
        <f t="shared" si="38"/>
        <v>-36797.78360941865</v>
      </c>
      <c r="I69" s="12">
        <f t="shared" si="38"/>
        <v>-19596.127097910306</v>
      </c>
      <c r="J69" s="31"/>
    </row>
    <row r="70" spans="1:10" x14ac:dyDescent="0.2">
      <c r="A70" s="5" t="s">
        <v>54</v>
      </c>
      <c r="B70" s="5"/>
      <c r="C70" s="7">
        <f t="shared" ref="C70:I70" si="39">C57</f>
        <v>87129.629824000003</v>
      </c>
      <c r="D70" s="7">
        <f t="shared" si="39"/>
        <v>29168.793273110525</v>
      </c>
      <c r="E70" s="7">
        <f t="shared" si="39"/>
        <v>-105761.22737205308</v>
      </c>
      <c r="F70" s="7">
        <f t="shared" si="39"/>
        <v>-231105.98159736057</v>
      </c>
      <c r="G70" s="7">
        <f t="shared" si="39"/>
        <v>-410393.6440293034</v>
      </c>
      <c r="H70" s="7">
        <f t="shared" si="39"/>
        <v>-627764.53178249265</v>
      </c>
      <c r="I70" s="7">
        <f t="shared" si="39"/>
        <v>-971935.64586933365</v>
      </c>
      <c r="J70" s="22"/>
    </row>
    <row r="71" spans="1:10" x14ac:dyDescent="0.2">
      <c r="A71" s="32" t="s">
        <v>67</v>
      </c>
      <c r="B71" s="33">
        <f>SUM(B66:B70,B62:B64)</f>
        <v>-1332863.7</v>
      </c>
      <c r="C71" s="33">
        <f t="shared" ref="C71:G71" si="40">SUM(C66:C70,C62:C64)</f>
        <v>-532142.34693482867</v>
      </c>
      <c r="D71" s="33">
        <f t="shared" si="40"/>
        <v>306312.35013939219</v>
      </c>
      <c r="E71" s="33">
        <f t="shared" si="40"/>
        <v>640592.18539995456</v>
      </c>
      <c r="F71" s="33">
        <f t="shared" si="40"/>
        <v>1102850.4642224493</v>
      </c>
      <c r="G71" s="33">
        <f t="shared" si="40"/>
        <v>2068736.2252585627</v>
      </c>
      <c r="H71" s="33">
        <f>SUM(H66:H70,H62:H64)</f>
        <v>3152416.6542621832</v>
      </c>
      <c r="I71" s="33">
        <f>SUM(I66:I70,I62:I64)</f>
        <v>4939361.0816647485</v>
      </c>
    </row>
    <row r="73" spans="1:10" x14ac:dyDescent="0.2">
      <c r="A73" s="57" t="s">
        <v>68</v>
      </c>
      <c r="B73" s="58"/>
      <c r="C73" s="58"/>
      <c r="D73" s="58"/>
      <c r="E73" s="58"/>
      <c r="F73" s="58"/>
      <c r="G73" s="58"/>
      <c r="H73" s="58"/>
      <c r="I73" s="58"/>
    </row>
    <row r="74" spans="1:10" x14ac:dyDescent="0.2">
      <c r="A74" s="5" t="s">
        <v>12</v>
      </c>
      <c r="B74" s="5">
        <v>0</v>
      </c>
      <c r="C74" s="5">
        <v>1</v>
      </c>
      <c r="D74" s="5">
        <v>2</v>
      </c>
      <c r="E74" s="5">
        <v>3</v>
      </c>
      <c r="F74" s="5">
        <v>4</v>
      </c>
      <c r="G74" s="5">
        <v>5</v>
      </c>
      <c r="H74" s="5">
        <v>6</v>
      </c>
      <c r="I74" s="5">
        <v>7</v>
      </c>
    </row>
    <row r="75" spans="1:10" x14ac:dyDescent="0.2">
      <c r="A75" s="53" t="s">
        <v>61</v>
      </c>
      <c r="B75" s="54"/>
      <c r="C75" s="54"/>
      <c r="D75" s="54"/>
      <c r="E75" s="54"/>
      <c r="F75" s="54"/>
      <c r="G75" s="54"/>
      <c r="H75" s="54"/>
      <c r="I75" s="54"/>
    </row>
    <row r="76" spans="1:10" x14ac:dyDescent="0.2">
      <c r="A76" s="5" t="s">
        <v>62</v>
      </c>
      <c r="B76" s="5"/>
      <c r="C76" s="7">
        <f t="shared" ref="C76:I76" si="41">C62*0.7</f>
        <v>574560</v>
      </c>
      <c r="D76" s="7">
        <f t="shared" si="41"/>
        <v>825929.99999999977</v>
      </c>
      <c r="E76" s="7">
        <f t="shared" si="41"/>
        <v>1179775.7999999998</v>
      </c>
      <c r="F76" s="7">
        <f t="shared" si="41"/>
        <v>1690178.8049999992</v>
      </c>
      <c r="G76" s="7">
        <f t="shared" si="41"/>
        <v>2419715.1667499985</v>
      </c>
      <c r="H76" s="7">
        <f t="shared" si="41"/>
        <v>3466936.1569499979</v>
      </c>
      <c r="I76" s="7">
        <f t="shared" si="41"/>
        <v>4983720.7256156215</v>
      </c>
    </row>
    <row r="77" spans="1:10" x14ac:dyDescent="0.2">
      <c r="A77" s="5" t="s">
        <v>33</v>
      </c>
      <c r="B77" s="5"/>
      <c r="C77" s="19">
        <f>(F28+F33+F38+$F$43+J43)*0.3</f>
        <v>6836.48</v>
      </c>
      <c r="D77" s="19">
        <f>(G28+G33+G38+$F$43+K43)*0.3</f>
        <v>6836.48</v>
      </c>
      <c r="E77" s="19">
        <f>(H28+H33+H38+$F$43+L43)*0.3</f>
        <v>6836.48</v>
      </c>
      <c r="F77" s="19">
        <f>(I28+I33+I38+$F$43+J43)*0.3</f>
        <v>6836.48</v>
      </c>
      <c r="G77" s="19">
        <f>(J28+J33+J38+$F$43+K43)*0.3</f>
        <v>6836.48</v>
      </c>
      <c r="H77" s="19">
        <f>(F28+F33+F38+$F$43+L43)*0.3</f>
        <v>6836.48</v>
      </c>
      <c r="I77" s="19">
        <f>(G28+G33+G38+$F$43+J43)*0.3</f>
        <v>6836.48</v>
      </c>
    </row>
    <row r="78" spans="1:10" x14ac:dyDescent="0.2">
      <c r="A78" s="5" t="s">
        <v>63</v>
      </c>
      <c r="B78" s="5"/>
      <c r="C78" s="5"/>
      <c r="D78" s="5"/>
      <c r="E78" s="5"/>
      <c r="F78" s="5"/>
      <c r="G78" s="19">
        <f>G64</f>
        <v>40001</v>
      </c>
      <c r="H78" s="19">
        <f>H64</f>
        <v>0</v>
      </c>
      <c r="I78" s="19">
        <f>I64</f>
        <v>0</v>
      </c>
    </row>
    <row r="79" spans="1:10" x14ac:dyDescent="0.2">
      <c r="A79" s="53" t="s">
        <v>64</v>
      </c>
      <c r="B79" s="54"/>
      <c r="C79" s="54"/>
      <c r="D79" s="54"/>
      <c r="E79" s="54"/>
      <c r="F79" s="54"/>
      <c r="G79" s="54"/>
      <c r="H79" s="54"/>
      <c r="I79" s="54"/>
    </row>
    <row r="80" spans="1:10" x14ac:dyDescent="0.2">
      <c r="A80" s="5" t="s">
        <v>29</v>
      </c>
      <c r="B80" s="7">
        <f>B66</f>
        <v>-1332863.7</v>
      </c>
      <c r="C80" s="5"/>
      <c r="D80" s="5"/>
      <c r="E80" s="5"/>
      <c r="F80" s="5"/>
      <c r="G80" s="5"/>
      <c r="H80" s="5"/>
      <c r="I80" s="5"/>
    </row>
    <row r="81" spans="1:9" x14ac:dyDescent="0.2">
      <c r="A81" s="5" t="s">
        <v>65</v>
      </c>
      <c r="B81" s="5"/>
      <c r="C81" s="7">
        <f t="shared" ref="C81:I81" si="42">C67*0.7</f>
        <v>-888575.79999999993</v>
      </c>
      <c r="D81" s="7">
        <f t="shared" si="42"/>
        <v>-511450.8</v>
      </c>
      <c r="E81" s="7">
        <f t="shared" si="42"/>
        <v>-535705.79999999993</v>
      </c>
      <c r="F81" s="7">
        <f t="shared" si="42"/>
        <v>-633483.54999999993</v>
      </c>
      <c r="G81" s="7">
        <f t="shared" si="42"/>
        <v>-587914.6875</v>
      </c>
      <c r="H81" s="7">
        <f t="shared" si="42"/>
        <v>-694707.88187499996</v>
      </c>
      <c r="I81" s="7">
        <f t="shared" si="42"/>
        <v>-717784.98596875009</v>
      </c>
    </row>
    <row r="82" spans="1:9" x14ac:dyDescent="0.2">
      <c r="A82" s="5" t="s">
        <v>66</v>
      </c>
      <c r="B82" s="5"/>
      <c r="C82" s="12">
        <f t="shared" ref="C82:I82" si="43">C68</f>
        <v>-74711.790358828541</v>
      </c>
      <c r="D82" s="12">
        <f t="shared" si="43"/>
        <v>-85111.671576777473</v>
      </c>
      <c r="E82" s="12">
        <f t="shared" si="43"/>
        <v>-96959.21626026489</v>
      </c>
      <c r="F82" s="12">
        <f t="shared" si="43"/>
        <v>-110455.93916369375</v>
      </c>
      <c r="G82" s="12">
        <f t="shared" si="43"/>
        <v>-125831.40589527994</v>
      </c>
      <c r="H82" s="12">
        <f t="shared" si="43"/>
        <v>-143347.13759590287</v>
      </c>
      <c r="I82" s="12">
        <f t="shared" si="43"/>
        <v>-163301.05914925257</v>
      </c>
    </row>
    <row r="83" spans="1:9" x14ac:dyDescent="0.2">
      <c r="A83" s="5" t="s">
        <v>53</v>
      </c>
      <c r="B83" s="5"/>
      <c r="C83" s="12">
        <f t="shared" ref="C83:I83" si="44">C69*0.7</f>
        <v>-67176.33047999999</v>
      </c>
      <c r="D83" s="12">
        <f t="shared" si="44"/>
        <v>-60900.540089858398</v>
      </c>
      <c r="E83" s="12">
        <f t="shared" si="44"/>
        <v>-53751.159677409087</v>
      </c>
      <c r="F83" s="12">
        <f t="shared" si="44"/>
        <v>-45606.585511546844</v>
      </c>
      <c r="G83" s="12">
        <f t="shared" si="44"/>
        <v>-36328.286621796564</v>
      </c>
      <c r="H83" s="12">
        <f t="shared" si="44"/>
        <v>-25758.448526593053</v>
      </c>
      <c r="I83" s="12">
        <f t="shared" si="44"/>
        <v>-13717.288968537214</v>
      </c>
    </row>
    <row r="84" spans="1:9" x14ac:dyDescent="0.2">
      <c r="A84" s="5" t="s">
        <v>54</v>
      </c>
      <c r="B84" s="5"/>
      <c r="C84" s="7">
        <f t="shared" ref="C84:I84" si="45">C70</f>
        <v>87129.629824000003</v>
      </c>
      <c r="D84" s="7">
        <f t="shared" si="45"/>
        <v>29168.793273110525</v>
      </c>
      <c r="E84" s="7">
        <f t="shared" si="45"/>
        <v>-105761.22737205308</v>
      </c>
      <c r="F84" s="7">
        <f t="shared" si="45"/>
        <v>-231105.98159736057</v>
      </c>
      <c r="G84" s="7">
        <f t="shared" si="45"/>
        <v>-410393.6440293034</v>
      </c>
      <c r="H84" s="7">
        <f t="shared" si="45"/>
        <v>-627764.53178249265</v>
      </c>
      <c r="I84" s="7">
        <f t="shared" si="45"/>
        <v>-971935.64586933365</v>
      </c>
    </row>
    <row r="85" spans="1:9" x14ac:dyDescent="0.2">
      <c r="A85" s="32" t="s">
        <v>88</v>
      </c>
      <c r="B85" s="33">
        <f t="shared" ref="B85:I85" si="46">SUM(B80:B84,B76:B78)</f>
        <v>-1332863.7</v>
      </c>
      <c r="C85" s="33">
        <f t="shared" si="46"/>
        <v>-361937.8110148285</v>
      </c>
      <c r="D85" s="33">
        <f t="shared" si="46"/>
        <v>204472.26160647444</v>
      </c>
      <c r="E85" s="33">
        <f t="shared" si="46"/>
        <v>394434.87669027282</v>
      </c>
      <c r="F85" s="33">
        <f t="shared" si="46"/>
        <v>676363.22872739809</v>
      </c>
      <c r="G85" s="33">
        <f t="shared" si="46"/>
        <v>1306084.6227036186</v>
      </c>
      <c r="H85" s="33">
        <f t="shared" si="46"/>
        <v>1982194.6371700093</v>
      </c>
      <c r="I85" s="33">
        <f t="shared" si="46"/>
        <v>3123818.2256597481</v>
      </c>
    </row>
    <row r="87" spans="1:9" x14ac:dyDescent="0.2">
      <c r="A87" s="53" t="s">
        <v>69</v>
      </c>
      <c r="B87" s="54"/>
      <c r="C87" s="54"/>
      <c r="D87" s="54"/>
      <c r="E87" s="54"/>
      <c r="F87" s="54"/>
      <c r="G87" s="56"/>
    </row>
    <row r="88" spans="1:9" x14ac:dyDescent="0.2">
      <c r="A88" s="37" t="s">
        <v>70</v>
      </c>
      <c r="B88" s="37" t="s">
        <v>37</v>
      </c>
      <c r="C88" s="37" t="s">
        <v>71</v>
      </c>
      <c r="D88" s="37" t="s">
        <v>72</v>
      </c>
      <c r="E88" s="37" t="s">
        <v>73</v>
      </c>
      <c r="F88" s="37" t="s">
        <v>74</v>
      </c>
      <c r="G88" s="37" t="s">
        <v>75</v>
      </c>
    </row>
    <row r="89" spans="1:9" x14ac:dyDescent="0.2">
      <c r="A89" s="5" t="s">
        <v>47</v>
      </c>
      <c r="B89" s="7">
        <f>B47</f>
        <v>799718.22</v>
      </c>
      <c r="C89" s="34">
        <v>0.6</v>
      </c>
      <c r="D89" s="35">
        <f>B32</f>
        <v>0.12</v>
      </c>
      <c r="E89" s="23">
        <f>D89*0.7</f>
        <v>8.3999999999999991E-2</v>
      </c>
      <c r="F89" s="23">
        <f>C89*D89</f>
        <v>7.1999999999999995E-2</v>
      </c>
      <c r="G89" s="23">
        <f>E89*C89</f>
        <v>5.0399999999999993E-2</v>
      </c>
    </row>
    <row r="90" spans="1:9" x14ac:dyDescent="0.2">
      <c r="A90" s="37" t="s">
        <v>76</v>
      </c>
      <c r="B90" s="37" t="s">
        <v>37</v>
      </c>
      <c r="C90" s="37" t="s">
        <v>71</v>
      </c>
      <c r="D90" s="37" t="s">
        <v>72</v>
      </c>
      <c r="E90" s="37" t="s">
        <v>73</v>
      </c>
      <c r="F90" s="37" t="s">
        <v>74</v>
      </c>
      <c r="G90" s="37" t="s">
        <v>75</v>
      </c>
    </row>
    <row r="91" spans="1:9" x14ac:dyDescent="0.2">
      <c r="A91" s="5" t="s">
        <v>77</v>
      </c>
      <c r="B91" s="7">
        <f>B21</f>
        <v>533145.48</v>
      </c>
      <c r="C91" s="36">
        <v>0.4</v>
      </c>
      <c r="D91" s="35">
        <f>1.5/15</f>
        <v>0.1</v>
      </c>
      <c r="E91" s="5"/>
      <c r="F91" s="23">
        <f>C91*D91</f>
        <v>4.0000000000000008E-2</v>
      </c>
      <c r="G91" s="23">
        <f>F91</f>
        <v>4.0000000000000008E-2</v>
      </c>
    </row>
    <row r="92" spans="1:9" x14ac:dyDescent="0.2">
      <c r="A92" s="5" t="s">
        <v>0</v>
      </c>
      <c r="B92" s="7">
        <f>B89+B91</f>
        <v>1332863.7</v>
      </c>
      <c r="F92" s="5" t="s">
        <v>74</v>
      </c>
      <c r="G92" s="35">
        <f>G91+G89</f>
        <v>9.0400000000000008E-2</v>
      </c>
    </row>
    <row r="94" spans="1:9" x14ac:dyDescent="0.2">
      <c r="A94" s="55" t="s">
        <v>78</v>
      </c>
      <c r="B94" s="55"/>
    </row>
    <row r="95" spans="1:9" x14ac:dyDescent="0.2">
      <c r="A95" s="5" t="s">
        <v>74</v>
      </c>
      <c r="B95" s="35">
        <f>G92</f>
        <v>9.0400000000000008E-2</v>
      </c>
    </row>
    <row r="96" spans="1:9" x14ac:dyDescent="0.2">
      <c r="A96" s="13" t="s">
        <v>79</v>
      </c>
      <c r="B96" s="23">
        <v>3.5799999999999998E-2</v>
      </c>
    </row>
    <row r="97" spans="1:9" x14ac:dyDescent="0.2">
      <c r="A97" s="13" t="s">
        <v>80</v>
      </c>
      <c r="B97" s="23">
        <v>7.4999999999999997E-2</v>
      </c>
    </row>
    <row r="98" spans="1:9" x14ac:dyDescent="0.2">
      <c r="A98" s="5" t="s">
        <v>81</v>
      </c>
      <c r="B98" s="23">
        <v>3.7999999999999999E-2</v>
      </c>
    </row>
    <row r="99" spans="1:9" x14ac:dyDescent="0.2">
      <c r="A99" s="5" t="s">
        <v>78</v>
      </c>
      <c r="B99" s="35">
        <f>SUM(B95:B98)+PRODUCT(B95:B98)</f>
        <v>0.239209223512</v>
      </c>
    </row>
    <row r="101" spans="1:9" x14ac:dyDescent="0.2">
      <c r="A101" s="28" t="s">
        <v>85</v>
      </c>
      <c r="B101" s="12">
        <f>NPV(B99,C85:I85)+B85</f>
        <v>692711.36579761887</v>
      </c>
      <c r="C101" s="4" t="s">
        <v>82</v>
      </c>
    </row>
    <row r="102" spans="1:9" x14ac:dyDescent="0.2">
      <c r="A102" s="28" t="s">
        <v>84</v>
      </c>
      <c r="B102" s="19">
        <f>FV(B99,7,,-B101)</f>
        <v>3108599.5097342515</v>
      </c>
      <c r="C102" s="4" t="s">
        <v>82</v>
      </c>
    </row>
    <row r="103" spans="1:9" x14ac:dyDescent="0.2">
      <c r="A103" s="28" t="s">
        <v>83</v>
      </c>
      <c r="B103" s="19">
        <f>PMT(B99,7,-B101)</f>
        <v>213215.21196696063</v>
      </c>
      <c r="C103" s="4" t="s">
        <v>82</v>
      </c>
    </row>
    <row r="104" spans="1:9" x14ac:dyDescent="0.2">
      <c r="A104" s="28" t="s">
        <v>86</v>
      </c>
      <c r="B104" s="40">
        <f>IRR(B85:I85)</f>
        <v>0.32846798267236044</v>
      </c>
      <c r="C104" s="4" t="s">
        <v>95</v>
      </c>
    </row>
    <row r="106" spans="1:9" x14ac:dyDescent="0.2">
      <c r="A106" s="55" t="s">
        <v>87</v>
      </c>
      <c r="B106" s="55"/>
      <c r="C106" s="55"/>
      <c r="D106" s="55"/>
      <c r="E106" s="55"/>
      <c r="F106" s="55"/>
      <c r="G106" s="55"/>
      <c r="H106" s="55"/>
      <c r="I106" s="55"/>
    </row>
    <row r="107" spans="1:9" x14ac:dyDescent="0.2">
      <c r="A107" s="5" t="s">
        <v>12</v>
      </c>
      <c r="B107" s="5">
        <v>0</v>
      </c>
      <c r="C107" s="5">
        <f>B107+1</f>
        <v>1</v>
      </c>
      <c r="D107" s="5">
        <f t="shared" ref="D107:I107" si="47">C107+1</f>
        <v>2</v>
      </c>
      <c r="E107" s="5">
        <f t="shared" si="47"/>
        <v>3</v>
      </c>
      <c r="F107" s="5">
        <f t="shared" si="47"/>
        <v>4</v>
      </c>
      <c r="G107" s="5">
        <f t="shared" si="47"/>
        <v>5</v>
      </c>
      <c r="H107" s="5">
        <f t="shared" si="47"/>
        <v>6</v>
      </c>
      <c r="I107" s="5">
        <f t="shared" si="47"/>
        <v>7</v>
      </c>
    </row>
    <row r="108" spans="1:9" x14ac:dyDescent="0.2">
      <c r="A108" s="5" t="s">
        <v>88</v>
      </c>
      <c r="B108" s="7">
        <f>B85</f>
        <v>-1332863.7</v>
      </c>
      <c r="C108" s="7">
        <f t="shared" ref="C108:I108" si="48">C85</f>
        <v>-361937.8110148285</v>
      </c>
      <c r="D108" s="7">
        <f t="shared" si="48"/>
        <v>204472.26160647444</v>
      </c>
      <c r="E108" s="7">
        <f t="shared" si="48"/>
        <v>394434.87669027282</v>
      </c>
      <c r="F108" s="7">
        <f t="shared" si="48"/>
        <v>676363.22872739809</v>
      </c>
      <c r="G108" s="7">
        <f t="shared" si="48"/>
        <v>1306084.6227036186</v>
      </c>
      <c r="H108" s="7">
        <f t="shared" si="48"/>
        <v>1982194.6371700093</v>
      </c>
      <c r="I108" s="7">
        <f t="shared" si="48"/>
        <v>3123818.2256597481</v>
      </c>
    </row>
    <row r="109" spans="1:9" x14ac:dyDescent="0.2">
      <c r="A109" s="5" t="s">
        <v>89</v>
      </c>
      <c r="B109" s="25">
        <f>B108</f>
        <v>-1332863.7</v>
      </c>
      <c r="C109" s="42">
        <f>FV(B99,1,,-B109)+C108</f>
        <v>-2013634.8017391597</v>
      </c>
      <c r="D109" s="42">
        <f t="shared" ref="D109:H109" si="49">FV(C99,1,,-C109)+D108</f>
        <v>-1809162.5401326853</v>
      </c>
      <c r="E109" s="42">
        <f t="shared" si="49"/>
        <v>-1414727.6634424124</v>
      </c>
      <c r="F109" s="42">
        <f t="shared" si="49"/>
        <v>-738364.4347150143</v>
      </c>
      <c r="G109" s="12">
        <f t="shared" si="49"/>
        <v>567720.1879886043</v>
      </c>
      <c r="H109" s="12">
        <f t="shared" si="49"/>
        <v>2549914.8251586137</v>
      </c>
      <c r="I109" s="12">
        <f>FV(H99,1,,-H109)+I108</f>
        <v>5673733.0508183613</v>
      </c>
    </row>
    <row r="110" spans="1:9" ht="19" x14ac:dyDescent="0.25">
      <c r="F110" s="38"/>
    </row>
    <row r="111" spans="1:9" ht="19" x14ac:dyDescent="0.25">
      <c r="F111" s="38"/>
      <c r="G111" s="38" t="s">
        <v>91</v>
      </c>
    </row>
    <row r="112" spans="1:9" ht="19" x14ac:dyDescent="0.25">
      <c r="F112" s="38"/>
      <c r="G112" s="38"/>
    </row>
    <row r="113" spans="6:7" ht="19" x14ac:dyDescent="0.25">
      <c r="F113" s="38"/>
      <c r="G113" s="39"/>
    </row>
  </sheetData>
  <mergeCells count="21">
    <mergeCell ref="A1:I1"/>
    <mergeCell ref="A10:I10"/>
    <mergeCell ref="A45:I45"/>
    <mergeCell ref="A53:I53"/>
    <mergeCell ref="A59:I59"/>
    <mergeCell ref="D25:J25"/>
    <mergeCell ref="D30:J30"/>
    <mergeCell ref="A30:B30"/>
    <mergeCell ref="A17:B17"/>
    <mergeCell ref="D17:H17"/>
    <mergeCell ref="D35:J35"/>
    <mergeCell ref="D40:F40"/>
    <mergeCell ref="H40:L40"/>
    <mergeCell ref="A79:I79"/>
    <mergeCell ref="A106:I106"/>
    <mergeCell ref="A87:G87"/>
    <mergeCell ref="A94:B94"/>
    <mergeCell ref="A61:I61"/>
    <mergeCell ref="A65:I65"/>
    <mergeCell ref="A73:I73"/>
    <mergeCell ref="A75:I75"/>
  </mergeCells>
  <pageMargins left="0.7" right="0.7" top="0.75" bottom="0.75" header="0.3" footer="0.3"/>
  <ignoredErrors>
    <ignoredError sqref="C82 D82:I82 C83:I83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ANALISIS</vt:lpstr>
      <vt:lpstr>FLUJO DE EFECTIVO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Alejandro Loría Lopez</dc:creator>
  <cp:keywords/>
  <dc:description/>
  <cp:lastModifiedBy>Swietenia Naomi Medina Gasca</cp:lastModifiedBy>
  <cp:revision/>
  <dcterms:created xsi:type="dcterms:W3CDTF">2025-04-12T17:29:45Z</dcterms:created>
  <dcterms:modified xsi:type="dcterms:W3CDTF">2025-05-03T23:45:10Z</dcterms:modified>
  <cp:category/>
  <cp:contentStatus/>
</cp:coreProperties>
</file>