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Jedermann\TMCTechAccessPack\Chips\TMC2226\"/>
    </mc:Choice>
  </mc:AlternateContent>
  <xr:revisionPtr revIDLastSave="0" documentId="13_ncr:1_{528C34D3-C1BE-48BF-ABEE-2592F6E8D5D5}" xr6:coauthVersionLast="47" xr6:coauthVersionMax="47" xr10:uidLastSave="{00000000-0000-0000-0000-000000000000}"/>
  <bookViews>
    <workbookView xWindow="3456" yWindow="3456" windowWidth="23040" windowHeight="12660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C7" i="6" s="1"/>
  <c r="B8" i="6"/>
  <c r="C8" i="6" s="1"/>
  <c r="B9" i="6"/>
  <c r="C9" i="6" s="1"/>
  <c r="B10" i="6"/>
  <c r="B11" i="6"/>
  <c r="C11" i="6" s="1"/>
  <c r="B12" i="6"/>
  <c r="B13" i="6"/>
  <c r="C13" i="6" s="1"/>
  <c r="B14" i="6"/>
  <c r="B15" i="6"/>
  <c r="C15" i="6" s="1"/>
  <c r="B16" i="6"/>
  <c r="B17" i="6"/>
  <c r="C17" i="6" s="1"/>
  <c r="B18" i="6"/>
  <c r="B6" i="6"/>
  <c r="C6" i="6" s="1"/>
  <c r="C10" i="6"/>
  <c r="C12" i="6"/>
  <c r="C14" i="6"/>
  <c r="C16" i="6"/>
  <c r="C18" i="6"/>
  <c r="B5" i="6"/>
  <c r="C5" i="6"/>
  <c r="C42" i="5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7" i="6" l="1"/>
  <c r="F17" i="6" s="1"/>
  <c r="D17" i="6"/>
  <c r="E6" i="6"/>
  <c r="F6" i="6" s="1"/>
  <c r="D6" i="6"/>
  <c r="E8" i="6"/>
  <c r="F8" i="6" s="1"/>
  <c r="D8" i="6"/>
  <c r="E12" i="6"/>
  <c r="F12" i="6" s="1"/>
  <c r="D12" i="6"/>
  <c r="E14" i="6"/>
  <c r="F14" i="6" s="1"/>
  <c r="D14" i="6"/>
  <c r="E7" i="6"/>
  <c r="F7" i="6" s="1"/>
  <c r="D7" i="6"/>
  <c r="E10" i="6"/>
  <c r="F10" i="6" s="1"/>
  <c r="D10" i="6"/>
  <c r="E15" i="6"/>
  <c r="F15" i="6" s="1"/>
  <c r="D15" i="6"/>
  <c r="E18" i="6"/>
  <c r="F18" i="6" s="1"/>
  <c r="D18" i="6"/>
  <c r="E9" i="6"/>
  <c r="F9" i="6" s="1"/>
  <c r="D9" i="6"/>
  <c r="E11" i="6"/>
  <c r="F11" i="6" s="1"/>
  <c r="D11" i="6"/>
  <c r="E13" i="6"/>
  <c r="F13" i="6" s="1"/>
  <c r="D13" i="6"/>
  <c r="E16" i="6"/>
  <c r="F16" i="6" s="1"/>
  <c r="D16" i="6"/>
  <c r="E5" i="6"/>
  <c r="F5" i="6" s="1"/>
  <c r="D5" i="6"/>
  <c r="C48" i="2"/>
  <c r="C47" i="2"/>
  <c r="C9" i="5" l="1"/>
  <c r="C41" i="2"/>
  <c r="C44" i="2" s="1"/>
  <c r="C28" i="2"/>
  <c r="C1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<sst xmlns="http://schemas.openxmlformats.org/spreadsheetml/2006/main" count="314" uniqueCount="245">
  <si>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</si>
  <si>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</si>
  <si>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</si>
  <si>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</si>
  <si>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</si>
  <si>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</si>
  <si>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</si>
  <si>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</si>
  <si>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</si>
  <si>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</si>
  <si>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</si>
  <si>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</si>
  <si>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</si>
  <si>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</si>
  <si>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</si>
  <si>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</si>
  <si>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</si>
  <si>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</si>
  <si>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</si>
  <si>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</si>
  <si>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</si>
  <si>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</si>
  <si>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</si>
  <si>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</si>
  <si>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</si>
  <si>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</si>
  <si>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</si>
  <si>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</si>
  <si>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</si>
  <si>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</si>
  <si>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</si>
  <si>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</si>
  <si>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</si>
  <si>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</si>
  <si>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</si>
  <si>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</si>
  <si>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</si>
  <si>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</si>
  <si>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</si>
  <si>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</si>
  <si>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</si>
  <si>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</si>
  <si>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</si>
  <si>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</si>
  <si>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</si>
  <si>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</si>
  <si>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</si>
  <si>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</si>
  <si>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</si>
  <si>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</si>
  <si>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</si>
  <si>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</si>
  <si>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</si>
  <si>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</si>
  <si>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</si>
  <si>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</si>
  <si>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</si>
  <si>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</si>
  <si>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</si>
  <si>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</si>
  <si>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</si>
  <si>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</si>
  <si>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</si>
  <si>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</si>
  <si>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</si>
  <si>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</si>
  <si>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</si>
  <si>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</si>
  <si>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</si>
  <si>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</si>
  <si>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</si>
  <si>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</si>
  <si>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</si>
  <si>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</si>
  <si>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</si>
  <si>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</si>
  <si>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</si>
  <si>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</si>
  <si>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</si>
  <si>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</si>
  <si>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</si>
  <si>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</si>
  <si>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</si>
  <si>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</si>
  <si>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</si>
  <si>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</si>
  <si>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</si>
  <si>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</si>
  <si>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</si>
  <si>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</si>
  <si>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</si>
  <si>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</si>
  <si>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</si>
  <si>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</si>
  <si>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</si>
  <si>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</si>
  <si>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</si>
  <si>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</si>
  <si>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</si>
  <si>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</si>
  <si>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</si>
  <si>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</si>
  <si>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</si>
  <si>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</si>
  <si>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</si>
  <si>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</si>
  <si>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</si>
  <si>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</si>
  <si>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</si>
  <si>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</si>
  <si>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</si>
  <si>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</si>
  <si>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</si>
  <si>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</si>
  <si>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</si>
  <si>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</si>
  <si>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</si>
  <si>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</si>
  <si>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</si>
  <si>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</si>
  <si>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</si>
  <si>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</si>
  <si>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</si>
  <si>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</si>
  <si>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</si>
  <si>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</si>
  <si>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</si>
  <si>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</si>
  <si>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</si>
  <si>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</si>
  <si>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</si>
  <si>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</si>
  <si>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</si>
  <si>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</si>
  <si>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</si>
  <si>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</si>
  <si>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</si>
  <si>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</si>
  <si>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</si>
  <si>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</si>
  <si>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</si>
  <si>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</si>
  <si>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</si>
  <si>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</si>
  <si>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</si>
  <si>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</si>
  <si>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</si>
  <si>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</si>
  <si>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</si>
  <si>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</si>
  <si>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</si>
  <si>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</si>
  <si>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</si>
  <si>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</si>
  <si>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</si>
  <si>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</si>
  <si>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</si>
  <si>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</si>
  <si>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</si>
  <si>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</si>
  <si>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</si>
  <si>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</si>
  <si>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</si>
  <si>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</si>
  <si>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</si>
  <si>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</si>
  <si>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</si>
  <si>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</si>
  <si>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</si>
  <si>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</si>
  <si>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</si>
  <si>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</si>
  <si>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</si>
  <si>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</si>
  <si>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</si>
  <si>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</si>
  <si>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</si>
  <si>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</si>
  <si>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</si>
  <si>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</si>
  <si>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</si>
  <si>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</si>
  <si>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</si>
  <si>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</si>
  <si>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</si>
  <si>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</si>
  <si>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</si>
  <si>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</si>
  <si>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</si>
  <si>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</si>
  <si>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</si>
  <si>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</si>
  <si>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</si>
  <si>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</si>
  <si>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</si>
  <si>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</si>
  <si>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</si>
  <si>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</si>
  <si>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</si>
  <si>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</si>
  <si>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</si>
  <si>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</si>
  <si>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</si>
  <si>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</si>
  <si>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</si>
  <si>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</si>
  <si>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</si>
  <si>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</si>
  <si>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</si>
  <si>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</si>
  <si>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</si>
  <si>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</si>
  <si>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</si>
  <si>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</si>
  <si>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</si>
  <si>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</si>
  <si>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</si>
  <si>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</si>
  <si>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</si>
  <si>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</si>
  <si>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</si>
  <si>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</si>
  <si>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</si>
  <si>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</si>
  <si>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</si>
  <si>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</si>
  <si>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</si>
  <si>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</si>
  <si>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</si>
  <si>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</si>
  <si>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</si>
  <si>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</si>
  <si>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</si>
  <si>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</si>
  <si>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</si>
  <si>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</si>
  <si>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</si>
  <si>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</si>
  <si>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</si>
  <si>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</si>
  <si>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</si>
  <si>
    <t>Using StealthChop</t>
  </si>
  <si>
    <t>2023-FEB-28</t>
  </si>
  <si>
    <t>Minor correction on RDSon slide to match measurement. Measurement fits in case of StealthChop usage.</t>
  </si>
  <si>
    <t>TMC2226_Calculations.xlsx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</si>
</sst>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0" fontId="0" fillId="0" borderId="0" xfId="0" applyFill="1" applyAlignment="1">
      <alignment horizontal="right"/>
    </xf>
    <xf numFmtId="2" fontId="4" fillId="0" borderId="4" xfId="0" applyNumberFormat="1" applyFont="1" applyBorder="1"/>
    <xf numFmtId="2" fontId="10" fillId="0" borderId="4" xfId="0" applyNumberFormat="1" applyFont="1" applyBorder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D38" sqref="D38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177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23</v>
      </c>
      <c r="B3" s="58" t="s">
        <v>109</v>
      </c>
      <c r="C3" s="59"/>
      <c r="D3" s="59"/>
      <c r="E3" s="59"/>
      <c r="F3" s="59"/>
      <c r="G3" s="59"/>
      <c r="H3" s="59"/>
      <c r="I3" s="20"/>
      <c r="J3" s="20"/>
      <c r="K3" s="20"/>
    </row>
    <row r="4" spans="1:11" ht="18" x14ac:dyDescent="0.35">
      <c r="A4" s="10"/>
      <c r="B4" s="60" t="s">
        <v>93</v>
      </c>
      <c r="C4" s="61"/>
      <c r="D4" s="61"/>
      <c r="E4" s="61"/>
      <c r="F4" s="61"/>
      <c r="G4" s="61"/>
      <c r="H4" s="61"/>
      <c r="I4" s="62"/>
      <c r="J4" s="62"/>
      <c r="K4" s="62"/>
    </row>
    <row r="6" spans="1:11" x14ac:dyDescent="0.3">
      <c r="A6" s="4" t="s">
        <v>20</v>
      </c>
    </row>
    <row r="7" spans="1:11" x14ac:dyDescent="0.3">
      <c r="B7" s="64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3">
      <c r="B8" s="9">
        <v>256</v>
      </c>
      <c r="C8" t="s">
        <v>2</v>
      </c>
      <c r="D8" t="s">
        <v>22</v>
      </c>
      <c r="F8" t="s">
        <v>190</v>
      </c>
      <c r="G8" s="2" t="s">
        <v>9</v>
      </c>
      <c r="H8" t="s">
        <v>17</v>
      </c>
      <c r="J8" t="s">
        <v>10</v>
      </c>
    </row>
    <row r="9" spans="1:11" x14ac:dyDescent="0.3">
      <c r="B9" s="87">
        <v>1.8</v>
      </c>
      <c r="C9" s="34" t="s">
        <v>1</v>
      </c>
      <c r="D9" s="34" t="s">
        <v>4</v>
      </c>
      <c r="F9" s="34" t="s">
        <v>19</v>
      </c>
      <c r="G9" s="35" t="s">
        <v>9</v>
      </c>
      <c r="H9" s="87">
        <v>12000000</v>
      </c>
      <c r="I9" s="34"/>
      <c r="J9" s="34" t="s">
        <v>18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7">
        <v>1</v>
      </c>
      <c r="C12" s="35" t="s">
        <v>12</v>
      </c>
      <c r="D12" s="34" t="s">
        <v>13</v>
      </c>
    </row>
    <row r="14" spans="1:11" x14ac:dyDescent="0.3">
      <c r="A14" s="4" t="s">
        <v>192</v>
      </c>
      <c r="C14" s="4"/>
      <c r="D14" s="4"/>
    </row>
    <row r="15" spans="1:11" x14ac:dyDescent="0.3">
      <c r="B15" s="86">
        <f>B25</f>
        <v>71582.78826666667</v>
      </c>
      <c r="C15" t="s">
        <v>190</v>
      </c>
      <c r="D15" t="s">
        <v>10</v>
      </c>
      <c r="F15" t="s">
        <v>174</v>
      </c>
    </row>
    <row r="16" spans="1:11" x14ac:dyDescent="0.3">
      <c r="B16" s="3">
        <f>B15/$J$7/$B$11</f>
        <v>1</v>
      </c>
      <c r="C16" t="s">
        <v>0</v>
      </c>
      <c r="D16" t="s">
        <v>15</v>
      </c>
    </row>
    <row r="17" spans="1:6" x14ac:dyDescent="0.3">
      <c r="B17" s="3">
        <f>B16*360</f>
        <v>360</v>
      </c>
      <c r="C17" t="s">
        <v>11</v>
      </c>
      <c r="D17" t="s">
        <v>15</v>
      </c>
    </row>
    <row r="18" spans="1:6" x14ac:dyDescent="0.3">
      <c r="B18" s="3">
        <f>B17/$B$12</f>
        <v>360</v>
      </c>
      <c r="C18" t="s">
        <v>11</v>
      </c>
      <c r="D18" t="s">
        <v>14</v>
      </c>
    </row>
    <row r="19" spans="1:6" x14ac:dyDescent="0.3">
      <c r="B19" s="3">
        <f>B15*H9/2^24</f>
        <v>51200</v>
      </c>
      <c r="C19" t="s">
        <v>18</v>
      </c>
      <c r="D19" t="s">
        <v>175</v>
      </c>
    </row>
    <row r="20" spans="1:6" x14ac:dyDescent="0.3">
      <c r="B20" s="8">
        <f>B18/360</f>
        <v>1</v>
      </c>
      <c r="C20" s="4" t="s">
        <v>0</v>
      </c>
      <c r="D20" s="4" t="s">
        <v>14</v>
      </c>
    </row>
    <row r="21" spans="1:6" x14ac:dyDescent="0.3">
      <c r="B21" s="8"/>
      <c r="C21" s="4"/>
      <c r="D21" s="4"/>
    </row>
    <row r="22" spans="1:6" x14ac:dyDescent="0.3">
      <c r="A22" s="4" t="s">
        <v>191</v>
      </c>
      <c r="C22" s="4"/>
      <c r="D22" s="4"/>
    </row>
    <row r="23" spans="1:6" x14ac:dyDescent="0.3">
      <c r="B23" s="85">
        <f>B7/60</f>
        <v>1</v>
      </c>
      <c r="C23" t="s">
        <v>0</v>
      </c>
      <c r="D23" t="s">
        <v>15</v>
      </c>
      <c r="F23" t="s">
        <v>171</v>
      </c>
    </row>
    <row r="24" spans="1:6" x14ac:dyDescent="0.3">
      <c r="B24" s="3">
        <f>B23*360</f>
        <v>360</v>
      </c>
      <c r="C24" t="s">
        <v>11</v>
      </c>
      <c r="D24" t="s">
        <v>15</v>
      </c>
    </row>
    <row r="25" spans="1:6" x14ac:dyDescent="0.3">
      <c r="B25" s="7">
        <f>B23*$B$11*$J$7</f>
        <v>71582.78826666667</v>
      </c>
      <c r="C25" s="4" t="s">
        <v>190</v>
      </c>
      <c r="D25" t="s">
        <v>10</v>
      </c>
    </row>
    <row r="26" spans="1:6" x14ac:dyDescent="0.3">
      <c r="B26" s="7"/>
      <c r="C26" s="4"/>
    </row>
    <row r="27" spans="1:6" x14ac:dyDescent="0.3">
      <c r="A27" s="4" t="s">
        <v>193</v>
      </c>
      <c r="C27" s="4"/>
      <c r="D27" s="4"/>
    </row>
    <row r="28" spans="1:6" x14ac:dyDescent="0.3">
      <c r="A28" s="4"/>
      <c r="B28" s="85">
        <f>B23</f>
        <v>1</v>
      </c>
      <c r="C28" t="s">
        <v>0</v>
      </c>
      <c r="D28" t="s">
        <v>14</v>
      </c>
    </row>
    <row r="29" spans="1:6" x14ac:dyDescent="0.3">
      <c r="B29" s="3">
        <f>B28*360</f>
        <v>360</v>
      </c>
      <c r="C29" t="s">
        <v>11</v>
      </c>
      <c r="D29" t="s">
        <v>14</v>
      </c>
    </row>
    <row r="30" spans="1:6" x14ac:dyDescent="0.3">
      <c r="B30" s="3">
        <f>B28*B12</f>
        <v>1</v>
      </c>
      <c r="C30" t="s">
        <v>0</v>
      </c>
      <c r="D30" t="s">
        <v>15</v>
      </c>
    </row>
    <row r="31" spans="1:6" x14ac:dyDescent="0.3">
      <c r="B31" s="3">
        <f>B30*360</f>
        <v>360</v>
      </c>
      <c r="C31" t="s">
        <v>11</v>
      </c>
      <c r="D31" t="s">
        <v>15</v>
      </c>
    </row>
    <row r="32" spans="1:6" x14ac:dyDescent="0.3">
      <c r="B32" s="7">
        <f>B30*$B$11*$J$7</f>
        <v>71582.78826666667</v>
      </c>
      <c r="C32" s="4" t="s">
        <v>190</v>
      </c>
      <c r="D32" s="4" t="s">
        <v>10</v>
      </c>
    </row>
    <row r="34" spans="1:4" x14ac:dyDescent="0.3">
      <c r="A34" s="4" t="s">
        <v>194</v>
      </c>
      <c r="C34" s="4"/>
      <c r="D34" s="4"/>
    </row>
    <row r="35" spans="1:4" x14ac:dyDescent="0.3">
      <c r="B35" s="86">
        <f>B15</f>
        <v>71582.78826666667</v>
      </c>
      <c r="C35" t="s">
        <v>190</v>
      </c>
      <c r="D35" t="s">
        <v>10</v>
      </c>
    </row>
    <row r="36" spans="1:4" x14ac:dyDescent="0.3">
      <c r="B36" s="7">
        <f>MIN((2^20-1),2^24/B35*B8/256)</f>
        <v>234.375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7" workbookViewId="0">
      <selection activeCell="C22" sqref="C22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104</v>
      </c>
    </row>
    <row r="3" spans="1:11" x14ac:dyDescent="0.3">
      <c r="A3" s="4" t="s">
        <v>23</v>
      </c>
      <c r="B3" s="20" t="s">
        <v>113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2" t="s">
        <v>149</v>
      </c>
      <c r="C4" s="62"/>
      <c r="D4" s="62"/>
      <c r="E4" s="62"/>
      <c r="F4" s="62"/>
      <c r="G4" s="62"/>
      <c r="H4" s="62"/>
      <c r="I4" s="62"/>
      <c r="J4" s="62"/>
      <c r="K4" s="62"/>
    </row>
    <row r="5" spans="1:11" x14ac:dyDescent="0.3">
      <c r="A5" s="4"/>
      <c r="B5" s="62" t="s">
        <v>152</v>
      </c>
      <c r="C5" s="62"/>
      <c r="D5" s="62"/>
      <c r="E5" s="62"/>
      <c r="F5" s="62"/>
      <c r="G5" s="62"/>
      <c r="H5" s="62"/>
      <c r="I5" s="62"/>
      <c r="J5" s="62"/>
      <c r="K5" s="62"/>
    </row>
    <row r="6" spans="1:11" x14ac:dyDescent="0.3">
      <c r="A6" s="4"/>
      <c r="B6" s="63" t="s">
        <v>150</v>
      </c>
      <c r="C6" s="63"/>
      <c r="D6" s="63"/>
      <c r="E6" s="63"/>
      <c r="F6" s="63"/>
      <c r="G6" s="63"/>
      <c r="H6" s="63"/>
      <c r="I6" s="63"/>
      <c r="J6" s="63"/>
      <c r="K6" s="63"/>
    </row>
    <row r="8" spans="1:11" x14ac:dyDescent="0.3">
      <c r="A8" s="4" t="s">
        <v>20</v>
      </c>
    </row>
    <row r="9" spans="1:11" x14ac:dyDescent="0.3">
      <c r="A9" s="4"/>
      <c r="B9" s="18" t="s">
        <v>28</v>
      </c>
      <c r="C9" s="64">
        <v>12</v>
      </c>
      <c r="E9" s="34" t="s">
        <v>95</v>
      </c>
    </row>
    <row r="10" spans="1:11" x14ac:dyDescent="0.3">
      <c r="B10" s="18" t="s">
        <v>29</v>
      </c>
      <c r="C10">
        <f>1/(1000000*C9)</f>
        <v>8.3333333333333338E-8</v>
      </c>
    </row>
    <row r="11" spans="1:11" x14ac:dyDescent="0.3">
      <c r="B11" s="18" t="s">
        <v>30</v>
      </c>
      <c r="C11" s="65">
        <v>24</v>
      </c>
      <c r="E11" t="s">
        <v>94</v>
      </c>
    </row>
    <row r="12" spans="1:11" x14ac:dyDescent="0.3">
      <c r="B12" s="18" t="s">
        <v>31</v>
      </c>
      <c r="C12" s="66">
        <v>2</v>
      </c>
      <c r="E12" t="s">
        <v>103</v>
      </c>
    </row>
    <row r="13" spans="1:11" x14ac:dyDescent="0.3">
      <c r="B13" s="18" t="s">
        <v>114</v>
      </c>
      <c r="C13" s="77">
        <f>C10*(16+8*C12)</f>
        <v>2.6666666666666668E-6</v>
      </c>
      <c r="E13" t="s">
        <v>178</v>
      </c>
    </row>
    <row r="14" spans="1:11" x14ac:dyDescent="0.3">
      <c r="A14" s="4" t="s">
        <v>112</v>
      </c>
      <c r="C14" s="21"/>
    </row>
    <row r="15" spans="1:11" x14ac:dyDescent="0.3">
      <c r="B15" s="18" t="s">
        <v>32</v>
      </c>
      <c r="C15" s="67">
        <v>7.4999999999999997E-3</v>
      </c>
      <c r="D15" s="21"/>
      <c r="E15" t="s">
        <v>180</v>
      </c>
    </row>
    <row r="16" spans="1:11" x14ac:dyDescent="0.3">
      <c r="B16" s="18" t="s">
        <v>33</v>
      </c>
      <c r="C16" s="68">
        <v>4.5</v>
      </c>
    </row>
    <row r="17" spans="1:10" x14ac:dyDescent="0.3">
      <c r="B17" s="18" t="s">
        <v>34</v>
      </c>
      <c r="C17" s="66">
        <v>1.4139999999999999</v>
      </c>
      <c r="E17" t="s">
        <v>35</v>
      </c>
    </row>
    <row r="18" spans="1:10" x14ac:dyDescent="0.3">
      <c r="B18" s="18" t="s">
        <v>36</v>
      </c>
      <c r="C18" s="46">
        <f>C17/SQRT(2)</f>
        <v>0.99984898859777804</v>
      </c>
    </row>
    <row r="19" spans="1:10" x14ac:dyDescent="0.3">
      <c r="A19" s="4" t="s">
        <v>115</v>
      </c>
      <c r="C19" s="46"/>
    </row>
    <row r="20" spans="1:10" x14ac:dyDescent="0.3">
      <c r="B20" s="18" t="s">
        <v>37</v>
      </c>
      <c r="C20" s="84">
        <v>3</v>
      </c>
      <c r="E20" t="s">
        <v>151</v>
      </c>
    </row>
    <row r="21" spans="1:10" x14ac:dyDescent="0.3">
      <c r="B21" s="18" t="s">
        <v>38</v>
      </c>
      <c r="C21" s="77">
        <f>(24+32*C20)*C10</f>
        <v>1.0000000000000001E-5</v>
      </c>
      <c r="E21" t="s">
        <v>121</v>
      </c>
    </row>
    <row r="23" spans="1:10" x14ac:dyDescent="0.3">
      <c r="B23" s="18" t="s">
        <v>179</v>
      </c>
      <c r="C23" s="22">
        <f>C11*0.0000002/C15</f>
        <v>6.3999999999999994E-4</v>
      </c>
      <c r="E23" t="s">
        <v>181</v>
      </c>
    </row>
    <row r="24" spans="1:10" x14ac:dyDescent="0.3">
      <c r="B24" s="18" t="s">
        <v>39</v>
      </c>
      <c r="C24" s="22">
        <f>C11*C13/C15</f>
        <v>8.5333333333333355E-3</v>
      </c>
      <c r="E24" t="s">
        <v>96</v>
      </c>
    </row>
    <row r="25" spans="1:10" x14ac:dyDescent="0.3">
      <c r="B25" s="18" t="s">
        <v>40</v>
      </c>
      <c r="C25" s="22">
        <f>C16*C17*2*C21/C15</f>
        <v>1.6968E-2</v>
      </c>
      <c r="E25" t="s">
        <v>97</v>
      </c>
    </row>
    <row r="27" spans="1:10" x14ac:dyDescent="0.3">
      <c r="B27" s="18" t="s">
        <v>41</v>
      </c>
      <c r="C27" s="84">
        <v>31</v>
      </c>
      <c r="E27" t="s">
        <v>120</v>
      </c>
    </row>
    <row r="28" spans="1:10" x14ac:dyDescent="0.3">
      <c r="B28" s="18" t="s">
        <v>49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116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42</v>
      </c>
      <c r="C30" s="41">
        <f>MAX(0.5+(C23+C24+C25)*2*248*(C27+1)/C17/32-8,-2)</f>
        <v>1.6698029231494598</v>
      </c>
      <c r="E30" t="s">
        <v>130</v>
      </c>
      <c r="J30" t="s">
        <v>43</v>
      </c>
    </row>
    <row r="31" spans="1:10" ht="15" thickBot="1" x14ac:dyDescent="0.35">
      <c r="J31" t="s">
        <v>44</v>
      </c>
    </row>
    <row r="32" spans="1:10" x14ac:dyDescent="0.3">
      <c r="A32" s="19" t="s">
        <v>98</v>
      </c>
      <c r="C32" s="24" t="s">
        <v>45</v>
      </c>
      <c r="F32" s="69" t="s">
        <v>46</v>
      </c>
      <c r="G32" s="70"/>
      <c r="H32" s="71"/>
    </row>
    <row r="33" spans="1:9" x14ac:dyDescent="0.3">
      <c r="B33" s="37" t="s">
        <v>101</v>
      </c>
      <c r="C33" s="25">
        <f>MAX(MIN(C30,8),1)</f>
        <v>1.6698029231494598</v>
      </c>
      <c r="E33" t="s">
        <v>47</v>
      </c>
      <c r="F33" s="72">
        <f>C33-1</f>
        <v>0.66980292314945977</v>
      </c>
      <c r="G33" s="57" t="s">
        <v>99</v>
      </c>
      <c r="H33" s="73"/>
      <c r="I33" t="s">
        <v>131</v>
      </c>
    </row>
    <row r="34" spans="1:9" ht="15" thickBot="1" x14ac:dyDescent="0.35">
      <c r="B34" s="37" t="s">
        <v>102</v>
      </c>
      <c r="C34" s="25">
        <f>MIN(C30-C33,12)</f>
        <v>0</v>
      </c>
      <c r="E34" t="s">
        <v>48</v>
      </c>
      <c r="F34" s="74">
        <f>C34+3</f>
        <v>3</v>
      </c>
      <c r="G34" s="75" t="s">
        <v>100</v>
      </c>
      <c r="H34" s="76"/>
      <c r="I34" t="s">
        <v>132</v>
      </c>
    </row>
    <row r="36" spans="1:9" x14ac:dyDescent="0.3">
      <c r="B36" s="18" t="s">
        <v>49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125</v>
      </c>
      <c r="C38" s="36">
        <f>1/(2*C21+2*C13)/1000</f>
        <v>39.473684210526315</v>
      </c>
      <c r="E38" t="s">
        <v>126</v>
      </c>
    </row>
    <row r="39" spans="1:9" x14ac:dyDescent="0.3">
      <c r="B39" s="18" t="s">
        <v>49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50</v>
      </c>
      <c r="C41" s="3">
        <f>C16*C17/SQRT(2)</f>
        <v>4.4993204486900016</v>
      </c>
      <c r="E41" t="s">
        <v>51</v>
      </c>
    </row>
    <row r="42" spans="1:9" x14ac:dyDescent="0.3">
      <c r="A42" s="4" t="s">
        <v>117</v>
      </c>
      <c r="C42" s="3"/>
    </row>
    <row r="43" spans="1:9" x14ac:dyDescent="0.3">
      <c r="B43" s="18" t="s">
        <v>52</v>
      </c>
      <c r="C43" s="7">
        <f>20*C41</f>
        <v>89.986408973800025</v>
      </c>
      <c r="E43" s="26" t="s">
        <v>53</v>
      </c>
    </row>
    <row r="44" spans="1:9" x14ac:dyDescent="0.3">
      <c r="B44" s="18" t="s">
        <v>54</v>
      </c>
      <c r="C44" s="7">
        <f>C41*2</f>
        <v>8.9986408973800032</v>
      </c>
      <c r="E44" t="s">
        <v>55</v>
      </c>
    </row>
    <row r="45" spans="1:9" x14ac:dyDescent="0.3">
      <c r="B45"/>
    </row>
    <row r="46" spans="1:9" ht="15" thickBot="1" x14ac:dyDescent="0.35">
      <c r="A46" s="4" t="s">
        <v>118</v>
      </c>
    </row>
    <row r="47" spans="1:9" x14ac:dyDescent="0.3">
      <c r="B47" s="80" t="s">
        <v>153</v>
      </c>
      <c r="C47" s="78">
        <f>(C27+1)/32/C17*0.32-0.02</f>
        <v>0.20630834512022633</v>
      </c>
      <c r="D47" s="81" t="s">
        <v>56</v>
      </c>
      <c r="E47" t="s">
        <v>119</v>
      </c>
    </row>
    <row r="48" spans="1:9" ht="15" thickBot="1" x14ac:dyDescent="0.35">
      <c r="B48" s="82" t="s">
        <v>154</v>
      </c>
      <c r="C48" s="79">
        <f>(C27+1)/32/C17*0.18-0.02</f>
        <v>0.10729844413012728</v>
      </c>
      <c r="D48" s="83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C19" sqref="C19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165</v>
      </c>
    </row>
    <row r="2" spans="1:8" x14ac:dyDescent="0.3">
      <c r="A2" s="26" t="s">
        <v>168</v>
      </c>
      <c r="B2" s="19"/>
    </row>
    <row r="3" spans="1:8" x14ac:dyDescent="0.3">
      <c r="A3" s="26"/>
      <c r="B3" s="19"/>
    </row>
    <row r="4" spans="1:8" x14ac:dyDescent="0.3">
      <c r="A4" s="4" t="s">
        <v>23</v>
      </c>
      <c r="B4" s="20" t="s">
        <v>122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110</v>
      </c>
    </row>
    <row r="6" spans="1:8" x14ac:dyDescent="0.3">
      <c r="A6" s="4"/>
    </row>
    <row r="7" spans="1:8" x14ac:dyDescent="0.3">
      <c r="B7" s="18"/>
      <c r="E7" s="27" t="s">
        <v>59</v>
      </c>
      <c r="F7" s="20"/>
      <c r="G7" s="20"/>
      <c r="H7" s="20"/>
    </row>
    <row r="8" spans="1:8" x14ac:dyDescent="0.3">
      <c r="A8" s="4" t="s">
        <v>95</v>
      </c>
      <c r="B8" s="18" t="s">
        <v>28</v>
      </c>
      <c r="C8" s="64">
        <v>12</v>
      </c>
      <c r="E8" t="s">
        <v>234</v>
      </c>
    </row>
    <row r="9" spans="1:8" x14ac:dyDescent="0.3">
      <c r="B9" s="18" t="s">
        <v>29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60</v>
      </c>
      <c r="B11" s="18" t="s">
        <v>30</v>
      </c>
      <c r="C11" s="64">
        <v>24</v>
      </c>
    </row>
    <row r="12" spans="1:8" s="34" customFormat="1" x14ac:dyDescent="0.3">
      <c r="A12" s="38"/>
      <c r="B12" s="109"/>
      <c r="C12" s="95"/>
    </row>
    <row r="13" spans="1:8" x14ac:dyDescent="0.3">
      <c r="B13" s="18"/>
      <c r="C13" s="4" t="s">
        <v>128</v>
      </c>
      <c r="D13" s="38"/>
    </row>
    <row r="14" spans="1:8" x14ac:dyDescent="0.3">
      <c r="A14" s="4" t="s">
        <v>61</v>
      </c>
      <c r="B14" s="18" t="s">
        <v>34</v>
      </c>
      <c r="C14" s="95">
        <f>1.41*C15</f>
        <v>1.41</v>
      </c>
      <c r="D14" s="34"/>
      <c r="E14" t="s">
        <v>62</v>
      </c>
    </row>
    <row r="15" spans="1:8" x14ac:dyDescent="0.3">
      <c r="B15" s="18" t="s">
        <v>63</v>
      </c>
      <c r="C15" s="88">
        <v>1</v>
      </c>
      <c r="D15" s="28"/>
      <c r="E15" t="s">
        <v>156</v>
      </c>
    </row>
    <row r="16" spans="1:8" x14ac:dyDescent="0.3">
      <c r="A16" s="4" t="s">
        <v>162</v>
      </c>
      <c r="B16" s="18" t="s">
        <v>163</v>
      </c>
      <c r="C16" s="64">
        <v>4.5</v>
      </c>
      <c r="D16" s="28"/>
      <c r="E16" t="s">
        <v>233</v>
      </c>
    </row>
    <row r="17" spans="1:5" x14ac:dyDescent="0.3">
      <c r="B17" s="18"/>
      <c r="C17" s="28"/>
      <c r="D17" s="28"/>
    </row>
    <row r="18" spans="1:5" x14ac:dyDescent="0.3">
      <c r="A18" s="4" t="s">
        <v>64</v>
      </c>
      <c r="B18" s="18" t="s">
        <v>37</v>
      </c>
      <c r="C18" s="64">
        <v>3</v>
      </c>
      <c r="D18" s="34"/>
    </row>
    <row r="19" spans="1:5" x14ac:dyDescent="0.3">
      <c r="B19" s="18" t="s">
        <v>38</v>
      </c>
      <c r="C19" s="77">
        <f>(24+32*C18)*C9</f>
        <v>1.0000000000000001E-5</v>
      </c>
      <c r="D19" s="34" t="s">
        <v>167</v>
      </c>
    </row>
    <row r="20" spans="1:5" x14ac:dyDescent="0.3">
      <c r="B20" s="18" t="s">
        <v>31</v>
      </c>
      <c r="C20" s="20">
        <v>2</v>
      </c>
    </row>
    <row r="21" spans="1:5" x14ac:dyDescent="0.3">
      <c r="B21" s="18" t="s">
        <v>230</v>
      </c>
      <c r="C21" s="21">
        <f>C9*(16+8*C20)</f>
        <v>2.6666666666666668E-6</v>
      </c>
      <c r="E21" t="s">
        <v>231</v>
      </c>
    </row>
    <row r="22" spans="1:5" ht="28.8" x14ac:dyDescent="0.3">
      <c r="A22" s="29" t="s">
        <v>184</v>
      </c>
      <c r="B22" s="91" t="s">
        <v>65</v>
      </c>
      <c r="C22" s="92">
        <f>1/((2+4*C23)*C19)/1000</f>
        <v>28.571428571428569</v>
      </c>
      <c r="D22" s="28"/>
      <c r="E22" t="s">
        <v>66</v>
      </c>
    </row>
    <row r="23" spans="1:5" ht="28.8" x14ac:dyDescent="0.3">
      <c r="A23" s="29" t="s">
        <v>164</v>
      </c>
      <c r="B23" s="37" t="s">
        <v>166</v>
      </c>
      <c r="C23" s="96">
        <f>MIN(MAX(0.2,2*(C16*C15)/$C11),0.9)</f>
        <v>0.375</v>
      </c>
      <c r="D23" s="28"/>
      <c r="E23" t="s">
        <v>67</v>
      </c>
    </row>
    <row r="24" spans="1:5" x14ac:dyDescent="0.3">
      <c r="B24" s="18"/>
      <c r="C24" s="28"/>
    </row>
    <row r="25" spans="1:5" x14ac:dyDescent="0.3">
      <c r="B25" s="18"/>
      <c r="C25" s="40" t="s">
        <v>127</v>
      </c>
      <c r="D25" s="38"/>
      <c r="E25" s="38"/>
    </row>
    <row r="26" spans="1:5" x14ac:dyDescent="0.3">
      <c r="A26" s="4" t="s">
        <v>123</v>
      </c>
      <c r="B26" s="18"/>
      <c r="C26" s="4"/>
      <c r="D26" s="4"/>
      <c r="E26" s="4"/>
    </row>
    <row r="27" spans="1:5" x14ac:dyDescent="0.3">
      <c r="A27" t="s">
        <v>68</v>
      </c>
      <c r="B27" s="18" t="s">
        <v>69</v>
      </c>
      <c r="C27">
        <v>0.17</v>
      </c>
      <c r="E27" s="30"/>
    </row>
    <row r="28" spans="1:5" x14ac:dyDescent="0.3">
      <c r="A28" s="24" t="s">
        <v>70</v>
      </c>
      <c r="B28" s="18" t="s">
        <v>71</v>
      </c>
      <c r="C28">
        <v>0.17</v>
      </c>
      <c r="E28" s="30"/>
    </row>
    <row r="29" spans="1:5" x14ac:dyDescent="0.3">
      <c r="B29" s="18"/>
      <c r="E29" s="30"/>
    </row>
    <row r="30" spans="1:5" x14ac:dyDescent="0.3">
      <c r="A30" t="s">
        <v>155</v>
      </c>
      <c r="B30" s="18" t="s">
        <v>124</v>
      </c>
      <c r="C30" s="89">
        <v>70</v>
      </c>
      <c r="D30" s="31"/>
      <c r="E30" t="s">
        <v>232</v>
      </c>
    </row>
    <row r="31" spans="1:5" x14ac:dyDescent="0.3">
      <c r="B31" s="18" t="s">
        <v>72</v>
      </c>
      <c r="C31" s="22">
        <f>C27*(1+(0.55*(C30-25)/100))</f>
        <v>0.21207500000000001</v>
      </c>
      <c r="D31" s="3"/>
      <c r="E31" s="22"/>
    </row>
    <row r="32" spans="1:5" x14ac:dyDescent="0.3">
      <c r="B32" s="18" t="s">
        <v>73</v>
      </c>
      <c r="C32" s="22">
        <f>C28*(1+(0.55*(C30-25)/100))</f>
        <v>0.21207500000000001</v>
      </c>
      <c r="D32" s="3"/>
      <c r="E32" s="22"/>
    </row>
    <row r="33" spans="1:7" x14ac:dyDescent="0.3">
      <c r="B33" s="15"/>
      <c r="C33" s="3"/>
      <c r="D33" s="3"/>
      <c r="E33" s="22"/>
    </row>
    <row r="34" spans="1:7" x14ac:dyDescent="0.3">
      <c r="A34" t="s">
        <v>74</v>
      </c>
      <c r="B34" s="18" t="s">
        <v>75</v>
      </c>
      <c r="C34" s="25">
        <v>30</v>
      </c>
      <c r="D34" s="25"/>
      <c r="E34" t="s">
        <v>76</v>
      </c>
    </row>
    <row r="35" spans="1:7" x14ac:dyDescent="0.3">
      <c r="B35" s="18" t="s">
        <v>77</v>
      </c>
      <c r="C35" s="25">
        <v>40</v>
      </c>
      <c r="D35" s="25"/>
      <c r="E35" s="31"/>
    </row>
    <row r="36" spans="1:7" x14ac:dyDescent="0.3">
      <c r="B36" s="18" t="s">
        <v>78</v>
      </c>
      <c r="C36" s="25">
        <v>60</v>
      </c>
      <c r="D36" s="25"/>
      <c r="E36" s="25"/>
    </row>
    <row r="37" spans="1:7" x14ac:dyDescent="0.3">
      <c r="B37" s="18" t="s">
        <v>79</v>
      </c>
      <c r="C37" s="25">
        <v>60</v>
      </c>
      <c r="D37" s="25"/>
      <c r="E37" s="25"/>
    </row>
    <row r="38" spans="1:7" x14ac:dyDescent="0.3">
      <c r="B38" s="18"/>
      <c r="C38" s="25"/>
      <c r="D38" s="25"/>
      <c r="E38" s="25"/>
    </row>
    <row r="39" spans="1:7" x14ac:dyDescent="0.3">
      <c r="A39" s="47" t="s">
        <v>80</v>
      </c>
      <c r="B39" s="18" t="s">
        <v>81</v>
      </c>
      <c r="C39" s="3">
        <f>C31*($C$15^2)*$C$23</f>
        <v>7.9528125000000005E-2</v>
      </c>
      <c r="D39" s="3"/>
      <c r="E39" s="3"/>
    </row>
    <row r="40" spans="1:7" x14ac:dyDescent="0.3">
      <c r="A40" s="13" t="s">
        <v>82</v>
      </c>
      <c r="B40" s="18" t="s">
        <v>83</v>
      </c>
      <c r="C40" s="22">
        <f>$C$22*1000*((C36+C35)/1000000000)*$C$11*$C$15*2/2</f>
        <v>6.8571428571428561E-2</v>
      </c>
      <c r="D40" s="22"/>
      <c r="E40" s="22"/>
    </row>
    <row r="41" spans="1:7" x14ac:dyDescent="0.3">
      <c r="A41" s="34" t="s">
        <v>84</v>
      </c>
      <c r="B41" s="15" t="s">
        <v>85</v>
      </c>
      <c r="C41" s="8">
        <f>C39+C40</f>
        <v>0.14809955357142857</v>
      </c>
      <c r="D41" s="39"/>
      <c r="E41" s="39"/>
      <c r="G41" s="32"/>
    </row>
    <row r="42" spans="1:7" x14ac:dyDescent="0.3">
      <c r="B42" s="18" t="s">
        <v>86</v>
      </c>
      <c r="C42" s="3">
        <f>(1-$C$23)*($C$15^2)*C32</f>
        <v>0.13254687500000001</v>
      </c>
      <c r="D42" s="3"/>
      <c r="E42" s="3"/>
    </row>
    <row r="43" spans="1:7" x14ac:dyDescent="0.3">
      <c r="B43" s="18" t="s">
        <v>87</v>
      </c>
      <c r="C43" s="22">
        <f>C22*1000*((C37+C34)/1000000000)*$C$11*C15*2/2</f>
        <v>6.1714285714285708E-2</v>
      </c>
      <c r="D43" s="22"/>
      <c r="E43" s="22"/>
    </row>
    <row r="44" spans="1:7" x14ac:dyDescent="0.3">
      <c r="A44" s="34" t="s">
        <v>84</v>
      </c>
      <c r="B44" s="15" t="s">
        <v>88</v>
      </c>
      <c r="C44" s="8">
        <f>C42+C43</f>
        <v>0.19426116071428573</v>
      </c>
      <c r="D44" s="39"/>
      <c r="E44" s="39"/>
      <c r="G44" s="32"/>
    </row>
    <row r="45" spans="1:7" x14ac:dyDescent="0.3">
      <c r="A45" s="13"/>
      <c r="B45" s="15"/>
      <c r="C45" s="39"/>
      <c r="D45" s="39"/>
      <c r="E45" s="39"/>
    </row>
    <row r="46" spans="1:7" x14ac:dyDescent="0.3">
      <c r="A46" t="s">
        <v>89</v>
      </c>
      <c r="B46" s="15" t="s">
        <v>90</v>
      </c>
      <c r="C46" s="39">
        <f>2*C42+C43+2*C39+C40</f>
        <v>0.55443571428571436</v>
      </c>
      <c r="D46" s="39"/>
      <c r="E46" s="39"/>
    </row>
    <row r="47" spans="1:7" x14ac:dyDescent="0.3">
      <c r="A47" s="38" t="s">
        <v>105</v>
      </c>
      <c r="B47" s="15" t="s">
        <v>91</v>
      </c>
      <c r="C47" s="39">
        <f>2*C46</f>
        <v>1.1088714285714287</v>
      </c>
      <c r="D47" s="39"/>
      <c r="E47" s="39"/>
      <c r="G47" s="32"/>
    </row>
    <row r="48" spans="1:7" x14ac:dyDescent="0.3">
      <c r="A48" s="38" t="s">
        <v>106</v>
      </c>
      <c r="B48" s="18" t="s">
        <v>176</v>
      </c>
      <c r="C48" s="39">
        <f>C11*(0.0025+0.0005+C8*0.0003)</f>
        <v>0.15839999999999999</v>
      </c>
      <c r="D48" s="39"/>
      <c r="E48" s="39"/>
      <c r="G48" s="32"/>
    </row>
    <row r="49" spans="1:7" x14ac:dyDescent="0.3">
      <c r="A49" s="38"/>
      <c r="B49" s="14"/>
      <c r="C49" s="8"/>
      <c r="D49" s="8"/>
      <c r="E49" s="8"/>
      <c r="G49" s="32"/>
    </row>
    <row r="50" spans="1:7" x14ac:dyDescent="0.3">
      <c r="A50" s="38" t="s">
        <v>108</v>
      </c>
      <c r="B50" s="14" t="s">
        <v>107</v>
      </c>
      <c r="C50" s="40">
        <f>C47+C48</f>
        <v>1.2672714285714286</v>
      </c>
      <c r="E50" s="48"/>
    </row>
    <row r="51" spans="1:7" x14ac:dyDescent="0.3">
      <c r="A51" s="38"/>
      <c r="B51" s="14"/>
      <c r="C51" s="8"/>
      <c r="E51" s="8"/>
    </row>
    <row r="53" spans="1:7" x14ac:dyDescent="0.3">
      <c r="A53" s="38" t="s">
        <v>111</v>
      </c>
      <c r="B53" s="18" t="s">
        <v>92</v>
      </c>
      <c r="C53" s="90">
        <v>0.1</v>
      </c>
      <c r="D53" s="49"/>
      <c r="E53" t="s">
        <v>157</v>
      </c>
    </row>
    <row r="54" spans="1:7" x14ac:dyDescent="0.3">
      <c r="B54" s="93" t="s">
        <v>159</v>
      </c>
      <c r="C54" s="94">
        <f>C$53*C$15^2*C$23</f>
        <v>3.7500000000000006E-2</v>
      </c>
      <c r="D54" s="48"/>
      <c r="E54" s="9" t="s">
        <v>158</v>
      </c>
      <c r="G54" s="32"/>
    </row>
    <row r="55" spans="1:7" x14ac:dyDescent="0.3">
      <c r="B55" s="93" t="s">
        <v>160</v>
      </c>
      <c r="C55" s="94">
        <f>C$53*C$15^2*0.7</f>
        <v>6.9999999999999993E-2</v>
      </c>
      <c r="E55" s="9" t="s">
        <v>161</v>
      </c>
    </row>
    <row r="58" spans="1:7" x14ac:dyDescent="0.3">
      <c r="A58" s="12"/>
    </row>
    <row r="59" spans="1:7" x14ac:dyDescent="0.3">
      <c r="A59" s="12"/>
    </row>
    <row r="60" spans="1:7" x14ac:dyDescent="0.3">
      <c r="A60" s="12"/>
    </row>
    <row r="61" spans="1:7" x14ac:dyDescent="0.3">
      <c r="A61" s="12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3"/>
    </row>
    <row r="66" spans="1:2" x14ac:dyDescent="0.3">
      <c r="A66" s="12"/>
      <c r="B66" s="3"/>
    </row>
    <row r="67" spans="1:2" x14ac:dyDescent="0.3">
      <c r="A67" s="12"/>
      <c r="B67" s="3"/>
    </row>
    <row r="68" spans="1:2" x14ac:dyDescent="0.3">
      <c r="A68" s="12"/>
      <c r="B68" s="3"/>
    </row>
    <row r="69" spans="1:2" x14ac:dyDescent="0.3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137</v>
      </c>
      <c r="B1">
        <v>325</v>
      </c>
      <c r="C1" t="s">
        <v>139</v>
      </c>
    </row>
    <row r="2" spans="1:6" x14ac:dyDescent="0.3">
      <c r="A2" t="s">
        <v>138</v>
      </c>
      <c r="B2">
        <v>180</v>
      </c>
      <c r="C2" t="s">
        <v>139</v>
      </c>
    </row>
    <row r="4" spans="1:6" x14ac:dyDescent="0.3">
      <c r="A4" t="s">
        <v>141</v>
      </c>
    </row>
    <row r="5" spans="1:6" s="4" customFormat="1" x14ac:dyDescent="0.3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3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3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3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3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3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3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3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3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3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3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3">
      <c r="A16">
        <v>0.12</v>
      </c>
      <c r="B16" s="56">
        <f t="shared" si="0"/>
        <v>2.3214285714285716</v>
      </c>
      <c r="C16" s="56">
        <f t="shared" si="1"/>
        <v>1.6414978848973425</v>
      </c>
      <c r="D16" s="3">
        <f t="shared" si="2"/>
        <v>0.32334183673469391</v>
      </c>
    </row>
    <row r="17" spans="1:6" x14ac:dyDescent="0.3">
      <c r="A17">
        <v>0.1</v>
      </c>
      <c r="B17" s="56">
        <f t="shared" si="0"/>
        <v>2.708333333333333</v>
      </c>
      <c r="C17" s="56">
        <f t="shared" si="1"/>
        <v>1.9150808657135658</v>
      </c>
      <c r="D17" s="3">
        <f t="shared" si="2"/>
        <v>0.3667534722222221</v>
      </c>
    </row>
    <row r="18" spans="1:6" x14ac:dyDescent="0.3">
      <c r="A18">
        <v>7.4999999999999997E-2</v>
      </c>
      <c r="B18" s="55">
        <f t="shared" ref="B18" si="3">$B$1/(A18+0.02)/1000</f>
        <v>3.4210526315789473</v>
      </c>
      <c r="C18" s="55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3">
      <c r="D19" s="3"/>
    </row>
    <row r="20" spans="1:6" x14ac:dyDescent="0.3">
      <c r="D20" s="3"/>
    </row>
    <row r="21" spans="1:6" x14ac:dyDescent="0.3">
      <c r="A21" t="s">
        <v>144</v>
      </c>
      <c r="D21" s="3"/>
    </row>
    <row r="22" spans="1:6" x14ac:dyDescent="0.3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3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3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3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3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3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3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3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3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3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3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3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3">
      <c r="A34">
        <v>0.1</v>
      </c>
      <c r="B34" s="56">
        <f t="shared" si="6"/>
        <v>1.4999999999999998</v>
      </c>
      <c r="C34" s="56">
        <f t="shared" si="7"/>
        <v>1.060660171779821</v>
      </c>
      <c r="D34" s="3">
        <f t="shared" si="8"/>
        <v>0.11249999999999993</v>
      </c>
    </row>
    <row r="35" spans="1:6" x14ac:dyDescent="0.3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3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3">
      <c r="A37">
        <v>6.8000000000000005E-2</v>
      </c>
      <c r="B37" s="56">
        <f t="shared" si="6"/>
        <v>2.0454545454545454</v>
      </c>
      <c r="C37" s="56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3">
      <c r="A38">
        <v>4.7E-2</v>
      </c>
      <c r="B38" s="55">
        <f t="shared" ref="B38" si="9">$B$2/(A38+0.02)/1000</f>
        <v>2.6865671641791042</v>
      </c>
      <c r="C38" s="55">
        <f t="shared" ref="C38" si="10">B38/SQRT(2)</f>
        <v>1.8996898599041572</v>
      </c>
      <c r="D38" s="3">
        <f t="shared" ref="D38" si="11">A38*C38*C38</f>
        <v>0.16961461349966581</v>
      </c>
      <c r="F38" s="32" t="s">
        <v>187</v>
      </c>
    </row>
    <row r="39" spans="1:6" x14ac:dyDescent="0.3">
      <c r="A39">
        <v>3.3000000000000002E-2</v>
      </c>
      <c r="B39" s="55">
        <f t="shared" ref="B39" si="12">$B$2/(A39+0.02)/1000</f>
        <v>3.3962264150943393</v>
      </c>
      <c r="C39" s="55">
        <f t="shared" ref="C39" si="13">B39/SQRT(2)</f>
        <v>2.4014947285580854</v>
      </c>
      <c r="D39" s="3">
        <f t="shared" ref="D39" si="14">A39*C39*C39</f>
        <v>0.19031683873264502</v>
      </c>
      <c r="F39" s="32" t="s">
        <v>187</v>
      </c>
    </row>
    <row r="40" spans="1:6" x14ac:dyDescent="0.3">
      <c r="D40" s="3"/>
    </row>
    <row r="41" spans="1:6" x14ac:dyDescent="0.3">
      <c r="D41" s="3"/>
    </row>
    <row r="42" spans="1:6" x14ac:dyDescent="0.3">
      <c r="C42" s="24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B23" sqref="B23"/>
    </sheetView>
  </sheetViews>
  <sheetFormatPr baseColWidth="10" defaultRowHeight="14.4" x14ac:dyDescent="0.3"/>
  <cols>
    <col min="1" max="1" width="14.109375" customWidth="1"/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136</v>
      </c>
    </row>
    <row r="2" spans="1:6" s="6" customFormat="1" ht="18" x14ac:dyDescent="0.35">
      <c r="A2" s="5" t="s">
        <v>241</v>
      </c>
    </row>
    <row r="4" spans="1:6" x14ac:dyDescent="0.3">
      <c r="A4" s="51" t="s">
        <v>133</v>
      </c>
      <c r="B4" s="53" t="s">
        <v>129</v>
      </c>
      <c r="C4" s="50" t="s">
        <v>134</v>
      </c>
      <c r="D4" s="50" t="s">
        <v>182</v>
      </c>
      <c r="E4" s="50" t="s">
        <v>135</v>
      </c>
      <c r="F4" s="50" t="s">
        <v>183</v>
      </c>
    </row>
    <row r="5" spans="1:6" x14ac:dyDescent="0.3">
      <c r="A5" s="52">
        <v>6.2</v>
      </c>
      <c r="B5" s="54">
        <f>5/(0.4+A5)/1000+2.5/67000</f>
        <v>7.9488919041157844E-4</v>
      </c>
      <c r="C5" s="99">
        <f>B5*$B$20</f>
        <v>2.6231343283582089</v>
      </c>
      <c r="D5" s="100">
        <f>C5/SQRT(2)</f>
        <v>1.8548360715453092</v>
      </c>
      <c r="E5" s="97">
        <f>0.55*C5</f>
        <v>1.4427238805970151</v>
      </c>
      <c r="F5" s="3">
        <f>E5/SQRT(2)</f>
        <v>1.0201598393499203</v>
      </c>
    </row>
    <row r="6" spans="1:6" x14ac:dyDescent="0.3">
      <c r="A6" s="52">
        <v>6.8</v>
      </c>
      <c r="B6" s="54">
        <f>5/(0.4+A6)/1000+2.5/67000</f>
        <v>7.3175787728026534E-4</v>
      </c>
      <c r="C6" s="111">
        <f t="shared" ref="C6:C18" si="0">B6*$B$20</f>
        <v>2.4148009950248754</v>
      </c>
      <c r="D6" s="98">
        <f t="shared" ref="D6:D18" si="1">C6/SQRT(2)</f>
        <v>1.7075221587981118</v>
      </c>
      <c r="E6" s="98">
        <f>0.55*C6</f>
        <v>1.3281405472636816</v>
      </c>
      <c r="F6" s="3">
        <f t="shared" ref="F6:F18" si="2">E6/SQRT(2)</f>
        <v>0.93913718733896145</v>
      </c>
    </row>
    <row r="7" spans="1:6" x14ac:dyDescent="0.3">
      <c r="A7" s="52">
        <v>7.5</v>
      </c>
      <c r="B7" s="54">
        <f t="shared" ref="B7:B18" si="3">5/(0.4+A7)/1000+2.5/67000</f>
        <v>6.7022482524088406E-4</v>
      </c>
      <c r="C7" s="110">
        <f t="shared" si="0"/>
        <v>2.2117419232949174</v>
      </c>
      <c r="D7" s="98">
        <f t="shared" si="1"/>
        <v>1.5639377121964129</v>
      </c>
      <c r="E7" s="98">
        <f t="shared" ref="E7:E18" si="4">0.55*C7</f>
        <v>1.2164580578122046</v>
      </c>
      <c r="F7" s="3">
        <f t="shared" si="2"/>
        <v>0.86016574170802707</v>
      </c>
    </row>
    <row r="8" spans="1:6" x14ac:dyDescent="0.3">
      <c r="A8" s="52">
        <v>8.1999999999999993</v>
      </c>
      <c r="B8" s="54">
        <f t="shared" si="3"/>
        <v>6.1870878167303016E-4</v>
      </c>
      <c r="C8" s="110">
        <f t="shared" si="0"/>
        <v>2.0417389795209995</v>
      </c>
      <c r="D8" s="98">
        <f t="shared" si="1"/>
        <v>1.4437274778322</v>
      </c>
      <c r="E8" s="98">
        <f t="shared" si="4"/>
        <v>1.1229564387365498</v>
      </c>
      <c r="F8" s="3">
        <f t="shared" si="2"/>
        <v>0.7940501128077101</v>
      </c>
    </row>
    <row r="9" spans="1:6" x14ac:dyDescent="0.3">
      <c r="A9" s="52">
        <v>9.1</v>
      </c>
      <c r="B9" s="54">
        <f t="shared" si="3"/>
        <v>5.6362922230950507E-4</v>
      </c>
      <c r="C9" s="110">
        <f t="shared" si="0"/>
        <v>1.8599764336213667</v>
      </c>
      <c r="D9" s="98">
        <f t="shared" si="1"/>
        <v>1.3152019490608386</v>
      </c>
      <c r="E9" s="98">
        <f t="shared" si="4"/>
        <v>1.0229870384917517</v>
      </c>
      <c r="F9" s="3">
        <f t="shared" si="2"/>
        <v>0.72336107198346122</v>
      </c>
    </row>
    <row r="10" spans="1:6" x14ac:dyDescent="0.3">
      <c r="A10" s="52">
        <v>10</v>
      </c>
      <c r="B10" s="54">
        <f t="shared" si="3"/>
        <v>5.1808266360505166E-4</v>
      </c>
      <c r="C10" s="110">
        <f t="shared" si="0"/>
        <v>1.7096727898966706</v>
      </c>
      <c r="D10" s="98">
        <f t="shared" si="1"/>
        <v>1.2089212233460591</v>
      </c>
      <c r="E10" s="98">
        <f t="shared" si="4"/>
        <v>0.94032003444316892</v>
      </c>
      <c r="F10" s="3">
        <f t="shared" si="2"/>
        <v>0.66490667284033267</v>
      </c>
    </row>
    <row r="11" spans="1:6" x14ac:dyDescent="0.3">
      <c r="A11" s="52">
        <v>12</v>
      </c>
      <c r="B11" s="54">
        <f t="shared" si="3"/>
        <v>4.4053923928743383E-4</v>
      </c>
      <c r="C11" s="110">
        <f t="shared" si="0"/>
        <v>1.4537794896485317</v>
      </c>
      <c r="D11" s="98">
        <f t="shared" si="1"/>
        <v>1.0279773354803949</v>
      </c>
      <c r="E11" s="98">
        <f t="shared" si="4"/>
        <v>0.79957871930669244</v>
      </c>
      <c r="F11" s="3">
        <f t="shared" si="2"/>
        <v>0.56538753451421719</v>
      </c>
    </row>
    <row r="12" spans="1:6" x14ac:dyDescent="0.3">
      <c r="A12" s="52">
        <v>15</v>
      </c>
      <c r="B12" s="54">
        <f t="shared" si="3"/>
        <v>3.6198875751114554E-4</v>
      </c>
      <c r="C12" s="110">
        <f t="shared" si="0"/>
        <v>1.1945628997867803</v>
      </c>
      <c r="D12" s="98">
        <f t="shared" si="1"/>
        <v>0.84468352699309857</v>
      </c>
      <c r="E12" s="98">
        <f t="shared" si="4"/>
        <v>0.65700959488272925</v>
      </c>
      <c r="F12" s="3">
        <f t="shared" si="2"/>
        <v>0.46457593984620421</v>
      </c>
    </row>
    <row r="13" spans="1:6" x14ac:dyDescent="0.3">
      <c r="A13" s="52">
        <v>18</v>
      </c>
      <c r="B13" s="54">
        <f t="shared" si="3"/>
        <v>3.0905256327060353E-4</v>
      </c>
      <c r="C13" s="110">
        <f t="shared" si="0"/>
        <v>1.0198734587929916</v>
      </c>
      <c r="D13" s="98">
        <f t="shared" si="1"/>
        <v>0.72115943866470322</v>
      </c>
      <c r="E13" s="98">
        <f t="shared" si="4"/>
        <v>0.56093040233614544</v>
      </c>
      <c r="F13" s="3">
        <f t="shared" si="2"/>
        <v>0.39663769126558684</v>
      </c>
    </row>
    <row r="14" spans="1:6" x14ac:dyDescent="0.3">
      <c r="A14" s="52">
        <v>22</v>
      </c>
      <c r="B14" s="54">
        <f t="shared" si="3"/>
        <v>2.6052771855010666E-4</v>
      </c>
      <c r="C14" s="110">
        <f t="shared" si="0"/>
        <v>0.85974147121535194</v>
      </c>
      <c r="D14" s="98">
        <f t="shared" si="1"/>
        <v>0.60792902436367424</v>
      </c>
      <c r="E14" s="98">
        <f t="shared" si="4"/>
        <v>0.47285780916844361</v>
      </c>
      <c r="F14" s="3">
        <f t="shared" si="2"/>
        <v>0.33436096340002086</v>
      </c>
    </row>
    <row r="15" spans="1:6" x14ac:dyDescent="0.3">
      <c r="A15" s="52">
        <v>24</v>
      </c>
      <c r="B15" s="54">
        <f t="shared" si="3"/>
        <v>2.4223146562270614E-4</v>
      </c>
      <c r="C15" s="110">
        <f t="shared" si="0"/>
        <v>0.79936383655493026</v>
      </c>
      <c r="D15" s="98">
        <f t="shared" si="1"/>
        <v>0.56523558946328623</v>
      </c>
      <c r="E15" s="98">
        <f t="shared" si="4"/>
        <v>0.43965011010521166</v>
      </c>
      <c r="F15" s="3">
        <f t="shared" si="2"/>
        <v>0.31087957420480739</v>
      </c>
    </row>
    <row r="16" spans="1:6" x14ac:dyDescent="0.3">
      <c r="A16" s="52">
        <v>27</v>
      </c>
      <c r="B16" s="54">
        <f t="shared" si="3"/>
        <v>2.197951846606384E-4</v>
      </c>
      <c r="C16" s="110">
        <f t="shared" si="0"/>
        <v>0.72532410938010672</v>
      </c>
      <c r="D16" s="98">
        <f t="shared" si="1"/>
        <v>0.51288159630076657</v>
      </c>
      <c r="E16" s="98">
        <f t="shared" si="4"/>
        <v>0.39892826015905875</v>
      </c>
      <c r="F16" s="3">
        <f t="shared" si="2"/>
        <v>0.28208487796542164</v>
      </c>
    </row>
    <row r="17" spans="1:6" x14ac:dyDescent="0.3">
      <c r="A17" s="52">
        <v>33</v>
      </c>
      <c r="B17" s="54">
        <f t="shared" si="3"/>
        <v>1.8701403163821613E-4</v>
      </c>
      <c r="C17" s="110">
        <f t="shared" si="0"/>
        <v>0.61714630440611318</v>
      </c>
      <c r="D17" s="98">
        <f t="shared" si="1"/>
        <v>0.4363883368297799</v>
      </c>
      <c r="E17" s="98">
        <f t="shared" si="4"/>
        <v>0.33943046742336225</v>
      </c>
      <c r="F17" s="3">
        <f t="shared" si="2"/>
        <v>0.24001358525637895</v>
      </c>
    </row>
    <row r="18" spans="1:6" x14ac:dyDescent="0.3">
      <c r="A18" s="52">
        <v>39</v>
      </c>
      <c r="B18" s="54">
        <f t="shared" si="3"/>
        <v>1.6421698613531326E-4</v>
      </c>
      <c r="C18" s="110">
        <f t="shared" si="0"/>
        <v>0.54191605424653377</v>
      </c>
      <c r="D18" s="98">
        <f t="shared" si="1"/>
        <v>0.38319251679158095</v>
      </c>
      <c r="E18" s="98">
        <f t="shared" si="4"/>
        <v>0.29805382983559359</v>
      </c>
      <c r="F18" s="3">
        <f t="shared" si="2"/>
        <v>0.21075588423536953</v>
      </c>
    </row>
    <row r="20" spans="1:6" x14ac:dyDescent="0.3">
      <c r="A20" t="s">
        <v>237</v>
      </c>
      <c r="B20">
        <v>3300</v>
      </c>
      <c r="C20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4.4" x14ac:dyDescent="0.3"/>
  <cols>
    <col min="1" max="1" width="37.109375" customWidth="1"/>
    <col min="4" max="4" width="15.44140625" customWidth="1"/>
  </cols>
  <sheetData>
    <row r="1" spans="1:15" ht="21" x14ac:dyDescent="0.4">
      <c r="A1" s="101" t="s">
        <v>195</v>
      </c>
    </row>
    <row r="2" spans="1:15" ht="15.6" x14ac:dyDescent="0.3">
      <c r="A2" s="108" t="s">
        <v>229</v>
      </c>
    </row>
    <row r="3" spans="1:15" ht="21" x14ac:dyDescent="0.4">
      <c r="A3" s="101"/>
    </row>
    <row r="4" spans="1:15" ht="18" x14ac:dyDescent="0.35">
      <c r="A4" s="6" t="s">
        <v>196</v>
      </c>
      <c r="B4" t="s">
        <v>197</v>
      </c>
      <c r="C4" t="s">
        <v>198</v>
      </c>
      <c r="D4" t="s">
        <v>228</v>
      </c>
      <c r="E4" t="s">
        <v>223</v>
      </c>
      <c r="F4" t="s">
        <v>224</v>
      </c>
      <c r="G4" t="s">
        <v>225</v>
      </c>
      <c r="H4" t="s">
        <v>226</v>
      </c>
      <c r="I4" t="s">
        <v>227</v>
      </c>
    </row>
    <row r="5" spans="1:15" x14ac:dyDescent="0.3">
      <c r="A5" t="s">
        <v>199</v>
      </c>
      <c r="B5" s="102">
        <v>5</v>
      </c>
      <c r="C5" s="102">
        <v>0</v>
      </c>
      <c r="D5" s="103">
        <v>10</v>
      </c>
      <c r="E5" s="102" t="s">
        <v>200</v>
      </c>
      <c r="F5" s="102" t="s">
        <v>201</v>
      </c>
      <c r="G5" s="102" t="s">
        <v>202</v>
      </c>
      <c r="H5" s="102" t="s">
        <v>203</v>
      </c>
      <c r="I5" s="104" t="str">
        <f>DEC2HEX(O17,2)</f>
        <v>34</v>
      </c>
    </row>
    <row r="6" spans="1:15" x14ac:dyDescent="0.3">
      <c r="A6" t="s">
        <v>204</v>
      </c>
      <c r="B6" s="105">
        <f>B5</f>
        <v>5</v>
      </c>
      <c r="C6" s="105">
        <f>C5</f>
        <v>0</v>
      </c>
      <c r="D6" s="105">
        <f>_xlfn.BITOR(HEX2DEC(D5), HEX2DEC(80))</f>
        <v>144</v>
      </c>
      <c r="E6" s="105">
        <f>HEX2DEC(E5)</f>
        <v>0</v>
      </c>
      <c r="F6" s="105">
        <f t="shared" ref="F6:H6" si="0">HEX2DEC(F5)</f>
        <v>1</v>
      </c>
      <c r="G6" s="105">
        <f t="shared" si="0"/>
        <v>20</v>
      </c>
      <c r="H6" s="105">
        <f t="shared" si="0"/>
        <v>5</v>
      </c>
    </row>
    <row r="8" spans="1:15" x14ac:dyDescent="0.3">
      <c r="B8" t="s">
        <v>205</v>
      </c>
      <c r="C8" t="s">
        <v>206</v>
      </c>
    </row>
    <row r="9" spans="1:15" x14ac:dyDescent="0.3">
      <c r="B9" s="106">
        <f>B6</f>
        <v>5</v>
      </c>
      <c r="C9">
        <v>0</v>
      </c>
      <c r="D9" s="106">
        <f>C6</f>
        <v>0</v>
      </c>
      <c r="E9">
        <f>C17</f>
        <v>105</v>
      </c>
      <c r="F9" s="106">
        <f>D6</f>
        <v>144</v>
      </c>
      <c r="G9">
        <f>E17</f>
        <v>24</v>
      </c>
      <c r="H9" s="107">
        <f>E6</f>
        <v>0</v>
      </c>
      <c r="I9">
        <f>G17</f>
        <v>119</v>
      </c>
      <c r="J9" s="107">
        <f>F6</f>
        <v>1</v>
      </c>
      <c r="K9">
        <f>I17</f>
        <v>66</v>
      </c>
      <c r="L9" s="107">
        <f>G6</f>
        <v>20</v>
      </c>
      <c r="M9">
        <f>K17</f>
        <v>64</v>
      </c>
      <c r="N9" s="107">
        <f>H6</f>
        <v>5</v>
      </c>
      <c r="O9">
        <f>M17</f>
        <v>31</v>
      </c>
    </row>
    <row r="10" spans="1:15" x14ac:dyDescent="0.3">
      <c r="A10" t="s">
        <v>207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3">
      <c r="A11" t="s">
        <v>208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3">
      <c r="A12" t="s">
        <v>209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3">
      <c r="A13" t="s">
        <v>210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3">
      <c r="A14" t="s">
        <v>211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3">
      <c r="A15" t="s">
        <v>212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3">
      <c r="A16" t="s">
        <v>213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3">
      <c r="A17" t="s">
        <v>214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8" x14ac:dyDescent="0.35">
      <c r="A20" s="6" t="s">
        <v>215</v>
      </c>
      <c r="B20" t="s">
        <v>197</v>
      </c>
      <c r="C20" t="s">
        <v>198</v>
      </c>
      <c r="D20" t="s">
        <v>216</v>
      </c>
      <c r="E20" t="s">
        <v>227</v>
      </c>
    </row>
    <row r="21" spans="1:15" x14ac:dyDescent="0.3">
      <c r="A21" t="s">
        <v>217</v>
      </c>
      <c r="B21" s="102" t="s">
        <v>203</v>
      </c>
      <c r="C21" s="102" t="s">
        <v>218</v>
      </c>
      <c r="D21" s="102" t="s">
        <v>219</v>
      </c>
      <c r="E21" s="104" t="str">
        <f>DEC2HEX(G33,2)</f>
        <v>6F</v>
      </c>
    </row>
    <row r="22" spans="1:15" x14ac:dyDescent="0.3">
      <c r="A22" t="s">
        <v>220</v>
      </c>
      <c r="B22" s="105" t="str">
        <f>B21</f>
        <v>05</v>
      </c>
      <c r="C22" s="105" t="str">
        <f>C21</f>
        <v>0</v>
      </c>
      <c r="D22" s="105">
        <f>HEX2DEC(D21)</f>
        <v>6</v>
      </c>
    </row>
    <row r="24" spans="1:15" x14ac:dyDescent="0.3">
      <c r="B24" t="s">
        <v>205</v>
      </c>
      <c r="C24" t="s">
        <v>206</v>
      </c>
    </row>
    <row r="25" spans="1:15" x14ac:dyDescent="0.3">
      <c r="B25" s="106" t="str">
        <f>B22</f>
        <v>05</v>
      </c>
      <c r="C25">
        <v>0</v>
      </c>
      <c r="D25" s="106" t="str">
        <f>C22</f>
        <v>0</v>
      </c>
      <c r="E25">
        <f>C33</f>
        <v>105</v>
      </c>
      <c r="F25" s="106">
        <f>D22</f>
        <v>6</v>
      </c>
      <c r="G25">
        <f>E33</f>
        <v>24</v>
      </c>
      <c r="H25" s="25"/>
      <c r="J25" s="25"/>
      <c r="L25" s="25"/>
      <c r="N25" s="25"/>
    </row>
    <row r="26" spans="1:15" x14ac:dyDescent="0.3">
      <c r="A26" t="s">
        <v>207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3">
      <c r="A27" t="s">
        <v>208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3">
      <c r="A28" t="s">
        <v>209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3">
      <c r="A29" t="s">
        <v>210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3">
      <c r="A30" t="s">
        <v>211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3">
      <c r="A31" t="s">
        <v>212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3">
      <c r="A32" t="s">
        <v>213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3">
      <c r="A33" t="s">
        <v>214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B2" sqref="B2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24</v>
      </c>
      <c r="B1" s="12" t="s">
        <v>244</v>
      </c>
    </row>
    <row r="2" spans="1:3" x14ac:dyDescent="0.3">
      <c r="A2" s="11"/>
      <c r="B2" s="12"/>
    </row>
    <row r="3" spans="1:3" x14ac:dyDescent="0.3">
      <c r="C3" s="17" t="s">
        <v>27</v>
      </c>
    </row>
    <row r="4" spans="1:3" x14ac:dyDescent="0.3">
      <c r="B4" s="17"/>
    </row>
    <row r="5" spans="1:3" x14ac:dyDescent="0.3">
      <c r="A5" s="11" t="s">
        <v>25</v>
      </c>
      <c r="B5" t="s">
        <v>57</v>
      </c>
      <c r="C5" s="11" t="s">
        <v>26</v>
      </c>
    </row>
    <row r="6" spans="1:3" x14ac:dyDescent="0.3">
      <c r="A6" s="18" t="s">
        <v>185</v>
      </c>
      <c r="B6" t="s">
        <v>58</v>
      </c>
      <c r="C6" t="s">
        <v>186</v>
      </c>
    </row>
    <row r="7" spans="1:3" x14ac:dyDescent="0.3">
      <c r="A7" t="s">
        <v>221</v>
      </c>
      <c r="B7" t="s">
        <v>58</v>
      </c>
      <c r="C7" t="s">
        <v>222</v>
      </c>
    </row>
    <row r="8" spans="1:3" x14ac:dyDescent="0.3">
      <c r="A8" s="18" t="s">
        <v>235</v>
      </c>
      <c r="B8" t="s">
        <v>58</v>
      </c>
      <c r="C8" t="s">
        <v>236</v>
      </c>
    </row>
    <row r="9" spans="1:3" x14ac:dyDescent="0.3">
      <c r="A9" t="s">
        <v>239</v>
      </c>
      <c r="B9" t="s">
        <v>58</v>
      </c>
      <c r="C9" t="s">
        <v>240</v>
      </c>
    </row>
    <row r="10" spans="1:3" x14ac:dyDescent="0.3">
      <c r="A10" t="s">
        <v>242</v>
      </c>
      <c r="B10" t="s">
        <v>58</v>
      </c>
      <c r="C10" t="s">
        <v>243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2023-03-08T17:04:14Z</dcterms:modified>
</cp:coreProperties>
</file>