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777963FC-D9C4-4007-AEAE-923BBDCCCA78}" xr6:coauthVersionLast="46" xr6:coauthVersionMax="46" xr10:uidLastSave="{00000000-0000-0000-0000-000000000000}"/>
  <bookViews>
    <workbookView xWindow="-120" yWindow="-120" windowWidth="29040" windowHeight="15840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1" i="6"/>
  <c r="B30" i="6"/>
  <c r="B28" i="6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33" i="6" s="1"/>
  <c r="B38" i="6" s="1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8" i="7" l="1"/>
  <c r="B11" i="7" s="1"/>
  <c r="B23" i="7"/>
  <c r="B13" i="7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B4" i="4" a="1"/>
  <c r="G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<sst xmlns="http://schemas.openxmlformats.org/spreadsheetml/2006/main" count="1266" uniqueCount="565">
  <si>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</si>
  <si>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</si>
  <si>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</si>
  <si>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</si>
  <si>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</si>
  <si>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</si>
  <si>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</si>
  <si>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</si>
  <si>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</si>
  <si>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</si>
  <si>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</si>
  <si>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</si>
  <si>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</si>
  <si>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</si>
  <si>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</si>
  <si>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</si>
  <si>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</si>
  <si>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</si>
  <si>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</si>
  <si>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</si>
  <si>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</si>
  <si>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</si>
  <si>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</si>
  <si>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</si>
  <si>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</si>
  <si>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</si>
  <si>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mm</t>
  </si>
  <si>
    <t>D1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</si>
  <si>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</si>
  <si>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</si>
  <si>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</si>
  <si>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</si>
  <si>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</si>
  <si>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</si>
  <si>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</si>
  <si>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</si>
  <si>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</si>
  <si>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</si>
  <si>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</si>
  <si>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</si>
  <si>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</si>
  <si>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</si>
  <si>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</si>
  <si>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</si>
  <si>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</si>
  <si>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</si>
  <si>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</si>
  <si>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</si>
  <si>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</si>
  <si>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</si>
  <si>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</si>
  <si>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</si>
  <si>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</si>
  <si>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</si>
  <si>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</si>
  <si>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</si>
  <si>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</si>
  <si>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</si>
  <si>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</si>
  <si>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</si>
  <si>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</si>
  <si>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</si>
  <si>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</si>
  <si>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</si>
  <si>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</si>
  <si>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</si>
  <si>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</si>
  <si>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</si>
  <si>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</si>
  <si>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</si>
  <si>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</si>
  <si>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</si>
  <si>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</si>
  <si>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</si>
  <si>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</si>
  <si>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</si>
  <si>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</si>
  <si>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</si>
  <si>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</si>
  <si>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</si>
  <si>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</si>
  <si>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</si>
  <si>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</si>
  <si>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</si>
  <si>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</si>
  <si>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</si>
  <si>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</si>
  <si>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</si>
  <si>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</si>
  <si>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</si>
  <si>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</si>
  <si>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</si>
  <si>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</si>
  <si>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</si>
  <si>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</si>
  <si>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</si>
  <si>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</si>
  <si>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</si>
  <si>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</si>
  <si>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</si>
  <si>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</si>
  <si>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</si>
  <si>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</si>
  <si>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</si>
  <si>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</si>
  <si>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</si>
  <si>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</si>
  <si>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</si>
  <si>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</si>
  <si>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</si>
  <si>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</si>
  <si>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</si>
  <si>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</si>
  <si>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</si>
  <si>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</si>
  <si>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</si>
  <si>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</si>
  <si>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</si>
  <si>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</si>
  <si>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</si>
  <si>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</si>
  <si>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</si>
  <si>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</si>
  <si>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</si>
  <si>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</si>
  <si>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</si>
  <si>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</si>
  <si>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</si>
  <si>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</si>
  <si>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</si>
  <si>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</si>
  <si>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</si>
  <si>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</si>
  <si>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</si>
  <si>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</si>
  <si>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</si>
  <si>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</si>
  <si>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</si>
  <si>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</si>
  <si>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</si>
  <si>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</si>
  <si>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</si>
  <si>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</si>
  <si>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</si>
  <si>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</si>
  <si>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</si>
  <si>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</si>
  <si>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</si>
  <si>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</si>
  <si>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</si>
  <si>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</si>
  <si>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</si>
  <si>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</si>
  <si>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</si>
  <si>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</si>
  <si>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</si>
  <si>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</si>
  <si>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</si>
  <si>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</si>
  <si>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</si>
  <si>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</si>
  <si>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</si>
  <si>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</si>
  <si>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</si>
  <si>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</si>
  <si>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</si>
  <si>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</si>
  <si>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</si>
  <si>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</si>
  <si>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</si>
  <si>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</si>
  <si>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</si>
  <si>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</si>
  <si>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</si>
  <si>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</si>
  <si>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</si>
  <si>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</si>
  <si>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</si>
  <si>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</si>
  <si>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</si>
  <si>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</si>
  <si>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</si>
  <si>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</si>
  <si>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</si>
  <si>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</si>
  <si>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</si>
  <si>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</si>
  <si>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</si>
  <si>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</si>
  <si>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</si>
  <si>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</si>
  <si>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</si>
  <si>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</si>
  <si>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</si>
  <si>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</si>
  <si>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</si>
  <si>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</si>
  <si>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</si>
  <si>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</si>
  <si>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</si>
  <si>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</si>
  <si>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</si>
  <si>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</si>
  <si>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</si>
  <si>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</si>
  <si>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</si>
  <si>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</si>
  <si>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</si>
  <si>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</si>
  <si>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</si>
  <si>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</si>
  <si>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</si>
  <si>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</si>
  <si>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</si>
  <si>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</si>
  <si>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</si>
  <si>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</si>
  <si>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</si>
  <si>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</si>
  <si>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</si>
  <si>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</si>
  <si>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</si>
  <si>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</si>
  <si>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</si>
  <si>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</si>
  <si>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</si>
  <si>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</si>
  <si>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</si>
  <si>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</si>
  <si>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</si>
  <si>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</si>
  <si>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</si>
  <si>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</si>
  <si>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</si>
  <si>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</si>
  <si>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</si>
  <si>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</si>
  <si>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</si>
  <si>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</si>
  <si>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</si>
  <si>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</si>
  <si>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</si>
  <si>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</si>
  <si>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</si>
  <si>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</si>
  <si>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</si>
  <si>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</si>
  <si>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</si>
  <si>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</si>
  <si>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</si>
  <si>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</si>
  <si>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</si>
  <si>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</si>
  <si>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</si>
  <si>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</si>
  <si>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</si>
  <si>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</si>
  <si>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</si>
  <si>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</si>
  <si>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</si>
  <si>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</si>
  <si>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</si>
  <si>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</si>
  <si>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</si>
  <si>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</si>
  <si>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</si>
  <si>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</si>
  <si>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</si>
  <si>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</si>
  <si>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</si>
  <si>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</si>
  <si>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</si>
  <si>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</si>
  <si>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</si>
  <si>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</si>
  <si>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</si>
  <si>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</si>
  <si>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</si>
  <si>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</si>
  <si>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</si>
  <si>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</si>
  <si>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</si>
  <si>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</si>
  <si>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</si>
  <si>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</si>
  <si>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</si>
  <si>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</si>
  <si>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</si>
  <si>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</si>
  <si>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</si>
  <si>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</si>
  <si>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</si>
  <si>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</si>
  <si>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</si>
  <si>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</si>
  <si>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</si>
  <si>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</si>
  <si>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</si>
  <si>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</si>
  <si>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</si>
  <si>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</si>
  <si>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</si>
  <si>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</si>
  <si>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</si>
  <si>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</si>
  <si>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</si>
  <si>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</si>
  <si>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</si>
  <si>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</si>
  <si>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</si>
  <si>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</si>
  <si>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</si>
  <si>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</si>
  <si>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</si>
  <si>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</si>
  <si>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</si>
  <si>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</si>
  <si>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</si>
  <si>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</si>
  <si>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</si>
  <si>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</si>
  <si>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</si>
  <si>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</si>
  <si>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</si>
  <si>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</si>
  <si>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</si>
  <si>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</si>
  <si>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</si>
  <si>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</si>
  <si>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</si>
  <si>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</si>
  <si>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</si>
  <si>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</si>
  <si>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</si>
  <si>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</si>
  <si>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</si>
  <si>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</si>
  <si>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</si>
  <si>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</si>
  <si>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</si>
  <si>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</si>
  <si>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</si>
  <si>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</si>
  <si>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</si>
  <si>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</si>
  <si>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</si>
  <si>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</si>
  <si>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</si>
  <si>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</si>
  <si>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</si>
  <si>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</si>
  <si>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</si>
  <si>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</si>
  <si>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</si>
  <si>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</si>
  <si>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</si>
  <si>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</si>
  <si>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</si>
  <si>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</si>
  <si>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</si>
  <si>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</si>
  <si>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</si>
  <si>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</si>
  <si>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</si>
  <si>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</si>
  <si>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</si>
  <si>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</si>
  <si>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</si>
  <si>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</si>
  <si>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</si>
  <si>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</si>
  <si>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</si>
  <si>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</si>
  <si>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</si>
  <si>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</si>
  <si>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</si>
  <si>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</si>
  <si>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</si>
  <si>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</si>
  <si>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</si>
  <si>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</si>
  <si>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</si>
  <si>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</si>
  <si>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</si>
  <si>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</si>
  <si>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</si>
  <si>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</si>
  <si>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</si>
  <si>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</si>
  <si>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</si>
  <si>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</si>
  <si>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</si>
  <si>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</si>
  <si>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</si>
  <si>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</si>
  <si>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</si>
  <si>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</si>
  <si>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</si>
  <si>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</si>
  <si>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</si>
  <si>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</si>
  <si>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</si>
  <si>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</si>
  <si>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</si>
  <si>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</si>
  <si>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</si>
  <si>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</si>
  <si>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</si>
  <si>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</si>
  <si>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</si>
  <si>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</si>
  <si>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</si>
  <si>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</si>
  <si>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</si>
  <si>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</si>
  <si>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</si>
  <si>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</si>
  <si>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</si>
  <si>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</si>
  <si>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</si>
  <si>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</si>
  <si>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</si>
  <si>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</si>
  <si>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</si>
  <si>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</si>
  <si>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</si>
  <si>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</si>
  <si>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</si>
  <si>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</si>
  <si>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</si>
  <si>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</si>
  <si>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</si>
  <si>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</si>
  <si>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</si>
  <si>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</si>
  <si>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</si>
  <si>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</si>
  <si>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</si>
  <si>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</si>
  <si>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</si>
  <si>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</si>
  <si>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</si>
  <si>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</si>
  <si>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</si>
  <si>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</si>
  <si>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</si>
  <si>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</si>
  <si>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</si>
  <si>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</si>
  <si>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</si>
  <si>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</si>
  <si>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</si>
  <si>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</si>
  <si>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</si>
  <si>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</si>
  <si>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</si>
  <si>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</si>
  <si>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</si>
  <si>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</si>
  <si>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</si>
  <si>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</si>
  <si>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</si>
  <si>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</si>
  <si>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</si>
  <si>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</si>
  <si>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</si>
  <si>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Joint à levre (V&gt;5m/s)</t>
  </si>
  <si>
    <t>Joint thorique</t>
  </si>
  <si>
    <t>Etancheité Arbre 6</t>
  </si>
  <si>
    <t>Dynamique</t>
  </si>
  <si>
    <t>diametre exterieur arbitraire</t>
  </si>
  <si>
    <t>Statique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</si>
  <si>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</si>
  <si>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</si>
  <si>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</si>
  <si>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</si>
  <si>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</si>
  <si>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</si>
  <si>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</si>
  <si>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</si>
  <si>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</si>
  <si>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</si>
  <si>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</si>
  <si>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</si>
  <si>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</si>
  <si>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</si>
  <si>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</si>
  <si>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</si>
  <si>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</si>
  <si>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</si>
  <si>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</si>
  <si>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</si>
  <si>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</si>
  <si>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</si>
  <si>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</si>
  <si>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</si>
  <si>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</si>
  <si>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</si>
  <si>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</si>
  <si>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</si>
  <si>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</si>
  <si>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</si>
  <si>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</si>
  <si>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</si>
  <si>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</si>
  <si>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</si>
  <si>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</si>
  <si>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</si>
  <si>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</si>
  <si>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</si>
  <si>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</si>
  <si>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</si>
  <si>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</si>
  <si>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</si>
  <si>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</si>
  <si>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</si>
  <si>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</si>
  <si>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</si>
  <si>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</si>
  <si>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</si>
  <si>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</si>
  <si>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</si>
  <si>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</si>
  <si>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</si>
  <si>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</si>
  <si>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</si>
  <si>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</si>
  <si>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</si>
  <si>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de la taille minimale des pignons</t>
  </si>
  <si>
    <t>Vérification du montage du train</t>
  </si>
  <si>
    <t>ref</t>
  </si>
  <si>
    <t>35x45x7 HMSA10 V</t>
  </si>
  <si>
    <t>Joint thoriques</t>
  </si>
  <si>
    <t xml:space="preserve">Matiere : </t>
  </si>
  <si>
    <t>P34</t>
  </si>
  <si>
    <t>Nitrile</t>
  </si>
  <si>
    <t>P80</t>
  </si>
  <si>
    <t>P55</t>
  </si>
  <si>
    <t>catalogue misumi</t>
  </si>
  <si>
    <t>catalogue SKF</t>
  </si>
  <si>
    <t>catalogue Misumi</t>
  </si>
  <si>
    <t>Diamètre satellites 3</t>
  </si>
  <si>
    <t>D21</t>
  </si>
  <si>
    <t>Diamètre roue 21</t>
  </si>
  <si>
    <t>Diamètre pignon 22 (planetaire)</t>
  </si>
  <si>
    <t>Projet construction 3</t>
  </si>
  <si>
    <t>Cartier-Millon Damien</t>
  </si>
  <si>
    <t>Doppler Luc</t>
  </si>
  <si>
    <t>Elèves</t>
  </si>
  <si>
    <t>r1</t>
  </si>
  <si>
    <t>r2</t>
  </si>
  <si>
    <t>Montage</t>
  </si>
  <si>
    <t>Nombre dent</t>
  </si>
  <si>
    <t>Equilibre</t>
  </si>
  <si>
    <t>Moment quadratique</t>
  </si>
  <si>
    <t>X2</t>
  </si>
  <si>
    <t>Y3</t>
  </si>
  <si>
    <t>m4</t>
  </si>
  <si>
    <t>sans unité</t>
  </si>
  <si>
    <t>diametre roue 1</t>
  </si>
  <si>
    <t>effort de denture</t>
  </si>
  <si>
    <t>largeur de la denture de la dent</t>
  </si>
  <si>
    <t>rapport de reduction ^-1</t>
  </si>
  <si>
    <t>approximation a 3</t>
  </si>
  <si>
    <t>Vitesse tangentielle de la denture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</si>
</sst>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334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8" fillId="12" borderId="6" xfId="11"/>
    <xf numFmtId="0" fontId="8" fillId="12" borderId="6" xfId="1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8" fillId="12" borderId="6" xfId="11"/>
    <xf numFmtId="0" fontId="6" fillId="5" borderId="51" xfId="3"/>
    <xf numFmtId="0" fontId="8" fillId="8" borderId="6" xfId="11" applyFill="1"/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51" xfId="3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9" borderId="6" xfId="9"/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6" fillId="5" borderId="51" xfId="3" applyAlignment="1">
      <alignment horizontal="center"/>
    </xf>
    <xf numFmtId="0" fontId="21" fillId="7" borderId="3" xfId="5" applyFont="1" applyAlignment="1">
      <alignment horizontal="center"/>
    </xf>
    <xf numFmtId="0" fontId="21" fillId="7" borderId="71" xfId="5" applyFont="1" applyBorder="1" applyAlignment="1">
      <alignment horizontal="center"/>
    </xf>
    <xf numFmtId="0" fontId="1" fillId="7" borderId="70" xfId="5" applyFont="1" applyBorder="1" applyAlignment="1">
      <alignment horizontal="center"/>
    </xf>
    <xf numFmtId="0" fontId="1" fillId="7" borderId="72" xfId="5" applyFont="1" applyBorder="1" applyAlignment="1">
      <alignment horizontal="center"/>
    </xf>
    <xf numFmtId="0" fontId="12" fillId="7" borderId="71" xfId="5" applyFont="1" applyBorder="1" applyAlignment="1">
      <alignment horizontal="left"/>
    </xf>
    <xf numFmtId="0" fontId="12" fillId="7" borderId="70" xfId="5" applyFont="1" applyBorder="1" applyAlignment="1">
      <alignment horizontal="left"/>
    </xf>
    <xf numFmtId="0" fontId="12" fillId="7" borderId="72" xfId="5" applyFont="1" applyBorder="1" applyAlignment="1">
      <alignment horizontal="left"/>
    </xf>
    <xf numFmtId="0" fontId="21" fillId="7" borderId="3" xfId="5" applyFont="1" applyAlignment="1">
      <alignment horizontal="left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0" fontId="6" fillId="8" borderId="51" xfId="3" applyFill="1"/>
    <xf numFmtId="0" fontId="6" fillId="5" borderId="28" xfId="3" applyBorder="1" applyAlignment="1">
      <alignment horizontal="center"/>
    </xf>
    <xf numFmtId="0" fontId="6" fillId="5" borderId="39" xfId="3" applyBorder="1" applyAlignment="1">
      <alignment horizontal="center"/>
    </xf>
    <xf numFmtId="0" fontId="6" fillId="5" borderId="29" xfId="3" applyBorder="1" applyAlignment="1">
      <alignment horizontal="center"/>
    </xf>
    <xf numFmtId="0" fontId="8" fillId="12" borderId="11" xfId="11" applyBorder="1" applyAlignment="1">
      <alignment horizontal="center"/>
    </xf>
    <xf numFmtId="0" fontId="8" fillId="12" borderId="13" xfId="11" applyBorder="1" applyAlignment="1">
      <alignment horizontal="center"/>
    </xf>
    <xf numFmtId="0" fontId="1" fillId="7" borderId="73" xfId="5" applyFont="1" applyBorder="1" applyAlignment="1">
      <alignment horizontal="center" vertical="center"/>
    </xf>
    <xf numFmtId="0" fontId="1" fillId="7" borderId="74" xfId="5" applyFont="1" applyBorder="1" applyAlignment="1">
      <alignment horizontal="center" vertical="center"/>
    </xf>
    <xf numFmtId="0" fontId="1" fillId="7" borderId="78" xfId="5" applyFont="1" applyBorder="1" applyAlignment="1">
      <alignment horizontal="center" vertical="center"/>
    </xf>
    <xf numFmtId="0" fontId="1" fillId="7" borderId="75" xfId="5" applyFont="1" applyBorder="1" applyAlignment="1">
      <alignment horizontal="center" vertical="center"/>
    </xf>
    <xf numFmtId="0" fontId="1" fillId="7" borderId="3" xfId="5" applyFont="1" applyBorder="1" applyAlignment="1">
      <alignment horizontal="center" vertical="center"/>
    </xf>
    <xf numFmtId="0" fontId="1" fillId="7" borderId="76" xfId="5" applyFont="1" applyBorder="1" applyAlignment="1">
      <alignment horizontal="center" vertical="center"/>
    </xf>
    <xf numFmtId="0" fontId="1" fillId="7" borderId="77" xfId="5" applyFont="1" applyBorder="1" applyAlignment="1">
      <alignment horizontal="center" vertical="center"/>
    </xf>
    <xf numFmtId="0" fontId="1" fillId="7" borderId="1" xfId="5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1" fillId="9" borderId="1" xfId="8" applyBorder="1" applyAlignment="1">
      <alignment horizontal="center"/>
    </xf>
    <xf numFmtId="0" fontId="1" fillId="7" borderId="79" xfId="5" applyFont="1" applyBorder="1"/>
    <xf numFmtId="0" fontId="12" fillId="3" borderId="1" xfId="1" applyBorder="1"/>
  </cellXfs>
  <cellStyles count="14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6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3327,'-2'-101,"4"-112,4 181,1-1,17-50,-14 50,0-5,-1-1,-2 0,-2 1,-2-1,-1-44,-4 17,4-81,6 90,-4 35,1-49,-6-320,1 383,-1 3,0-1,-1 0,1-1,-1 1,-1 0,-3-8,3 8,0-2,0 0,1 4,0-1,0-6,0-4,-2-25,-17-65,13 73,2-1,1-1,-1-32,-11-83,17 114,1-22,-2-1,-10-58,5 68,3-2,5-78,1 30,-1 10,-4-103,-8 132,7 46,1-2,0 1,1-1,0 2,1-1,3-22,0 26,0-1,1 3,1-2,0 1,0 1,1-1,0 1,11-13,11-15,-28 35,0 1,0 0,0 0,1-1,-1 1,0 0,0 0,0-1,0 1,0 0,0-1,0 1,0 0,0 0,0-1,0 1,0 0,0-1,0 1,0 0,0-2,0 2,0 0,0 0,0 0,0 0,-1 0,1-1,0 1,0 0,0 0,0-2,-1 2,1 0,0 0,0 0,-1-1,1 1,0 0,-1 0,-17-7,-22 5,39 2,-9 0,0 1,0 1,0-1,0 3,0-2,1 1,-1 1,1 0,-14 7,2 1,0-4,-1-1,-27 4,-23 10,51-15,0-3,0 1,0-1,0-2,0-1,-40-3,-7-1,43 3,0-2,0-1,0-1,-43-16,-12 0,60 15,0-2,-37-16,-18-7,63 27,0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93,'0'-7,"0"-1,0-8,0-3,0-3,0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1,'0'9,"0"7,0 4,0 4,0-1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606F9-092A-4382-A82D-33B2B4282197}" name="Tableau1" displayName="Tableau1" ref="A30:B44" totalsRowShown="0" headerRowDxfId="4" dataDxfId="5">
  <autoFilter ref="A30:B44" xr:uid="{E3B24B10-2AE7-4392-B7F7-376782E23C41}"/>
  <tableColumns count="2">
    <tableColumn id="1" xr3:uid="{B80DCB32-BF70-4A91-870D-4AF4E9D80A67}" name="Fiabilité ( %)" dataDxfId="7"/>
    <tableColumn id="2" xr3:uid="{FAC530B1-505C-4D19-9413-E33617B2A31A}" name="a1" dataDxfId="6"/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AC5EC6-5045-4AE7-A503-188264A0DAF5}" name="Tableau2" displayName="Tableau2" ref="K3:R12" totalsRowShown="0">
  <autoFilter ref="K3:R12" xr:uid="{6596986F-9DA3-4303-B911-D9C2DA85A822}"/>
  <tableColumns count="8">
    <tableColumn id="1" xr3:uid="{650A8AEB-EBBC-4A39-A8F1-545EC0ACC3B6}" name="Fa/C0"/>
    <tableColumn id="2" xr3:uid="{3EDCFFFD-1921-460C-9E97-1A6C83860399}" name="X"/>
    <tableColumn id="3" xr3:uid="{467E21B5-0AE0-4990-B86B-494C4B716D83}" name="Y"/>
    <tableColumn id="4" xr3:uid="{FB6681CC-1113-4187-A02F-B05B6F6DA2D5}" name="X2"/>
    <tableColumn id="5" xr3:uid="{D6BF3CF8-0938-41DF-8361-5748AC588E8D}" name="Y3"/>
    <tableColumn id="6" xr3:uid="{F296E5B5-5122-458F-90D2-B2FF1380A5BD}" name="e"/>
    <tableColumn id="7" xr3:uid="{E780274F-7D0C-49C8-9280-7078EE7365B4}" name="m">
      <calculatedColumnFormula>K4-B$13</calculatedColumnFormula>
    </tableColumn>
    <tableColumn id="8" xr3:uid="{D62B43F4-7A59-45F6-9068-81D937DED00A}" name="m4">
      <calculatedColumnFormula>K4-G$13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D04BD3-A6C3-46AD-BB6D-FB8AE73B8928}" name="Tableau3" displayName="Tableau3" ref="F2:G16" totalsRowShown="0" headerRowDxfId="0" dataDxfId="1">
  <autoFilter ref="F2:G16" xr:uid="{20F18607-3281-48A6-AE43-F2BB87A92EBA}"/>
  <tableColumns count="2">
    <tableColumn id="1" xr3:uid="{C2B34ED2-C3B1-4464-BF7D-116A307F84B9}" name="Fiabilité ( %)" dataDxfId="3"/>
    <tableColumn id="2" xr3:uid="{D7B5E2F8-3DD0-4334-8088-8CEEA8D35BF7}" name="a1" dataDxfId="2"/>
  </tableColumns>
  <tableStyleInfo name="TableStyleLight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20"/>
  <sheetViews>
    <sheetView tabSelected="1" zoomScaleNormal="100" workbookViewId="0">
      <selection activeCell="F27" sqref="F27"/>
    </sheetView>
  </sheetViews>
  <sheetFormatPr baseColWidth="10" defaultRowHeight="15" x14ac:dyDescent="0.25"/>
  <cols>
    <col min="1" max="1" width="20" customWidth="1"/>
    <col min="4" max="4" width="28" customWidth="1"/>
    <col min="5" max="5" width="3.28515625" customWidth="1"/>
    <col min="6" max="6" width="20" customWidth="1"/>
    <col min="9" max="9" width="29.28515625" customWidth="1"/>
    <col min="10" max="10" width="3.28515625" customWidth="1"/>
    <col min="11" max="11" width="30.28515625" customWidth="1"/>
    <col min="13" max="13" width="10.5703125" customWidth="1"/>
    <col min="14" max="14" width="51.14062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33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27</v>
      </c>
      <c r="G2" s="68">
        <v>66</v>
      </c>
      <c r="H2" s="14" t="s">
        <v>26</v>
      </c>
      <c r="I2" s="15" t="s">
        <v>53</v>
      </c>
      <c r="J2" s="1"/>
      <c r="K2" s="43" t="s">
        <v>32</v>
      </c>
      <c r="L2" s="44">
        <f>G4*G5</f>
        <v>6.9818571428571438E-2</v>
      </c>
      <c r="M2" s="48" t="s">
        <v>17</v>
      </c>
      <c r="N2" s="49" t="s">
        <v>36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510</v>
      </c>
      <c r="G3" s="68">
        <v>48</v>
      </c>
      <c r="H3" s="52" t="s">
        <v>26</v>
      </c>
      <c r="I3" s="36" t="s">
        <v>544</v>
      </c>
      <c r="J3" s="1"/>
      <c r="K3" s="43" t="s">
        <v>34</v>
      </c>
      <c r="L3" s="44">
        <f>((B5^2)*B3)/(L2*B2*2*PI()/60)</f>
        <v>246.8752938390642</v>
      </c>
      <c r="M3" s="50" t="s">
        <v>6</v>
      </c>
      <c r="N3" s="50" t="s">
        <v>35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549</v>
      </c>
      <c r="G4" s="182">
        <f>G2/B14</f>
        <v>0.47142857142857142</v>
      </c>
      <c r="H4" s="183" t="s">
        <v>17</v>
      </c>
      <c r="I4" s="15" t="s">
        <v>30</v>
      </c>
      <c r="J4" s="1"/>
      <c r="K4" s="74" t="s">
        <v>552</v>
      </c>
      <c r="L4" s="13" t="str">
        <f>IF(((G2/G15)&gt;17)*AND((G3/G16)&gt;17)*AND((B14/G15)&gt;17)*AND((G3/G16)&gt;17)*AND((G17/G16)&gt;17),"Vérifié","Faux")</f>
        <v>Vérifié</v>
      </c>
      <c r="M4" s="83" t="s">
        <v>17</v>
      </c>
      <c r="N4" s="213" t="s">
        <v>528</v>
      </c>
      <c r="O4" s="1"/>
    </row>
    <row r="5" spans="1:15" x14ac:dyDescent="0.25">
      <c r="A5" s="184" t="s">
        <v>23</v>
      </c>
      <c r="B5" s="184">
        <v>0.95</v>
      </c>
      <c r="C5" s="135" t="s">
        <v>17</v>
      </c>
      <c r="D5" s="36" t="s">
        <v>24</v>
      </c>
      <c r="E5" s="1"/>
      <c r="F5" s="71" t="s">
        <v>550</v>
      </c>
      <c r="G5" s="68">
        <v>0.14810000000000001</v>
      </c>
      <c r="H5" s="135" t="s">
        <v>17</v>
      </c>
      <c r="I5" s="36" t="s">
        <v>31</v>
      </c>
      <c r="J5" s="1"/>
      <c r="K5" s="74" t="s">
        <v>551</v>
      </c>
      <c r="L5" s="13" t="str">
        <f>IF(G3+2*B15=G17,"Vérifié","Faux")</f>
        <v>Vérifié</v>
      </c>
      <c r="M5" s="83" t="s">
        <v>17</v>
      </c>
      <c r="N5" s="213" t="s">
        <v>529</v>
      </c>
      <c r="O5" s="1"/>
    </row>
    <row r="6" spans="1:15" x14ac:dyDescent="0.25">
      <c r="A6" s="13"/>
      <c r="B6" s="13"/>
      <c r="C6" s="13"/>
      <c r="D6" s="13"/>
      <c r="E6" s="1"/>
      <c r="F6" s="71" t="s">
        <v>38</v>
      </c>
      <c r="G6" s="68">
        <v>20</v>
      </c>
      <c r="H6" s="14" t="s">
        <v>39</v>
      </c>
      <c r="I6" s="15" t="s">
        <v>40</v>
      </c>
      <c r="J6" s="1"/>
      <c r="K6" s="74" t="s">
        <v>553</v>
      </c>
      <c r="L6" s="13" t="str">
        <f>IF(INT((G3+B15)/G18)=(G3+B15)/G18,"Vérifié","Faux")</f>
        <v>Vérifié</v>
      </c>
      <c r="M6" s="83" t="s">
        <v>17</v>
      </c>
      <c r="N6" s="213" t="s">
        <v>527</v>
      </c>
      <c r="O6" s="1"/>
    </row>
    <row r="7" spans="1:15" x14ac:dyDescent="0.25">
      <c r="A7" s="13"/>
      <c r="B7" s="13"/>
      <c r="C7" s="13"/>
      <c r="D7" s="13"/>
      <c r="E7" s="1"/>
      <c r="F7" s="71" t="s">
        <v>41</v>
      </c>
      <c r="G7" s="68">
        <v>30</v>
      </c>
      <c r="H7" s="52" t="s">
        <v>39</v>
      </c>
      <c r="I7" s="36" t="s">
        <v>40</v>
      </c>
      <c r="J7" s="1"/>
      <c r="K7" s="1"/>
      <c r="L7" s="1"/>
      <c r="M7" s="1"/>
      <c r="N7" s="1"/>
      <c r="O7" s="1"/>
    </row>
    <row r="8" spans="1:15" x14ac:dyDescent="0.25">
      <c r="A8" s="1"/>
      <c r="B8" s="1"/>
      <c r="C8" s="1"/>
      <c r="D8" s="1"/>
      <c r="E8" s="1"/>
      <c r="F8" s="71" t="s">
        <v>37</v>
      </c>
      <c r="G8" s="68">
        <f>B$10/((G2/2)*COS(G6))</f>
        <v>0.1485143952094973</v>
      </c>
      <c r="H8" s="14" t="s">
        <v>66</v>
      </c>
      <c r="I8" s="15" t="s">
        <v>56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42</v>
      </c>
      <c r="G9" s="68">
        <f>(B$10*(1/G$4))/((B14/2)*COS(G$6))</f>
        <v>0.1485143952094973</v>
      </c>
      <c r="H9" s="52" t="s">
        <v>66</v>
      </c>
      <c r="I9" s="36" t="s">
        <v>57</v>
      </c>
      <c r="J9" s="1"/>
      <c r="K9" s="319" t="s">
        <v>545</v>
      </c>
      <c r="L9" s="320"/>
      <c r="M9" s="321"/>
      <c r="N9" s="326" t="s">
        <v>548</v>
      </c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43</v>
      </c>
      <c r="G10" s="68">
        <f>(B$10*(1/G$4))/((G3/2)*COS(G$6))</f>
        <v>0.43316698602770048</v>
      </c>
      <c r="H10" s="14" t="s">
        <v>66</v>
      </c>
      <c r="I10" s="15" t="s">
        <v>58</v>
      </c>
      <c r="J10" s="1"/>
      <c r="K10" s="322"/>
      <c r="L10" s="323"/>
      <c r="M10" s="323"/>
      <c r="N10" s="317" t="s">
        <v>546</v>
      </c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44</v>
      </c>
      <c r="G11" s="68">
        <f>(B$10*(1/G$4*G$5))/((B15/2)*COS(G$6))</f>
        <v>2.7011381318190506E-2</v>
      </c>
      <c r="H11" s="52" t="s">
        <v>66</v>
      </c>
      <c r="I11" s="36" t="s">
        <v>59</v>
      </c>
      <c r="J11" s="1"/>
      <c r="K11" s="324"/>
      <c r="L11" s="325"/>
      <c r="M11" s="325"/>
      <c r="N11" s="318" t="s">
        <v>547</v>
      </c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54</v>
      </c>
      <c r="G12" s="68">
        <v>150</v>
      </c>
      <c r="H12" s="14" t="s">
        <v>132</v>
      </c>
      <c r="I12" s="15" t="s">
        <v>55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60</v>
      </c>
      <c r="G13" s="68">
        <v>12</v>
      </c>
      <c r="H13" s="52" t="s">
        <v>17</v>
      </c>
      <c r="I13" s="36" t="s">
        <v>63</v>
      </c>
      <c r="J13" s="1"/>
      <c r="K13" s="1"/>
      <c r="L13" s="1"/>
      <c r="M13" s="1"/>
      <c r="N13" s="1"/>
      <c r="O13" s="1"/>
    </row>
    <row r="14" spans="1:15" x14ac:dyDescent="0.25">
      <c r="A14" s="32" t="s">
        <v>542</v>
      </c>
      <c r="B14" s="32">
        <v>140</v>
      </c>
      <c r="C14" s="81" t="s">
        <v>26</v>
      </c>
      <c r="D14" s="46" t="s">
        <v>543</v>
      </c>
      <c r="E14" s="1"/>
      <c r="F14" s="71" t="s">
        <v>61</v>
      </c>
      <c r="G14" s="68">
        <v>12</v>
      </c>
      <c r="H14" s="37" t="s">
        <v>17</v>
      </c>
      <c r="I14" s="36" t="s">
        <v>62</v>
      </c>
      <c r="J14" s="1"/>
    </row>
    <row r="15" spans="1:15" x14ac:dyDescent="0.25">
      <c r="A15" s="32" t="s">
        <v>28</v>
      </c>
      <c r="B15" s="32">
        <v>114</v>
      </c>
      <c r="C15" s="83" t="s">
        <v>26</v>
      </c>
      <c r="D15" s="47" t="s">
        <v>541</v>
      </c>
      <c r="E15" s="1"/>
      <c r="F15" s="71" t="s">
        <v>436</v>
      </c>
      <c r="G15" s="68">
        <v>1</v>
      </c>
      <c r="H15" s="52" t="s">
        <v>26</v>
      </c>
      <c r="I15" s="36" t="s">
        <v>63</v>
      </c>
      <c r="J15" s="1"/>
    </row>
    <row r="16" spans="1:15" x14ac:dyDescent="0.25">
      <c r="A16" s="32" t="s">
        <v>45</v>
      </c>
      <c r="B16" s="45">
        <f>2.34*SQRT((G8*10^3)/(G13*G12))</f>
        <v>0.67214640535175874</v>
      </c>
      <c r="C16" s="81" t="s">
        <v>17</v>
      </c>
      <c r="D16" s="46" t="s">
        <v>49</v>
      </c>
      <c r="E16" s="1"/>
      <c r="F16" s="71" t="s">
        <v>437</v>
      </c>
      <c r="G16" s="68">
        <v>1.5</v>
      </c>
      <c r="H16" s="37" t="s">
        <v>26</v>
      </c>
      <c r="I16" s="36" t="s">
        <v>62</v>
      </c>
      <c r="J16" s="1"/>
    </row>
    <row r="17" spans="1:10" x14ac:dyDescent="0.25">
      <c r="A17" s="32" t="s">
        <v>46</v>
      </c>
      <c r="B17" s="45">
        <f>2.34*SQRT((G9*10^3)/(G$13*G$12))</f>
        <v>0.67214640535175874</v>
      </c>
      <c r="C17" s="83" t="s">
        <v>17</v>
      </c>
      <c r="D17" s="47" t="s">
        <v>50</v>
      </c>
      <c r="E17" s="1"/>
      <c r="F17" s="68" t="s">
        <v>29</v>
      </c>
      <c r="G17" s="68">
        <f>G3+2*B15</f>
        <v>276</v>
      </c>
      <c r="H17" s="69" t="s">
        <v>26</v>
      </c>
      <c r="I17" s="70" t="s">
        <v>511</v>
      </c>
      <c r="J17" s="1"/>
    </row>
    <row r="18" spans="1:10" x14ac:dyDescent="0.25">
      <c r="A18" s="32" t="s">
        <v>47</v>
      </c>
      <c r="B18" s="45">
        <f>2.34*SQRT((G10*10^3)/(G$14*G$12))</f>
        <v>1.1479085205260324</v>
      </c>
      <c r="C18" s="81" t="s">
        <v>17</v>
      </c>
      <c r="D18" s="46" t="s">
        <v>51</v>
      </c>
      <c r="E18" s="1"/>
      <c r="F18" s="68" t="s">
        <v>335</v>
      </c>
      <c r="G18" s="68">
        <v>3</v>
      </c>
      <c r="H18" s="69" t="s">
        <v>17</v>
      </c>
      <c r="I18" s="70" t="s">
        <v>485</v>
      </c>
      <c r="J18" s="1"/>
    </row>
    <row r="19" spans="1:10" x14ac:dyDescent="0.25">
      <c r="A19" s="32" t="s">
        <v>48</v>
      </c>
      <c r="B19" s="45">
        <f>2.34*SQRT((G11*10^3)/(G$14*G$12))</f>
        <v>0.28665069678955168</v>
      </c>
      <c r="C19" s="83" t="s">
        <v>17</v>
      </c>
      <c r="D19" s="47" t="s">
        <v>52</v>
      </c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</row>
  </sheetData>
  <mergeCells count="1">
    <mergeCell ref="K9:M11"/>
  </mergeCells>
  <phoneticPr fontId="2" type="noConversion"/>
  <conditionalFormatting sqref="L4:L6">
    <cfRule type="cellIs" dxfId="62" priority="1" operator="equal">
      <formula>FALSE</formula>
    </cfRule>
    <cfRule type="cellIs" dxfId="61" priority="2" operator="equal">
      <formula>"Vérifié"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D28" sqref="D28"/>
    </sheetView>
  </sheetViews>
  <sheetFormatPr baseColWidth="10" defaultRowHeight="15" x14ac:dyDescent="0.25"/>
  <cols>
    <col min="1" max="1" width="26.285156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47.7109375" customWidth="1"/>
    <col min="10" max="10" width="17.71093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64</v>
      </c>
      <c r="B1" s="56" t="s">
        <v>8</v>
      </c>
      <c r="C1" s="56" t="s">
        <v>99</v>
      </c>
      <c r="D1" s="56" t="s">
        <v>10</v>
      </c>
      <c r="E1" s="1"/>
      <c r="F1" s="56" t="s">
        <v>25</v>
      </c>
      <c r="G1" s="56" t="s">
        <v>8</v>
      </c>
      <c r="H1" s="56" t="s">
        <v>99</v>
      </c>
      <c r="I1" s="56" t="s">
        <v>10</v>
      </c>
      <c r="J1" s="38"/>
      <c r="K1" s="59" t="s">
        <v>269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65</v>
      </c>
      <c r="B2" s="137">
        <f>'Résistance des engrenages'!B3</f>
        <v>3000</v>
      </c>
      <c r="C2" s="14" t="s">
        <v>4</v>
      </c>
      <c r="D2" s="15" t="s">
        <v>67</v>
      </c>
      <c r="E2" s="1"/>
      <c r="F2" s="71" t="s">
        <v>69</v>
      </c>
      <c r="G2" s="72">
        <f>'Résistance des engrenages'!G6</f>
        <v>20</v>
      </c>
      <c r="H2" s="23" t="s">
        <v>70</v>
      </c>
      <c r="I2" s="24" t="s">
        <v>71</v>
      </c>
      <c r="J2" s="38"/>
      <c r="K2" s="60" t="s">
        <v>136</v>
      </c>
      <c r="L2" s="13"/>
      <c r="M2" s="222" t="s">
        <v>189</v>
      </c>
      <c r="N2" s="222"/>
      <c r="O2" s="222"/>
      <c r="P2" s="222"/>
      <c r="Q2" s="222"/>
      <c r="R2" s="222"/>
      <c r="S2" s="222"/>
      <c r="T2" s="222"/>
      <c r="U2" s="13"/>
      <c r="V2" s="13"/>
      <c r="W2" s="1"/>
      <c r="X2" s="13"/>
      <c r="Y2" s="13"/>
      <c r="Z2" s="13"/>
      <c r="AA2" s="223" t="s">
        <v>190</v>
      </c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5"/>
      <c r="AO2" s="13"/>
      <c r="AP2" s="13"/>
      <c r="AQ2" s="13"/>
      <c r="AR2" s="1"/>
    </row>
    <row r="3" spans="1:44" x14ac:dyDescent="0.25">
      <c r="A3" s="51" t="s">
        <v>66</v>
      </c>
      <c r="B3" s="138">
        <f>'Résistance des engrenages'!B2</f>
        <v>1500</v>
      </c>
      <c r="C3" s="69" t="s">
        <v>2</v>
      </c>
      <c r="D3" s="36" t="s">
        <v>68</v>
      </c>
      <c r="E3" s="1"/>
      <c r="F3" s="71" t="s">
        <v>41</v>
      </c>
      <c r="G3" s="72">
        <f>'Résistance des engrenages'!G7</f>
        <v>30</v>
      </c>
      <c r="H3" s="25" t="s">
        <v>70</v>
      </c>
      <c r="I3" s="26" t="s">
        <v>72</v>
      </c>
      <c r="J3" s="38"/>
      <c r="K3" s="13"/>
      <c r="L3" s="13"/>
      <c r="M3" s="222"/>
      <c r="N3" s="222"/>
      <c r="O3" s="222"/>
      <c r="P3" s="222"/>
      <c r="Q3" s="222"/>
      <c r="R3" s="222"/>
      <c r="S3" s="222"/>
      <c r="T3" s="222"/>
      <c r="U3" s="13"/>
      <c r="V3" s="13"/>
      <c r="W3" s="1"/>
      <c r="X3" s="13"/>
      <c r="Y3" s="13"/>
      <c r="Z3" s="13"/>
      <c r="AA3" s="226"/>
      <c r="AB3" s="227"/>
      <c r="AC3" s="227"/>
      <c r="AD3" s="227"/>
      <c r="AE3" s="227"/>
      <c r="AF3" s="227"/>
      <c r="AG3" s="227"/>
      <c r="AH3" s="227"/>
      <c r="AI3" s="227"/>
      <c r="AJ3" s="227"/>
      <c r="AK3" s="227"/>
      <c r="AL3" s="227"/>
      <c r="AM3" s="227"/>
      <c r="AN3" s="228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26</v>
      </c>
      <c r="I4" s="36" t="s">
        <v>407</v>
      </c>
      <c r="J4" s="38"/>
      <c r="K4" s="13"/>
      <c r="L4" s="13"/>
      <c r="M4" s="222"/>
      <c r="N4" s="222"/>
      <c r="O4" s="222"/>
      <c r="P4" s="222"/>
      <c r="Q4" s="222"/>
      <c r="R4" s="222"/>
      <c r="S4" s="222"/>
      <c r="T4" s="222"/>
      <c r="U4" s="13"/>
      <c r="V4" s="13"/>
      <c r="W4" s="1"/>
      <c r="X4" s="13"/>
      <c r="Y4" s="13"/>
      <c r="Z4" s="13"/>
      <c r="AA4" s="229"/>
      <c r="AB4" s="230"/>
      <c r="AC4" s="230"/>
      <c r="AD4" s="230"/>
      <c r="AE4" s="230"/>
      <c r="AF4" s="230"/>
      <c r="AG4" s="230"/>
      <c r="AH4" s="230"/>
      <c r="AI4" s="230"/>
      <c r="AJ4" s="230"/>
      <c r="AK4" s="230"/>
      <c r="AL4" s="230"/>
      <c r="AM4" s="230"/>
      <c r="AN4" s="231"/>
      <c r="AO4" s="13"/>
      <c r="AP4" s="13"/>
      <c r="AQ4" s="13"/>
      <c r="AR4" s="1"/>
    </row>
    <row r="5" spans="1:44" ht="15.75" thickBot="1" x14ac:dyDescent="0.3">
      <c r="A5" s="57" t="s">
        <v>98</v>
      </c>
      <c r="B5" s="56" t="s">
        <v>8</v>
      </c>
      <c r="C5" s="56" t="s">
        <v>99</v>
      </c>
      <c r="D5" s="56" t="s">
        <v>10</v>
      </c>
      <c r="E5" s="1"/>
      <c r="F5" s="71" t="s">
        <v>85</v>
      </c>
      <c r="G5" s="72">
        <v>55</v>
      </c>
      <c r="H5" s="25" t="s">
        <v>26</v>
      </c>
      <c r="I5" s="26" t="s">
        <v>86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73</v>
      </c>
      <c r="B6" s="139">
        <f>2*B3/60*PI()</f>
        <v>157.07963267948966</v>
      </c>
      <c r="C6" s="77" t="s">
        <v>74</v>
      </c>
      <c r="D6" s="34" t="s">
        <v>75</v>
      </c>
      <c r="E6" s="1"/>
      <c r="F6" s="71" t="s">
        <v>200</v>
      </c>
      <c r="G6" s="72">
        <v>27.5</v>
      </c>
      <c r="H6" s="25" t="s">
        <v>26</v>
      </c>
      <c r="I6" s="26" t="s">
        <v>202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76</v>
      </c>
      <c r="B7" s="140">
        <f>B2/B6*1000</f>
        <v>19098.593171027438</v>
      </c>
      <c r="C7" s="78" t="s">
        <v>77</v>
      </c>
      <c r="D7" s="33" t="s">
        <v>78</v>
      </c>
      <c r="E7" s="1"/>
      <c r="F7" s="71" t="s">
        <v>201</v>
      </c>
      <c r="G7" s="72">
        <v>30</v>
      </c>
      <c r="H7" s="23" t="s">
        <v>26</v>
      </c>
      <c r="I7" s="24" t="s">
        <v>203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81</v>
      </c>
      <c r="B8" s="140">
        <f>B7/G4</f>
        <v>578.74524760689201</v>
      </c>
      <c r="C8" s="77" t="s">
        <v>66</v>
      </c>
      <c r="D8" s="34" t="s">
        <v>82</v>
      </c>
      <c r="E8" s="1"/>
      <c r="F8" s="241" t="s">
        <v>87</v>
      </c>
      <c r="G8" s="241"/>
      <c r="H8" s="242"/>
      <c r="I8" s="242"/>
      <c r="J8" s="38"/>
      <c r="K8" s="13"/>
      <c r="L8" s="248" t="s">
        <v>193</v>
      </c>
      <c r="M8" s="249"/>
      <c r="N8" s="252">
        <v>9.4E-7</v>
      </c>
      <c r="O8" s="13"/>
      <c r="P8" s="13"/>
      <c r="Q8" s="13"/>
      <c r="R8" s="254" t="s">
        <v>192</v>
      </c>
      <c r="S8" s="255"/>
      <c r="T8" s="258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79</v>
      </c>
      <c r="B9" s="140">
        <f>B8*TAN(RADIANS(G3))</f>
        <v>334.13872449805569</v>
      </c>
      <c r="C9" s="78" t="s">
        <v>66</v>
      </c>
      <c r="D9" s="33" t="s">
        <v>83</v>
      </c>
      <c r="E9" s="1"/>
      <c r="F9" s="71" t="s">
        <v>113</v>
      </c>
      <c r="G9" s="72">
        <v>0</v>
      </c>
      <c r="H9" s="19" t="s">
        <v>66</v>
      </c>
      <c r="I9" s="20" t="s">
        <v>114</v>
      </c>
      <c r="J9" s="38"/>
      <c r="K9" s="13"/>
      <c r="L9" s="250"/>
      <c r="M9" s="251"/>
      <c r="N9" s="253"/>
      <c r="O9" s="13"/>
      <c r="P9" s="13"/>
      <c r="Q9" s="13"/>
      <c r="R9" s="256"/>
      <c r="S9" s="257"/>
      <c r="T9" s="259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80</v>
      </c>
      <c r="B10" s="140">
        <f>-B8*TAN(RADIANS(G2))/COS(RADIANS(G3))</f>
        <v>-243.23309966593473</v>
      </c>
      <c r="C10" s="77" t="s">
        <v>66</v>
      </c>
      <c r="D10" s="34" t="s">
        <v>84</v>
      </c>
      <c r="E10" s="1"/>
      <c r="F10" s="116" t="s">
        <v>120</v>
      </c>
      <c r="G10" s="175">
        <v>2</v>
      </c>
      <c r="H10" s="55" t="s">
        <v>17</v>
      </c>
      <c r="I10" s="20" t="s">
        <v>119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88</v>
      </c>
      <c r="B11" s="140">
        <f>-B9</f>
        <v>-334.13872449805569</v>
      </c>
      <c r="C11" s="78" t="s">
        <v>66</v>
      </c>
      <c r="D11" s="33" t="s">
        <v>93</v>
      </c>
      <c r="E11" s="1"/>
      <c r="F11" s="178" t="s">
        <v>121</v>
      </c>
      <c r="G11" s="179">
        <v>34</v>
      </c>
      <c r="H11" s="66" t="s">
        <v>26</v>
      </c>
      <c r="I11" s="66" t="s">
        <v>126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89</v>
      </c>
      <c r="B12" s="140">
        <f>-B8*(G5-G6)/G5</f>
        <v>-289.372623803446</v>
      </c>
      <c r="C12" s="77" t="s">
        <v>66</v>
      </c>
      <c r="D12" s="34" t="s">
        <v>94</v>
      </c>
      <c r="E12" s="1"/>
      <c r="F12" s="176" t="s">
        <v>133</v>
      </c>
      <c r="G12" s="177">
        <v>225</v>
      </c>
      <c r="H12" s="23" t="s">
        <v>132</v>
      </c>
      <c r="I12" s="30" t="s">
        <v>191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90</v>
      </c>
      <c r="B13" s="140">
        <f>-(B10*G5-G6*B10+G7*B9)/(G5)</f>
        <v>-60.64093625688119</v>
      </c>
      <c r="C13" s="78" t="s">
        <v>66</v>
      </c>
      <c r="D13" s="33" t="s">
        <v>95</v>
      </c>
      <c r="E13" s="1"/>
      <c r="F13" s="71" t="s">
        <v>134</v>
      </c>
      <c r="G13" s="72">
        <f>IF(G5/G11&lt;5,RADIANS(2/3),IF(G5/G11&gt;7,RADIANS(1/4),"A definir"))</f>
        <v>1.1635528346628864E-2</v>
      </c>
      <c r="H13" s="21" t="s">
        <v>152</v>
      </c>
      <c r="I13" s="22" t="s">
        <v>188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91</v>
      </c>
      <c r="B14" s="140">
        <f>-(G6*B8)/(G5)</f>
        <v>-289.372623803446</v>
      </c>
      <c r="C14" s="77" t="s">
        <v>66</v>
      </c>
      <c r="D14" s="34" t="s">
        <v>96</v>
      </c>
      <c r="E14" s="1"/>
      <c r="F14" s="71" t="s">
        <v>140</v>
      </c>
      <c r="G14" s="72">
        <f>IF(B3&gt;500,G5/3000,G5/2000)</f>
        <v>1.8333333333333333E-2</v>
      </c>
      <c r="H14" s="25" t="s">
        <v>26</v>
      </c>
      <c r="I14" s="26" t="s">
        <v>187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92</v>
      </c>
      <c r="B15" s="140">
        <f>-(G6*B10-G7*B9)/(G5)</f>
        <v>303.87403592281595</v>
      </c>
      <c r="C15" s="78" t="s">
        <v>66</v>
      </c>
      <c r="D15" s="33" t="s">
        <v>97</v>
      </c>
      <c r="E15" s="1"/>
      <c r="F15" s="71" t="s">
        <v>137</v>
      </c>
      <c r="G15" s="72" t="s">
        <v>135</v>
      </c>
      <c r="H15" s="27" t="s">
        <v>17</v>
      </c>
      <c r="I15" s="26" t="s">
        <v>186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122</v>
      </c>
      <c r="B16" s="140">
        <f>G12/(MAX(M41:M491)*G22)</f>
        <v>2.2828822229051111</v>
      </c>
      <c r="C16" s="79" t="s">
        <v>17</v>
      </c>
      <c r="D16" s="35" t="s">
        <v>124</v>
      </c>
      <c r="E16" s="1"/>
      <c r="F16" s="71" t="s">
        <v>138</v>
      </c>
      <c r="G16" s="72">
        <f>IF(G15="large",1/1500,1/500)</f>
        <v>6.6666666666666664E-4</v>
      </c>
      <c r="H16" s="28" t="s">
        <v>17</v>
      </c>
      <c r="I16" s="22" t="s">
        <v>185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123</v>
      </c>
      <c r="B17" s="141" t="str">
        <f>IF(B16&gt;G10,"Oui","Non")</f>
        <v>Oui</v>
      </c>
      <c r="C17" s="78" t="s">
        <v>197</v>
      </c>
      <c r="D17" s="33" t="s">
        <v>125</v>
      </c>
      <c r="E17" s="1"/>
      <c r="F17" s="71" t="s">
        <v>139</v>
      </c>
      <c r="G17" s="72">
        <v>3</v>
      </c>
      <c r="H17" s="25" t="s">
        <v>70</v>
      </c>
      <c r="I17" s="26" t="s">
        <v>184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154</v>
      </c>
      <c r="B18" s="142" cm="1">
        <f t="array" ref="B18">MAX(ABS(F41:F491))/(G19*B28)</f>
        <v>1.8109767595571543E-6</v>
      </c>
      <c r="C18" s="77" t="s">
        <v>152</v>
      </c>
      <c r="D18" s="34" t="s">
        <v>153</v>
      </c>
      <c r="E18" s="1"/>
      <c r="F18" s="71" t="s">
        <v>145</v>
      </c>
      <c r="G18" s="73">
        <v>190000</v>
      </c>
      <c r="H18" s="21" t="s">
        <v>132</v>
      </c>
      <c r="I18" s="22" t="s">
        <v>150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144</v>
      </c>
      <c r="B19" s="143" t="str">
        <f>IF(B18&lt;G13,"Oui","Non")</f>
        <v>Oui</v>
      </c>
      <c r="C19" s="78" t="s">
        <v>197</v>
      </c>
      <c r="D19" s="33" t="s">
        <v>143</v>
      </c>
      <c r="E19" s="1"/>
      <c r="F19" s="71" t="s">
        <v>146</v>
      </c>
      <c r="G19" s="73">
        <f>G18/(2*(1+0.3))</f>
        <v>73076.923076923078</v>
      </c>
      <c r="H19" s="25" t="s">
        <v>132</v>
      </c>
      <c r="I19" s="26" t="s">
        <v>151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156</v>
      </c>
      <c r="B20" s="140">
        <f>MAX(U41:U491)</f>
        <v>8.8419419044472372E-4</v>
      </c>
      <c r="C20" s="78" t="s">
        <v>26</v>
      </c>
      <c r="D20" s="33" t="s">
        <v>157</v>
      </c>
      <c r="E20" s="1"/>
      <c r="F20" s="71" t="s">
        <v>180</v>
      </c>
      <c r="G20" s="72">
        <v>0</v>
      </c>
      <c r="H20" s="21" t="s">
        <v>26</v>
      </c>
      <c r="I20" s="29" t="s">
        <v>181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158</v>
      </c>
      <c r="B21" s="143" t="str">
        <f>IF(B20&lt;G14,"Oui","Non")</f>
        <v>Oui</v>
      </c>
      <c r="C21" s="77" t="s">
        <v>197</v>
      </c>
      <c r="D21" s="34" t="s">
        <v>142</v>
      </c>
      <c r="E21" s="1"/>
      <c r="F21" s="71" t="s">
        <v>182</v>
      </c>
      <c r="G21" s="72">
        <v>0</v>
      </c>
      <c r="H21" s="25" t="s">
        <v>26</v>
      </c>
      <c r="I21" s="31" t="s">
        <v>183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177</v>
      </c>
      <c r="B22" s="140">
        <f>MAX(T41:T491)</f>
        <v>4.4992888326934519E-6</v>
      </c>
      <c r="C22" s="80" t="s">
        <v>17</v>
      </c>
      <c r="D22" s="33" t="s">
        <v>196</v>
      </c>
      <c r="E22" s="1"/>
      <c r="F22" s="129" t="s">
        <v>411</v>
      </c>
      <c r="G22" s="130">
        <v>5</v>
      </c>
      <c r="H22" s="69" t="s">
        <v>17</v>
      </c>
      <c r="I22" s="131" t="s">
        <v>274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159</v>
      </c>
      <c r="B23" s="143" t="str">
        <f>IF(B22&lt;G16,"Oui","Non")</f>
        <v>Oui</v>
      </c>
      <c r="C23" s="77" t="s">
        <v>197</v>
      </c>
      <c r="D23" s="34" t="s">
        <v>141</v>
      </c>
      <c r="E23" s="1"/>
      <c r="F23" s="68" t="s">
        <v>409</v>
      </c>
      <c r="G23" s="68">
        <f>Clavettes!G12/Clavettes!G7</f>
        <v>0.08</v>
      </c>
      <c r="H23" s="69" t="s">
        <v>17</v>
      </c>
      <c r="I23" s="70" t="s">
        <v>410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178</v>
      </c>
      <c r="B24" s="140">
        <f>DEGREES(ATAN(T41))</f>
        <v>2.5779026092193806E-4</v>
      </c>
      <c r="C24" s="78" t="s">
        <v>70</v>
      </c>
      <c r="D24" s="33" t="s">
        <v>198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179</v>
      </c>
      <c r="B25" s="144">
        <f>DEGREES(ATAN(T491))</f>
        <v>2.5084559662948169E-4</v>
      </c>
      <c r="C25" s="77" t="s">
        <v>70</v>
      </c>
      <c r="D25" s="34" t="s">
        <v>199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160</v>
      </c>
      <c r="B26" s="145" t="str">
        <f>IF(MAX(B24:B25)&lt;G17,"Oui","Non")</f>
        <v>Oui</v>
      </c>
      <c r="C26" s="78" t="s">
        <v>197</v>
      </c>
      <c r="D26" s="33" t="s">
        <v>175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155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148</v>
      </c>
      <c r="B28" s="63">
        <f>PI()*G11^4/32</f>
        <v>131194.48001023656</v>
      </c>
      <c r="C28" s="64" t="s">
        <v>149</v>
      </c>
      <c r="D28" s="65" t="s">
        <v>554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194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20" t="s">
        <v>195</v>
      </c>
      <c r="B30" s="221"/>
      <c r="C30" s="218" t="str">
        <f>IF(ABS(C842)+ABS(D842)+ABS(E842)+ABS(G842)+ABS(H842)&lt;0.0000001,"PFD Verifié","Erreur probable")</f>
        <v>PFD Verifié</v>
      </c>
      <c r="D30" s="219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4" t="s">
        <v>204</v>
      </c>
      <c r="B31" s="245"/>
      <c r="C31" s="245"/>
      <c r="D31" s="246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7" t="str">
        <f>IF(ABS(P591)&lt;0.01*ABS(MAX(P41:P591)),"Constantes d'integration y' correctes","Constantes d'integration y' incorrectes")</f>
        <v>Constantes d'integration y' correctes</v>
      </c>
      <c r="B32" s="247"/>
      <c r="C32" s="247"/>
      <c r="D32" s="247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7" t="str">
        <f>IF(ABS(S591)&lt;0.01*ABS(MAX(S41:S591)),"Constantes d'integration z' correctes","Constantes d'integration z' incorrectes")</f>
        <v>Constantes d'integration z' correctes</v>
      </c>
      <c r="B33" s="247"/>
      <c r="C33" s="247"/>
      <c r="D33" s="247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3" t="s">
        <v>100</v>
      </c>
      <c r="B37" s="243"/>
      <c r="C37" s="243"/>
      <c r="D37" s="243"/>
      <c r="E37" s="243"/>
      <c r="F37" s="243"/>
      <c r="G37" s="243"/>
      <c r="H37" s="243"/>
      <c r="I37" s="243"/>
      <c r="J37" s="243"/>
      <c r="K37" s="243" t="s">
        <v>278</v>
      </c>
      <c r="L37" s="243"/>
      <c r="M37" s="243"/>
      <c r="N37" s="243" t="s">
        <v>167</v>
      </c>
      <c r="O37" s="243"/>
      <c r="P37" s="243"/>
      <c r="Q37" s="243"/>
      <c r="R37" s="243"/>
      <c r="S37" s="243"/>
      <c r="T37" s="243"/>
      <c r="U37" s="243"/>
      <c r="V37" s="243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279</v>
      </c>
      <c r="B38" s="12" t="s">
        <v>102</v>
      </c>
      <c r="C38" s="12" t="s">
        <v>66</v>
      </c>
      <c r="D38" s="12" t="s">
        <v>103</v>
      </c>
      <c r="E38" s="12" t="s">
        <v>104</v>
      </c>
      <c r="F38" s="12" t="s">
        <v>106</v>
      </c>
      <c r="G38" s="12" t="s">
        <v>105</v>
      </c>
      <c r="H38" s="12" t="s">
        <v>111</v>
      </c>
      <c r="I38" s="12" t="s">
        <v>115</v>
      </c>
      <c r="J38" s="39" t="s">
        <v>116</v>
      </c>
      <c r="K38" s="12" t="s">
        <v>127</v>
      </c>
      <c r="L38" s="12" t="s">
        <v>128</v>
      </c>
      <c r="M38" s="39" t="s">
        <v>129</v>
      </c>
      <c r="N38" s="12"/>
      <c r="O38" s="12" t="s">
        <v>161</v>
      </c>
      <c r="P38" s="12" t="s">
        <v>162</v>
      </c>
      <c r="Q38" s="12"/>
      <c r="R38" s="12" t="s">
        <v>163</v>
      </c>
      <c r="S38" s="12" t="s">
        <v>164</v>
      </c>
      <c r="T38" s="12" t="s">
        <v>165</v>
      </c>
      <c r="U38" s="12" t="s">
        <v>166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108</v>
      </c>
      <c r="C39" s="8" t="s">
        <v>109</v>
      </c>
      <c r="D39" s="8" t="s">
        <v>117</v>
      </c>
      <c r="E39" s="9" t="s">
        <v>118</v>
      </c>
      <c r="F39" s="9" t="s">
        <v>275</v>
      </c>
      <c r="G39" s="9" t="s">
        <v>110</v>
      </c>
      <c r="H39" s="9" t="s">
        <v>112</v>
      </c>
      <c r="I39" s="9" t="s">
        <v>276</v>
      </c>
      <c r="J39" s="40" t="s">
        <v>277</v>
      </c>
      <c r="K39" s="11" t="s">
        <v>130</v>
      </c>
      <c r="L39" s="11" t="s">
        <v>131</v>
      </c>
      <c r="M39" s="42" t="s">
        <v>261</v>
      </c>
      <c r="N39" s="10" t="s">
        <v>174</v>
      </c>
      <c r="O39" s="10" t="s">
        <v>168</v>
      </c>
      <c r="P39" s="10" t="s">
        <v>169</v>
      </c>
      <c r="Q39" s="10" t="s">
        <v>176</v>
      </c>
      <c r="R39" s="10" t="s">
        <v>170</v>
      </c>
      <c r="S39" s="10" t="s">
        <v>171</v>
      </c>
      <c r="T39" s="10" t="s">
        <v>172</v>
      </c>
      <c r="U39" s="10" t="s">
        <v>173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26</v>
      </c>
      <c r="C40" s="8" t="s">
        <v>66</v>
      </c>
      <c r="D40" s="8" t="s">
        <v>66</v>
      </c>
      <c r="E40" s="9" t="s">
        <v>66</v>
      </c>
      <c r="F40" s="9" t="s">
        <v>77</v>
      </c>
      <c r="G40" s="9" t="s">
        <v>77</v>
      </c>
      <c r="H40" s="9" t="s">
        <v>77</v>
      </c>
      <c r="I40" s="9" t="s">
        <v>77</v>
      </c>
      <c r="J40" s="40" t="s">
        <v>66</v>
      </c>
      <c r="K40" s="9" t="s">
        <v>132</v>
      </c>
      <c r="L40" s="9" t="s">
        <v>132</v>
      </c>
      <c r="M40" s="40" t="s">
        <v>132</v>
      </c>
      <c r="N40" s="8"/>
      <c r="O40" s="9">
        <v>1</v>
      </c>
      <c r="P40" s="8" t="s">
        <v>26</v>
      </c>
      <c r="Q40" s="8"/>
      <c r="R40" s="8">
        <v>1</v>
      </c>
      <c r="S40" s="8" t="s">
        <v>26</v>
      </c>
      <c r="T40" s="8">
        <v>1</v>
      </c>
      <c r="U40" s="8" t="s">
        <v>26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107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2" t="s">
        <v>205</v>
      </c>
      <c r="AC79" s="233"/>
      <c r="AD79" s="233"/>
      <c r="AE79" s="233"/>
      <c r="AF79" s="233"/>
      <c r="AG79" s="233"/>
      <c r="AH79" s="233"/>
      <c r="AI79" s="233"/>
      <c r="AJ79" s="233"/>
      <c r="AK79" s="233"/>
      <c r="AL79" s="233"/>
      <c r="AM79" s="234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5"/>
      <c r="AC80" s="236"/>
      <c r="AD80" s="236"/>
      <c r="AE80" s="236"/>
      <c r="AF80" s="236"/>
      <c r="AG80" s="236"/>
      <c r="AH80" s="236"/>
      <c r="AI80" s="236"/>
      <c r="AJ80" s="236"/>
      <c r="AK80" s="236"/>
      <c r="AL80" s="236"/>
      <c r="AM80" s="237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8"/>
      <c r="AC81" s="239"/>
      <c r="AD81" s="239"/>
      <c r="AE81" s="239"/>
      <c r="AF81" s="239"/>
      <c r="AG81" s="239"/>
      <c r="AH81" s="239"/>
      <c r="AI81" s="239"/>
      <c r="AJ81" s="239"/>
      <c r="AK81" s="239"/>
      <c r="AL81" s="239"/>
      <c r="AM81" s="240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421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102</v>
      </c>
      <c r="C593" s="89" t="s">
        <v>66</v>
      </c>
      <c r="D593" s="89" t="s">
        <v>103</v>
      </c>
      <c r="E593" s="89" t="s">
        <v>104</v>
      </c>
      <c r="F593" s="89" t="s">
        <v>106</v>
      </c>
      <c r="G593" s="89" t="s">
        <v>105</v>
      </c>
      <c r="H593" s="89" t="s">
        <v>111</v>
      </c>
      <c r="I593" s="89" t="s">
        <v>115</v>
      </c>
      <c r="J593" s="190" t="s">
        <v>116</v>
      </c>
      <c r="K593" s="191" t="s">
        <v>127</v>
      </c>
      <c r="L593" s="191" t="s">
        <v>128</v>
      </c>
      <c r="M593" s="191" t="s">
        <v>129</v>
      </c>
      <c r="N593" s="89"/>
      <c r="O593" s="89" t="s">
        <v>161</v>
      </c>
      <c r="P593" s="89" t="s">
        <v>162</v>
      </c>
      <c r="Q593" s="89"/>
      <c r="R593" s="89" t="s">
        <v>163</v>
      </c>
      <c r="S593" s="89" t="s">
        <v>163</v>
      </c>
      <c r="T593" s="89" t="s">
        <v>166</v>
      </c>
      <c r="U593" s="89" t="s">
        <v>166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60" priority="22" operator="containsText" text="Oui">
      <formula>NOT(ISERROR(SEARCH("Oui",B19)))</formula>
    </cfRule>
  </conditionalFormatting>
  <conditionalFormatting sqref="B17 B19 B21 B23">
    <cfRule type="containsText" dxfId="59" priority="20" operator="containsText" text="Non">
      <formula>NOT(ISERROR(SEARCH("Non",B17)))</formula>
    </cfRule>
    <cfRule type="containsText" dxfId="58" priority="21" operator="containsText" text="Oui">
      <formula>NOT(ISERROR(SEARCH("Oui",B17)))</formula>
    </cfRule>
  </conditionalFormatting>
  <conditionalFormatting sqref="B26">
    <cfRule type="cellIs" dxfId="57" priority="18" operator="equal">
      <formula>"Oui"</formula>
    </cfRule>
    <cfRule type="containsText" dxfId="56" priority="19" operator="containsText" text="Non">
      <formula>NOT(ISERROR(SEARCH("Non",B26)))</formula>
    </cfRule>
  </conditionalFormatting>
  <conditionalFormatting sqref="A32:D32">
    <cfRule type="cellIs" dxfId="55" priority="7" operator="equal">
      <formula>"Constantes d'integration y' incorrectes"</formula>
    </cfRule>
    <cfRule type="cellIs" dxfId="54" priority="9" operator="equal">
      <formula>"Constantes d'integration y' correctes"</formula>
    </cfRule>
    <cfRule type="cellIs" dxfId="53" priority="12" operator="equal">
      <formula>"Constantes d'integration incorrectes"</formula>
    </cfRule>
    <cfRule type="containsText" dxfId="52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51" priority="10" operator="equal">
      <formula>"Erreur probable"</formula>
    </cfRule>
    <cfRule type="cellIs" dxfId="50" priority="11" operator="equal">
      <formula>"PFD Verifié"</formula>
    </cfRule>
  </conditionalFormatting>
  <conditionalFormatting sqref="A33:D33">
    <cfRule type="cellIs" dxfId="49" priority="5" operator="equal">
      <formula>"Constantes d'integration z' incorrectes"</formula>
    </cfRule>
    <cfRule type="cellIs" dxfId="48" priority="6" operator="equal">
      <formula>"Constantes d'integration z' incorrectes"</formula>
    </cfRule>
    <cfRule type="cellIs" dxfId="47" priority="8" operator="equal">
      <formula>"Constantes d'integration z' correctes"</formula>
    </cfRule>
  </conditionalFormatting>
  <conditionalFormatting sqref="G592:H592 C592:E592">
    <cfRule type="cellIs" dxfId="46" priority="1" operator="greaterThan">
      <formula>0.00000001</formula>
    </cfRule>
    <cfRule type="cellIs" dxfId="45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A29" sqref="A29:B29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8.2851562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330" t="s">
        <v>422</v>
      </c>
      <c r="B1" s="330"/>
      <c r="C1" s="330"/>
      <c r="D1" s="330"/>
      <c r="E1" s="1"/>
      <c r="F1" s="330" t="s">
        <v>423</v>
      </c>
      <c r="G1" s="330"/>
      <c r="H1" s="330"/>
      <c r="I1" s="330"/>
      <c r="J1" s="1"/>
      <c r="K1" s="262" t="s">
        <v>313</v>
      </c>
      <c r="L1" s="262"/>
      <c r="M1" s="262"/>
      <c r="N1" s="262"/>
      <c r="O1" s="262"/>
      <c r="P1" s="262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300</v>
      </c>
      <c r="B2" s="56" t="s">
        <v>8</v>
      </c>
      <c r="C2" s="56" t="s">
        <v>99</v>
      </c>
      <c r="D2" s="56" t="s">
        <v>10</v>
      </c>
      <c r="E2" s="1"/>
      <c r="F2" s="56" t="s">
        <v>300</v>
      </c>
      <c r="G2" s="56" t="s">
        <v>8</v>
      </c>
      <c r="H2" s="56" t="s">
        <v>99</v>
      </c>
      <c r="I2" s="56" t="s">
        <v>10</v>
      </c>
      <c r="J2" s="1"/>
      <c r="L2" t="s">
        <v>314</v>
      </c>
      <c r="N2" t="s">
        <v>315</v>
      </c>
      <c r="Q2" s="1"/>
      <c r="R2" s="1"/>
      <c r="S2" s="1"/>
    </row>
    <row r="3" spans="1:23" x14ac:dyDescent="0.25">
      <c r="A3" s="69" t="s">
        <v>79</v>
      </c>
      <c r="B3" s="69">
        <f>ABS('Arbre 6'!B11)</f>
        <v>334.13872449805569</v>
      </c>
      <c r="C3" s="69" t="s">
        <v>66</v>
      </c>
      <c r="D3" s="70" t="s">
        <v>280</v>
      </c>
      <c r="E3" s="1"/>
      <c r="F3" s="69" t="s">
        <v>79</v>
      </c>
      <c r="G3" s="69">
        <v>0</v>
      </c>
      <c r="H3" s="69" t="s">
        <v>66</v>
      </c>
      <c r="I3" s="70" t="s">
        <v>280</v>
      </c>
      <c r="J3" s="1"/>
      <c r="K3" t="s">
        <v>317</v>
      </c>
      <c r="L3" t="s">
        <v>284</v>
      </c>
      <c r="M3" t="s">
        <v>285</v>
      </c>
      <c r="N3" t="s">
        <v>555</v>
      </c>
      <c r="O3" t="s">
        <v>556</v>
      </c>
      <c r="P3" t="s">
        <v>282</v>
      </c>
      <c r="Q3" t="s">
        <v>316</v>
      </c>
      <c r="R3" t="s">
        <v>557</v>
      </c>
      <c r="S3" s="1"/>
    </row>
    <row r="4" spans="1:23" x14ac:dyDescent="0.25">
      <c r="A4" s="69" t="s">
        <v>80</v>
      </c>
      <c r="B4" s="69" cm="1">
        <f t="array" ref="B4">norme('Arbre 6'!B12,'Arbre 6'!B13)</f>
        <v>295.65831386416619</v>
      </c>
      <c r="C4" s="69" t="s">
        <v>66</v>
      </c>
      <c r="D4" s="70" t="s">
        <v>281</v>
      </c>
      <c r="E4" s="1"/>
      <c r="F4" s="69" t="s">
        <v>80</v>
      </c>
      <c r="G4" s="69" cm="1">
        <f t="array" ref="G4">norme('Arbre 6'!B14,'Arbre 6'!B15)</f>
        <v>419.61404303825623</v>
      </c>
      <c r="H4" s="69" t="s">
        <v>66</v>
      </c>
      <c r="I4" s="70" t="s">
        <v>281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76</v>
      </c>
      <c r="B5" s="69">
        <v>16800</v>
      </c>
      <c r="C5" s="69" t="s">
        <v>66</v>
      </c>
      <c r="D5" s="70" t="s">
        <v>292</v>
      </c>
      <c r="E5" s="1"/>
      <c r="F5" s="69" t="s">
        <v>76</v>
      </c>
      <c r="G5" s="69">
        <v>9360</v>
      </c>
      <c r="H5" s="69" t="s">
        <v>66</v>
      </c>
      <c r="I5" s="70" t="s">
        <v>292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286</v>
      </c>
      <c r="B6" s="69">
        <v>10200</v>
      </c>
      <c r="C6" s="69" t="s">
        <v>66</v>
      </c>
      <c r="D6" s="70" t="s">
        <v>293</v>
      </c>
      <c r="E6" s="1"/>
      <c r="F6" s="69" t="s">
        <v>286</v>
      </c>
      <c r="G6" s="69">
        <v>7650</v>
      </c>
      <c r="H6" s="69" t="s">
        <v>66</v>
      </c>
      <c r="I6" s="70" t="s">
        <v>293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66</v>
      </c>
      <c r="B7" s="69">
        <f>'Arbre 6'!B3</f>
        <v>1500</v>
      </c>
      <c r="C7" s="69" t="s">
        <v>2</v>
      </c>
      <c r="D7" s="70" t="s">
        <v>297</v>
      </c>
      <c r="E7" s="1"/>
      <c r="F7" s="69" t="s">
        <v>66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287</v>
      </c>
      <c r="B8" s="69">
        <v>1</v>
      </c>
      <c r="C8" s="69" t="s">
        <v>441</v>
      </c>
      <c r="D8" s="70" t="s">
        <v>294</v>
      </c>
      <c r="E8" s="1"/>
      <c r="F8" s="69" t="s">
        <v>287</v>
      </c>
      <c r="G8" s="69">
        <v>1</v>
      </c>
      <c r="H8" s="69" t="s">
        <v>441</v>
      </c>
      <c r="I8" s="70" t="s">
        <v>294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288</v>
      </c>
      <c r="B9" s="69">
        <v>1</v>
      </c>
      <c r="C9" s="69" t="s">
        <v>441</v>
      </c>
      <c r="D9" s="70" t="s">
        <v>295</v>
      </c>
      <c r="E9" s="1"/>
      <c r="F9" s="69" t="s">
        <v>288</v>
      </c>
      <c r="G9" s="69">
        <v>1</v>
      </c>
      <c r="H9" s="69" t="s">
        <v>441</v>
      </c>
      <c r="I9" s="70" t="s">
        <v>295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289</v>
      </c>
      <c r="B10" s="69">
        <v>1</v>
      </c>
      <c r="C10" s="69" t="s">
        <v>441</v>
      </c>
      <c r="D10" s="70" t="s">
        <v>296</v>
      </c>
      <c r="E10" s="1"/>
      <c r="F10" s="69" t="s">
        <v>289</v>
      </c>
      <c r="G10" s="69">
        <v>1</v>
      </c>
      <c r="H10" s="69" t="s">
        <v>441</v>
      </c>
      <c r="I10" s="70" t="s">
        <v>296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301</v>
      </c>
      <c r="B12" s="56" t="s">
        <v>8</v>
      </c>
      <c r="C12" s="56" t="s">
        <v>99</v>
      </c>
      <c r="D12" s="56" t="s">
        <v>10</v>
      </c>
      <c r="E12" s="1"/>
      <c r="F12" s="57" t="s">
        <v>301</v>
      </c>
      <c r="G12" s="56" t="s">
        <v>8</v>
      </c>
      <c r="H12" s="56" t="s">
        <v>99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32" t="s">
        <v>319</v>
      </c>
      <c r="B13" s="74">
        <f>B3/B6</f>
        <v>3.2758698480201541E-2</v>
      </c>
      <c r="C13" s="83" t="s">
        <v>441</v>
      </c>
      <c r="D13" s="213" t="s">
        <v>322</v>
      </c>
      <c r="E13" s="1"/>
      <c r="F13" s="32" t="s">
        <v>319</v>
      </c>
      <c r="G13" s="32">
        <f>G3/G6</f>
        <v>0</v>
      </c>
      <c r="H13" s="83" t="s">
        <v>441</v>
      </c>
      <c r="I13" s="85" t="s">
        <v>322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32" t="s">
        <v>282</v>
      </c>
      <c r="B14" s="74">
        <f>W21</f>
        <v>0.22679814068600221</v>
      </c>
      <c r="C14" s="83" t="s">
        <v>441</v>
      </c>
      <c r="D14" s="213" t="s">
        <v>283</v>
      </c>
      <c r="E14" s="1"/>
      <c r="F14" s="32" t="s">
        <v>282</v>
      </c>
      <c r="G14" s="32" t="e">
        <f>S21</f>
        <v>#N/A</v>
      </c>
      <c r="H14" s="83" t="s">
        <v>441</v>
      </c>
      <c r="I14" s="85" t="s">
        <v>283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32" t="s">
        <v>284</v>
      </c>
      <c r="B15" s="74">
        <f>W22</f>
        <v>0.56000000000000005</v>
      </c>
      <c r="C15" s="83" t="s">
        <v>441</v>
      </c>
      <c r="D15" s="213" t="s">
        <v>290</v>
      </c>
      <c r="E15" s="1"/>
      <c r="F15" s="32" t="s">
        <v>284</v>
      </c>
      <c r="G15" s="32" t="e">
        <f>S22</f>
        <v>#N/A</v>
      </c>
      <c r="H15" s="83" t="s">
        <v>441</v>
      </c>
      <c r="I15" s="85" t="s">
        <v>290</v>
      </c>
      <c r="J15" s="1"/>
      <c r="P15" s="1"/>
      <c r="Q15" t="s">
        <v>320</v>
      </c>
      <c r="R15" cm="1">
        <f t="array" ref="R15">MAX(IF( R4:R12&lt;0, R4:R12))</f>
        <v>0</v>
      </c>
      <c r="S15" s="1"/>
      <c r="U15" t="s">
        <v>320</v>
      </c>
      <c r="V15" cm="1">
        <f t="array" ref="V15">MAX(IF( Q4:Q12&lt;0,Q4:Q12 ))</f>
        <v>-4.7586984802015404E-3</v>
      </c>
      <c r="W15" s="1"/>
    </row>
    <row r="16" spans="1:23" x14ac:dyDescent="0.25">
      <c r="A16" s="32" t="s">
        <v>285</v>
      </c>
      <c r="B16" s="74">
        <f>W23</f>
        <v>1.9424130151979846</v>
      </c>
      <c r="C16" s="83" t="s">
        <v>441</v>
      </c>
      <c r="D16" s="213" t="s">
        <v>291</v>
      </c>
      <c r="E16" s="1"/>
      <c r="F16" s="32" t="s">
        <v>285</v>
      </c>
      <c r="G16" s="32" t="e">
        <f>S23</f>
        <v>#N/A</v>
      </c>
      <c r="H16" s="83" t="s">
        <v>441</v>
      </c>
      <c r="I16" s="85" t="s">
        <v>291</v>
      </c>
      <c r="J16" s="1"/>
      <c r="P16" s="1"/>
      <c r="Q16" t="s">
        <v>321</v>
      </c>
      <c r="R16" cm="1">
        <f t="array" ref="R16">MIN(IF( R4:R12&gt;0, R4:R12))</f>
        <v>1.4E-2</v>
      </c>
      <c r="S16" s="1"/>
      <c r="U16" t="s">
        <v>321</v>
      </c>
      <c r="V16" cm="1">
        <f t="array" ref="V16">MIN(IF(Q4:Q12&gt;0, Q4:Q12))</f>
        <v>2.324130151979846E-2</v>
      </c>
      <c r="W16" s="1"/>
    </row>
    <row r="17" spans="1:23" x14ac:dyDescent="0.25">
      <c r="A17" s="32" t="s">
        <v>298</v>
      </c>
      <c r="B17" s="32">
        <f>B3/B4</f>
        <v>1.1301516271636742</v>
      </c>
      <c r="C17" s="83" t="s">
        <v>441</v>
      </c>
      <c r="D17" s="213" t="s">
        <v>299</v>
      </c>
      <c r="E17" s="1"/>
      <c r="F17" s="32" t="s">
        <v>298</v>
      </c>
      <c r="G17" s="32">
        <f>G3/G4</f>
        <v>0</v>
      </c>
      <c r="H17" s="83" t="s">
        <v>441</v>
      </c>
      <c r="I17" s="85" t="s">
        <v>299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32" t="s">
        <v>65</v>
      </c>
      <c r="B18" s="32">
        <f>IF(B3=0,B4,(IF(B17&lt;=B14,B4,B15*B4+B16*B3)))</f>
        <v>814.60406311061013</v>
      </c>
      <c r="C18" s="83" t="s">
        <v>66</v>
      </c>
      <c r="D18" s="213" t="s">
        <v>309</v>
      </c>
      <c r="E18" s="1"/>
      <c r="F18" s="32" t="s">
        <v>65</v>
      </c>
      <c r="G18" s="32">
        <f>IF(G3=0,G4,(IF(G17&lt;=S21,G4,S22*G4+S23*G3)))</f>
        <v>419.61404303825623</v>
      </c>
      <c r="H18" s="83" t="s">
        <v>66</v>
      </c>
      <c r="I18" s="85" t="s">
        <v>309</v>
      </c>
      <c r="J18" s="1"/>
      <c r="P18" s="1"/>
      <c r="Q18" t="s">
        <v>323</v>
      </c>
      <c r="R18" t="e">
        <f>MATCH(R15,R4:R12,0)</f>
        <v>#N/A</v>
      </c>
      <c r="S18" s="1"/>
      <c r="U18" t="s">
        <v>323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324</v>
      </c>
      <c r="R19">
        <f>MATCH(R16,R4:R12,0)</f>
        <v>1</v>
      </c>
      <c r="S19" s="1"/>
      <c r="U19" t="s">
        <v>324</v>
      </c>
      <c r="V19">
        <f>MATCH(V16,Q4:Q12,0)</f>
        <v>3</v>
      </c>
      <c r="W19" s="1"/>
    </row>
    <row r="20" spans="1:23" ht="15.75" thickBot="1" x14ac:dyDescent="0.3">
      <c r="A20" s="57" t="s">
        <v>310</v>
      </c>
      <c r="B20" s="56" t="s">
        <v>8</v>
      </c>
      <c r="C20" s="56" t="s">
        <v>99</v>
      </c>
      <c r="D20" s="56" t="s">
        <v>10</v>
      </c>
      <c r="E20" s="1"/>
      <c r="F20" s="57" t="s">
        <v>310</v>
      </c>
      <c r="G20" s="56" t="s">
        <v>8</v>
      </c>
      <c r="H20" s="56" t="s">
        <v>99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305</v>
      </c>
      <c r="B21" s="69">
        <f>((10^6)/(60*B7))*B23</f>
        <v>97464.311652027711</v>
      </c>
      <c r="C21" s="69" t="s">
        <v>302</v>
      </c>
      <c r="D21" s="85" t="s">
        <v>307</v>
      </c>
      <c r="E21" s="1"/>
      <c r="F21" s="69" t="s">
        <v>305</v>
      </c>
      <c r="G21" s="69">
        <f>((10^6)/(60*G7))*G23</f>
        <v>123320.4197995437</v>
      </c>
      <c r="H21" s="69" t="s">
        <v>302</v>
      </c>
      <c r="I21" s="85" t="s">
        <v>307</v>
      </c>
      <c r="J21" s="1"/>
      <c r="P21" s="1"/>
      <c r="Q21" s="260" t="s">
        <v>318</v>
      </c>
      <c r="R21" s="260"/>
      <c r="S21" t="e" cm="1">
        <f t="array" ref="S21">((INDEX(P4:P12,R19) - INDEX(P4:P12,R18))/(INDEX(K4:K12,R19) - INDEX(K4:K12,R18)))*(G13 - INDEX(K4:K12,R18)) + INDEX(P4:P12,R18)</f>
        <v>#N/A</v>
      </c>
      <c r="T21" s="1"/>
      <c r="U21" s="260" t="s">
        <v>318</v>
      </c>
      <c r="V21" s="260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306</v>
      </c>
      <c r="B22" s="69">
        <f>B8*B9*B10*B21</f>
        <v>97464.311652027711</v>
      </c>
      <c r="C22" s="69" t="s">
        <v>302</v>
      </c>
      <c r="D22" s="85" t="s">
        <v>308</v>
      </c>
      <c r="E22" s="1"/>
      <c r="F22" s="69" t="s">
        <v>306</v>
      </c>
      <c r="G22" s="69">
        <f>G21*G8*G9*G10</f>
        <v>123320.4197995437</v>
      </c>
      <c r="H22" s="69" t="s">
        <v>302</v>
      </c>
      <c r="I22" s="85" t="s">
        <v>308</v>
      </c>
      <c r="J22" s="1"/>
      <c r="P22" s="1"/>
      <c r="Q22" s="260" t="s">
        <v>325</v>
      </c>
      <c r="R22" s="260"/>
      <c r="S22" t="e" cm="1">
        <f t="array" ref="S22">INDEX(N4:N12,R18)</f>
        <v>#N/A</v>
      </c>
      <c r="T22" s="1"/>
      <c r="U22" s="260" t="s">
        <v>325</v>
      </c>
      <c r="V22" s="260"/>
      <c r="W22" cm="1">
        <f t="array" ref="W22">INDEX(N4:N12,V18)</f>
        <v>0.56000000000000005</v>
      </c>
    </row>
    <row r="23" spans="1:23" x14ac:dyDescent="0.25">
      <c r="A23" s="69" t="s">
        <v>304</v>
      </c>
      <c r="B23" s="69">
        <f>(B5/B18)^3</f>
        <v>8771.7880486824943</v>
      </c>
      <c r="C23" s="69" t="s">
        <v>303</v>
      </c>
      <c r="D23" s="85" t="s">
        <v>307</v>
      </c>
      <c r="E23" s="1"/>
      <c r="F23" s="69" t="s">
        <v>304</v>
      </c>
      <c r="G23" s="69">
        <f>(G5/G18)^3</f>
        <v>11098.837781958933</v>
      </c>
      <c r="H23" s="69" t="s">
        <v>303</v>
      </c>
      <c r="I23" s="85" t="s">
        <v>307</v>
      </c>
      <c r="J23" s="1"/>
      <c r="P23" s="1"/>
      <c r="Q23" s="260" t="s">
        <v>326</v>
      </c>
      <c r="R23" s="260"/>
      <c r="S23" t="e" cm="1">
        <f t="array" ref="S23">((INDEX(O4:O12,R19) - INDEX(O4:O12,R18))/(INDEX(K4:K12,R19) - INDEX(K4:K12,R18)))*(G13 - INDEX(K4:K12,R18)) + INDEX(O4:O12,R18)</f>
        <v>#N/A</v>
      </c>
      <c r="T23" s="1"/>
      <c r="U23" s="260" t="s">
        <v>326</v>
      </c>
      <c r="V23" s="260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345</v>
      </c>
      <c r="B25" s="56" t="s">
        <v>8</v>
      </c>
      <c r="C25" s="56" t="s">
        <v>348</v>
      </c>
      <c r="D25" s="56" t="s">
        <v>10</v>
      </c>
      <c r="E25" s="1"/>
      <c r="F25" s="57" t="s">
        <v>345</v>
      </c>
      <c r="G25" s="56" t="s">
        <v>8</v>
      </c>
      <c r="H25" s="56" t="s">
        <v>348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347</v>
      </c>
      <c r="B26" s="69">
        <f>B5/B18</f>
        <v>20.623516086880638</v>
      </c>
      <c r="C26" s="69" t="str">
        <f>IF(B26&lt;2,"NON","OUI")</f>
        <v>OUI</v>
      </c>
      <c r="D26" s="85" t="s">
        <v>346</v>
      </c>
      <c r="E26" s="1"/>
      <c r="F26" s="69" t="s">
        <v>347</v>
      </c>
      <c r="G26" s="69">
        <f>G5/G18</f>
        <v>22.306212471413041</v>
      </c>
      <c r="H26" s="69" t="str">
        <f>IF(G26&lt;2,"NON","OUI")</f>
        <v>OUI</v>
      </c>
      <c r="I26" s="85" t="s">
        <v>346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62" t="s">
        <v>312</v>
      </c>
      <c r="B29" s="262"/>
      <c r="C29" s="1"/>
    </row>
    <row r="30" spans="1:23" x14ac:dyDescent="0.25">
      <c r="A30" s="174" t="s">
        <v>311</v>
      </c>
      <c r="B30" s="174" t="s">
        <v>287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14" priority="4" operator="lessThan">
      <formula>$H$26</formula>
    </cfRule>
  </conditionalFormatting>
  <conditionalFormatting sqref="C26">
    <cfRule type="cellIs" dxfId="13" priority="3" operator="lessThan">
      <formula>$C$26</formula>
    </cfRule>
  </conditionalFormatting>
  <conditionalFormatting sqref="H26 C26">
    <cfRule type="cellIs" dxfId="8" priority="2" operator="equal">
      <formula>"OUI"</formula>
    </cfRule>
    <cfRule type="cellIs" dxfId="9" priority="1" operator="equal">
      <formula>"NON"</formula>
    </cfRule>
  </conditionalFormatting>
  <pageMargins left="0.7" right="0.7" top="0.75" bottom="0.75" header="0.3" footer="0.3"/>
  <pageSetup paperSize="9" orientation="portrait" horizontalDpi="360" verticalDpi="36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16" zoomScaleNormal="100" workbookViewId="0">
      <selection activeCell="G23" sqref="G23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64</v>
      </c>
      <c r="B1" s="56" t="s">
        <v>8</v>
      </c>
      <c r="C1" s="56" t="s">
        <v>99</v>
      </c>
      <c r="D1" s="56" t="s">
        <v>10</v>
      </c>
      <c r="E1" s="1"/>
      <c r="F1" s="67" t="s">
        <v>25</v>
      </c>
      <c r="G1" s="67" t="s">
        <v>208</v>
      </c>
      <c r="H1" s="67" t="s">
        <v>99</v>
      </c>
      <c r="I1" s="67" t="s">
        <v>209</v>
      </c>
      <c r="J1" s="1"/>
      <c r="K1" s="59" t="s">
        <v>135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65</v>
      </c>
      <c r="B2" s="154">
        <f>'Résistance des engrenages'!B3*'Résistance des engrenages'!B5</f>
        <v>2850</v>
      </c>
      <c r="C2" s="69" t="s">
        <v>4</v>
      </c>
      <c r="D2" s="15" t="s">
        <v>207</v>
      </c>
      <c r="E2" s="1"/>
      <c r="F2" s="71" t="s">
        <v>238</v>
      </c>
      <c r="G2" s="146">
        <f>'Résistance des engrenages'!G6</f>
        <v>20</v>
      </c>
      <c r="H2" s="69" t="s">
        <v>70</v>
      </c>
      <c r="I2" s="70" t="s">
        <v>216</v>
      </c>
      <c r="J2" s="1"/>
      <c r="K2" s="60" t="s">
        <v>136</v>
      </c>
      <c r="L2" s="13"/>
      <c r="M2" s="272" t="s">
        <v>265</v>
      </c>
      <c r="N2" s="273"/>
      <c r="O2" s="273"/>
      <c r="P2" s="273"/>
      <c r="Q2" s="273"/>
      <c r="R2" s="273"/>
      <c r="S2" s="273"/>
      <c r="T2" s="273"/>
      <c r="U2" s="274"/>
      <c r="V2" s="13"/>
      <c r="W2" s="13"/>
      <c r="X2" s="1"/>
      <c r="Y2" s="13"/>
      <c r="Z2" s="13"/>
      <c r="AA2" s="13"/>
      <c r="AB2" s="232" t="s">
        <v>190</v>
      </c>
      <c r="AC2" s="233"/>
      <c r="AD2" s="233"/>
      <c r="AE2" s="233"/>
      <c r="AF2" s="233"/>
      <c r="AG2" s="233"/>
      <c r="AH2" s="233"/>
      <c r="AI2" s="233"/>
      <c r="AJ2" s="234"/>
      <c r="AK2" s="13"/>
      <c r="AL2" s="13"/>
      <c r="AM2" s="13"/>
      <c r="AN2" s="1"/>
    </row>
    <row r="3" spans="1:40" ht="15.75" thickBot="1" x14ac:dyDescent="0.3">
      <c r="A3" s="71" t="s">
        <v>66</v>
      </c>
      <c r="B3" s="155">
        <f>'Résistance des engrenages'!B2*'Résistance des engrenages'!G4</f>
        <v>707.14285714285711</v>
      </c>
      <c r="C3" s="69" t="s">
        <v>2</v>
      </c>
      <c r="D3" s="36" t="s">
        <v>206</v>
      </c>
      <c r="E3" s="1"/>
      <c r="F3" s="68" t="s">
        <v>237</v>
      </c>
      <c r="G3" s="130">
        <f>G2</f>
        <v>20</v>
      </c>
      <c r="H3" s="69" t="s">
        <v>70</v>
      </c>
      <c r="I3" s="70" t="s">
        <v>217</v>
      </c>
      <c r="J3" s="1"/>
      <c r="K3" s="13"/>
      <c r="L3" s="13"/>
      <c r="M3" s="275"/>
      <c r="N3" s="276"/>
      <c r="O3" s="276"/>
      <c r="P3" s="276"/>
      <c r="Q3" s="276"/>
      <c r="R3" s="276"/>
      <c r="S3" s="276"/>
      <c r="T3" s="276"/>
      <c r="U3" s="277"/>
      <c r="V3" s="13"/>
      <c r="W3" s="13"/>
      <c r="X3" s="1"/>
      <c r="Y3" s="13"/>
      <c r="Z3" s="13"/>
      <c r="AA3" s="13"/>
      <c r="AB3" s="238"/>
      <c r="AC3" s="239"/>
      <c r="AD3" s="239"/>
      <c r="AE3" s="239"/>
      <c r="AF3" s="239"/>
      <c r="AG3" s="239"/>
      <c r="AH3" s="239"/>
      <c r="AI3" s="239"/>
      <c r="AJ3" s="240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41</v>
      </c>
      <c r="G4" s="146">
        <f>'Résistance des engrenages'!G7</f>
        <v>30</v>
      </c>
      <c r="H4" s="69" t="s">
        <v>70</v>
      </c>
      <c r="I4" s="70" t="s">
        <v>72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210</v>
      </c>
      <c r="G5" s="130">
        <f>'Résistance des engrenages'!B14/2</f>
        <v>70</v>
      </c>
      <c r="H5" s="69" t="s">
        <v>26</v>
      </c>
      <c r="I5" s="70" t="s">
        <v>212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211</v>
      </c>
      <c r="G6" s="130">
        <f>'Résistance des engrenages'!G3/2</f>
        <v>24</v>
      </c>
      <c r="H6" s="69" t="s">
        <v>26</v>
      </c>
      <c r="I6" s="70" t="s">
        <v>213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214</v>
      </c>
      <c r="B7" s="56" t="s">
        <v>8</v>
      </c>
      <c r="C7" s="56" t="s">
        <v>215</v>
      </c>
      <c r="D7" s="56" t="s">
        <v>10</v>
      </c>
      <c r="E7" s="1"/>
      <c r="F7" s="68" t="s">
        <v>85</v>
      </c>
      <c r="G7" s="130">
        <v>61</v>
      </c>
      <c r="H7" s="69" t="s">
        <v>26</v>
      </c>
      <c r="I7" s="70" t="s">
        <v>220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226</v>
      </c>
      <c r="B8" s="151">
        <f>2*PI()*B3/60</f>
        <v>74.051826834616548</v>
      </c>
      <c r="C8" s="75" t="s">
        <v>74</v>
      </c>
      <c r="D8" s="76" t="s">
        <v>231</v>
      </c>
      <c r="E8" s="1"/>
      <c r="F8" s="68" t="s">
        <v>218</v>
      </c>
      <c r="G8" s="130">
        <v>30.5</v>
      </c>
      <c r="H8" s="69" t="s">
        <v>26</v>
      </c>
      <c r="I8" s="70" t="s">
        <v>221</v>
      </c>
      <c r="J8" s="1"/>
      <c r="K8" s="13"/>
      <c r="L8" s="278" t="s">
        <v>267</v>
      </c>
      <c r="M8" s="279"/>
      <c r="N8" s="279"/>
      <c r="O8" s="102">
        <v>1.34E-4</v>
      </c>
      <c r="P8" s="13"/>
      <c r="Q8" s="58"/>
      <c r="R8" s="280"/>
      <c r="S8" s="280"/>
      <c r="T8" s="280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76</v>
      </c>
      <c r="B9" s="152">
        <f>1000*B2/B8</f>
        <v>38486.558965858327</v>
      </c>
      <c r="C9" s="75" t="s">
        <v>77</v>
      </c>
      <c r="D9" s="76" t="s">
        <v>232</v>
      </c>
      <c r="E9" s="1"/>
      <c r="F9" s="68"/>
      <c r="G9" s="130">
        <v>15</v>
      </c>
      <c r="H9" s="69" t="s">
        <v>26</v>
      </c>
      <c r="I9" s="70" t="s">
        <v>223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227</v>
      </c>
      <c r="B10" s="152">
        <f>B9/G5</f>
        <v>549.80798522654754</v>
      </c>
      <c r="C10" s="75" t="s">
        <v>66</v>
      </c>
      <c r="D10" s="76" t="s">
        <v>233</v>
      </c>
      <c r="E10" s="1"/>
      <c r="F10" s="68" t="s">
        <v>219</v>
      </c>
      <c r="G10" s="130">
        <v>-27.5</v>
      </c>
      <c r="H10" s="69" t="s">
        <v>26</v>
      </c>
      <c r="I10" s="70" t="s">
        <v>222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228</v>
      </c>
      <c r="B11" s="152">
        <f>-B10*TAN(RADIANS(G3))/COS(RADIANS(G4))</f>
        <v>-231.07144468263806</v>
      </c>
      <c r="C11" s="75" t="s">
        <v>66</v>
      </c>
      <c r="D11" s="76" t="s">
        <v>235</v>
      </c>
      <c r="E11" s="1"/>
      <c r="F11" s="68"/>
      <c r="G11" s="130">
        <v>60</v>
      </c>
      <c r="H11" s="69" t="s">
        <v>26</v>
      </c>
      <c r="I11" s="70" t="s">
        <v>224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229</v>
      </c>
      <c r="B12" s="152">
        <f>B10*TAN(RADIANS(G4))</f>
        <v>317.43178827315302</v>
      </c>
      <c r="C12" s="75" t="s">
        <v>66</v>
      </c>
      <c r="D12" s="76" t="s">
        <v>236</v>
      </c>
      <c r="E12" s="1"/>
      <c r="F12" s="93" t="s">
        <v>113</v>
      </c>
      <c r="G12" s="147">
        <v>0</v>
      </c>
      <c r="H12" s="94" t="s">
        <v>66</v>
      </c>
      <c r="I12" s="100" t="s">
        <v>225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230</v>
      </c>
      <c r="B13" s="152">
        <f>-B9/G6</f>
        <v>-1603.6066235774304</v>
      </c>
      <c r="C13" s="75" t="s">
        <v>66</v>
      </c>
      <c r="D13" s="76" t="s">
        <v>234</v>
      </c>
      <c r="E13" s="1"/>
      <c r="F13" s="97" t="s">
        <v>121</v>
      </c>
      <c r="G13" s="148">
        <v>30</v>
      </c>
      <c r="H13" s="98" t="s">
        <v>26</v>
      </c>
      <c r="I13" s="99" t="s">
        <v>247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239</v>
      </c>
      <c r="B14" s="152">
        <v>0</v>
      </c>
      <c r="C14" s="75" t="s">
        <v>66</v>
      </c>
      <c r="D14" s="76" t="s">
        <v>240</v>
      </c>
      <c r="E14" s="1"/>
      <c r="F14" s="95" t="s">
        <v>246</v>
      </c>
      <c r="G14" s="149">
        <v>2</v>
      </c>
      <c r="H14" s="96" t="s">
        <v>17</v>
      </c>
      <c r="I14" s="101" t="s">
        <v>266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88</v>
      </c>
      <c r="B15" s="152">
        <f>-B12</f>
        <v>-317.43178827315302</v>
      </c>
      <c r="C15" s="83" t="s">
        <v>66</v>
      </c>
      <c r="D15" s="84" t="s">
        <v>241</v>
      </c>
      <c r="E15" s="1"/>
      <c r="F15" s="68" t="s">
        <v>145</v>
      </c>
      <c r="G15" s="130">
        <v>190000</v>
      </c>
      <c r="H15" s="69" t="s">
        <v>132</v>
      </c>
      <c r="I15" s="22" t="s">
        <v>150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89</v>
      </c>
      <c r="B16" s="152">
        <f>-(B10*G7-B10*G8+B13*G7-B13*G10)/(G7)</f>
        <v>2051.6400432326705</v>
      </c>
      <c r="C16" s="83" t="s">
        <v>66</v>
      </c>
      <c r="D16" s="85" t="s">
        <v>242</v>
      </c>
      <c r="E16" s="1"/>
      <c r="F16" s="68" t="s">
        <v>146</v>
      </c>
      <c r="G16" s="130">
        <f>G15/(2*(1+0.3))</f>
        <v>73076.923076923078</v>
      </c>
      <c r="H16" s="69" t="s">
        <v>132</v>
      </c>
      <c r="I16" s="26" t="s">
        <v>151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90</v>
      </c>
      <c r="B17" s="152">
        <f>-(B12*G5+B11*G7-B11*G8+B14*G7-B14*G10)/(G7)</f>
        <v>-248.73026420164345</v>
      </c>
      <c r="C17" s="83" t="s">
        <v>66</v>
      </c>
      <c r="D17" s="85" t="s">
        <v>243</v>
      </c>
      <c r="E17" s="1"/>
      <c r="F17" s="71" t="s">
        <v>133</v>
      </c>
      <c r="G17" s="146">
        <v>850</v>
      </c>
      <c r="H17" s="136" t="s">
        <v>132</v>
      </c>
      <c r="I17" s="30" t="s">
        <v>419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91</v>
      </c>
      <c r="B18" s="152">
        <f>-(B10*G8+B13*G10)/(G7)</f>
        <v>-997.8414048817873</v>
      </c>
      <c r="C18" s="83" t="s">
        <v>66</v>
      </c>
      <c r="D18" s="85" t="s">
        <v>244</v>
      </c>
      <c r="E18" s="1"/>
      <c r="F18" s="71" t="s">
        <v>134</v>
      </c>
      <c r="G18" s="146">
        <f>IF(G10/G16&lt;5,RADIANS(2/3),IF(G10/G16&gt;7,RADIANS(1/4),"A definir"))</f>
        <v>1.1635528346628864E-2</v>
      </c>
      <c r="H18" s="52" t="s">
        <v>152</v>
      </c>
      <c r="I18" s="22" t="s">
        <v>188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92</v>
      </c>
      <c r="B19" s="152">
        <f>(B12*G5-B11*G8-B14*G10)/(G7)</f>
        <v>479.80170888428154</v>
      </c>
      <c r="C19" s="83" t="s">
        <v>66</v>
      </c>
      <c r="D19" s="85" t="s">
        <v>245</v>
      </c>
      <c r="E19" s="1"/>
      <c r="F19" s="71" t="s">
        <v>140</v>
      </c>
      <c r="G19" s="146">
        <f>IF(B8&gt;500,(G7-G10)/3000,(G7-G10)/2000)</f>
        <v>4.4249999999999998E-2</v>
      </c>
      <c r="H19" s="52" t="s">
        <v>26</v>
      </c>
      <c r="I19" s="26" t="s">
        <v>187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270</v>
      </c>
      <c r="B20" s="152">
        <f>G17/(MAX(M54:M684)*G23)</f>
        <v>2.1290248760351127</v>
      </c>
      <c r="C20" s="82" t="s">
        <v>17</v>
      </c>
      <c r="D20" s="35" t="s">
        <v>124</v>
      </c>
      <c r="E20" s="1"/>
      <c r="F20" s="71" t="s">
        <v>137</v>
      </c>
      <c r="G20" s="146" t="s">
        <v>135</v>
      </c>
      <c r="H20" s="135" t="s">
        <v>17</v>
      </c>
      <c r="I20" s="26" t="s">
        <v>186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271</v>
      </c>
      <c r="B21" s="153" t="str">
        <f>IF(B20&gt;G14,"Oui","Non")</f>
        <v>Oui</v>
      </c>
      <c r="C21" s="75" t="s">
        <v>197</v>
      </c>
      <c r="D21" s="33" t="s">
        <v>125</v>
      </c>
      <c r="E21" s="1"/>
      <c r="F21" s="71" t="s">
        <v>138</v>
      </c>
      <c r="G21" s="146">
        <f>IF(G20="large",1/1500,1/500)</f>
        <v>6.6666666666666664E-4</v>
      </c>
      <c r="H21" s="134">
        <v>1</v>
      </c>
      <c r="I21" s="22" t="s">
        <v>185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154</v>
      </c>
      <c r="B22" s="142" cm="1">
        <f t="array" ref="B22">MAX(ABS(F54:F685))/(G16*B42)</f>
        <v>6.6228347197864792E-6</v>
      </c>
      <c r="C22" s="75" t="s">
        <v>152</v>
      </c>
      <c r="D22" s="34" t="s">
        <v>153</v>
      </c>
      <c r="E22" s="1"/>
      <c r="F22" s="116" t="s">
        <v>139</v>
      </c>
      <c r="G22" s="150">
        <v>3</v>
      </c>
      <c r="H22" s="17" t="s">
        <v>70</v>
      </c>
      <c r="I22" s="20" t="s">
        <v>184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144</v>
      </c>
      <c r="B23" s="153" t="str">
        <f>IF(B22&lt;G14,"Oui","Non")</f>
        <v>Oui</v>
      </c>
      <c r="C23" s="75" t="s">
        <v>197</v>
      </c>
      <c r="D23" s="33" t="s">
        <v>143</v>
      </c>
      <c r="E23" s="1"/>
      <c r="F23" s="129" t="s">
        <v>412</v>
      </c>
      <c r="G23" s="185">
        <v>5.3</v>
      </c>
      <c r="H23" s="69" t="s">
        <v>17</v>
      </c>
      <c r="I23" s="70" t="s">
        <v>408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156</v>
      </c>
      <c r="B24" s="140">
        <f>MAX(U54:U684)</f>
        <v>2.3205115610258717E-2</v>
      </c>
      <c r="C24" s="75" t="s">
        <v>26</v>
      </c>
      <c r="D24" s="33" t="s">
        <v>157</v>
      </c>
      <c r="E24" s="1"/>
      <c r="F24" s="68" t="s">
        <v>409</v>
      </c>
      <c r="G24" s="68">
        <f>Clavettes!G21/Clavettes!G16</f>
        <v>7.2727272727272738E-2</v>
      </c>
      <c r="H24" s="69" t="s">
        <v>17</v>
      </c>
      <c r="I24" s="70" t="s">
        <v>410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158</v>
      </c>
      <c r="B25" s="143" t="str">
        <f>IF(B24&lt;G19,"Oui","Non")</f>
        <v>Oui</v>
      </c>
      <c r="C25" s="75" t="s">
        <v>197</v>
      </c>
      <c r="D25" s="34" t="s">
        <v>142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177</v>
      </c>
      <c r="B26" s="140">
        <f>MAX(T54:T684)</f>
        <v>1.3400003731342766E-4</v>
      </c>
      <c r="C26" s="82" t="s">
        <v>17</v>
      </c>
      <c r="D26" s="33" t="s">
        <v>196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159</v>
      </c>
      <c r="B27" s="143" t="str">
        <f>IF(B26&lt;G21,"Oui","Non")</f>
        <v>Oui</v>
      </c>
      <c r="C27" s="75" t="s">
        <v>197</v>
      </c>
      <c r="D27" s="34" t="s">
        <v>141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178</v>
      </c>
      <c r="B28" s="140">
        <f>DEGREES(ATAN(T234))</f>
        <v>6.6870261122880638E-3</v>
      </c>
      <c r="C28" s="75" t="s">
        <v>70</v>
      </c>
      <c r="D28" s="33" t="s">
        <v>198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179</v>
      </c>
      <c r="B29" s="132">
        <f>DEGREES(ATAN(T684))</f>
        <v>3.0724384700048738E-3</v>
      </c>
      <c r="C29" s="75" t="s">
        <v>70</v>
      </c>
      <c r="D29" s="34" t="s">
        <v>199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160</v>
      </c>
      <c r="B30" s="133" t="str">
        <f>IF(MAX(B28:B29)&lt;G18,"Oui","Non")</f>
        <v>Oui</v>
      </c>
      <c r="C30" s="75" t="s">
        <v>197</v>
      </c>
      <c r="D30" s="33" t="s">
        <v>175</v>
      </c>
      <c r="E30" s="1"/>
      <c r="F30" s="13"/>
      <c r="G30" s="13"/>
      <c r="H30" s="13"/>
      <c r="I30" s="13"/>
      <c r="J30" s="1"/>
      <c r="K30" s="13"/>
      <c r="L30" s="278" t="s">
        <v>268</v>
      </c>
      <c r="M30" s="279"/>
      <c r="N30" s="279"/>
      <c r="O30" s="103">
        <v>-9.9999999999999995E-8</v>
      </c>
      <c r="P30" s="13"/>
      <c r="Q30" s="58"/>
      <c r="R30" s="280"/>
      <c r="S30" s="280"/>
      <c r="T30" s="280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7" t="s">
        <v>452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61"/>
      <c r="B33" s="261"/>
      <c r="C33" s="261"/>
      <c r="D33" s="261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61"/>
      <c r="B34" s="261"/>
      <c r="C34" s="261"/>
      <c r="D34" s="261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6" t="s">
        <v>194</v>
      </c>
      <c r="B35" s="267"/>
      <c r="C35" s="267"/>
      <c r="D35" s="268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0" t="s">
        <v>420</v>
      </c>
      <c r="B36" s="270"/>
      <c r="C36" s="271" t="str">
        <f>IF(C940+D940+E940+G940+H940&lt;0.0000001,"Oui","Non")</f>
        <v>Oui</v>
      </c>
      <c r="D36" s="271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6" t="s">
        <v>265</v>
      </c>
      <c r="B37" s="267"/>
      <c r="C37" s="267"/>
      <c r="D37" s="268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69" t="str" cm="1">
        <f t="array" ref="A38">IF(ABS(P939)&lt;0.01*MAX(ABS(P54:P939)),"constante y' valide","constante y' non valide")</f>
        <v>constante y' valide</v>
      </c>
      <c r="B38" s="269"/>
      <c r="C38" s="269"/>
      <c r="D38" s="269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69" t="str" cm="1">
        <f t="array" ref="A39">IF(ABS(S939)&lt;0.01*MAX(ABS(S54:S939)),"constante z' valide","constante z' non valide")</f>
        <v>constante z' valide</v>
      </c>
      <c r="B39" s="269"/>
      <c r="C39" s="269"/>
      <c r="D39" s="269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63" t="s">
        <v>253</v>
      </c>
      <c r="B40" s="264"/>
      <c r="C40" s="264"/>
      <c r="D40" s="265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272</v>
      </c>
      <c r="B41" s="111">
        <f>ABS(G10)</f>
        <v>27.5</v>
      </c>
      <c r="C41" s="112" t="s">
        <v>264</v>
      </c>
      <c r="D41" s="113" t="s">
        <v>273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148</v>
      </c>
      <c r="B42" s="120">
        <f>PI()*G13^4/32</f>
        <v>79521.564043991631</v>
      </c>
      <c r="C42" s="121" t="s">
        <v>149</v>
      </c>
      <c r="D42" s="122" t="s">
        <v>554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62" t="s">
        <v>100</v>
      </c>
      <c r="D50" s="262"/>
      <c r="E50" s="262"/>
      <c r="F50" s="262"/>
      <c r="G50" s="262"/>
      <c r="H50" s="262"/>
      <c r="I50" s="262"/>
      <c r="J50" s="262"/>
      <c r="K50" s="262" t="s">
        <v>147</v>
      </c>
      <c r="L50" s="262"/>
      <c r="M50" s="262"/>
      <c r="N50" s="243" t="s">
        <v>167</v>
      </c>
      <c r="O50" s="243"/>
      <c r="P50" s="243"/>
      <c r="Q50" s="243"/>
      <c r="R50" s="243"/>
      <c r="S50" s="243"/>
      <c r="T50" s="243"/>
      <c r="U50" s="243"/>
      <c r="V50" s="243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101</v>
      </c>
      <c r="B51" s="86" t="s">
        <v>102</v>
      </c>
      <c r="C51" s="86" t="s">
        <v>66</v>
      </c>
      <c r="D51" s="86" t="s">
        <v>103</v>
      </c>
      <c r="E51" s="86" t="s">
        <v>104</v>
      </c>
      <c r="F51" s="86" t="s">
        <v>106</v>
      </c>
      <c r="G51" s="86" t="s">
        <v>105</v>
      </c>
      <c r="H51" s="86" t="s">
        <v>111</v>
      </c>
      <c r="I51" s="86" t="s">
        <v>115</v>
      </c>
      <c r="J51" s="90" t="s">
        <v>116</v>
      </c>
      <c r="K51" s="86" t="s">
        <v>127</v>
      </c>
      <c r="L51" s="86" t="s">
        <v>128</v>
      </c>
      <c r="M51" s="90" t="s">
        <v>129</v>
      </c>
      <c r="N51" s="12"/>
      <c r="O51" s="12" t="s">
        <v>161</v>
      </c>
      <c r="P51" s="12" t="s">
        <v>162</v>
      </c>
      <c r="Q51" s="12"/>
      <c r="R51" s="12" t="s">
        <v>163</v>
      </c>
      <c r="S51" s="12" t="s">
        <v>164</v>
      </c>
      <c r="T51" s="12" t="s">
        <v>165</v>
      </c>
      <c r="U51" s="12" t="s">
        <v>166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99</v>
      </c>
      <c r="B52" s="8" t="s">
        <v>26</v>
      </c>
      <c r="C52" s="8" t="s">
        <v>66</v>
      </c>
      <c r="D52" s="8" t="s">
        <v>66</v>
      </c>
      <c r="E52" s="8" t="s">
        <v>66</v>
      </c>
      <c r="F52" s="8" t="s">
        <v>77</v>
      </c>
      <c r="G52" s="8" t="s">
        <v>77</v>
      </c>
      <c r="H52" s="8" t="s">
        <v>77</v>
      </c>
      <c r="I52" s="8" t="s">
        <v>257</v>
      </c>
      <c r="J52" s="91" t="s">
        <v>66</v>
      </c>
      <c r="K52" s="8" t="s">
        <v>132</v>
      </c>
      <c r="L52" s="8" t="s">
        <v>132</v>
      </c>
      <c r="M52" s="91" t="s">
        <v>132</v>
      </c>
      <c r="N52" s="8"/>
      <c r="O52" s="9">
        <v>1</v>
      </c>
      <c r="P52" s="8" t="s">
        <v>26</v>
      </c>
      <c r="Q52" s="8"/>
      <c r="R52" s="8">
        <v>1</v>
      </c>
      <c r="S52" s="8" t="s">
        <v>26</v>
      </c>
      <c r="T52" s="8">
        <v>1</v>
      </c>
      <c r="U52" s="8" t="s">
        <v>26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249</v>
      </c>
      <c r="C53" s="10" t="s">
        <v>251</v>
      </c>
      <c r="D53" s="8" t="s">
        <v>250</v>
      </c>
      <c r="E53" s="10" t="s">
        <v>252</v>
      </c>
      <c r="F53" s="8" t="s">
        <v>254</v>
      </c>
      <c r="G53" s="8" t="s">
        <v>255</v>
      </c>
      <c r="H53" s="8" t="s">
        <v>256</v>
      </c>
      <c r="I53" s="8" t="s">
        <v>258</v>
      </c>
      <c r="J53" s="42" t="s">
        <v>259</v>
      </c>
      <c r="K53" s="92" t="s">
        <v>262</v>
      </c>
      <c r="L53" s="92" t="s">
        <v>260</v>
      </c>
      <c r="M53" s="42" t="s">
        <v>263</v>
      </c>
      <c r="N53" s="10" t="s">
        <v>174</v>
      </c>
      <c r="O53" s="10" t="s">
        <v>168</v>
      </c>
      <c r="P53" s="10" t="s">
        <v>169</v>
      </c>
      <c r="Q53" s="10" t="s">
        <v>176</v>
      </c>
      <c r="R53" s="10" t="s">
        <v>170</v>
      </c>
      <c r="S53" s="10" t="s">
        <v>171</v>
      </c>
      <c r="T53" s="10" t="s">
        <v>172</v>
      </c>
      <c r="U53" s="10" t="s">
        <v>173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248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2" t="s">
        <v>205</v>
      </c>
      <c r="AC103" s="233"/>
      <c r="AD103" s="233"/>
      <c r="AE103" s="233"/>
      <c r="AF103" s="233"/>
      <c r="AG103" s="233"/>
      <c r="AH103" s="233"/>
      <c r="AI103" s="233"/>
      <c r="AJ103" s="233"/>
      <c r="AK103" s="234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8"/>
      <c r="AC104" s="239"/>
      <c r="AD104" s="239"/>
      <c r="AE104" s="239"/>
      <c r="AF104" s="239"/>
      <c r="AG104" s="239"/>
      <c r="AH104" s="239"/>
      <c r="AI104" s="239"/>
      <c r="AJ104" s="239"/>
      <c r="AK104" s="240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421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102</v>
      </c>
      <c r="C941" s="189" t="s">
        <v>66</v>
      </c>
      <c r="D941" s="189" t="s">
        <v>103</v>
      </c>
      <c r="E941" s="189" t="s">
        <v>104</v>
      </c>
      <c r="F941" s="189" t="s">
        <v>106</v>
      </c>
      <c r="G941" s="189" t="s">
        <v>105</v>
      </c>
      <c r="H941" s="189" t="s">
        <v>111</v>
      </c>
      <c r="I941" s="189" t="s">
        <v>115</v>
      </c>
      <c r="J941" s="189" t="s">
        <v>116</v>
      </c>
      <c r="K941" s="189" t="s">
        <v>127</v>
      </c>
      <c r="L941" s="189" t="s">
        <v>128</v>
      </c>
      <c r="M941" s="189" t="s">
        <v>129</v>
      </c>
      <c r="N941" s="189"/>
      <c r="O941" s="189" t="s">
        <v>161</v>
      </c>
      <c r="P941" s="189" t="s">
        <v>162</v>
      </c>
      <c r="Q941" s="189" t="s">
        <v>269</v>
      </c>
      <c r="R941" s="189" t="s">
        <v>163</v>
      </c>
      <c r="S941" s="189" t="s">
        <v>164</v>
      </c>
      <c r="T941" s="189" t="s">
        <v>165</v>
      </c>
      <c r="U941" s="189" t="s">
        <v>166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44" priority="17" operator="containsText" text="Oui">
      <formula>NOT(ISERROR(SEARCH("Oui",B23)))</formula>
    </cfRule>
  </conditionalFormatting>
  <conditionalFormatting sqref="B23 B25 B27">
    <cfRule type="containsText" dxfId="43" priority="15" operator="containsText" text="Non">
      <formula>NOT(ISERROR(SEARCH("Non",B23)))</formula>
    </cfRule>
    <cfRule type="containsText" dxfId="42" priority="16" operator="containsText" text="Oui">
      <formula>NOT(ISERROR(SEARCH("Oui",B23)))</formula>
    </cfRule>
  </conditionalFormatting>
  <conditionalFormatting sqref="B30">
    <cfRule type="cellIs" dxfId="41" priority="13" operator="equal">
      <formula>"Oui"</formula>
    </cfRule>
    <cfRule type="containsText" dxfId="40" priority="14" operator="containsText" text="Non">
      <formula>NOT(ISERROR(SEARCH("Non",B30)))</formula>
    </cfRule>
  </conditionalFormatting>
  <conditionalFormatting sqref="B21">
    <cfRule type="cellIs" dxfId="39" priority="11" operator="equal">
      <formula>"Non"</formula>
    </cfRule>
    <cfRule type="cellIs" dxfId="38" priority="12" operator="equal">
      <formula>"Oui"</formula>
    </cfRule>
  </conditionalFormatting>
  <conditionalFormatting sqref="A38:D38">
    <cfRule type="cellIs" dxfId="37" priority="5" operator="equal">
      <formula>"constante y' valide"</formula>
    </cfRule>
    <cfRule type="cellIs" dxfId="36" priority="9" operator="equal">
      <formula>"constante y' non valide"</formula>
    </cfRule>
    <cfRule type="cellIs" dxfId="35" priority="10" operator="equal">
      <formula>"""constante y' valide"""</formula>
    </cfRule>
  </conditionalFormatting>
  <conditionalFormatting sqref="A39:D39">
    <cfRule type="cellIs" dxfId="34" priority="6" operator="equal">
      <formula>"constante z' valide"</formula>
    </cfRule>
    <cfRule type="cellIs" dxfId="33" priority="7" operator="equal">
      <formula>"""constante z' valide"""</formula>
    </cfRule>
    <cfRule type="cellIs" dxfId="32" priority="8" operator="equal">
      <formula>"constante z' non valide"</formula>
    </cfRule>
  </conditionalFormatting>
  <conditionalFormatting sqref="C940:E940 G940:H940">
    <cfRule type="cellIs" dxfId="31" priority="3" operator="greaterThan">
      <formula>0.00000001</formula>
    </cfRule>
    <cfRule type="cellIs" dxfId="30" priority="4" operator="lessThan">
      <formula>0.00000001</formula>
    </cfRule>
  </conditionalFormatting>
  <conditionalFormatting sqref="C36:D36">
    <cfRule type="cellIs" dxfId="29" priority="1" operator="equal">
      <formula>"Oui"</formula>
    </cfRule>
    <cfRule type="cellIs" dxfId="28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Normal="100" workbookViewId="0">
      <selection activeCell="E14" sqref="E1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327" t="s">
        <v>514</v>
      </c>
      <c r="B1" s="328"/>
      <c r="C1" s="328"/>
      <c r="D1" s="329"/>
      <c r="E1" s="1"/>
      <c r="F1" s="202" t="s">
        <v>312</v>
      </c>
      <c r="G1" s="202"/>
      <c r="H1" s="1"/>
      <c r="I1" s="205"/>
      <c r="K1" s="281"/>
      <c r="L1" s="281"/>
      <c r="M1" s="281"/>
      <c r="N1" s="281"/>
      <c r="O1" s="281"/>
      <c r="P1" s="281"/>
      <c r="Q1" s="2"/>
      <c r="R1" s="204"/>
      <c r="S1" s="204"/>
      <c r="T1" s="204"/>
      <c r="U1" s="204"/>
      <c r="V1" s="204"/>
      <c r="W1" s="204"/>
    </row>
    <row r="2" spans="1:23" ht="15.75" thickBot="1" x14ac:dyDescent="0.3">
      <c r="A2" s="56" t="s">
        <v>300</v>
      </c>
      <c r="B2" s="56" t="s">
        <v>8</v>
      </c>
      <c r="C2" s="56" t="s">
        <v>99</v>
      </c>
      <c r="D2" s="56" t="s">
        <v>10</v>
      </c>
      <c r="E2" s="1"/>
      <c r="F2" s="202" t="s">
        <v>311</v>
      </c>
      <c r="G2" s="202" t="s">
        <v>287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71" t="s">
        <v>79</v>
      </c>
      <c r="B3" s="71">
        <f>ABS('Arbre 7'!B15)</f>
        <v>317.43178827315302</v>
      </c>
      <c r="C3" s="69" t="s">
        <v>66</v>
      </c>
      <c r="D3" s="70" t="s">
        <v>280</v>
      </c>
      <c r="E3" s="1"/>
      <c r="F3" s="202">
        <v>0.9</v>
      </c>
      <c r="G3" s="202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71" t="s">
        <v>80</v>
      </c>
      <c r="B4" s="71" cm="1">
        <f t="array" ref="B4">norme('Arbre 7'!B16,'Arbre 7'!B17)</f>
        <v>2066.6624328432481</v>
      </c>
      <c r="C4" s="69" t="s">
        <v>66</v>
      </c>
      <c r="D4" s="70" t="s">
        <v>281</v>
      </c>
      <c r="E4" s="1"/>
      <c r="F4" s="202">
        <v>0.95</v>
      </c>
      <c r="G4" s="202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71" t="s">
        <v>282</v>
      </c>
      <c r="B5" s="71">
        <v>1.1499999999999999</v>
      </c>
      <c r="C5" s="69"/>
      <c r="D5" s="70" t="s">
        <v>283</v>
      </c>
      <c r="E5" s="1"/>
      <c r="F5" s="202">
        <v>0.96</v>
      </c>
      <c r="G5" s="202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71" t="s">
        <v>284</v>
      </c>
      <c r="B6" s="71">
        <v>0.56999999999999995</v>
      </c>
      <c r="C6" s="69"/>
      <c r="D6" s="70" t="s">
        <v>290</v>
      </c>
      <c r="E6" s="1"/>
      <c r="F6" s="202">
        <v>0.97</v>
      </c>
      <c r="G6" s="202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71" t="s">
        <v>285</v>
      </c>
      <c r="B7" s="71">
        <v>0.55000000000000004</v>
      </c>
      <c r="C7" s="69"/>
      <c r="D7" s="70" t="s">
        <v>291</v>
      </c>
      <c r="E7" s="1"/>
      <c r="F7" s="202">
        <v>0.98</v>
      </c>
      <c r="G7" s="202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71" t="s">
        <v>76</v>
      </c>
      <c r="B8" s="71">
        <v>35500</v>
      </c>
      <c r="C8" s="69" t="s">
        <v>66</v>
      </c>
      <c r="D8" s="70" t="s">
        <v>292</v>
      </c>
      <c r="E8" s="1"/>
      <c r="F8" s="202">
        <v>0.99</v>
      </c>
      <c r="G8" s="202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71" t="s">
        <v>286</v>
      </c>
      <c r="B9" s="71">
        <v>21200</v>
      </c>
      <c r="C9" s="69" t="s">
        <v>66</v>
      </c>
      <c r="D9" s="70" t="s">
        <v>293</v>
      </c>
      <c r="E9" s="1"/>
      <c r="F9" s="202">
        <v>0.99199999999999999</v>
      </c>
      <c r="G9" s="202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71" t="s">
        <v>66</v>
      </c>
      <c r="B10" s="71">
        <f>'Arbre 7'!B3</f>
        <v>707.14285714285711</v>
      </c>
      <c r="C10" s="69" t="s">
        <v>2</v>
      </c>
      <c r="D10" s="70" t="s">
        <v>297</v>
      </c>
      <c r="E10" s="1"/>
      <c r="F10" s="202">
        <v>0.99399999999999999</v>
      </c>
      <c r="G10" s="202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71" t="s">
        <v>287</v>
      </c>
      <c r="B11" s="71">
        <v>1</v>
      </c>
      <c r="C11" s="69"/>
      <c r="D11" s="70" t="s">
        <v>294</v>
      </c>
      <c r="E11" s="1"/>
      <c r="F11" s="202">
        <v>0.996</v>
      </c>
      <c r="G11" s="202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71" t="s">
        <v>288</v>
      </c>
      <c r="B12" s="71">
        <v>1</v>
      </c>
      <c r="C12" s="69"/>
      <c r="D12" s="70" t="s">
        <v>295</v>
      </c>
      <c r="E12" s="1"/>
      <c r="F12" s="202">
        <v>0.998</v>
      </c>
      <c r="G12" s="202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71" t="s">
        <v>289</v>
      </c>
      <c r="B13" s="71">
        <v>1</v>
      </c>
      <c r="C13" s="69"/>
      <c r="D13" s="70" t="s">
        <v>296</v>
      </c>
      <c r="E13" s="1"/>
      <c r="F13" s="202">
        <v>0.999</v>
      </c>
      <c r="G13" s="202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301</v>
      </c>
      <c r="B15" s="56" t="s">
        <v>8</v>
      </c>
      <c r="C15" s="56" t="s">
        <v>99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32" t="s">
        <v>298</v>
      </c>
      <c r="B16" s="32">
        <f>B3/B4</f>
        <v>0.15359634124497076</v>
      </c>
      <c r="C16" s="83"/>
      <c r="D16" s="85" t="s">
        <v>299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32" t="s">
        <v>65</v>
      </c>
      <c r="B17" s="32">
        <f>IF(B16&lt;=B5,B4,B6*B4+B7*B3)</f>
        <v>2066.6624328432481</v>
      </c>
      <c r="C17" s="83" t="s">
        <v>66</v>
      </c>
      <c r="D17" s="85" t="s">
        <v>309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310</v>
      </c>
      <c r="B19" s="56" t="s">
        <v>8</v>
      </c>
      <c r="C19" s="56" t="s">
        <v>99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32" t="s">
        <v>305</v>
      </c>
      <c r="B20" s="32">
        <f>((10^6)/(60*B10))*B22</f>
        <v>119458.76337114506</v>
      </c>
      <c r="C20" s="83" t="s">
        <v>302</v>
      </c>
      <c r="D20" s="85" t="s">
        <v>307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2" t="s">
        <v>306</v>
      </c>
      <c r="B21" s="32">
        <f>B11*B12*B13*B20</f>
        <v>119458.76337114506</v>
      </c>
      <c r="C21" s="83" t="s">
        <v>302</v>
      </c>
      <c r="D21" s="85" t="s">
        <v>308</v>
      </c>
      <c r="E21" s="1"/>
      <c r="K21" s="2"/>
      <c r="L21" s="2"/>
      <c r="M21" s="2"/>
      <c r="N21" s="2"/>
      <c r="O21" s="2"/>
      <c r="P21" s="2"/>
      <c r="Q21" s="281"/>
      <c r="R21" s="281"/>
      <c r="S21" s="2"/>
      <c r="T21" s="2"/>
      <c r="U21" s="2"/>
      <c r="V21" s="2"/>
      <c r="W21" s="2"/>
    </row>
    <row r="22" spans="1:23" x14ac:dyDescent="0.25">
      <c r="A22" s="32" t="s">
        <v>304</v>
      </c>
      <c r="B22" s="32">
        <f>(B8/B17)^3</f>
        <v>5068.4646744614402</v>
      </c>
      <c r="C22" s="83" t="s">
        <v>303</v>
      </c>
      <c r="D22" s="85" t="s">
        <v>307</v>
      </c>
      <c r="E22" s="1"/>
      <c r="K22" s="2"/>
      <c r="L22" s="2"/>
      <c r="M22" s="2"/>
      <c r="N22" s="2"/>
      <c r="O22" s="2"/>
      <c r="P22" s="2"/>
      <c r="Q22" s="281"/>
      <c r="R22" s="281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1"/>
      <c r="R23" s="281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345</v>
      </c>
      <c r="B25" s="56" t="s">
        <v>8</v>
      </c>
      <c r="C25" s="56" t="s">
        <v>348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32" t="s">
        <v>347</v>
      </c>
      <c r="B26" s="32">
        <f>B8/B17</f>
        <v>17.177454544988382</v>
      </c>
      <c r="C26" s="69" t="str">
        <f>IF(B26&lt;2,"NON","OUI")</f>
        <v>OUI</v>
      </c>
      <c r="D26" s="85" t="s">
        <v>346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27" priority="3" operator="equal">
      <formula>"NON"</formula>
    </cfRule>
    <cfRule type="cellIs" dxfId="26" priority="4" operator="equal">
      <formula>"OUI"</formula>
    </cfRule>
    <cfRule type="cellIs" dxfId="25" priority="5" operator="lessThan">
      <formula>$C$26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E20"/>
  <sheetViews>
    <sheetView workbookViewId="0">
      <selection activeCell="G19" sqref="G19"/>
    </sheetView>
  </sheetViews>
  <sheetFormatPr baseColWidth="10" defaultRowHeight="15" x14ac:dyDescent="0.25"/>
  <cols>
    <col min="1" max="1" width="26.140625" customWidth="1"/>
    <col min="4" max="4" width="56.140625" customWidth="1"/>
    <col min="5" max="5" width="5" customWidth="1"/>
  </cols>
  <sheetData>
    <row r="1" spans="1:5" ht="15.75" thickBot="1" x14ac:dyDescent="0.3">
      <c r="A1" s="56" t="s">
        <v>300</v>
      </c>
      <c r="B1" s="56" t="s">
        <v>8</v>
      </c>
      <c r="C1" s="56" t="s">
        <v>99</v>
      </c>
      <c r="D1" s="56" t="s">
        <v>10</v>
      </c>
      <c r="E1" s="1"/>
    </row>
    <row r="2" spans="1:5" x14ac:dyDescent="0.25">
      <c r="A2" s="68" t="s">
        <v>493</v>
      </c>
      <c r="B2" s="68">
        <v>3</v>
      </c>
      <c r="C2" s="69" t="s">
        <v>441</v>
      </c>
      <c r="D2" s="70" t="s">
        <v>485</v>
      </c>
      <c r="E2" s="1"/>
    </row>
    <row r="3" spans="1:5" x14ac:dyDescent="0.25">
      <c r="A3" s="68" t="s">
        <v>332</v>
      </c>
      <c r="B3" s="68">
        <v>20</v>
      </c>
      <c r="C3" s="69" t="s">
        <v>26</v>
      </c>
      <c r="D3" s="70" t="s">
        <v>486</v>
      </c>
      <c r="E3" s="1"/>
    </row>
    <row r="4" spans="1:5" x14ac:dyDescent="0.25">
      <c r="A4" s="68" t="s">
        <v>494</v>
      </c>
      <c r="B4" s="68">
        <f>'Résistance des engrenages'!G14*'Résistance des engrenages'!G16</f>
        <v>18</v>
      </c>
      <c r="C4" s="69" t="s">
        <v>26</v>
      </c>
      <c r="D4" s="70" t="s">
        <v>487</v>
      </c>
      <c r="E4" s="1"/>
    </row>
    <row r="5" spans="1:5" x14ac:dyDescent="0.25">
      <c r="A5" s="68" t="s">
        <v>230</v>
      </c>
      <c r="B5" s="68">
        <f>ABS('Arbre 7'!B13)/B2</f>
        <v>534.53554119247678</v>
      </c>
      <c r="C5" s="69" t="s">
        <v>66</v>
      </c>
      <c r="D5" s="70" t="s">
        <v>489</v>
      </c>
      <c r="E5" s="1"/>
    </row>
    <row r="6" spans="1:5" ht="15.75" thickBot="1" x14ac:dyDescent="0.3">
      <c r="A6" s="68" t="s">
        <v>66</v>
      </c>
      <c r="B6" s="68">
        <v>111</v>
      </c>
      <c r="C6" s="69" t="s">
        <v>2</v>
      </c>
      <c r="D6" s="70" t="s">
        <v>297</v>
      </c>
      <c r="E6" s="1"/>
    </row>
    <row r="7" spans="1:5" ht="15.75" thickBot="1" x14ac:dyDescent="0.3">
      <c r="A7" s="57" t="s">
        <v>301</v>
      </c>
      <c r="B7" s="56" t="s">
        <v>8</v>
      </c>
      <c r="C7" s="56" t="s">
        <v>99</v>
      </c>
      <c r="D7" s="56" t="s">
        <v>10</v>
      </c>
      <c r="E7" s="1"/>
    </row>
    <row r="8" spans="1:5" x14ac:dyDescent="0.25">
      <c r="A8" s="74" t="s">
        <v>491</v>
      </c>
      <c r="B8" s="74">
        <f>B5/(B4*B3)</f>
        <v>1.4848209477568799</v>
      </c>
      <c r="C8" s="83" t="s">
        <v>490</v>
      </c>
      <c r="D8" s="213" t="s">
        <v>488</v>
      </c>
      <c r="E8" s="1"/>
    </row>
    <row r="9" spans="1:5" x14ac:dyDescent="0.25">
      <c r="A9" s="74" t="s">
        <v>492</v>
      </c>
      <c r="B9" s="74">
        <f>(PI()*B6*B3/60)*10^-3</f>
        <v>0.11623892818282235</v>
      </c>
      <c r="C9" s="83" t="s">
        <v>444</v>
      </c>
      <c r="D9" s="213" t="s">
        <v>439</v>
      </c>
      <c r="E9" s="1"/>
    </row>
    <row r="10" spans="1:5" ht="15.75" thickBot="1" x14ac:dyDescent="0.3">
      <c r="A10" s="74" t="s">
        <v>495</v>
      </c>
      <c r="B10" s="74">
        <f>B8*B9</f>
        <v>0.17259399551066218</v>
      </c>
      <c r="C10" s="83" t="s">
        <v>497</v>
      </c>
      <c r="D10" s="213" t="s">
        <v>496</v>
      </c>
      <c r="E10" s="1"/>
    </row>
    <row r="11" spans="1:5" ht="15.75" thickBot="1" x14ac:dyDescent="0.3">
      <c r="A11" s="57" t="s">
        <v>310</v>
      </c>
      <c r="B11" s="56" t="s">
        <v>8</v>
      </c>
      <c r="C11" s="56" t="s">
        <v>99</v>
      </c>
      <c r="D11" s="56" t="s">
        <v>10</v>
      </c>
      <c r="E11" s="1"/>
    </row>
    <row r="12" spans="1:5" x14ac:dyDescent="0.25">
      <c r="A12" s="74" t="s">
        <v>505</v>
      </c>
      <c r="B12" s="1"/>
      <c r="C12" s="1"/>
      <c r="D12" s="1"/>
      <c r="E12" s="1"/>
    </row>
    <row r="13" spans="1:5" x14ac:dyDescent="0.25">
      <c r="A13" s="74" t="s">
        <v>499</v>
      </c>
      <c r="B13" s="74">
        <v>5</v>
      </c>
      <c r="C13" s="83" t="s">
        <v>490</v>
      </c>
      <c r="D13" s="213" t="s">
        <v>502</v>
      </c>
      <c r="E13" s="1"/>
    </row>
    <row r="14" spans="1:5" x14ac:dyDescent="0.25">
      <c r="A14" s="74" t="s">
        <v>498</v>
      </c>
      <c r="B14" s="74">
        <v>0.5</v>
      </c>
      <c r="C14" s="83" t="s">
        <v>444</v>
      </c>
      <c r="D14" s="213" t="s">
        <v>503</v>
      </c>
      <c r="E14" s="1"/>
    </row>
    <row r="15" spans="1:5" ht="15.75" thickBot="1" x14ac:dyDescent="0.3">
      <c r="A15" s="74" t="s">
        <v>500</v>
      </c>
      <c r="B15" s="74">
        <v>1.7</v>
      </c>
      <c r="C15" s="83" t="s">
        <v>497</v>
      </c>
      <c r="D15" s="213" t="s">
        <v>504</v>
      </c>
      <c r="E15" s="1"/>
    </row>
    <row r="16" spans="1:5" ht="15.75" thickBot="1" x14ac:dyDescent="0.3">
      <c r="A16" s="282" t="s">
        <v>345</v>
      </c>
      <c r="B16" s="283"/>
      <c r="C16" s="56" t="s">
        <v>348</v>
      </c>
      <c r="D16" s="56" t="s">
        <v>10</v>
      </c>
      <c r="E16" s="1"/>
    </row>
    <row r="17" spans="1:5" x14ac:dyDescent="0.25">
      <c r="A17" s="284" t="s">
        <v>499</v>
      </c>
      <c r="B17" s="284"/>
      <c r="C17" t="str">
        <f>IF(B8&lt;B13,"OUI","NON")</f>
        <v>OUI</v>
      </c>
      <c r="D17" s="200" t="s">
        <v>501</v>
      </c>
      <c r="E17" s="1"/>
    </row>
    <row r="18" spans="1:5" x14ac:dyDescent="0.25">
      <c r="A18" s="284" t="s">
        <v>498</v>
      </c>
      <c r="B18" s="284"/>
      <c r="C18" t="str">
        <f t="shared" ref="C18:C19" si="0">IF(B9&lt;B14,"OUI","NON")</f>
        <v>OUI</v>
      </c>
      <c r="D18" s="200" t="s">
        <v>501</v>
      </c>
      <c r="E18" s="1"/>
    </row>
    <row r="19" spans="1:5" x14ac:dyDescent="0.25">
      <c r="A19" s="284" t="s">
        <v>500</v>
      </c>
      <c r="B19" s="284"/>
      <c r="C19" t="str">
        <f t="shared" si="0"/>
        <v>OUI</v>
      </c>
      <c r="D19" s="200" t="s">
        <v>501</v>
      </c>
      <c r="E19" s="1"/>
    </row>
    <row r="20" spans="1:5" x14ac:dyDescent="0.25">
      <c r="A20" s="1"/>
      <c r="B20" s="1"/>
      <c r="C20" s="1"/>
      <c r="D20" s="1"/>
      <c r="E20" s="1"/>
    </row>
  </sheetData>
  <mergeCells count="4">
    <mergeCell ref="A16:B16"/>
    <mergeCell ref="A17:B17"/>
    <mergeCell ref="A18:B18"/>
    <mergeCell ref="A19:B19"/>
  </mergeCells>
  <conditionalFormatting sqref="C17:C19">
    <cfRule type="cellIs" dxfId="24" priority="1" operator="equal">
      <formula>"NON"</formula>
    </cfRule>
    <cfRule type="cellIs" dxfId="23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opLeftCell="A13" zoomScaleNormal="100" workbookViewId="0">
      <selection activeCell="F48" sqref="F48"/>
    </sheetView>
  </sheetViews>
  <sheetFormatPr baseColWidth="10" defaultRowHeight="15" x14ac:dyDescent="0.25"/>
  <cols>
    <col min="1" max="1" width="33.28515625" customWidth="1"/>
    <col min="2" max="2" width="19.5703125" customWidth="1"/>
    <col min="3" max="3" width="21.140625" customWidth="1"/>
    <col min="4" max="4" width="17.7109375" customWidth="1"/>
    <col min="5" max="5" width="19" customWidth="1"/>
    <col min="6" max="6" width="45.710937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216" t="s">
        <v>0</v>
      </c>
      <c r="B1" s="331" t="s">
        <v>327</v>
      </c>
      <c r="C1" s="331" t="s">
        <v>328</v>
      </c>
      <c r="D1" s="331" t="s">
        <v>329</v>
      </c>
      <c r="E1" s="331" t="s">
        <v>330</v>
      </c>
      <c r="F1" s="217" t="s">
        <v>10</v>
      </c>
      <c r="G1" s="57" t="s">
        <v>9</v>
      </c>
      <c r="H1" s="1"/>
      <c r="I1" s="260" t="s">
        <v>417</v>
      </c>
      <c r="J1" s="260"/>
      <c r="K1" s="260"/>
      <c r="L1" s="260"/>
      <c r="M1" s="260"/>
      <c r="N1" s="260"/>
      <c r="O1" s="260"/>
      <c r="P1" s="1"/>
      <c r="Q1" s="260" t="s">
        <v>418</v>
      </c>
      <c r="R1" s="260"/>
      <c r="S1" s="260"/>
      <c r="T1" s="260"/>
      <c r="U1" s="260"/>
      <c r="V1" s="260"/>
      <c r="W1" s="260"/>
      <c r="X1" s="260"/>
      <c r="Y1" s="1"/>
    </row>
    <row r="2" spans="1:25" x14ac:dyDescent="0.25">
      <c r="A2" s="71" t="s">
        <v>331</v>
      </c>
      <c r="B2" s="174">
        <v>6007</v>
      </c>
      <c r="C2" s="186" t="s">
        <v>426</v>
      </c>
      <c r="D2" s="296" t="s">
        <v>512</v>
      </c>
      <c r="E2" s="296"/>
      <c r="F2" s="70" t="s">
        <v>338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333</v>
      </c>
      <c r="B3" s="203" t="s">
        <v>424</v>
      </c>
      <c r="C3" t="s">
        <v>425</v>
      </c>
      <c r="D3" s="297" t="s">
        <v>513</v>
      </c>
      <c r="E3" s="260"/>
      <c r="F3" s="70" t="s">
        <v>337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332</v>
      </c>
      <c r="B4">
        <v>35</v>
      </c>
      <c r="C4">
        <v>35</v>
      </c>
      <c r="D4" s="260">
        <v>30</v>
      </c>
      <c r="E4" s="260"/>
      <c r="F4" s="70" t="s">
        <v>339</v>
      </c>
      <c r="G4" s="70" t="s">
        <v>26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121</v>
      </c>
      <c r="B5">
        <v>62</v>
      </c>
      <c r="C5">
        <v>55</v>
      </c>
      <c r="D5" s="260">
        <v>72</v>
      </c>
      <c r="E5" s="260"/>
      <c r="F5" s="70" t="s">
        <v>340</v>
      </c>
      <c r="G5" s="70" t="s">
        <v>26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335</v>
      </c>
      <c r="B6">
        <f>'Arbre 6'!B3</f>
        <v>1500</v>
      </c>
      <c r="C6">
        <f>'Arbre 6'!B3</f>
        <v>1500</v>
      </c>
      <c r="D6" s="260">
        <f>'Arbre 7'!B3</f>
        <v>707.14285714285711</v>
      </c>
      <c r="E6" s="260"/>
      <c r="F6" s="70" t="s">
        <v>297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8"/>
      <c r="E7" s="298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301</v>
      </c>
      <c r="B8" s="1"/>
      <c r="C8" s="1"/>
      <c r="D8" s="298"/>
      <c r="E8" s="298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334</v>
      </c>
      <c r="B9" s="214">
        <f xml:space="preserve"> 0.5*(B4+B5)</f>
        <v>48.5</v>
      </c>
      <c r="C9" s="214">
        <f xml:space="preserve"> 0.5*(C4+C5)</f>
        <v>45</v>
      </c>
      <c r="D9" s="299">
        <f xml:space="preserve"> 0.5*(D4+D5)</f>
        <v>51</v>
      </c>
      <c r="E9" s="299"/>
      <c r="F9" s="70" t="s">
        <v>399</v>
      </c>
      <c r="G9" s="70" t="s">
        <v>26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336</v>
      </c>
      <c r="B10" s="214">
        <v>14</v>
      </c>
      <c r="C10" s="214">
        <v>14</v>
      </c>
      <c r="D10" s="299">
        <v>20</v>
      </c>
      <c r="E10" s="299"/>
      <c r="F10" s="70" t="s">
        <v>400</v>
      </c>
      <c r="G10" s="70" t="s">
        <v>401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344</v>
      </c>
      <c r="B11" s="214">
        <f>4*B10</f>
        <v>56</v>
      </c>
      <c r="C11" s="214">
        <f>4*C10</f>
        <v>56</v>
      </c>
      <c r="D11" s="299">
        <f>4*D10</f>
        <v>80</v>
      </c>
      <c r="E11" s="299"/>
      <c r="F11" s="70" t="s">
        <v>402</v>
      </c>
      <c r="G11" s="70" t="s">
        <v>401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343</v>
      </c>
      <c r="B12" s="214">
        <v>320</v>
      </c>
      <c r="C12" s="214">
        <v>320</v>
      </c>
      <c r="D12" s="299">
        <v>320</v>
      </c>
      <c r="E12" s="299"/>
      <c r="F12" s="70" t="s">
        <v>403</v>
      </c>
      <c r="G12" s="70" t="s">
        <v>401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404</v>
      </c>
      <c r="B13" s="214">
        <f>B12/B10</f>
        <v>22.857142857142858</v>
      </c>
      <c r="C13" s="214">
        <f>C12/C10</f>
        <v>22.857142857142858</v>
      </c>
      <c r="D13" s="299">
        <f>D12/D10</f>
        <v>16</v>
      </c>
      <c r="E13" s="299"/>
      <c r="F13" s="70" t="s">
        <v>405</v>
      </c>
      <c r="G13" s="70" t="s">
        <v>558</v>
      </c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443</v>
      </c>
      <c r="B14" s="214">
        <v>68</v>
      </c>
      <c r="C14" s="214">
        <v>68</v>
      </c>
      <c r="D14" s="299">
        <v>100</v>
      </c>
      <c r="E14" s="299"/>
      <c r="F14" s="70" t="s">
        <v>342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310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341</v>
      </c>
      <c r="B17" s="214">
        <v>100</v>
      </c>
      <c r="C17" s="214">
        <v>100</v>
      </c>
      <c r="D17" s="299">
        <v>100</v>
      </c>
      <c r="E17" s="299"/>
      <c r="F17" s="70" t="s">
        <v>406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156"/>
      <c r="B18" s="1"/>
      <c r="C18" s="1"/>
      <c r="D18" s="1"/>
      <c r="E18" s="1"/>
      <c r="F18" s="196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s="333" t="s">
        <v>434</v>
      </c>
      <c r="C26" s="333" t="s">
        <v>435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300</v>
      </c>
      <c r="B27" s="332" t="s">
        <v>432</v>
      </c>
      <c r="C27" s="332" t="s">
        <v>433</v>
      </c>
      <c r="D27" s="56" t="s">
        <v>99</v>
      </c>
      <c r="E27" s="294" t="s">
        <v>10</v>
      </c>
      <c r="F27" s="295"/>
      <c r="G27" s="295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427</v>
      </c>
      <c r="B28" s="68">
        <f>'Résistance des engrenages'!G2</f>
        <v>66</v>
      </c>
      <c r="C28" s="68">
        <f>'Résistance des engrenages'!G3</f>
        <v>48</v>
      </c>
      <c r="D28" s="69" t="s">
        <v>26</v>
      </c>
      <c r="E28" s="287" t="s">
        <v>559</v>
      </c>
      <c r="F28" s="287"/>
      <c r="G28" s="287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428</v>
      </c>
      <c r="B29" s="68">
        <f>'Arbre 6'!B8</f>
        <v>578.74524760689201</v>
      </c>
      <c r="C29" s="68">
        <f>'Arbre 7'!B10</f>
        <v>549.80798522654754</v>
      </c>
      <c r="D29" s="69" t="s">
        <v>66</v>
      </c>
      <c r="E29" s="287" t="s">
        <v>560</v>
      </c>
      <c r="F29" s="287"/>
      <c r="G29" s="287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429</v>
      </c>
      <c r="B30" s="68">
        <f>'Résistance des engrenages'!G15*'Résistance des engrenages'!G13</f>
        <v>12</v>
      </c>
      <c r="C30" s="68">
        <f>'Résistance des engrenages'!G16*'Résistance des engrenages'!G14</f>
        <v>18</v>
      </c>
      <c r="D30" s="69" t="s">
        <v>26</v>
      </c>
      <c r="E30" s="287" t="s">
        <v>561</v>
      </c>
      <c r="F30" s="287"/>
      <c r="G30" s="287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430</v>
      </c>
      <c r="B31" s="68">
        <f>1/'Résistance des engrenages'!G4</f>
        <v>2.1212121212121211</v>
      </c>
      <c r="C31" s="68">
        <f>1/'Résistance des engrenages'!G5</f>
        <v>6.7521944632005395</v>
      </c>
      <c r="D31" s="69" t="s">
        <v>17</v>
      </c>
      <c r="E31" s="287" t="s">
        <v>562</v>
      </c>
      <c r="F31" s="287"/>
      <c r="G31" s="287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431</v>
      </c>
      <c r="B32" s="68">
        <v>3</v>
      </c>
      <c r="C32" s="68">
        <v>3</v>
      </c>
      <c r="D32" s="69" t="s">
        <v>17</v>
      </c>
      <c r="E32" s="287" t="s">
        <v>563</v>
      </c>
      <c r="F32" s="287"/>
      <c r="G32" s="287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297</v>
      </c>
      <c r="B33" s="68">
        <f>'Arbre 6'!B3</f>
        <v>1500</v>
      </c>
      <c r="C33" s="68">
        <f>'Arbre 7'!B3</f>
        <v>707.14285714285711</v>
      </c>
      <c r="D33" s="69" t="s">
        <v>2</v>
      </c>
      <c r="E33" s="287"/>
      <c r="F33" s="287"/>
      <c r="G33" s="287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446</v>
      </c>
      <c r="B34" s="68">
        <v>1.5</v>
      </c>
      <c r="C34" s="68">
        <v>1.5</v>
      </c>
      <c r="D34" s="69" t="s">
        <v>17</v>
      </c>
      <c r="E34" s="287" t="s">
        <v>447</v>
      </c>
      <c r="F34" s="287"/>
      <c r="G34" s="287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88"/>
      <c r="F35" s="288"/>
      <c r="G35" s="288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301</v>
      </c>
      <c r="B36" s="56" t="s">
        <v>432</v>
      </c>
      <c r="C36" s="56" t="s">
        <v>433</v>
      </c>
      <c r="D36" s="56" t="s">
        <v>99</v>
      </c>
      <c r="E36" s="291" t="s">
        <v>10</v>
      </c>
      <c r="F36" s="292"/>
      <c r="G36" s="292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438</v>
      </c>
      <c r="B37" s="214">
        <f>(B29/(B30*B28))*((B31+1)/B31)*B32</f>
        <v>3.2256905034366818</v>
      </c>
      <c r="C37" s="214">
        <f>(C29/(C30*C28))*((C31+1)/C31)*C32</f>
        <v>2.1917866244395809</v>
      </c>
      <c r="D37" s="83" t="s">
        <v>132</v>
      </c>
      <c r="E37" s="293"/>
      <c r="F37" s="293"/>
      <c r="G37" s="293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439</v>
      </c>
      <c r="B38" s="214">
        <f>((B28/2)*10^-3)*B33*2*PI()/60</f>
        <v>5.1836278784231586</v>
      </c>
      <c r="C38" s="214">
        <f>((C28/2)*10^-3)*C33*2*PI()/60</f>
        <v>1.7772438440307972</v>
      </c>
      <c r="D38" s="83" t="s">
        <v>444</v>
      </c>
      <c r="E38" s="293" t="s">
        <v>564</v>
      </c>
      <c r="F38" s="293"/>
      <c r="G38" s="293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440</v>
      </c>
      <c r="B39" s="214">
        <f>B37/B38</f>
        <v>0.62228434970488766</v>
      </c>
      <c r="C39" s="214">
        <f>C37/C38</f>
        <v>1.2332503678665718</v>
      </c>
      <c r="D39" s="83" t="s">
        <v>445</v>
      </c>
      <c r="E39" s="289"/>
      <c r="F39" s="289"/>
      <c r="G39" s="289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448</v>
      </c>
      <c r="B40" s="214">
        <f>B39*B34</f>
        <v>0.93342652455733144</v>
      </c>
      <c r="C40" s="214">
        <f>C39*C34</f>
        <v>1.8498755517998577</v>
      </c>
      <c r="D40" s="83" t="s">
        <v>17</v>
      </c>
      <c r="E40" s="290" t="s">
        <v>449</v>
      </c>
      <c r="F40" s="290"/>
      <c r="G40" s="290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310</v>
      </c>
      <c r="B42" s="56" t="s">
        <v>8</v>
      </c>
      <c r="C42" s="56" t="s">
        <v>99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214" t="s">
        <v>442</v>
      </c>
      <c r="B43" s="214">
        <v>320</v>
      </c>
      <c r="C43" s="83" t="s">
        <v>441</v>
      </c>
      <c r="D43" s="83" t="s">
        <v>450</v>
      </c>
      <c r="E43" s="83"/>
      <c r="F43" s="83"/>
      <c r="G43" s="8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85" t="s">
        <v>451</v>
      </c>
      <c r="E44" s="286"/>
      <c r="F44" s="286"/>
      <c r="G44" s="286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17:E17"/>
    <mergeCell ref="D10:E10"/>
    <mergeCell ref="D11:E11"/>
    <mergeCell ref="D12:E12"/>
    <mergeCell ref="D13:E13"/>
    <mergeCell ref="D14:E14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AC163"/>
  <sheetViews>
    <sheetView zoomScaleNormal="100" workbookViewId="0">
      <selection activeCell="H13" sqref="H13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29" x14ac:dyDescent="0.25">
      <c r="A1" s="7" t="s">
        <v>453</v>
      </c>
      <c r="B1" s="7" t="s">
        <v>8</v>
      </c>
      <c r="C1" s="7" t="s">
        <v>215</v>
      </c>
      <c r="D1" s="7" t="s">
        <v>10</v>
      </c>
      <c r="E1" s="1"/>
      <c r="F1" s="7" t="s">
        <v>25</v>
      </c>
      <c r="G1" s="7" t="s">
        <v>458</v>
      </c>
      <c r="H1" s="7" t="s">
        <v>215</v>
      </c>
      <c r="I1" s="7" t="s">
        <v>10</v>
      </c>
      <c r="J1" s="1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25">
      <c r="A2" s="301" t="s">
        <v>463</v>
      </c>
      <c r="B2" s="302"/>
      <c r="C2" s="302"/>
      <c r="D2" s="303"/>
      <c r="E2" s="1"/>
      <c r="F2" s="300" t="s">
        <v>468</v>
      </c>
      <c r="G2" s="300"/>
      <c r="H2" s="300"/>
      <c r="I2" s="300"/>
      <c r="J2" s="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25">
      <c r="A3" s="68" t="s">
        <v>454</v>
      </c>
      <c r="B3" s="68">
        <f>'Résistance des engrenages'!B2*'Arbre 6'!G11*2*PI()/60/1000</f>
        <v>5.3407075111026492</v>
      </c>
      <c r="C3" s="69" t="s">
        <v>444</v>
      </c>
      <c r="D3" s="70" t="s">
        <v>455</v>
      </c>
      <c r="E3" s="1"/>
      <c r="F3" s="304" t="s">
        <v>469</v>
      </c>
      <c r="G3" s="305"/>
      <c r="H3" s="305"/>
      <c r="I3" s="306"/>
      <c r="J3" s="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25">
      <c r="A4" s="68" t="s">
        <v>66</v>
      </c>
      <c r="B4" s="68">
        <f>'Résistance des engrenages'!B2</f>
        <v>1500</v>
      </c>
      <c r="C4" s="69" t="s">
        <v>2</v>
      </c>
      <c r="D4" s="70" t="s">
        <v>457</v>
      </c>
      <c r="E4" s="1"/>
      <c r="F4" s="68" t="s">
        <v>466</v>
      </c>
      <c r="G4" s="68" t="s">
        <v>459</v>
      </c>
      <c r="H4" s="69" t="s">
        <v>460</v>
      </c>
      <c r="I4" s="70" t="s">
        <v>462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25">
      <c r="A5" s="68" t="s">
        <v>121</v>
      </c>
      <c r="B5" s="68">
        <f>'Arbre 6'!G11</f>
        <v>34</v>
      </c>
      <c r="C5" s="69" t="s">
        <v>26</v>
      </c>
      <c r="D5" s="70" t="s">
        <v>456</v>
      </c>
      <c r="E5" s="1"/>
      <c r="F5" s="68" t="s">
        <v>332</v>
      </c>
      <c r="G5" s="68">
        <v>35</v>
      </c>
      <c r="H5" s="69" t="s">
        <v>26</v>
      </c>
      <c r="I5" s="70" t="s">
        <v>464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25">
      <c r="A6" s="1"/>
      <c r="B6" s="1"/>
      <c r="C6" s="1"/>
      <c r="D6" s="1"/>
      <c r="E6" s="1"/>
      <c r="F6" s="68" t="s">
        <v>121</v>
      </c>
      <c r="G6" s="68">
        <v>45</v>
      </c>
      <c r="H6" s="69" t="s">
        <v>26</v>
      </c>
      <c r="I6" s="70" t="s">
        <v>470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25">
      <c r="A7" s="13"/>
      <c r="B7" s="13"/>
      <c r="C7" s="13"/>
      <c r="D7" s="13"/>
      <c r="E7" s="1"/>
      <c r="F7" s="68" t="s">
        <v>461</v>
      </c>
      <c r="G7" s="68">
        <v>7</v>
      </c>
      <c r="H7" s="69" t="s">
        <v>26</v>
      </c>
      <c r="I7" s="70" t="s">
        <v>465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25">
      <c r="A8" s="13"/>
      <c r="B8" s="13"/>
      <c r="C8" s="13"/>
      <c r="D8" s="13"/>
      <c r="E8" s="1"/>
      <c r="F8" s="68" t="s">
        <v>530</v>
      </c>
      <c r="G8" s="68" t="s">
        <v>531</v>
      </c>
      <c r="H8" s="69"/>
      <c r="I8" s="70" t="s">
        <v>539</v>
      </c>
      <c r="J8" s="1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25">
      <c r="A9" s="13"/>
      <c r="B9" s="13"/>
      <c r="C9" s="13"/>
      <c r="D9" s="13"/>
      <c r="E9" s="1"/>
      <c r="F9" s="68" t="s">
        <v>467</v>
      </c>
      <c r="G9" s="68" t="s">
        <v>459</v>
      </c>
      <c r="H9" s="69" t="s">
        <v>460</v>
      </c>
      <c r="I9" s="70"/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25">
      <c r="A10" s="13"/>
      <c r="B10" s="13"/>
      <c r="C10" s="13"/>
      <c r="D10" s="13"/>
      <c r="E10" s="1"/>
      <c r="F10" s="68" t="s">
        <v>332</v>
      </c>
      <c r="G10" s="68">
        <v>34</v>
      </c>
      <c r="H10" s="69" t="s">
        <v>26</v>
      </c>
      <c r="I10" s="70"/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25">
      <c r="A11" s="13"/>
      <c r="B11" s="13"/>
      <c r="C11" s="13"/>
      <c r="D11" s="13"/>
      <c r="E11" s="1"/>
      <c r="F11" s="68" t="s">
        <v>121</v>
      </c>
      <c r="G11" s="68">
        <v>40</v>
      </c>
      <c r="H11" s="69" t="s">
        <v>26</v>
      </c>
      <c r="I11" s="70"/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25">
      <c r="A12" s="13"/>
      <c r="B12" s="13"/>
      <c r="C12" s="13"/>
      <c r="D12" s="13"/>
      <c r="E12" s="1"/>
      <c r="F12" s="68" t="s">
        <v>4</v>
      </c>
      <c r="G12" s="68">
        <v>3</v>
      </c>
      <c r="H12" s="69" t="s">
        <v>26</v>
      </c>
      <c r="I12" s="70"/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25">
      <c r="A13" s="13"/>
      <c r="B13" s="13"/>
      <c r="C13" s="13"/>
      <c r="D13" s="13"/>
      <c r="E13" s="1"/>
      <c r="F13" s="68" t="s">
        <v>530</v>
      </c>
      <c r="G13" s="72" t="s">
        <v>534</v>
      </c>
      <c r="H13" s="69"/>
      <c r="I13" s="70" t="s">
        <v>540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25">
      <c r="A14" s="13"/>
      <c r="B14" s="13"/>
      <c r="C14" s="13"/>
      <c r="D14" s="13"/>
      <c r="E14" s="1"/>
      <c r="F14" s="13"/>
      <c r="G14" s="13"/>
      <c r="H14" s="13"/>
      <c r="I14" s="13"/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25">
      <c r="A15" s="13"/>
      <c r="B15" s="13"/>
      <c r="C15" s="13"/>
      <c r="D15" s="13"/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25">
      <c r="A16" s="13"/>
      <c r="B16" s="13"/>
      <c r="C16" s="13"/>
      <c r="D16" s="13"/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13"/>
      <c r="C17" s="13"/>
      <c r="D17" s="13"/>
      <c r="E17" s="1"/>
      <c r="F17" s="307" t="s">
        <v>471</v>
      </c>
      <c r="G17" s="307"/>
      <c r="H17" s="307"/>
      <c r="I17" s="307"/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13"/>
      <c r="C18" s="13"/>
      <c r="D18" s="13"/>
      <c r="E18" s="1"/>
      <c r="F18" s="68" t="s">
        <v>532</v>
      </c>
      <c r="G18" s="68" t="s">
        <v>533</v>
      </c>
      <c r="H18" s="69" t="s">
        <v>535</v>
      </c>
      <c r="I18" s="70"/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13"/>
      <c r="C19" s="13"/>
      <c r="D19" s="13"/>
      <c r="E19" s="1"/>
      <c r="F19" s="68" t="s">
        <v>332</v>
      </c>
      <c r="G19" s="68">
        <v>55</v>
      </c>
      <c r="H19" s="69" t="s">
        <v>26</v>
      </c>
      <c r="I19" s="70"/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13"/>
      <c r="C20" s="13"/>
      <c r="D20" s="13"/>
      <c r="E20" s="1"/>
      <c r="F20" s="68" t="s">
        <v>121</v>
      </c>
      <c r="G20" s="68">
        <v>65</v>
      </c>
      <c r="H20" s="69" t="s">
        <v>26</v>
      </c>
      <c r="I20" s="70"/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13"/>
      <c r="C21" s="13"/>
      <c r="D21" s="13"/>
      <c r="E21" s="1"/>
      <c r="F21" s="68" t="s">
        <v>4</v>
      </c>
      <c r="G21" s="68">
        <v>5.7</v>
      </c>
      <c r="H21" s="69" t="s">
        <v>26</v>
      </c>
      <c r="I21" s="70"/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13"/>
      <c r="C22" s="13"/>
      <c r="D22" s="13"/>
      <c r="E22" s="1"/>
      <c r="F22" s="68" t="s">
        <v>530</v>
      </c>
      <c r="G22" s="72" t="s">
        <v>537</v>
      </c>
      <c r="H22" s="69"/>
      <c r="I22" s="70" t="s">
        <v>538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13"/>
      <c r="C23" s="13"/>
      <c r="D23" s="13"/>
      <c r="E23" s="1"/>
      <c r="F23" s="68" t="s">
        <v>332</v>
      </c>
      <c r="G23" s="68">
        <v>80</v>
      </c>
      <c r="H23" s="69" t="s">
        <v>26</v>
      </c>
      <c r="I23" s="7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13"/>
      <c r="C24" s="13"/>
      <c r="D24" s="13"/>
      <c r="E24" s="1"/>
      <c r="F24" s="68" t="s">
        <v>121</v>
      </c>
      <c r="G24" s="68">
        <v>90</v>
      </c>
      <c r="H24" s="69" t="s">
        <v>26</v>
      </c>
      <c r="I24" s="70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13"/>
      <c r="C25" s="13"/>
      <c r="D25" s="13"/>
      <c r="E25" s="1"/>
      <c r="F25" s="68" t="s">
        <v>4</v>
      </c>
      <c r="G25" s="68">
        <v>5.7</v>
      </c>
      <c r="H25" s="69" t="s">
        <v>26</v>
      </c>
      <c r="I25" s="70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13"/>
      <c r="C26" s="13"/>
      <c r="D26" s="13"/>
      <c r="E26" s="1"/>
      <c r="F26" s="68" t="s">
        <v>530</v>
      </c>
      <c r="G26" s="72" t="s">
        <v>536</v>
      </c>
      <c r="H26" s="69"/>
      <c r="I26" s="70" t="s">
        <v>538</v>
      </c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13"/>
      <c r="C27" s="13"/>
      <c r="D27" s="13"/>
      <c r="E27" s="1"/>
      <c r="F27" s="1"/>
      <c r="G27" s="1"/>
      <c r="H27" s="1"/>
      <c r="I27" s="1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11:29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11:29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11:29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11:29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11:29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11:29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11:29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11:29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11:29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11:29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11:29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11:29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11:29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11:29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11:29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11:29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11:29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11:29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11:29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11:29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11:29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11:29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11:29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11:29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11:29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11:29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11:29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11:29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11:29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11:29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11:29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11:29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11:29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11:29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11:29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11:29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11:29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11:29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11:29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11:29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11:29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11:29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11:29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11:29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11:29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11:29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11:29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11:29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11:29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11:29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11:29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11:29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11:29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11:29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11:29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11:29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11:29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11:29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11:29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11:29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11:29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11:29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11:29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11:29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11:29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11:29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11:29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11:29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11:29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11:29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11:29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11:29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11:29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11:29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11:29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11:29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11:29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11:29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11:29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11:29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11:29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11:29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11:29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</sheetData>
  <mergeCells count="4">
    <mergeCell ref="F2:I2"/>
    <mergeCell ref="A2:D2"/>
    <mergeCell ref="F3:I3"/>
    <mergeCell ref="F17:I1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D17" sqref="D17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349</v>
      </c>
      <c r="B1" s="6" t="s">
        <v>8</v>
      </c>
      <c r="C1" s="6" t="s">
        <v>350</v>
      </c>
      <c r="D1" s="6" t="s">
        <v>10</v>
      </c>
      <c r="E1" s="1"/>
      <c r="F1" s="6" t="s">
        <v>25</v>
      </c>
      <c r="G1" s="6" t="s">
        <v>8</v>
      </c>
      <c r="H1" s="6" t="s">
        <v>215</v>
      </c>
      <c r="I1" s="6" t="s">
        <v>10</v>
      </c>
      <c r="J1" s="159"/>
      <c r="K1" s="161" t="s">
        <v>379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351</v>
      </c>
      <c r="B2" s="68">
        <f>17</f>
        <v>17</v>
      </c>
      <c r="C2" s="69" t="s">
        <v>26</v>
      </c>
      <c r="D2" s="70" t="s">
        <v>355</v>
      </c>
      <c r="E2" s="1"/>
      <c r="F2" s="68" t="s">
        <v>385</v>
      </c>
      <c r="G2" s="68">
        <v>60</v>
      </c>
      <c r="H2" s="69" t="s">
        <v>387</v>
      </c>
      <c r="I2" s="163" t="s">
        <v>388</v>
      </c>
      <c r="J2" s="159"/>
      <c r="K2" s="60" t="s">
        <v>380</v>
      </c>
      <c r="L2" s="311" t="s">
        <v>361</v>
      </c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352</v>
      </c>
      <c r="B3" s="68">
        <f>'Arbre 6'!B7</f>
        <v>19098.593171027438</v>
      </c>
      <c r="C3" s="69" t="s">
        <v>257</v>
      </c>
      <c r="D3" s="70" t="s">
        <v>357</v>
      </c>
      <c r="E3" s="1"/>
      <c r="F3" s="68"/>
      <c r="G3" s="68"/>
      <c r="H3" s="69"/>
      <c r="I3" s="70"/>
      <c r="J3" s="159"/>
      <c r="K3" s="60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353</v>
      </c>
      <c r="B4" s="68">
        <v>20</v>
      </c>
      <c r="C4" s="69" t="s">
        <v>26</v>
      </c>
      <c r="D4" s="70" t="s">
        <v>356</v>
      </c>
      <c r="E4" s="1"/>
      <c r="F4" s="68" t="s">
        <v>359</v>
      </c>
      <c r="G4" s="68"/>
      <c r="H4" s="69"/>
      <c r="I4" s="163" t="s">
        <v>526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354</v>
      </c>
      <c r="B5" s="68">
        <f>'Arbre 7'!B9</f>
        <v>38486.558965858327</v>
      </c>
      <c r="C5" s="69" t="s">
        <v>257</v>
      </c>
      <c r="D5" s="70" t="s">
        <v>358</v>
      </c>
      <c r="E5" s="1"/>
      <c r="F5" s="68" t="s">
        <v>370</v>
      </c>
      <c r="G5" s="68">
        <v>10</v>
      </c>
      <c r="H5" s="69" t="s">
        <v>26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371</v>
      </c>
      <c r="G6" s="68">
        <v>8</v>
      </c>
      <c r="H6" s="69" t="s">
        <v>26</v>
      </c>
      <c r="I6" s="70"/>
      <c r="J6" s="159"/>
      <c r="K6" s="13"/>
      <c r="L6" s="13"/>
      <c r="M6" s="311" t="s">
        <v>362</v>
      </c>
      <c r="N6" s="311"/>
      <c r="O6" s="311"/>
      <c r="P6" s="311"/>
      <c r="Q6" s="13"/>
      <c r="R6" s="13"/>
      <c r="S6" s="13"/>
      <c r="T6" s="13"/>
      <c r="U6" s="13"/>
      <c r="V6" s="311" t="s">
        <v>363</v>
      </c>
      <c r="W6" s="311"/>
      <c r="X6" s="311"/>
      <c r="Y6" s="311"/>
      <c r="Z6" s="13"/>
      <c r="AA6" s="13"/>
      <c r="AB6" s="13"/>
      <c r="AC6" s="13"/>
      <c r="AD6" s="13"/>
      <c r="AE6" s="311" t="s">
        <v>384</v>
      </c>
      <c r="AF6" s="311"/>
      <c r="AG6" s="311"/>
      <c r="AH6" s="311"/>
      <c r="AI6" s="311"/>
      <c r="AJ6" s="13"/>
      <c r="AK6" s="13"/>
      <c r="AL6" s="13"/>
      <c r="AM6" s="1"/>
    </row>
    <row r="7" spans="1:39" x14ac:dyDescent="0.25">
      <c r="A7" s="6" t="s">
        <v>360</v>
      </c>
      <c r="B7" s="6" t="s">
        <v>8</v>
      </c>
      <c r="C7" s="6" t="s">
        <v>215</v>
      </c>
      <c r="D7" s="6" t="s">
        <v>10</v>
      </c>
      <c r="E7" s="1"/>
      <c r="F7" s="68" t="s">
        <v>372</v>
      </c>
      <c r="G7" s="68">
        <v>5</v>
      </c>
      <c r="H7" s="69" t="s">
        <v>26</v>
      </c>
      <c r="I7" s="70"/>
      <c r="J7" s="159"/>
      <c r="K7" s="13"/>
      <c r="L7" s="13"/>
      <c r="M7" s="311"/>
      <c r="N7" s="311"/>
      <c r="O7" s="311"/>
      <c r="P7" s="311"/>
      <c r="Q7" s="13"/>
      <c r="R7" s="13"/>
      <c r="S7" s="13"/>
      <c r="T7" s="13"/>
      <c r="U7" s="13"/>
      <c r="V7" s="311"/>
      <c r="W7" s="311"/>
      <c r="X7" s="311"/>
      <c r="Y7" s="311"/>
      <c r="Z7" s="13"/>
      <c r="AA7" s="13"/>
      <c r="AB7" s="13"/>
      <c r="AC7" s="13"/>
      <c r="AD7" s="13"/>
      <c r="AE7" s="311"/>
      <c r="AF7" s="311"/>
      <c r="AG7" s="311"/>
      <c r="AH7" s="311"/>
      <c r="AI7" s="311"/>
      <c r="AJ7" s="13"/>
      <c r="AK7" s="13"/>
      <c r="AL7" s="13"/>
      <c r="AM7" s="1"/>
    </row>
    <row r="8" spans="1:39" ht="30" x14ac:dyDescent="0.25">
      <c r="A8" s="74" t="s">
        <v>366</v>
      </c>
      <c r="B8" s="164">
        <f>2*B3/(G2*B2*(G6-G7-G8-G9-G10))</f>
        <v>17.305093301282518</v>
      </c>
      <c r="C8" s="83" t="s">
        <v>26</v>
      </c>
      <c r="D8" s="170" t="s">
        <v>390</v>
      </c>
      <c r="E8" s="1"/>
      <c r="F8" s="68" t="s">
        <v>373</v>
      </c>
      <c r="G8" s="162">
        <v>3.5999999999999997E-2</v>
      </c>
      <c r="H8" s="69" t="s">
        <v>26</v>
      </c>
      <c r="I8" s="70" t="s">
        <v>415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364</v>
      </c>
      <c r="B9" s="164">
        <f>B8/B2</f>
        <v>1.0179466647813247</v>
      </c>
      <c r="C9" s="83">
        <v>1</v>
      </c>
      <c r="D9" s="85" t="s">
        <v>365</v>
      </c>
      <c r="E9" s="1"/>
      <c r="F9" s="68" t="s">
        <v>374</v>
      </c>
      <c r="G9" s="68">
        <v>0.2</v>
      </c>
      <c r="H9" s="69" t="s">
        <v>26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381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375</v>
      </c>
      <c r="G10" s="68">
        <v>0.6</v>
      </c>
      <c r="H10" s="69" t="s">
        <v>26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515</v>
      </c>
      <c r="B11" s="164">
        <f>INT(B8)+1+G5</f>
        <v>28</v>
      </c>
      <c r="C11" s="83" t="s">
        <v>26</v>
      </c>
      <c r="D11" s="85" t="s">
        <v>389</v>
      </c>
      <c r="E11" s="1"/>
      <c r="F11" s="68" t="s">
        <v>377</v>
      </c>
      <c r="G11" s="72" t="s">
        <v>379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413</v>
      </c>
      <c r="G12" s="72">
        <v>0.4</v>
      </c>
      <c r="H12" s="69" t="s">
        <v>26</v>
      </c>
      <c r="I12" s="163" t="s">
        <v>414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367</v>
      </c>
      <c r="B13" s="165">
        <f>2*B5/(G2*B4*(G15-G16-G17-G18-G19))</f>
        <v>24.078177531192647</v>
      </c>
      <c r="C13" s="83" t="s">
        <v>26</v>
      </c>
      <c r="D13" s="170" t="s">
        <v>391</v>
      </c>
      <c r="E13" s="1"/>
      <c r="F13" s="68" t="s">
        <v>376</v>
      </c>
      <c r="G13" s="72"/>
      <c r="H13" s="69"/>
      <c r="I13" s="163" t="s">
        <v>525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368</v>
      </c>
      <c r="B14" s="164">
        <f>B13/B4</f>
        <v>1.2039088765596324</v>
      </c>
      <c r="C14" s="83">
        <v>1</v>
      </c>
      <c r="D14" s="85" t="s">
        <v>369</v>
      </c>
      <c r="E14" s="1"/>
      <c r="F14" s="68" t="s">
        <v>370</v>
      </c>
      <c r="G14" s="72">
        <v>14</v>
      </c>
      <c r="H14" s="69" t="s">
        <v>26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381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371</v>
      </c>
      <c r="G15" s="72">
        <v>9</v>
      </c>
      <c r="H15" s="69" t="s">
        <v>26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515</v>
      </c>
      <c r="B16" s="164">
        <f>INT(B13)+1+G14</f>
        <v>39</v>
      </c>
      <c r="C16" s="83"/>
      <c r="D16" s="85" t="s">
        <v>389</v>
      </c>
      <c r="E16" s="1"/>
      <c r="F16" s="68" t="s">
        <v>372</v>
      </c>
      <c r="G16" s="72">
        <v>5.5</v>
      </c>
      <c r="H16" s="69" t="s">
        <v>26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515</v>
      </c>
      <c r="B17" s="164">
        <f>INT(B13)+1+G14</f>
        <v>39</v>
      </c>
      <c r="C17" s="83" t="s">
        <v>26</v>
      </c>
      <c r="D17" s="85" t="s">
        <v>389</v>
      </c>
      <c r="E17" s="1"/>
      <c r="F17" s="68" t="s">
        <v>373</v>
      </c>
      <c r="G17" s="73">
        <v>3.5999999999999997E-2</v>
      </c>
      <c r="H17" s="69" t="s">
        <v>26</v>
      </c>
      <c r="I17" s="70" t="s">
        <v>416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374</v>
      </c>
      <c r="G18" s="72">
        <v>0.2</v>
      </c>
      <c r="H18" s="69" t="s">
        <v>26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393</v>
      </c>
      <c r="B19" s="7" t="s">
        <v>394</v>
      </c>
      <c r="C19" s="7" t="s">
        <v>392</v>
      </c>
      <c r="D19" s="13"/>
      <c r="E19" s="1"/>
      <c r="F19" s="68" t="s">
        <v>375</v>
      </c>
      <c r="G19" s="72">
        <v>0.6</v>
      </c>
      <c r="H19" s="69" t="s">
        <v>26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392</v>
      </c>
      <c r="B20" s="171" t="s">
        <v>398</v>
      </c>
      <c r="C20" s="172"/>
      <c r="D20" s="13"/>
      <c r="E20" s="1"/>
      <c r="F20" s="68" t="s">
        <v>378</v>
      </c>
      <c r="G20" s="72" t="s">
        <v>379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07" t="s">
        <v>395</v>
      </c>
      <c r="B21" s="208" t="s">
        <v>397</v>
      </c>
      <c r="C21" s="209" t="s">
        <v>396</v>
      </c>
      <c r="D21" s="13"/>
      <c r="E21" s="1"/>
      <c r="F21" s="68" t="s">
        <v>413</v>
      </c>
      <c r="G21" s="68">
        <v>0.4</v>
      </c>
      <c r="H21" s="69" t="s">
        <v>26</v>
      </c>
      <c r="I21" s="163" t="s">
        <v>414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08" t="s">
        <v>516</v>
      </c>
      <c r="B22" s="309"/>
      <c r="C22" s="309"/>
      <c r="D22" s="310"/>
      <c r="E22" s="1"/>
      <c r="F22" s="68" t="s">
        <v>382</v>
      </c>
      <c r="G22" s="68">
        <v>0.6</v>
      </c>
      <c r="H22" s="69">
        <v>1</v>
      </c>
      <c r="I22" s="70" t="s">
        <v>383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519</v>
      </c>
      <c r="B23" s="74" t="str">
        <f>IF((B3/(B2/2))/(G5*B8)&lt;0.7*G23/G24,"Oui","Non")</f>
        <v>Oui</v>
      </c>
      <c r="C23" s="83">
        <v>1</v>
      </c>
      <c r="D23" s="206" t="s">
        <v>524</v>
      </c>
      <c r="E23" s="1"/>
      <c r="F23" s="198" t="s">
        <v>518</v>
      </c>
      <c r="G23" s="212">
        <v>310</v>
      </c>
      <c r="H23" s="193" t="s">
        <v>522</v>
      </c>
      <c r="I23" s="70" t="s">
        <v>523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520</v>
      </c>
      <c r="B24" s="74" t="str">
        <f>IF((B5/(B3/2))/(G14*B13)&lt;0.7*G23/G24,"Oui","Non")</f>
        <v>Oui</v>
      </c>
      <c r="C24" s="83">
        <v>1</v>
      </c>
      <c r="D24" s="206" t="s">
        <v>524</v>
      </c>
      <c r="E24" s="1"/>
      <c r="F24" s="68" t="s">
        <v>246</v>
      </c>
      <c r="G24" s="68">
        <v>3</v>
      </c>
      <c r="H24" s="69">
        <v>1</v>
      </c>
      <c r="I24" s="70" t="s">
        <v>521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0" t="s">
        <v>517</v>
      </c>
      <c r="G25" s="211"/>
      <c r="H25" s="211"/>
      <c r="I25" s="211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1" t="s">
        <v>386</v>
      </c>
      <c r="AF37" s="311"/>
      <c r="AG37" s="311"/>
      <c r="AH37" s="311"/>
      <c r="AI37" s="311"/>
      <c r="AJ37" s="311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1"/>
      <c r="AF38" s="311"/>
      <c r="AG38" s="311"/>
      <c r="AH38" s="311"/>
      <c r="AI38" s="311"/>
      <c r="AJ38" s="311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22" priority="2" operator="equal">
      <formula>"Oui"</formula>
    </cfRule>
  </conditionalFormatting>
  <conditionalFormatting sqref="B23:B24">
    <cfRule type="cellIs" dxfId="21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I5" sqref="I5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349</v>
      </c>
      <c r="B1" s="7" t="s">
        <v>208</v>
      </c>
      <c r="C1" s="7" t="s">
        <v>215</v>
      </c>
      <c r="D1" s="7" t="s">
        <v>10</v>
      </c>
      <c r="E1" s="1"/>
      <c r="F1" s="7" t="s">
        <v>25</v>
      </c>
      <c r="G1" s="7" t="s">
        <v>208</v>
      </c>
      <c r="H1" s="7" t="s">
        <v>215</v>
      </c>
      <c r="I1" s="7" t="s">
        <v>10</v>
      </c>
      <c r="J1" s="1"/>
    </row>
    <row r="2" spans="1:10" x14ac:dyDescent="0.25">
      <c r="A2" s="68" t="s">
        <v>473</v>
      </c>
      <c r="B2" s="68">
        <f>'Résistance des engrenages'!L3</f>
        <v>246.8752938390642</v>
      </c>
      <c r="C2" s="69" t="s">
        <v>474</v>
      </c>
      <c r="D2" s="70" t="s">
        <v>475</v>
      </c>
      <c r="E2" s="1"/>
      <c r="F2" s="312" t="s">
        <v>472</v>
      </c>
      <c r="G2" s="312"/>
      <c r="H2" s="312"/>
      <c r="I2" s="312"/>
      <c r="J2" s="1"/>
    </row>
    <row r="3" spans="1:10" x14ac:dyDescent="0.25">
      <c r="A3" s="1"/>
      <c r="B3" s="1"/>
      <c r="C3" s="1"/>
      <c r="D3" s="1"/>
      <c r="E3" s="1"/>
      <c r="F3" s="68" t="s">
        <v>483</v>
      </c>
      <c r="G3" s="68">
        <v>5</v>
      </c>
      <c r="H3" s="69" t="s">
        <v>17</v>
      </c>
      <c r="I3" s="70" t="s">
        <v>478</v>
      </c>
      <c r="J3" s="1"/>
    </row>
    <row r="4" spans="1:10" x14ac:dyDescent="0.25">
      <c r="A4" s="7" t="s">
        <v>476</v>
      </c>
      <c r="B4" s="7" t="s">
        <v>8</v>
      </c>
      <c r="C4" s="7" t="s">
        <v>215</v>
      </c>
      <c r="D4" s="7" t="s">
        <v>10</v>
      </c>
      <c r="E4" s="1"/>
      <c r="F4" s="68" t="s">
        <v>121</v>
      </c>
      <c r="G4" s="68">
        <v>25</v>
      </c>
      <c r="H4" s="69" t="s">
        <v>26</v>
      </c>
      <c r="I4" s="70"/>
      <c r="J4" s="1"/>
    </row>
    <row r="5" spans="1:10" ht="45" x14ac:dyDescent="0.25">
      <c r="A5" s="74" t="s">
        <v>479</v>
      </c>
      <c r="B5" s="74">
        <f>B2*1000</f>
        <v>246875.29383906419</v>
      </c>
      <c r="C5" s="83" t="s">
        <v>257</v>
      </c>
      <c r="D5" s="199"/>
      <c r="E5" s="1"/>
      <c r="F5" s="71" t="s">
        <v>133</v>
      </c>
      <c r="G5" s="146">
        <v>850</v>
      </c>
      <c r="H5" s="136" t="s">
        <v>132</v>
      </c>
      <c r="I5" s="30" t="s">
        <v>419</v>
      </c>
      <c r="J5" s="1"/>
    </row>
    <row r="6" spans="1:10" x14ac:dyDescent="0.25">
      <c r="A6" s="74" t="s">
        <v>480</v>
      </c>
      <c r="B6" s="74">
        <f>16*B5/(PI()*G4^3)</f>
        <v>80.468835003906463</v>
      </c>
      <c r="C6" s="83"/>
      <c r="D6" s="199"/>
      <c r="E6" s="1"/>
      <c r="F6" s="1"/>
      <c r="G6" s="1"/>
      <c r="H6" s="1"/>
      <c r="I6" s="1"/>
      <c r="J6" s="1"/>
    </row>
    <row r="7" spans="1:10" x14ac:dyDescent="0.25">
      <c r="A7" s="74" t="s">
        <v>481</v>
      </c>
      <c r="B7" s="74">
        <f>SQRT(3)*B6</f>
        <v>139.37611065264292</v>
      </c>
      <c r="C7" s="83" t="s">
        <v>132</v>
      </c>
      <c r="D7" s="199" t="s">
        <v>482</v>
      </c>
      <c r="E7" s="1"/>
    </row>
    <row r="8" spans="1:10" x14ac:dyDescent="0.25">
      <c r="A8" s="74" t="s">
        <v>477</v>
      </c>
      <c r="B8" s="74">
        <f>G5/B7</f>
        <v>6.0986061098978004</v>
      </c>
      <c r="C8" s="83"/>
      <c r="D8" s="199"/>
      <c r="E8" s="1"/>
    </row>
    <row r="9" spans="1:10" x14ac:dyDescent="0.25">
      <c r="A9" s="74" t="s">
        <v>484</v>
      </c>
      <c r="B9" t="str">
        <f>IF(B8&gt;G3,"Oui","Non")</f>
        <v>Oui</v>
      </c>
      <c r="C9" s="83" t="s">
        <v>17</v>
      </c>
      <c r="D9" s="199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20" priority="1" operator="equal">
      <formula>"Non"</formula>
    </cfRule>
    <cfRule type="cellIs" dxfId="19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E18"/>
  <sheetViews>
    <sheetView workbookViewId="0">
      <selection activeCell="P16" sqref="P16"/>
    </sheetView>
  </sheetViews>
  <sheetFormatPr baseColWidth="10" defaultRowHeight="15" x14ac:dyDescent="0.25"/>
  <cols>
    <col min="1" max="1" width="25.5703125" customWidth="1"/>
    <col min="4" max="4" width="41.28515625" customWidth="1"/>
    <col min="5" max="5" width="4" customWidth="1"/>
  </cols>
  <sheetData>
    <row r="1" spans="1:5" ht="15.75" thickBot="1" x14ac:dyDescent="0.3">
      <c r="A1" s="56" t="s">
        <v>300</v>
      </c>
      <c r="B1" s="56" t="s">
        <v>8</v>
      </c>
      <c r="C1" s="56" t="s">
        <v>99</v>
      </c>
      <c r="D1" s="56" t="s">
        <v>10</v>
      </c>
      <c r="E1" s="1"/>
    </row>
    <row r="2" spans="1:5" x14ac:dyDescent="0.25">
      <c r="A2" s="68" t="s">
        <v>332</v>
      </c>
      <c r="B2" s="68">
        <v>25</v>
      </c>
      <c r="C2" s="69" t="s">
        <v>26</v>
      </c>
      <c r="D2" s="70" t="s">
        <v>486</v>
      </c>
      <c r="E2" s="1"/>
    </row>
    <row r="3" spans="1:5" x14ac:dyDescent="0.25">
      <c r="A3" s="68" t="s">
        <v>494</v>
      </c>
      <c r="B3" s="68">
        <f>1.6 * B2</f>
        <v>40</v>
      </c>
      <c r="C3" s="69" t="s">
        <v>26</v>
      </c>
      <c r="D3" s="70" t="s">
        <v>487</v>
      </c>
      <c r="E3" s="1"/>
    </row>
    <row r="4" spans="1:5" ht="15.75" thickBot="1" x14ac:dyDescent="0.3">
      <c r="A4" s="68" t="s">
        <v>66</v>
      </c>
      <c r="B4" s="68">
        <f>'Résistance des engrenages'!B2*'Résistance des engrenages'!L2</f>
        <v>104.72785714285716</v>
      </c>
      <c r="C4" s="69" t="s">
        <v>2</v>
      </c>
      <c r="D4" s="70" t="s">
        <v>297</v>
      </c>
      <c r="E4" s="1"/>
    </row>
    <row r="5" spans="1:5" ht="15.75" thickBot="1" x14ac:dyDescent="0.3">
      <c r="A5" s="57" t="s">
        <v>506</v>
      </c>
      <c r="B5" s="56" t="s">
        <v>8</v>
      </c>
      <c r="C5" s="56" t="s">
        <v>99</v>
      </c>
      <c r="D5" s="56" t="s">
        <v>10</v>
      </c>
      <c r="E5" s="1"/>
    </row>
    <row r="6" spans="1:5" ht="15.75" thickBot="1" x14ac:dyDescent="0.3">
      <c r="A6" s="314" t="s">
        <v>505</v>
      </c>
      <c r="B6" s="315"/>
      <c r="C6" s="315"/>
      <c r="D6" s="316"/>
      <c r="E6" s="1"/>
    </row>
    <row r="7" spans="1:5" x14ac:dyDescent="0.25">
      <c r="A7" s="74" t="s">
        <v>499</v>
      </c>
      <c r="B7" s="74">
        <v>5</v>
      </c>
      <c r="C7" s="83" t="s">
        <v>490</v>
      </c>
      <c r="D7" s="213" t="s">
        <v>502</v>
      </c>
      <c r="E7" s="1"/>
    </row>
    <row r="8" spans="1:5" x14ac:dyDescent="0.25">
      <c r="A8" s="74" t="s">
        <v>498</v>
      </c>
      <c r="B8" s="74">
        <v>0.5</v>
      </c>
      <c r="C8" s="83" t="s">
        <v>444</v>
      </c>
      <c r="D8" s="213" t="s">
        <v>503</v>
      </c>
      <c r="E8" s="1"/>
    </row>
    <row r="9" spans="1:5" ht="15.75" thickBot="1" x14ac:dyDescent="0.3">
      <c r="A9" s="74" t="s">
        <v>500</v>
      </c>
      <c r="B9" s="74">
        <v>1.7</v>
      </c>
      <c r="C9" s="83" t="s">
        <v>497</v>
      </c>
      <c r="D9" s="213" t="s">
        <v>504</v>
      </c>
      <c r="E9" s="1"/>
    </row>
    <row r="10" spans="1:5" ht="15.75" thickBot="1" x14ac:dyDescent="0.3">
      <c r="A10" s="57" t="s">
        <v>301</v>
      </c>
      <c r="B10" s="56" t="s">
        <v>8</v>
      </c>
      <c r="C10" s="56" t="s">
        <v>99</v>
      </c>
      <c r="D10" s="56" t="s">
        <v>10</v>
      </c>
      <c r="E10" s="1"/>
    </row>
    <row r="11" spans="1:5" ht="15.75" thickBot="1" x14ac:dyDescent="0.3">
      <c r="A11" s="74" t="s">
        <v>508</v>
      </c>
      <c r="B11" s="74">
        <f>((PI()*B4*B2)/60)*10^-3</f>
        <v>0.13708844442758392</v>
      </c>
      <c r="C11" s="201" t="s">
        <v>490</v>
      </c>
      <c r="D11" s="201" t="s">
        <v>488</v>
      </c>
      <c r="E11" s="1"/>
    </row>
    <row r="12" spans="1:5" ht="15.75" thickBot="1" x14ac:dyDescent="0.3">
      <c r="A12" s="57" t="s">
        <v>310</v>
      </c>
      <c r="B12" s="56" t="s">
        <v>8</v>
      </c>
      <c r="C12" s="56" t="s">
        <v>99</v>
      </c>
      <c r="D12" s="56" t="s">
        <v>10</v>
      </c>
      <c r="E12" s="1"/>
    </row>
    <row r="13" spans="1:5" ht="15.75" thickBot="1" x14ac:dyDescent="0.3">
      <c r="A13" s="74" t="s">
        <v>509</v>
      </c>
      <c r="B13" s="74">
        <f>MIN(((B9*B3*B2)/B11),B7*B2*B3)</f>
        <v>5000</v>
      </c>
      <c r="C13" s="201" t="s">
        <v>66</v>
      </c>
      <c r="D13" s="201" t="s">
        <v>507</v>
      </c>
      <c r="E13" s="1"/>
    </row>
    <row r="14" spans="1:5" ht="15.75" thickBot="1" x14ac:dyDescent="0.3">
      <c r="A14" s="282" t="s">
        <v>345</v>
      </c>
      <c r="B14" s="283"/>
      <c r="C14" s="56" t="s">
        <v>348</v>
      </c>
      <c r="D14" s="56" t="s">
        <v>10</v>
      </c>
      <c r="E14" s="1"/>
    </row>
    <row r="15" spans="1:5" x14ac:dyDescent="0.25">
      <c r="A15" s="313"/>
      <c r="B15" s="313"/>
      <c r="C15" s="13"/>
      <c r="D15" s="215"/>
      <c r="E15" s="1"/>
    </row>
    <row r="16" spans="1:5" x14ac:dyDescent="0.25">
      <c r="A16" s="284" t="s">
        <v>498</v>
      </c>
      <c r="B16" s="284"/>
      <c r="C16" t="str">
        <f>IF(B11&lt;B8,"OUI","NON")</f>
        <v>OUI</v>
      </c>
      <c r="D16" s="201" t="s">
        <v>501</v>
      </c>
      <c r="E16" s="1"/>
    </row>
    <row r="17" spans="1:5" x14ac:dyDescent="0.25">
      <c r="A17" s="313"/>
      <c r="B17" s="313"/>
      <c r="C17" s="13"/>
      <c r="D17" s="215"/>
      <c r="E17" s="1"/>
    </row>
    <row r="18" spans="1:5" x14ac:dyDescent="0.25">
      <c r="A18" s="1"/>
      <c r="B18" s="1"/>
      <c r="C18" s="1"/>
      <c r="D18" s="1"/>
      <c r="E18" s="1"/>
    </row>
  </sheetData>
  <mergeCells count="5">
    <mergeCell ref="A14:B14"/>
    <mergeCell ref="A15:B15"/>
    <mergeCell ref="A16:B16"/>
    <mergeCell ref="A17:B17"/>
    <mergeCell ref="A6:D6"/>
  </mergeCells>
  <conditionalFormatting sqref="C15:C17">
    <cfRule type="cellIs" dxfId="18" priority="1" operator="equal">
      <formula>"NON"</formula>
    </cfRule>
    <cfRule type="cellIs" dxfId="17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2021-01-11T21:42:30Z</dcterms:modified>
</cp:coreProperties>
</file>