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19E374DE-322A-4506-969C-A70BB9BF4A61}" xr6:coauthVersionLast="45" xr6:coauthVersionMax="45" xr10:uidLastSave="{00000000-0000-0000-0000-000000000000}"/>
  <bookViews>
    <workbookView xWindow="936" yWindow="-108" windowWidth="22212" windowHeight="13176" firstSheet="4" activeTab="1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Clavettes" sheetId="7" r:id="rId8"/>
    <sheet name="Etancheite" sheetId="8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1" l="1"/>
  <c r="C16" i="11"/>
  <c r="B11" i="11"/>
  <c r="B4" i="11"/>
  <c r="B3" i="11"/>
  <c r="B5" i="10"/>
  <c r="C18" i="10" l="1"/>
  <c r="B9" i="10"/>
  <c r="B8" i="10"/>
  <c r="B10" i="10" s="1"/>
  <c r="C19" i="10" s="1"/>
  <c r="B4" i="10"/>
  <c r="B2" i="9"/>
  <c r="C17" i="10" l="1"/>
  <c r="B5" i="9"/>
  <c r="B6" i="9" s="1"/>
  <c r="B7" i="9" s="1"/>
  <c r="B8" i="9" s="1"/>
  <c r="B9" i="9" s="1"/>
  <c r="B5" i="8"/>
  <c r="B4" i="8"/>
  <c r="B3" i="8"/>
  <c r="B14" i="1" l="1"/>
  <c r="G5" i="1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G558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B566" i="2" l="1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D857" i="3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D773" i="3" l="1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4" i="4" a="1"/>
  <c r="B4" i="5" a="1"/>
  <c r="G3" i="5" a="1"/>
  <c r="B4" i="4" a="1"/>
  <c r="B3" i="5" l="1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B18" i="4" l="1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6" i="4" l="1"/>
  <c r="C2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U684" i="3" s="1"/>
  <c r="B24" i="3" s="1"/>
  <c r="B25" i="3" s="1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S854" i="3" l="1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<sst xmlns="http://schemas.openxmlformats.org/spreadsheetml/2006/main" count="1251" uniqueCount="546">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</sst>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0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3195,'-2'-97,"4"-107,4 173,1-1,17-47,-14 46,0-3,-1-1,-2-1,-2 1,-2 1,-1-44,-4 17,4-80,6 90,-4 32,1-47,-6-308,1 369,-1 1,0-1,-1 2,1-1,-1 0,-1 0,-3-7,3 7,0-1,0-1,1 3,0-1,0-2,0-7,-2-23,-17-63,13 70,2 0,1-3,-1-29,-11-79,17 108,1-22,-2 2,-10-57,5 64,3-1,5-76,1 31,-1 8,-4-97,-8 124,7 46,1-3,0 2,1-1,0 0,1 2,3-24,0 27,0-1,1 2,1-1,0-1,0 2,1 1,0-2,11-11,11-14,-28 33,0 1,0 0,0 0,1-1,-1 1,0 0,0 0,0-1,0 1,0 0,0-1,0 1,0 0,0 0,0-1,0 1,0 0,0-1,0 1,0 0,0-2,0 2,0 0,0 0,0 0,0 0,-1 0,1-1,0 1,0 0,0 0,0-2,-1 2,1 0,0 0,0 0,-1-1,1 1,0 0,-1 0,-17-6,-22 4,39 2,-9 0,0 1,0 1,0-1,0 1,0 1,1 0,-1 1,1 0,-14 7,2 0,0-4,-1 0,-27 5,-23 8,51-16,0-1,0 1,0 0,0-3,0-1,-40-3,-7-2,43 4,0-2,0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K8" sqref="K8:M15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243.12345318286316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3">
      <c r="A15" s="32" t="s">
        <v>32</v>
      </c>
      <c r="B15" s="32">
        <v>93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B1" zoomScaleNormal="100" workbookViewId="0">
      <selection activeCell="L41" sqref="L41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13" t="s">
        <v>196</v>
      </c>
      <c r="N2" s="213"/>
      <c r="O2" s="213"/>
      <c r="P2" s="213"/>
      <c r="Q2" s="213"/>
      <c r="R2" s="213"/>
      <c r="S2" s="213"/>
      <c r="T2" s="213"/>
      <c r="U2" s="13"/>
      <c r="V2" s="13"/>
      <c r="W2" s="1"/>
      <c r="X2" s="13"/>
      <c r="Y2" s="13"/>
      <c r="Z2" s="13"/>
      <c r="AA2" s="214" t="s">
        <v>197</v>
      </c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6"/>
      <c r="AO2" s="13"/>
      <c r="AP2" s="13"/>
      <c r="AQ2" s="13"/>
      <c r="AR2" s="1"/>
    </row>
    <row r="3" spans="1:44" x14ac:dyDescent="0.3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13"/>
      <c r="N3" s="213"/>
      <c r="O3" s="213"/>
      <c r="P3" s="213"/>
      <c r="Q3" s="213"/>
      <c r="R3" s="213"/>
      <c r="S3" s="213"/>
      <c r="T3" s="213"/>
      <c r="U3" s="13"/>
      <c r="V3" s="13"/>
      <c r="W3" s="1"/>
      <c r="X3" s="13"/>
      <c r="Y3" s="13"/>
      <c r="Z3" s="13"/>
      <c r="AA3" s="217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9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13"/>
      <c r="N4" s="213"/>
      <c r="O4" s="213"/>
      <c r="P4" s="213"/>
      <c r="Q4" s="213"/>
      <c r="R4" s="213"/>
      <c r="S4" s="213"/>
      <c r="T4" s="213"/>
      <c r="U4" s="13"/>
      <c r="V4" s="13"/>
      <c r="W4" s="1"/>
      <c r="X4" s="13"/>
      <c r="Y4" s="13"/>
      <c r="Z4" s="13"/>
      <c r="AA4" s="220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2"/>
      <c r="AO4" s="13"/>
      <c r="AP4" s="13"/>
      <c r="AQ4" s="13"/>
      <c r="AR4" s="1"/>
    </row>
    <row r="5" spans="1:44" ht="15" thickBot="1" x14ac:dyDescent="0.35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32" t="s">
        <v>93</v>
      </c>
      <c r="G8" s="232"/>
      <c r="H8" s="233"/>
      <c r="I8" s="233"/>
      <c r="J8" s="38"/>
      <c r="K8" s="13"/>
      <c r="L8" s="239" t="s">
        <v>200</v>
      </c>
      <c r="M8" s="240"/>
      <c r="N8" s="243">
        <v>1.0300000000000001E-6</v>
      </c>
      <c r="O8" s="13"/>
      <c r="P8" s="13"/>
      <c r="Q8" s="13"/>
      <c r="R8" s="245" t="s">
        <v>199</v>
      </c>
      <c r="S8" s="246"/>
      <c r="T8" s="249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41"/>
      <c r="M9" s="242"/>
      <c r="N9" s="244"/>
      <c r="O9" s="13"/>
      <c r="P9" s="13"/>
      <c r="Q9" s="13"/>
      <c r="R9" s="247"/>
      <c r="S9" s="248"/>
      <c r="T9" s="250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1" t="s">
        <v>202</v>
      </c>
      <c r="B30" s="212"/>
      <c r="C30" s="209" t="str">
        <f>IF(ABS(C842)+ABS(D842)+ABS(E842)+ABS(G842)+ABS(H842)&lt;0.0000001,"PFD Verifié","Erreur probable")</f>
        <v>PFD Verifié</v>
      </c>
      <c r="D30" s="210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5" t="s">
        <v>211</v>
      </c>
      <c r="B31" s="236"/>
      <c r="C31" s="236"/>
      <c r="D31" s="237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8" t="str">
        <f>IF(ABS(P591)&lt;0.01*ABS(MAX(P41:P591)),"Constantes d'integration y' correctes","Constantes d'integration y' incorrectes")</f>
        <v>Constantes d'integration y' correctes</v>
      </c>
      <c r="B32" s="238"/>
      <c r="C32" s="238"/>
      <c r="D32" s="238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8" t="str">
        <f>IF(ABS(S591)&lt;0.01*ABS(MAX(S41:S591)),"Constantes d'integration z' correctes","Constantes d'integration z' incorrectes")</f>
        <v>Constantes d'integration z' correctes</v>
      </c>
      <c r="B33" s="238"/>
      <c r="C33" s="238"/>
      <c r="D33" s="238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4" t="s">
        <v>106</v>
      </c>
      <c r="B37" s="234"/>
      <c r="C37" s="234"/>
      <c r="D37" s="234"/>
      <c r="E37" s="234"/>
      <c r="F37" s="234"/>
      <c r="G37" s="234"/>
      <c r="H37" s="234"/>
      <c r="I37" s="234"/>
      <c r="J37" s="234"/>
      <c r="K37" s="234" t="s">
        <v>285</v>
      </c>
      <c r="L37" s="234"/>
      <c r="M37" s="234"/>
      <c r="N37" s="234" t="s">
        <v>174</v>
      </c>
      <c r="O37" s="234"/>
      <c r="P37" s="234"/>
      <c r="Q37" s="234"/>
      <c r="R37" s="234"/>
      <c r="S37" s="234"/>
      <c r="T37" s="234"/>
      <c r="U37" s="234"/>
      <c r="V37" s="234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23" t="s">
        <v>212</v>
      </c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5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6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8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9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1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6" priority="22" operator="containsText" text="Oui">
      <formula>NOT(ISERROR(SEARCH("Oui",B19)))</formula>
    </cfRule>
  </conditionalFormatting>
  <conditionalFormatting sqref="B17 B19 B21 B23">
    <cfRule type="containsText" dxfId="45" priority="20" operator="containsText" text="Non">
      <formula>NOT(ISERROR(SEARCH("Non",B17)))</formula>
    </cfRule>
    <cfRule type="containsText" dxfId="44" priority="21" operator="containsText" text="Oui">
      <formula>NOT(ISERROR(SEARCH("Oui",B17)))</formula>
    </cfRule>
  </conditionalFormatting>
  <conditionalFormatting sqref="B26">
    <cfRule type="cellIs" dxfId="43" priority="18" operator="equal">
      <formula>"Oui"</formula>
    </cfRule>
    <cfRule type="containsText" dxfId="42" priority="19" operator="containsText" text="Non">
      <formula>NOT(ISERROR(SEARCH("Non",B26)))</formula>
    </cfRule>
  </conditionalFormatting>
  <conditionalFormatting sqref="A32:D32">
    <cfRule type="cellIs" dxfId="41" priority="7" operator="equal">
      <formula>"Constantes d'integration y' incorrectes"</formula>
    </cfRule>
    <cfRule type="cellIs" dxfId="40" priority="9" operator="equal">
      <formula>"Constantes d'integration y' correctes"</formula>
    </cfRule>
    <cfRule type="cellIs" dxfId="39" priority="12" operator="equal">
      <formula>"Constantes d'integration incorrectes"</formula>
    </cfRule>
    <cfRule type="containsText" dxfId="3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7" priority="10" operator="equal">
      <formula>"Erreur probable"</formula>
    </cfRule>
    <cfRule type="cellIs" dxfId="36" priority="11" operator="equal">
      <formula>"PFD Verifié"</formula>
    </cfRule>
  </conditionalFormatting>
  <conditionalFormatting sqref="A33:D33">
    <cfRule type="cellIs" dxfId="35" priority="5" operator="equal">
      <formula>"Constantes d'integration z' incorrectes"</formula>
    </cfRule>
    <cfRule type="cellIs" dxfId="34" priority="6" operator="equal">
      <formula>"Constantes d'integration z' incorrectes"</formula>
    </cfRule>
    <cfRule type="cellIs" dxfId="33" priority="8" operator="equal">
      <formula>"Constantes d'integration z' correctes"</formula>
    </cfRule>
  </conditionalFormatting>
  <conditionalFormatting sqref="G592:H592 C592:E592">
    <cfRule type="cellIs" dxfId="32" priority="1" operator="greaterThan">
      <formula>0.00000001</formula>
    </cfRule>
    <cfRule type="cellIs" dxfId="3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5" sqref="A25:D25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52" t="s">
        <v>436</v>
      </c>
      <c r="B1" s="252"/>
      <c r="C1" s="252"/>
      <c r="D1" s="252"/>
      <c r="E1" s="1"/>
      <c r="F1" s="252" t="s">
        <v>437</v>
      </c>
      <c r="G1" s="252"/>
      <c r="H1" s="252"/>
      <c r="I1" s="252"/>
      <c r="J1" s="1"/>
      <c r="K1" s="251" t="s">
        <v>320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3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3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" thickBot="1" x14ac:dyDescent="0.35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51" t="s">
        <v>325</v>
      </c>
      <c r="R21" s="251"/>
      <c r="S21" t="e" cm="1">
        <f t="array" ref="S21">((INDEX(P4:P12,R19) - INDEX(P4:P12,R18))/(INDEX(K4:K12,R19) - INDEX(K4:K12,R18)))*(G13 - INDEX(K4:K12,R18)) + INDEX(P4:P12,R18)</f>
        <v>#N/A</v>
      </c>
      <c r="T21" s="1"/>
      <c r="U21" s="251" t="s">
        <v>325</v>
      </c>
      <c r="V21" s="251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51" t="s">
        <v>332</v>
      </c>
      <c r="R22" s="251"/>
      <c r="S22" t="e" cm="1">
        <f t="array" ref="S22">INDEX(N4:N12,R18)</f>
        <v>#N/A</v>
      </c>
      <c r="T22" s="1"/>
      <c r="U22" s="251" t="s">
        <v>332</v>
      </c>
      <c r="V22" s="251"/>
      <c r="W22" cm="1">
        <f t="array" ref="W22">INDEX(N4:N12,V18)</f>
        <v>0.56000000000000005</v>
      </c>
    </row>
    <row r="23" spans="1:23" x14ac:dyDescent="0.3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51" t="s">
        <v>333</v>
      </c>
      <c r="R23" s="251"/>
      <c r="S23" t="e" cm="1">
        <f t="array" ref="S23">((INDEX(O4:O12,R19) - INDEX(O4:O12,R18))/(INDEX(K4:K12,R19) - INDEX(K4:K12,R18)))*(G13 - INDEX(K4:K12,R18)) + INDEX(O4:O12,R18)</f>
        <v>#N/A</v>
      </c>
      <c r="T23" s="1"/>
      <c r="U23" s="251" t="s">
        <v>333</v>
      </c>
      <c r="V23" s="251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1" t="s">
        <v>319</v>
      </c>
      <c r="B29" s="251"/>
      <c r="C29" s="1"/>
    </row>
    <row r="30" spans="1:23" x14ac:dyDescent="0.3">
      <c r="A30" s="177" t="s">
        <v>318</v>
      </c>
      <c r="B30" s="177" t="s">
        <v>294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0" priority="2" operator="lessThan">
      <formula>$H$26</formula>
    </cfRule>
  </conditionalFormatting>
  <conditionalFormatting sqref="C26">
    <cfRule type="cellIs" dxfId="2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Normal="100" workbookViewId="0">
      <selection activeCell="F17" sqref="F17:I17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53" t="s">
        <v>272</v>
      </c>
      <c r="N2" s="254"/>
      <c r="O2" s="254"/>
      <c r="P2" s="254"/>
      <c r="Q2" s="254"/>
      <c r="R2" s="254"/>
      <c r="S2" s="254"/>
      <c r="T2" s="254"/>
      <c r="U2" s="255"/>
      <c r="V2" s="13"/>
      <c r="W2" s="13"/>
      <c r="X2" s="1"/>
      <c r="Y2" s="13"/>
      <c r="Z2" s="13"/>
      <c r="AA2" s="13"/>
      <c r="AB2" s="223" t="s">
        <v>197</v>
      </c>
      <c r="AC2" s="224"/>
      <c r="AD2" s="224"/>
      <c r="AE2" s="224"/>
      <c r="AF2" s="224"/>
      <c r="AG2" s="224"/>
      <c r="AH2" s="224"/>
      <c r="AI2" s="224"/>
      <c r="AJ2" s="225"/>
      <c r="AK2" s="13"/>
      <c r="AL2" s="13"/>
      <c r="AM2" s="13"/>
      <c r="AN2" s="1"/>
    </row>
    <row r="3" spans="1:40" ht="15" thickBot="1" x14ac:dyDescent="0.35">
      <c r="A3" s="71" t="s">
        <v>72</v>
      </c>
      <c r="B3" s="155">
        <f>'Résistance des engrenages'!B2*'Résistance des engrenages'!G4</f>
        <v>720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56"/>
      <c r="N3" s="257"/>
      <c r="O3" s="257"/>
      <c r="P3" s="257"/>
      <c r="Q3" s="257"/>
      <c r="R3" s="257"/>
      <c r="S3" s="257"/>
      <c r="T3" s="257"/>
      <c r="U3" s="258"/>
      <c r="V3" s="13"/>
      <c r="W3" s="13"/>
      <c r="X3" s="1"/>
      <c r="Y3" s="13"/>
      <c r="Z3" s="13"/>
      <c r="AA3" s="13"/>
      <c r="AB3" s="229"/>
      <c r="AC3" s="230"/>
      <c r="AD3" s="230"/>
      <c r="AE3" s="230"/>
      <c r="AF3" s="230"/>
      <c r="AG3" s="230"/>
      <c r="AH3" s="230"/>
      <c r="AI3" s="230"/>
      <c r="AJ3" s="231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217</v>
      </c>
      <c r="G5" s="130">
        <f>'Résistance des engrenages'!B14/2</f>
        <v>62.5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233</v>
      </c>
      <c r="B8" s="151">
        <f>2*PI()*B3/60</f>
        <v>75.398223686155035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59" t="s">
        <v>274</v>
      </c>
      <c r="M8" s="260"/>
      <c r="N8" s="260"/>
      <c r="O8" s="102">
        <v>1.6100000000000001E-4</v>
      </c>
      <c r="P8" s="13"/>
      <c r="Q8" s="58"/>
      <c r="R8" s="261"/>
      <c r="S8" s="261"/>
      <c r="T8" s="261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82</v>
      </c>
      <c r="B9" s="152">
        <f>1000*B2/B8</f>
        <v>37799.298984325142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237</v>
      </c>
      <c r="B13" s="152">
        <f>-B9/G6</f>
        <v>-1938.4255889397509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95</v>
      </c>
      <c r="B16" s="152">
        <f>-(B10*G7-B10*G8+B13*G7-B13*G10)/(G7)</f>
        <v>2509.9115855215946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96</v>
      </c>
      <c r="B17" s="152">
        <f>-(B12*G5+B11*G7-B11*G8+B14*G7-B14*G10)/(G7)</f>
        <v>-230.67194220781573</v>
      </c>
      <c r="C17" s="83" t="s">
        <v>72</v>
      </c>
      <c r="D17" s="85" t="s">
        <v>250</v>
      </c>
      <c r="E17" s="1"/>
      <c r="F17" s="71" t="s">
        <v>139</v>
      </c>
      <c r="G17" s="146">
        <v>850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97</v>
      </c>
      <c r="B18" s="152">
        <f>-(B10*G8+B13*G10)/(G7)</f>
        <v>-1176.2747803310463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98</v>
      </c>
      <c r="B19" s="152">
        <f>(B12*G5-B11*G8-B14*G10)/(G7)</f>
        <v>484.85053135871766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277</v>
      </c>
      <c r="B20" s="152">
        <f>G17/(MAX(M54:M684)*G23)</f>
        <v>2.0565301204426314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161</v>
      </c>
      <c r="B22" s="142" cm="1">
        <f t="array" ref="B22">MAX(ABS(F54:F685))/(G16*B42)</f>
        <v>6.5045698140760063E-6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163</v>
      </c>
      <c r="B24" s="140">
        <f>MAX(U54:U684)</f>
        <v>2.7873148964994598E-2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184</v>
      </c>
      <c r="B26" s="140">
        <f>MAX(T54:T684)</f>
        <v>1.6100020993775133E-4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185</v>
      </c>
      <c r="B28" s="140">
        <f>DEGREES(ATAN(T234))</f>
        <v>8.0271926858345895E-3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186</v>
      </c>
      <c r="B29" s="132">
        <f>DEGREES(ATAN(T684))</f>
        <v>3.7525158349648283E-3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59" t="s">
        <v>275</v>
      </c>
      <c r="M30" s="260"/>
      <c r="N30" s="260"/>
      <c r="O30" s="103">
        <v>2.6E-7</v>
      </c>
      <c r="P30" s="13"/>
      <c r="Q30" s="58"/>
      <c r="R30" s="261"/>
      <c r="S30" s="261"/>
      <c r="T30" s="261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62"/>
      <c r="B33" s="262"/>
      <c r="C33" s="262"/>
      <c r="D33" s="262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62"/>
      <c r="B34" s="262"/>
      <c r="C34" s="262"/>
      <c r="D34" s="262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67" t="s">
        <v>201</v>
      </c>
      <c r="B35" s="268"/>
      <c r="C35" s="268"/>
      <c r="D35" s="269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71" t="s">
        <v>434</v>
      </c>
      <c r="B36" s="271"/>
      <c r="C36" s="272" t="str">
        <f>IF(C940+D940+E940+G940+H940&lt;0.0000001,"Oui","Non")</f>
        <v>Oui</v>
      </c>
      <c r="D36" s="272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67" t="s">
        <v>272</v>
      </c>
      <c r="B37" s="268"/>
      <c r="C37" s="268"/>
      <c r="D37" s="269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70" t="str" cm="1">
        <f t="array" ref="A38">IF(ABS(P939)&lt;0.01*MAX(ABS(P54:P939)),"constante y' valide","constante y' non valide")</f>
        <v>constante y' valide</v>
      </c>
      <c r="B38" s="270"/>
      <c r="C38" s="270"/>
      <c r="D38" s="270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70" t="str" cm="1">
        <f t="array" ref="A39">IF(ABS(S939)&lt;0.01*MAX(ABS(S54:S939)),"constante z' valide","constante z' non valide")</f>
        <v>constante z' valide</v>
      </c>
      <c r="B39" s="270"/>
      <c r="C39" s="270"/>
      <c r="D39" s="270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64" t="s">
        <v>260</v>
      </c>
      <c r="B40" s="265"/>
      <c r="C40" s="265"/>
      <c r="D40" s="266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63" t="s">
        <v>106</v>
      </c>
      <c r="D50" s="263"/>
      <c r="E50" s="263"/>
      <c r="F50" s="263"/>
      <c r="G50" s="263"/>
      <c r="H50" s="263"/>
      <c r="I50" s="263"/>
      <c r="J50" s="263"/>
      <c r="K50" s="263" t="s">
        <v>153</v>
      </c>
      <c r="L50" s="263"/>
      <c r="M50" s="263"/>
      <c r="N50" s="234" t="s">
        <v>174</v>
      </c>
      <c r="O50" s="234"/>
      <c r="P50" s="234"/>
      <c r="Q50" s="234"/>
      <c r="R50" s="234"/>
      <c r="S50" s="234"/>
      <c r="T50" s="234"/>
      <c r="U50" s="234"/>
      <c r="V50" s="234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23" t="s">
        <v>212</v>
      </c>
      <c r="AC103" s="224"/>
      <c r="AD103" s="224"/>
      <c r="AE103" s="224"/>
      <c r="AF103" s="224"/>
      <c r="AG103" s="224"/>
      <c r="AH103" s="224"/>
      <c r="AI103" s="224"/>
      <c r="AJ103" s="224"/>
      <c r="AK103" s="225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9"/>
      <c r="AC104" s="230"/>
      <c r="AD104" s="230"/>
      <c r="AE104" s="230"/>
      <c r="AF104" s="230"/>
      <c r="AG104" s="230"/>
      <c r="AH104" s="230"/>
      <c r="AI104" s="230"/>
      <c r="AJ104" s="230"/>
      <c r="AK104" s="231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435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8" priority="17" operator="containsText" text="Oui">
      <formula>NOT(ISERROR(SEARCH("Oui",B23)))</formula>
    </cfRule>
  </conditionalFormatting>
  <conditionalFormatting sqref="B23 B25 B27">
    <cfRule type="containsText" dxfId="27" priority="15" operator="containsText" text="Non">
      <formula>NOT(ISERROR(SEARCH("Non",B23)))</formula>
    </cfRule>
    <cfRule type="containsText" dxfId="26" priority="16" operator="containsText" text="Oui">
      <formula>NOT(ISERROR(SEARCH("Oui",B23)))</formula>
    </cfRule>
  </conditionalFormatting>
  <conditionalFormatting sqref="B30">
    <cfRule type="cellIs" dxfId="25" priority="13" operator="equal">
      <formula>"Oui"</formula>
    </cfRule>
    <cfRule type="containsText" dxfId="24" priority="14" operator="containsText" text="Non">
      <formula>NOT(ISERROR(SEARCH("Non",B30)))</formula>
    </cfRule>
  </conditionalFormatting>
  <conditionalFormatting sqref="B21">
    <cfRule type="cellIs" dxfId="23" priority="11" operator="equal">
      <formula>"Non"</formula>
    </cfRule>
    <cfRule type="cellIs" dxfId="22" priority="12" operator="equal">
      <formula>"Oui"</formula>
    </cfRule>
  </conditionalFormatting>
  <conditionalFormatting sqref="A38:D38">
    <cfRule type="cellIs" dxfId="21" priority="5" operator="equal">
      <formula>"constante y' valide"</formula>
    </cfRule>
    <cfRule type="cellIs" dxfId="20" priority="9" operator="equal">
      <formula>"constante y' non valide"</formula>
    </cfRule>
    <cfRule type="cellIs" dxfId="19" priority="10" operator="equal">
      <formula>"""constante y' valide"""</formula>
    </cfRule>
  </conditionalFormatting>
  <conditionalFormatting sqref="A39:D39">
    <cfRule type="cellIs" dxfId="18" priority="6" operator="equal">
      <formula>"constante z' valide"</formula>
    </cfRule>
    <cfRule type="cellIs" dxfId="17" priority="7" operator="equal">
      <formula>"""constante z' valide"""</formula>
    </cfRule>
    <cfRule type="cellIs" dxfId="16" priority="8" operator="equal">
      <formula>"constante z' non valide"</formula>
    </cfRule>
  </conditionalFormatting>
  <conditionalFormatting sqref="C940:E940 G940:H940">
    <cfRule type="cellIs" dxfId="15" priority="3" operator="greaterThan">
      <formula>0.00000001</formula>
    </cfRule>
    <cfRule type="cellIs" dxfId="14" priority="4" operator="lessThan">
      <formula>0.00000001</formula>
    </cfRule>
  </conditionalFormatting>
  <conditionalFormatting sqref="C36:D36">
    <cfRule type="cellIs" dxfId="13" priority="1" operator="equal">
      <formula>"Oui"</formula>
    </cfRule>
    <cfRule type="cellIs" dxfId="1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52" t="s">
        <v>432</v>
      </c>
      <c r="B1" s="252"/>
      <c r="C1" s="252"/>
      <c r="D1" s="252"/>
      <c r="E1" s="1"/>
      <c r="F1" s="252" t="s">
        <v>438</v>
      </c>
      <c r="G1" s="252"/>
      <c r="H1" s="252"/>
      <c r="I1" s="252"/>
      <c r="J1" s="1"/>
      <c r="K1" s="251" t="s">
        <v>320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1272.2823572626016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3">
      <c r="A4" s="69" t="s">
        <v>86</v>
      </c>
      <c r="B4" s="69" cm="1">
        <f t="array" ref="B4">norme('Arbre 7'!B16,'Arbre 7'!B17)</f>
        <v>2520.4891811030357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720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72</v>
      </c>
      <c r="B10" s="69">
        <f>'Arbre 7'!B3</f>
        <v>720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1272.2823572626016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64465.125360980965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3">
      <c r="A16" s="83" t="s">
        <v>305</v>
      </c>
      <c r="B16" s="83">
        <f>B3/B4</f>
        <v>0.13853460261537789</v>
      </c>
      <c r="C16" s="83"/>
      <c r="D16" s="85" t="s">
        <v>306</v>
      </c>
      <c r="E16" s="1"/>
      <c r="F16" s="69" t="s">
        <v>313</v>
      </c>
      <c r="G16" s="69">
        <f>G15*G7*G8*G9</f>
        <v>64465.125360980965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3">
      <c r="A17" s="83" t="s">
        <v>71</v>
      </c>
      <c r="B17" s="83">
        <f>IF(B16&lt;=B5,B4,B6*B4+B7*B3)</f>
        <v>2520.4891811030357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2784.8934155943775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" thickBot="1" x14ac:dyDescent="0.35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3">
      <c r="A20" s="69" t="s">
        <v>312</v>
      </c>
      <c r="B20" s="69">
        <f>((10^6)/(60*B10))*B22</f>
        <v>76235.199914765049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14.069203976476587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3">
      <c r="A21" s="69" t="s">
        <v>313</v>
      </c>
      <c r="B21" s="69">
        <f>B11*B12*B13*B20</f>
        <v>76235.199914765049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51" t="s">
        <v>325</v>
      </c>
      <c r="R21" s="251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311</v>
      </c>
      <c r="B22" s="69">
        <f>(B8/B17)^3</f>
        <v>3293.3606363178501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51" t="s">
        <v>332</v>
      </c>
      <c r="R22" s="251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51" t="s">
        <v>333</v>
      </c>
      <c r="R23" s="251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354</v>
      </c>
      <c r="B26" s="69">
        <f>B8/B17</f>
        <v>14.878064258775737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51" t="s">
        <v>319</v>
      </c>
      <c r="B29" s="251"/>
      <c r="C29" s="1"/>
    </row>
    <row r="30" spans="1:20" x14ac:dyDescent="0.3">
      <c r="A30" s="177" t="s">
        <v>318</v>
      </c>
      <c r="B30" s="177" t="s">
        <v>294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1" priority="1" operator="equal">
      <formula>"NON"</formula>
    </cfRule>
    <cfRule type="cellIs" dxfId="10" priority="2" operator="equal">
      <formula>"OUI"</formula>
    </cfRule>
    <cfRule type="cellIs" dxfId="9" priority="6" operator="lessThan">
      <formula>$H$20</formula>
    </cfRule>
  </conditionalFormatting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9" sqref="B9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307</v>
      </c>
      <c r="B1" s="56" t="s">
        <v>8</v>
      </c>
      <c r="C1" s="56" t="s">
        <v>105</v>
      </c>
      <c r="D1" s="56" t="s">
        <v>10</v>
      </c>
      <c r="E1" s="1"/>
      <c r="F1" s="1"/>
    </row>
    <row r="2" spans="1:6" x14ac:dyDescent="0.3">
      <c r="A2" s="68" t="s">
        <v>529</v>
      </c>
      <c r="B2" s="205">
        <v>3</v>
      </c>
      <c r="C2" s="205" t="s">
        <v>460</v>
      </c>
      <c r="D2" s="205" t="s">
        <v>521</v>
      </c>
      <c r="E2" s="1"/>
      <c r="F2" s="1"/>
    </row>
    <row r="3" spans="1:6" x14ac:dyDescent="0.3">
      <c r="A3" s="68" t="s">
        <v>339</v>
      </c>
      <c r="B3" s="205">
        <v>20</v>
      </c>
      <c r="C3" s="205" t="s">
        <v>28</v>
      </c>
      <c r="D3" s="205" t="s">
        <v>522</v>
      </c>
      <c r="E3" s="1"/>
      <c r="F3" s="1"/>
    </row>
    <row r="4" spans="1:6" x14ac:dyDescent="0.3">
      <c r="A4" s="68" t="s">
        <v>530</v>
      </c>
      <c r="B4" s="205">
        <f>'Résistance des engrenages'!G14*'Résistance des engrenages'!G16</f>
        <v>18</v>
      </c>
      <c r="C4" s="205" t="s">
        <v>28</v>
      </c>
      <c r="D4" s="205" t="s">
        <v>523</v>
      </c>
      <c r="E4" s="1"/>
      <c r="F4" s="1"/>
    </row>
    <row r="5" spans="1:6" x14ac:dyDescent="0.3">
      <c r="A5" s="68" t="s">
        <v>237</v>
      </c>
      <c r="B5" s="205">
        <f>ABS('Arbre 7'!B13)/B2</f>
        <v>646.14186297991694</v>
      </c>
      <c r="C5" s="205" t="s">
        <v>72</v>
      </c>
      <c r="D5" s="205" t="s">
        <v>525</v>
      </c>
      <c r="E5" s="1"/>
      <c r="F5" s="1"/>
    </row>
    <row r="6" spans="1:6" ht="15" thickBot="1" x14ac:dyDescent="0.35">
      <c r="A6" s="68" t="s">
        <v>72</v>
      </c>
      <c r="B6" s="205">
        <v>111</v>
      </c>
      <c r="C6" s="205" t="s">
        <v>2</v>
      </c>
      <c r="D6" s="205" t="s">
        <v>304</v>
      </c>
      <c r="E6" s="1"/>
      <c r="F6" s="1"/>
    </row>
    <row r="7" spans="1:6" ht="15" thickBot="1" x14ac:dyDescent="0.35">
      <c r="A7" s="57" t="s">
        <v>308</v>
      </c>
      <c r="B7" s="56" t="s">
        <v>8</v>
      </c>
      <c r="C7" s="56" t="s">
        <v>105</v>
      </c>
      <c r="D7" s="56" t="s">
        <v>10</v>
      </c>
      <c r="E7" s="1"/>
      <c r="F7" s="1"/>
    </row>
    <row r="8" spans="1:6" x14ac:dyDescent="0.3">
      <c r="A8" s="74" t="s">
        <v>527</v>
      </c>
      <c r="B8" s="205">
        <f>B5/(B4*B3)</f>
        <v>1.7948385082775471</v>
      </c>
      <c r="C8" s="205" t="s">
        <v>526</v>
      </c>
      <c r="D8" s="205" t="s">
        <v>524</v>
      </c>
      <c r="E8" s="1"/>
      <c r="F8" s="1"/>
    </row>
    <row r="9" spans="1:6" x14ac:dyDescent="0.3">
      <c r="A9" s="74" t="s">
        <v>528</v>
      </c>
      <c r="B9" s="205">
        <f>(PI()*B6*B3/60)*10^-3</f>
        <v>0.11623892818282235</v>
      </c>
      <c r="C9" s="205" t="s">
        <v>463</v>
      </c>
      <c r="D9" s="205" t="s">
        <v>458</v>
      </c>
      <c r="E9" s="1"/>
      <c r="F9" s="1"/>
    </row>
    <row r="10" spans="1:6" ht="15" thickBot="1" x14ac:dyDescent="0.35">
      <c r="A10" s="74" t="s">
        <v>531</v>
      </c>
      <c r="B10" s="205">
        <f>B8*B9</f>
        <v>0.2086301044634378</v>
      </c>
      <c r="C10" s="205" t="s">
        <v>533</v>
      </c>
      <c r="D10" s="205" t="s">
        <v>532</v>
      </c>
      <c r="E10" s="1"/>
      <c r="F10" s="1"/>
    </row>
    <row r="11" spans="1:6" ht="15" thickBot="1" x14ac:dyDescent="0.35">
      <c r="A11" s="57" t="s">
        <v>317</v>
      </c>
      <c r="B11" s="56" t="s">
        <v>8</v>
      </c>
      <c r="C11" s="56" t="s">
        <v>105</v>
      </c>
      <c r="D11" s="56" t="s">
        <v>10</v>
      </c>
      <c r="E11" s="1"/>
      <c r="F11" s="1"/>
    </row>
    <row r="12" spans="1:6" x14ac:dyDescent="0.3">
      <c r="A12" s="104" t="s">
        <v>541</v>
      </c>
      <c r="B12" s="1"/>
      <c r="C12" s="1"/>
      <c r="D12" s="1"/>
      <c r="E12" s="1"/>
      <c r="F12" s="1"/>
    </row>
    <row r="13" spans="1:6" x14ac:dyDescent="0.3">
      <c r="A13" s="104" t="s">
        <v>535</v>
      </c>
      <c r="B13">
        <v>5</v>
      </c>
      <c r="C13" s="207" t="s">
        <v>526</v>
      </c>
      <c r="D13" s="207" t="s">
        <v>538</v>
      </c>
      <c r="E13" s="1"/>
      <c r="F13" s="1"/>
    </row>
    <row r="14" spans="1:6" x14ac:dyDescent="0.3">
      <c r="A14" s="104" t="s">
        <v>534</v>
      </c>
      <c r="B14">
        <v>0.5</v>
      </c>
      <c r="C14" s="207" t="s">
        <v>463</v>
      </c>
      <c r="D14" s="207" t="s">
        <v>539</v>
      </c>
      <c r="E14" s="1"/>
      <c r="F14" s="1"/>
    </row>
    <row r="15" spans="1:6" ht="15" thickBot="1" x14ac:dyDescent="0.35">
      <c r="A15" s="104" t="s">
        <v>536</v>
      </c>
      <c r="B15">
        <v>1.7</v>
      </c>
      <c r="C15" s="207" t="s">
        <v>533</v>
      </c>
      <c r="D15" s="207" t="s">
        <v>540</v>
      </c>
      <c r="E15" s="1"/>
      <c r="F15" s="1"/>
    </row>
    <row r="16" spans="1:6" ht="15" thickBot="1" x14ac:dyDescent="0.35">
      <c r="A16" s="273" t="s">
        <v>352</v>
      </c>
      <c r="B16" s="274"/>
      <c r="C16" s="56" t="s">
        <v>355</v>
      </c>
      <c r="D16" s="56" t="s">
        <v>10</v>
      </c>
      <c r="E16" s="1"/>
      <c r="F16" s="1"/>
    </row>
    <row r="17" spans="1:6" x14ac:dyDescent="0.3">
      <c r="A17" s="275" t="s">
        <v>535</v>
      </c>
      <c r="B17" s="275"/>
      <c r="C17" t="str">
        <f>IF(B8&lt;B13,"OUI","NON")</f>
        <v>OUI</v>
      </c>
      <c r="D17" s="205" t="s">
        <v>537</v>
      </c>
      <c r="E17" s="1"/>
      <c r="F17" s="1"/>
    </row>
    <row r="18" spans="1:6" x14ac:dyDescent="0.3">
      <c r="A18" s="276" t="s">
        <v>534</v>
      </c>
      <c r="B18" s="276"/>
      <c r="C18" t="str">
        <f t="shared" ref="C18:C19" si="0">IF(B9&lt;B14,"OUI","NON")</f>
        <v>OUI</v>
      </c>
      <c r="D18" s="205" t="s">
        <v>537</v>
      </c>
      <c r="E18" s="1"/>
      <c r="F18" s="1"/>
    </row>
    <row r="19" spans="1:6" x14ac:dyDescent="0.3">
      <c r="A19" s="276" t="s">
        <v>536</v>
      </c>
      <c r="B19" s="276"/>
      <c r="C19" t="str">
        <f t="shared" si="0"/>
        <v>OUI</v>
      </c>
      <c r="D19" s="205" t="s">
        <v>537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51" t="s">
        <v>430</v>
      </c>
      <c r="J1" s="251"/>
      <c r="K1" s="251"/>
      <c r="L1" s="251"/>
      <c r="M1" s="251"/>
      <c r="N1" s="251"/>
      <c r="O1" s="251"/>
      <c r="P1" s="1"/>
      <c r="Q1" s="251" t="s">
        <v>431</v>
      </c>
      <c r="R1" s="251"/>
      <c r="S1" s="251"/>
      <c r="T1" s="251"/>
      <c r="U1" s="251"/>
      <c r="V1" s="251"/>
      <c r="W1" s="251"/>
      <c r="X1" s="251"/>
      <c r="Y1" s="1"/>
    </row>
    <row r="2" spans="1:25" x14ac:dyDescent="0.3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342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307</v>
      </c>
      <c r="B27" s="56" t="s">
        <v>451</v>
      </c>
      <c r="C27" s="56" t="s">
        <v>452</v>
      </c>
      <c r="D27" s="56" t="s">
        <v>105</v>
      </c>
      <c r="E27" s="278" t="s">
        <v>10</v>
      </c>
      <c r="F27" s="279"/>
      <c r="G27" s="279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77"/>
      <c r="F28" s="277"/>
      <c r="G28" s="277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77"/>
      <c r="F29" s="277"/>
      <c r="G29" s="277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7"/>
      <c r="F30" s="277"/>
      <c r="G30" s="277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449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77"/>
      <c r="F31" s="277"/>
      <c r="G31" s="277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450</v>
      </c>
      <c r="B32" s="85">
        <v>3</v>
      </c>
      <c r="C32" s="85">
        <v>3</v>
      </c>
      <c r="D32" s="85" t="s">
        <v>17</v>
      </c>
      <c r="E32" s="277"/>
      <c r="F32" s="277"/>
      <c r="G32" s="277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304</v>
      </c>
      <c r="B33" s="85">
        <f>'Arbre 6'!B3</f>
        <v>1500</v>
      </c>
      <c r="C33" s="85">
        <f>'Arbre 7'!B3</f>
        <v>720</v>
      </c>
      <c r="D33" s="85" t="s">
        <v>2</v>
      </c>
      <c r="E33" s="282"/>
      <c r="F33" s="282"/>
      <c r="G33" s="282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465</v>
      </c>
      <c r="B34" s="85">
        <v>1.5</v>
      </c>
      <c r="C34" s="85">
        <v>1.5</v>
      </c>
      <c r="D34" s="85" t="s">
        <v>17</v>
      </c>
      <c r="E34" s="277" t="s">
        <v>466</v>
      </c>
      <c r="F34" s="277"/>
      <c r="G34" s="277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83"/>
      <c r="F35" s="283"/>
      <c r="G35" s="283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308</v>
      </c>
      <c r="B36" s="56" t="s">
        <v>451</v>
      </c>
      <c r="C36" s="56" t="s">
        <v>452</v>
      </c>
      <c r="D36" s="56" t="s">
        <v>105</v>
      </c>
      <c r="E36" s="285" t="s">
        <v>10</v>
      </c>
      <c r="F36" s="286"/>
      <c r="G36" s="286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457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138</v>
      </c>
      <c r="E37" s="287"/>
      <c r="F37" s="287"/>
      <c r="G37" s="287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458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463</v>
      </c>
      <c r="E38" s="287"/>
      <c r="F38" s="287"/>
      <c r="G38" s="287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459</v>
      </c>
      <c r="B39" s="85">
        <f>B37/B38</f>
        <v>0.99970234527106605</v>
      </c>
      <c r="C39" s="85">
        <f>C37/C38</f>
        <v>2.0175324410657369</v>
      </c>
      <c r="D39" s="85" t="s">
        <v>464</v>
      </c>
      <c r="E39" s="277"/>
      <c r="F39" s="277"/>
      <c r="G39" s="277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467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84" t="s">
        <v>468</v>
      </c>
      <c r="F40" s="284"/>
      <c r="G40" s="284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80" t="s">
        <v>470</v>
      </c>
      <c r="E44" s="281"/>
      <c r="F44" s="281"/>
      <c r="G44" s="28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88" t="s">
        <v>368</v>
      </c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361</v>
      </c>
      <c r="B5" s="68">
        <f>'Arbre 7'!B9</f>
        <v>37799.298984325142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88" t="s">
        <v>369</v>
      </c>
      <c r="N6" s="288"/>
      <c r="O6" s="288"/>
      <c r="P6" s="288"/>
      <c r="Q6" s="13"/>
      <c r="R6" s="13"/>
      <c r="S6" s="13"/>
      <c r="T6" s="13"/>
      <c r="U6" s="13"/>
      <c r="V6" s="288" t="s">
        <v>370</v>
      </c>
      <c r="W6" s="288"/>
      <c r="X6" s="288"/>
      <c r="Y6" s="288"/>
      <c r="Z6" s="13"/>
      <c r="AA6" s="13"/>
      <c r="AB6" s="13"/>
      <c r="AC6" s="13"/>
      <c r="AD6" s="13"/>
      <c r="AE6" s="288" t="s">
        <v>391</v>
      </c>
      <c r="AF6" s="288"/>
      <c r="AG6" s="288"/>
      <c r="AH6" s="288"/>
      <c r="AI6" s="288"/>
      <c r="AJ6" s="13"/>
      <c r="AK6" s="13"/>
      <c r="AL6" s="13"/>
      <c r="AM6" s="1"/>
    </row>
    <row r="7" spans="1:39" x14ac:dyDescent="0.3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88"/>
      <c r="N7" s="288"/>
      <c r="O7" s="288"/>
      <c r="P7" s="288"/>
      <c r="Q7" s="13"/>
      <c r="R7" s="13"/>
      <c r="S7" s="13"/>
      <c r="T7" s="13"/>
      <c r="U7" s="13"/>
      <c r="V7" s="288"/>
      <c r="W7" s="288"/>
      <c r="X7" s="288"/>
      <c r="Y7" s="288"/>
      <c r="Z7" s="13"/>
      <c r="AA7" s="13"/>
      <c r="AB7" s="13"/>
      <c r="AC7" s="13"/>
      <c r="AD7" s="13"/>
      <c r="AE7" s="288"/>
      <c r="AF7" s="288"/>
      <c r="AG7" s="288"/>
      <c r="AH7" s="288"/>
      <c r="AI7" s="288"/>
      <c r="AJ7" s="13"/>
      <c r="AK7" s="13"/>
      <c r="AL7" s="13"/>
      <c r="AM7" s="1"/>
    </row>
    <row r="8" spans="1:39" ht="28.8" x14ac:dyDescent="0.3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374</v>
      </c>
      <c r="B13" s="165">
        <f>2*B5/(G2*B4*(G15-G16-G17-G18-G19))</f>
        <v>23.648210075278495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375</v>
      </c>
      <c r="B14" s="164">
        <f>B13/B4</f>
        <v>1.1824105037639248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397</v>
      </c>
      <c r="B16" s="164">
        <f>B13+G14</f>
        <v>37.648210075278499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398</v>
      </c>
      <c r="B17" s="164">
        <f>B13+G14/2</f>
        <v>30.648210075278495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89" t="s">
        <v>395</v>
      </c>
      <c r="G23" s="290"/>
      <c r="H23" s="290"/>
      <c r="I23" s="29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8" t="s">
        <v>393</v>
      </c>
      <c r="AF37" s="288"/>
      <c r="AG37" s="288"/>
      <c r="AH37" s="288"/>
      <c r="AI37" s="288"/>
      <c r="AJ37" s="288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8"/>
      <c r="AF38" s="288"/>
      <c r="AG38" s="288"/>
      <c r="AH38" s="288"/>
      <c r="AI38" s="288"/>
      <c r="AJ38" s="288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472</v>
      </c>
      <c r="B1" s="7" t="s">
        <v>8</v>
      </c>
      <c r="C1" s="7" t="s">
        <v>222</v>
      </c>
      <c r="D1" s="7" t="s">
        <v>10</v>
      </c>
      <c r="E1" s="1"/>
      <c r="F1" s="7" t="s">
        <v>25</v>
      </c>
      <c r="G1" s="7" t="s">
        <v>477</v>
      </c>
      <c r="H1" s="7" t="s">
        <v>222</v>
      </c>
      <c r="I1" s="7" t="s">
        <v>10</v>
      </c>
    </row>
    <row r="2" spans="1:9" x14ac:dyDescent="0.3">
      <c r="A2" s="292" t="s">
        <v>482</v>
      </c>
      <c r="B2" s="293"/>
      <c r="C2" s="293"/>
      <c r="D2" s="294"/>
      <c r="E2" s="1"/>
      <c r="F2" s="291" t="s">
        <v>494</v>
      </c>
      <c r="G2" s="291"/>
      <c r="H2" s="291"/>
      <c r="I2" s="291"/>
    </row>
    <row r="3" spans="1:9" x14ac:dyDescent="0.3">
      <c r="A3" s="68" t="s">
        <v>473</v>
      </c>
      <c r="B3" s="68">
        <f>'Résistance des engrenages'!B2*'Arbre 6'!G11*2*PI()/60/1000</f>
        <v>5.3407075111026492</v>
      </c>
      <c r="C3" s="69" t="s">
        <v>463</v>
      </c>
      <c r="D3" s="70" t="s">
        <v>474</v>
      </c>
      <c r="E3" s="1"/>
      <c r="F3" s="295" t="s">
        <v>495</v>
      </c>
      <c r="G3" s="296"/>
      <c r="H3" s="296"/>
      <c r="I3" s="297"/>
    </row>
    <row r="4" spans="1:9" x14ac:dyDescent="0.3">
      <c r="A4" s="68" t="s">
        <v>72</v>
      </c>
      <c r="B4" s="68">
        <f>'Résistance des engrenages'!B2</f>
        <v>1500</v>
      </c>
      <c r="C4" s="69" t="s">
        <v>2</v>
      </c>
      <c r="D4" s="70" t="s">
        <v>476</v>
      </c>
      <c r="E4" s="1"/>
      <c r="F4" s="68" t="s">
        <v>490</v>
      </c>
      <c r="G4" s="68" t="s">
        <v>478</v>
      </c>
      <c r="H4" s="69" t="s">
        <v>479</v>
      </c>
      <c r="I4" s="70" t="s">
        <v>481</v>
      </c>
    </row>
    <row r="5" spans="1:9" x14ac:dyDescent="0.3">
      <c r="A5" s="68" t="s">
        <v>127</v>
      </c>
      <c r="B5" s="68">
        <f>'Arbre 6'!G11</f>
        <v>34</v>
      </c>
      <c r="C5" s="69" t="s">
        <v>28</v>
      </c>
      <c r="D5" s="70" t="s">
        <v>475</v>
      </c>
      <c r="E5" s="1"/>
      <c r="F5" s="68" t="s">
        <v>339</v>
      </c>
      <c r="G5" s="68">
        <v>30</v>
      </c>
      <c r="H5" s="69" t="s">
        <v>28</v>
      </c>
      <c r="I5" s="70" t="s">
        <v>483</v>
      </c>
    </row>
    <row r="6" spans="1:9" x14ac:dyDescent="0.3">
      <c r="E6" s="1"/>
      <c r="F6" s="68" t="s">
        <v>127</v>
      </c>
      <c r="G6" s="68">
        <v>40</v>
      </c>
      <c r="H6" s="69" t="s">
        <v>28</v>
      </c>
      <c r="I6" s="70" t="s">
        <v>496</v>
      </c>
    </row>
    <row r="7" spans="1:9" x14ac:dyDescent="0.3">
      <c r="E7" s="1"/>
      <c r="F7" s="68" t="s">
        <v>480</v>
      </c>
      <c r="G7" s="68">
        <v>7</v>
      </c>
      <c r="H7" s="69" t="s">
        <v>28</v>
      </c>
      <c r="I7" s="70" t="s">
        <v>484</v>
      </c>
    </row>
    <row r="8" spans="1:9" x14ac:dyDescent="0.3">
      <c r="E8" s="1"/>
      <c r="F8" s="68" t="s">
        <v>485</v>
      </c>
      <c r="G8" s="68" t="s">
        <v>486</v>
      </c>
      <c r="H8" s="69"/>
      <c r="I8" s="70" t="s">
        <v>488</v>
      </c>
    </row>
    <row r="9" spans="1:9" x14ac:dyDescent="0.3">
      <c r="E9" s="1"/>
      <c r="F9" s="68"/>
      <c r="G9" s="68" t="s">
        <v>487</v>
      </c>
      <c r="H9" s="69"/>
      <c r="I9" s="70"/>
    </row>
    <row r="10" spans="1:9" x14ac:dyDescent="0.3">
      <c r="E10" s="1"/>
      <c r="F10" s="298" t="s">
        <v>497</v>
      </c>
      <c r="G10" s="298"/>
      <c r="H10" s="298"/>
      <c r="I10" s="298"/>
    </row>
    <row r="11" spans="1:9" x14ac:dyDescent="0.3">
      <c r="E11" s="1"/>
      <c r="F11" s="68" t="s">
        <v>491</v>
      </c>
      <c r="G11" s="68" t="s">
        <v>478</v>
      </c>
      <c r="H11" s="69" t="s">
        <v>479</v>
      </c>
      <c r="I11" s="70" t="s">
        <v>498</v>
      </c>
    </row>
    <row r="12" spans="1:9" x14ac:dyDescent="0.3">
      <c r="E12" s="1"/>
      <c r="F12" s="68" t="s">
        <v>339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499</v>
      </c>
      <c r="G13" s="68">
        <v>53</v>
      </c>
      <c r="H13" s="69" t="s">
        <v>28</v>
      </c>
      <c r="I13" s="70" t="s">
        <v>500</v>
      </c>
    </row>
    <row r="14" spans="1:9" x14ac:dyDescent="0.3">
      <c r="E14" s="1"/>
      <c r="F14" s="68" t="s">
        <v>501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502</v>
      </c>
      <c r="G15" s="68">
        <v>1.6</v>
      </c>
      <c r="H15" s="69" t="s">
        <v>503</v>
      </c>
      <c r="I15" s="70"/>
    </row>
    <row r="16" spans="1:9" x14ac:dyDescent="0.3">
      <c r="E16" s="1"/>
      <c r="F16" s="202" t="s">
        <v>504</v>
      </c>
      <c r="G16" s="202">
        <v>0.6</v>
      </c>
      <c r="H16" s="196" t="s">
        <v>28</v>
      </c>
      <c r="I16" s="70" t="s">
        <v>505</v>
      </c>
    </row>
    <row r="17" spans="5:9" x14ac:dyDescent="0.3">
      <c r="E17" s="1"/>
    </row>
    <row r="18" spans="5:9" x14ac:dyDescent="0.3">
      <c r="E18" s="1"/>
      <c r="F18" s="299" t="s">
        <v>489</v>
      </c>
      <c r="G18" s="300"/>
      <c r="H18" s="300"/>
      <c r="I18" s="301"/>
    </row>
    <row r="19" spans="5:9" x14ac:dyDescent="0.3">
      <c r="E19" s="1"/>
      <c r="F19" s="202" t="s">
        <v>506</v>
      </c>
      <c r="G19" t="s">
        <v>507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492</v>
      </c>
      <c r="G22" s="204"/>
      <c r="H22" s="204"/>
      <c r="I22" s="204"/>
    </row>
    <row r="23" spans="5:9" x14ac:dyDescent="0.3">
      <c r="E23" s="1"/>
      <c r="F23" t="s">
        <v>495</v>
      </c>
    </row>
    <row r="24" spans="5:9" x14ac:dyDescent="0.3">
      <c r="E24" s="1"/>
      <c r="F24" t="s">
        <v>493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497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356</v>
      </c>
      <c r="B1" s="7" t="s">
        <v>215</v>
      </c>
      <c r="C1" s="7" t="s">
        <v>222</v>
      </c>
      <c r="D1" s="7" t="s">
        <v>10</v>
      </c>
      <c r="E1" s="1"/>
      <c r="F1" s="7" t="s">
        <v>25</v>
      </c>
      <c r="G1" s="7" t="s">
        <v>215</v>
      </c>
      <c r="H1" s="7" t="s">
        <v>222</v>
      </c>
      <c r="I1" s="7" t="s">
        <v>10</v>
      </c>
      <c r="J1" s="1"/>
    </row>
    <row r="2" spans="1:10" x14ac:dyDescent="0.3">
      <c r="A2" s="68" t="s">
        <v>509</v>
      </c>
      <c r="B2" s="68">
        <f>'Résistance des engrenages'!L3</f>
        <v>243.12345318286316</v>
      </c>
      <c r="C2" s="69" t="s">
        <v>510</v>
      </c>
      <c r="D2" s="70" t="s">
        <v>511</v>
      </c>
      <c r="E2" s="1"/>
      <c r="F2" s="302" t="s">
        <v>508</v>
      </c>
      <c r="G2" s="302"/>
      <c r="H2" s="302"/>
      <c r="I2" s="302"/>
      <c r="J2" s="1"/>
    </row>
    <row r="3" spans="1:10" x14ac:dyDescent="0.3">
      <c r="A3" s="1"/>
      <c r="B3" s="1"/>
      <c r="C3" s="1"/>
      <c r="D3" s="1"/>
      <c r="E3" s="1"/>
      <c r="F3" s="68" t="s">
        <v>519</v>
      </c>
      <c r="G3" s="68">
        <v>5</v>
      </c>
      <c r="H3" s="69">
        <v>1</v>
      </c>
      <c r="I3" s="70" t="s">
        <v>514</v>
      </c>
      <c r="J3" s="1"/>
    </row>
    <row r="4" spans="1:10" x14ac:dyDescent="0.3">
      <c r="A4" s="7" t="s">
        <v>512</v>
      </c>
      <c r="B4" s="7" t="s">
        <v>8</v>
      </c>
      <c r="C4" s="7" t="s">
        <v>222</v>
      </c>
      <c r="D4" s="7" t="s">
        <v>10</v>
      </c>
      <c r="E4" s="1"/>
      <c r="F4" s="68" t="s">
        <v>127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515</v>
      </c>
      <c r="B5" s="74">
        <f>B2*1000</f>
        <v>243123.45318286316</v>
      </c>
      <c r="C5" s="83" t="s">
        <v>264</v>
      </c>
      <c r="D5" s="203"/>
      <c r="E5" s="1"/>
      <c r="F5" s="71" t="s">
        <v>139</v>
      </c>
      <c r="G5" s="146">
        <v>850</v>
      </c>
      <c r="H5" s="136" t="s">
        <v>138</v>
      </c>
      <c r="I5" s="30" t="s">
        <v>433</v>
      </c>
      <c r="J5" s="1"/>
    </row>
    <row r="6" spans="1:10" x14ac:dyDescent="0.3">
      <c r="A6" s="74" t="s">
        <v>516</v>
      </c>
      <c r="B6" s="74">
        <f>16*B5/(PI()*G4^3)</f>
        <v>79.245925080317278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517</v>
      </c>
      <c r="B7" s="74">
        <f>SQRT(3)*B6</f>
        <v>137.25796853190627</v>
      </c>
      <c r="C7" s="83" t="s">
        <v>138</v>
      </c>
      <c r="D7" s="203" t="s">
        <v>518</v>
      </c>
      <c r="E7" s="1"/>
    </row>
    <row r="8" spans="1:10" x14ac:dyDescent="0.3">
      <c r="A8" s="74" t="s">
        <v>513</v>
      </c>
      <c r="B8" s="74">
        <f>G5/B7</f>
        <v>6.1927187841368454</v>
      </c>
      <c r="C8" s="83"/>
      <c r="D8" s="203"/>
      <c r="E8" s="1"/>
    </row>
    <row r="9" spans="1:10" x14ac:dyDescent="0.3">
      <c r="A9" s="74" t="s">
        <v>520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tabSelected="1" workbookViewId="0">
      <selection activeCell="G9" sqref="G9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307</v>
      </c>
      <c r="B1" s="56" t="s">
        <v>8</v>
      </c>
      <c r="C1" s="56" t="s">
        <v>105</v>
      </c>
      <c r="D1" s="56" t="s">
        <v>10</v>
      </c>
      <c r="E1" s="1"/>
      <c r="F1" s="1"/>
    </row>
    <row r="2" spans="1:6" x14ac:dyDescent="0.3">
      <c r="A2" s="68" t="s">
        <v>339</v>
      </c>
      <c r="B2" s="206">
        <v>20</v>
      </c>
      <c r="C2" s="206" t="s">
        <v>28</v>
      </c>
      <c r="D2" s="206" t="s">
        <v>522</v>
      </c>
      <c r="E2" s="1"/>
      <c r="F2" s="1"/>
    </row>
    <row r="3" spans="1:6" x14ac:dyDescent="0.3">
      <c r="A3" s="68" t="s">
        <v>530</v>
      </c>
      <c r="B3" s="206">
        <f>1.6 * B2</f>
        <v>32</v>
      </c>
      <c r="C3" s="206" t="s">
        <v>28</v>
      </c>
      <c r="D3" s="206" t="s">
        <v>523</v>
      </c>
      <c r="E3" s="1"/>
      <c r="F3" s="1"/>
    </row>
    <row r="4" spans="1:6" ht="15" thickBot="1" x14ac:dyDescent="0.35">
      <c r="A4" s="68" t="s">
        <v>71</v>
      </c>
      <c r="B4" s="206">
        <f>'Résistance des engrenages'!B2*'Résistance des engrenages'!L2</f>
        <v>106.34399999999999</v>
      </c>
      <c r="C4" s="206" t="s">
        <v>2</v>
      </c>
      <c r="D4" s="206" t="s">
        <v>304</v>
      </c>
      <c r="E4" s="1"/>
      <c r="F4" s="1"/>
    </row>
    <row r="5" spans="1:6" ht="15" thickBot="1" x14ac:dyDescent="0.35">
      <c r="A5" s="57" t="s">
        <v>542</v>
      </c>
      <c r="B5" s="56" t="s">
        <v>8</v>
      </c>
      <c r="C5" s="56" t="s">
        <v>105</v>
      </c>
      <c r="D5" s="56" t="s">
        <v>10</v>
      </c>
      <c r="E5" s="1"/>
      <c r="F5" s="1"/>
    </row>
    <row r="6" spans="1:6" x14ac:dyDescent="0.3">
      <c r="A6" s="208" t="s">
        <v>541</v>
      </c>
      <c r="B6" s="1"/>
      <c r="C6" s="1"/>
      <c r="D6" s="1"/>
      <c r="E6" s="1"/>
      <c r="F6" s="1"/>
    </row>
    <row r="7" spans="1:6" x14ac:dyDescent="0.3">
      <c r="A7" s="208" t="s">
        <v>535</v>
      </c>
      <c r="B7">
        <v>5</v>
      </c>
      <c r="C7" s="207" t="s">
        <v>526</v>
      </c>
      <c r="D7" s="207" t="s">
        <v>538</v>
      </c>
      <c r="E7" s="1"/>
      <c r="F7" s="1"/>
    </row>
    <row r="8" spans="1:6" x14ac:dyDescent="0.3">
      <c r="A8" s="208" t="s">
        <v>534</v>
      </c>
      <c r="B8">
        <v>0.5</v>
      </c>
      <c r="C8" s="207" t="s">
        <v>463</v>
      </c>
      <c r="D8" s="207" t="s">
        <v>539</v>
      </c>
      <c r="E8" s="1"/>
      <c r="F8" s="1"/>
    </row>
    <row r="9" spans="1:6" ht="15" thickBot="1" x14ac:dyDescent="0.35">
      <c r="A9" s="208" t="s">
        <v>536</v>
      </c>
      <c r="B9">
        <v>1.7</v>
      </c>
      <c r="C9" s="207" t="s">
        <v>533</v>
      </c>
      <c r="D9" s="207" t="s">
        <v>540</v>
      </c>
      <c r="E9" s="1"/>
      <c r="F9" s="1"/>
    </row>
    <row r="10" spans="1:6" ht="15" thickBot="1" x14ac:dyDescent="0.35">
      <c r="A10" s="57" t="s">
        <v>308</v>
      </c>
      <c r="B10" s="56" t="s">
        <v>8</v>
      </c>
      <c r="C10" s="56" t="s">
        <v>105</v>
      </c>
      <c r="D10" s="56" t="s">
        <v>10</v>
      </c>
      <c r="E10" s="1"/>
      <c r="F10" s="1"/>
    </row>
    <row r="11" spans="1:6" ht="15" thickBot="1" x14ac:dyDescent="0.35">
      <c r="A11" s="74" t="s">
        <v>544</v>
      </c>
      <c r="B11" s="206">
        <f>((PI()*B4*B2)/60)*10^-3</f>
        <v>0.11136317638445098</v>
      </c>
      <c r="C11" s="206" t="s">
        <v>526</v>
      </c>
      <c r="D11" s="206" t="s">
        <v>524</v>
      </c>
      <c r="E11" s="1"/>
      <c r="F11" s="1"/>
    </row>
    <row r="12" spans="1:6" ht="15" thickBot="1" x14ac:dyDescent="0.35">
      <c r="A12" s="57" t="s">
        <v>317</v>
      </c>
      <c r="B12" s="56" t="s">
        <v>8</v>
      </c>
      <c r="C12" s="56" t="s">
        <v>105</v>
      </c>
      <c r="D12" s="56" t="s">
        <v>10</v>
      </c>
      <c r="E12" s="1"/>
      <c r="F12" s="1"/>
    </row>
    <row r="13" spans="1:6" ht="15" thickBot="1" x14ac:dyDescent="0.35">
      <c r="A13" s="74" t="s">
        <v>545</v>
      </c>
      <c r="B13" s="206">
        <f>MIN(((B9*B3*B2)/B11),B7*B2*B3)</f>
        <v>3200</v>
      </c>
      <c r="C13" s="206" t="s">
        <v>72</v>
      </c>
      <c r="D13" s="206" t="s">
        <v>543</v>
      </c>
      <c r="E13" s="1"/>
      <c r="F13" s="1"/>
    </row>
    <row r="14" spans="1:6" ht="15" thickBot="1" x14ac:dyDescent="0.35">
      <c r="A14" s="273" t="s">
        <v>352</v>
      </c>
      <c r="B14" s="274"/>
      <c r="C14" s="56" t="s">
        <v>355</v>
      </c>
      <c r="D14" s="56" t="s">
        <v>10</v>
      </c>
      <c r="E14" s="1"/>
      <c r="F14" s="1"/>
    </row>
    <row r="15" spans="1:6" x14ac:dyDescent="0.3">
      <c r="A15" s="275" t="s">
        <v>535</v>
      </c>
      <c r="B15" s="275"/>
      <c r="D15" s="206" t="s">
        <v>537</v>
      </c>
      <c r="E15" s="1"/>
      <c r="F15" s="1"/>
    </row>
    <row r="16" spans="1:6" x14ac:dyDescent="0.3">
      <c r="A16" s="276" t="s">
        <v>534</v>
      </c>
      <c r="B16" s="276"/>
      <c r="C16" t="str">
        <f>IF(B11&lt;B8,"OUI","NON")</f>
        <v>OUI</v>
      </c>
      <c r="D16" s="206" t="s">
        <v>537</v>
      </c>
      <c r="E16" s="1"/>
      <c r="F16" s="1"/>
    </row>
    <row r="17" spans="1:6" x14ac:dyDescent="0.3">
      <c r="A17" s="276" t="s">
        <v>536</v>
      </c>
      <c r="B17" s="276"/>
      <c r="D17" s="206" t="s">
        <v>537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Clavettes</vt:lpstr>
      <vt:lpstr>Etancheite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2021-01-03T21:35:32Z</dcterms:modified>
</cp:coreProperties>
</file>