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446B5423-5150-41FA-BBF0-A00EDB6A73FC}" xr6:coauthVersionLast="45" xr6:coauthVersionMax="45" xr10:uidLastSave="{00000000-0000-0000-0000-000000000000}"/>
  <bookViews>
    <workbookView xWindow="-120" yWindow="-120" windowWidth="29040" windowHeight="15840" activeTab="8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7" l="1"/>
  <c r="B23" i="7"/>
  <c r="B17" i="7"/>
  <c r="B16" i="7"/>
  <c r="B11" i="7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7" s="1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0" i="2" l="1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3" i="4" l="1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B4" i="5" a="1"/>
  <c r="G4" i="4" a="1"/>
  <c r="B4" i="4" a="1"/>
  <c r="Q5" i="4" l="1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504" i="2"/>
  <c r="N520" i="2"/>
  <c r="N524" i="2"/>
  <c r="N528" i="2"/>
  <c r="N536" i="2"/>
  <c r="N540" i="2"/>
  <c r="N552" i="2"/>
  <c r="N556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493" i="2"/>
  <c r="N505" i="2"/>
  <c r="N513" i="2"/>
  <c r="N517" i="2"/>
  <c r="N525" i="2"/>
  <c r="N529" i="2"/>
  <c r="N541" i="2"/>
  <c r="N549" i="2"/>
  <c r="N553" i="2"/>
  <c r="N557" i="2"/>
  <c r="N561" i="2"/>
  <c r="N565" i="2"/>
  <c r="N569" i="2"/>
  <c r="N510" i="2"/>
  <c r="N514" i="2"/>
  <c r="N522" i="2"/>
  <c r="N526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49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J494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W21" i="4" l="1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52" i="2" l="1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<sst xmlns="http://schemas.openxmlformats.org/spreadsheetml/2006/main" count="1196" uniqueCount="552">
  <si>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</si>
  <si>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</si>
  <si>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</si>
  <si>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</si>
  <si>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</si>
  <si>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</si>
  <si>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</si>
  <si>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</si>
  <si>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</si>
  <si>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</si>
  <si>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</si>
  <si>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</si>
  <si>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</si>
  <si>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</si>
  <si>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</si>
  <si>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</si>
  <si>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</si>
  <si>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</si>
  <si>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</si>
  <si>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</si>
  <si>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</si>
  <si>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</si>
  <si>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</si>
  <si>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</si>
  <si>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</si>
  <si>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</si>
  <si>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</si>
  <si>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</si>
  <si>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</si>
  <si>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</si>
  <si>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</si>
  <si>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</si>
  <si>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</si>
  <si>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</si>
  <si>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</si>
  <si>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</si>
  <si>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</si>
  <si>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</si>
  <si>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</si>
  <si>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</si>
  <si>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</si>
  <si>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</si>
  <si>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</si>
  <si>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</si>
  <si>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</si>
  <si>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</si>
  <si>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</si>
  <si>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</si>
  <si>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</si>
  <si>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</si>
  <si>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</si>
  <si>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</si>
  <si>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</si>
  <si>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</si>
  <si>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</si>
  <si>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</si>
  <si>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</si>
  <si>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</si>
  <si>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</si>
  <si>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</si>
  <si>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</si>
  <si>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</si>
  <si>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</si>
  <si>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</si>
  <si>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</si>
  <si>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</si>
  <si>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</si>
  <si>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</si>
  <si>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</si>
  <si>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</si>
  <si>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</si>
  <si>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</si>
  <si>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</si>
  <si>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</si>
  <si>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</si>
  <si>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</si>
  <si>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</si>
  <si>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</si>
  <si>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</si>
  <si>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</si>
  <si>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</si>
  <si>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</si>
  <si>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</si>
  <si>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</si>
  <si>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</si>
  <si>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</si>
  <si>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</si>
  <si>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</si>
  <si>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</si>
  <si>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</si>
  <si>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</si>
  <si>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</si>
  <si>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</si>
  <si>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</si>
  <si>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</si>
  <si>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</si>
  <si>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</si>
  <si>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</si>
  <si>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</si>
  <si>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</si>
  <si>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</si>
  <si>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</si>
  <si>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</si>
  <si>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</si>
  <si>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</si>
  <si>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</si>
  <si>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</si>
  <si>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</si>
  <si>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</si>
  <si>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</si>
  <si>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</si>
  <si>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</si>
  <si>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</si>
  <si>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</si>
  <si>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</si>
  <si>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</si>
  <si>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</si>
  <si>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</si>
  <si>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</si>
  <si>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</si>
  <si>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</si>
  <si>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</si>
  <si>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</si>
  <si>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</si>
  <si>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</si>
  <si>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</si>
  <si>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</si>
  <si>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</si>
  <si>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</si>
  <si>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</si>
  <si>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</si>
  <si>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</si>
  <si>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</si>
  <si>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</si>
  <si>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</si>
  <si>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</si>
  <si>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</si>
  <si>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</si>
  <si>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</si>
  <si>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</si>
  <si>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</si>
  <si>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</si>
  <si>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</si>
  <si>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</si>
  <si>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</si>
  <si>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</si>
  <si>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</si>
  <si>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</si>
  <si>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</si>
  <si>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</si>
  <si>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</si>
  <si>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</si>
  <si>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</si>
  <si>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</si>
  <si>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</si>
  <si>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</si>
  <si>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</si>
  <si>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</si>
  <si>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</si>
  <si>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</si>
  <si>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</si>
  <si>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</si>
  <si>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</si>
  <si>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</si>
  <si>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</si>
  <si>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</si>
  <si>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</si>
  <si>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</si>
  <si>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</si>
  <si>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</si>
  <si>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</si>
  <si>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</si>
  <si>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</si>
  <si>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</si>
  <si>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</si>
  <si>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</si>
  <si>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</si>
  <si>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</si>
  <si>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</si>
  <si>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</si>
  <si>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</si>
  <si>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</si>
  <si>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</si>
  <si>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</si>
  <si>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</si>
  <si>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</si>
  <si>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</si>
  <si>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</si>
  <si>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</si>
  <si>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</si>
  <si>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</si>
  <si>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</si>
  <si>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</si>
  <si>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</si>
  <si>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</si>
  <si>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</si>
  <si>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</si>
  <si>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</si>
  <si>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</si>
  <si>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</si>
  <si>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</si>
  <si>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</si>
  <si>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</si>
  <si>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</si>
  <si>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</si>
  <si>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</si>
  <si>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</si>
  <si>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</si>
  <si>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</si>
  <si>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</si>
  <si>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</si>
  <si>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</si>
  <si>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</si>
  <si>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</si>
  <si>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</si>
  <si>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</si>
  <si>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</si>
  <si>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</si>
  <si>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</si>
  <si>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</si>
  <si>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</si>
  <si>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</si>
  <si>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</si>
  <si>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</si>
  <si>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</si>
  <si>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</si>
  <si>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</si>
  <si>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</si>
  <si>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</si>
  <si>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</si>
  <si>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</si>
  <si>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</si>
  <si>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</si>
  <si>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</si>
  <si>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</si>
  <si>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</si>
  <si>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</si>
  <si>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</si>
  <si>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</si>
  <si>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</si>
  <si>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</si>
  <si>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</si>
  <si>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</si>
  <si>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</si>
  <si>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</si>
  <si>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</si>
  <si>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</si>
  <si>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</si>
  <si>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</si>
  <si>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</si>
  <si>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</si>
  <si>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</si>
  <si>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</si>
  <si>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</si>
  <si>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</si>
  <si>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</si>
  <si>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</si>
  <si>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</si>
  <si>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</si>
  <si>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</si>
  <si>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</si>
  <si>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</si>
  <si>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</si>
  <si>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</si>
  <si>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</si>
  <si>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</si>
  <si>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</si>
  <si>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</si>
  <si>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</si>
  <si>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</si>
  <si>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</si>
  <si>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</si>
  <si>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</si>
  <si>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</si>
  <si>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</si>
  <si>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</si>
  <si>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</si>
  <si>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</si>
  <si>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</si>
  <si>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</si>
  <si>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</si>
  <si>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</si>
  <si>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</si>
  <si>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</si>
  <si>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</si>
  <si>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</si>
  <si>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</si>
  <si>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</si>
  <si>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</si>
  <si>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</si>
  <si>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</si>
  <si>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</si>
  <si>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</si>
  <si>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</si>
  <si>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</si>
  <si>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</si>
  <si>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</si>
  <si>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</si>
  <si>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</si>
  <si>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</si>
  <si>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</si>
  <si>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</si>
  <si>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</si>
  <si>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</si>
  <si>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</si>
  <si>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</si>
  <si>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</si>
  <si>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</si>
  <si>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</si>
  <si>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</si>
  <si>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</si>
  <si>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</si>
  <si>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</si>
  <si>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</si>
  <si>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</si>
  <si>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</si>
  <si>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</si>
  <si>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</si>
  <si>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</si>
  <si>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</si>
  <si>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</si>
  <si>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</si>
  <si>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</si>
  <si>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</si>
  <si>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</si>
  <si>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</si>
  <si>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</si>
  <si>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</si>
  <si>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</si>
  <si>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</si>
  <si>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</si>
  <si>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</si>
  <si>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</si>
  <si>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</si>
  <si>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</si>
  <si>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</si>
  <si>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</si>
  <si>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</si>
  <si>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</si>
  <si>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</si>
  <si>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</si>
  <si>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</si>
  <si>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</si>
  <si>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</si>
  <si>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</si>
  <si>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</si>
  <si>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</si>
  <si>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</si>
  <si>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</si>
  <si>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</si>
  <si>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</si>
  <si>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</si>
  <si>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</si>
  <si>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</si>
  <si>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</si>
  <si>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</si>
  <si>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</si>
  <si>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</si>
  <si>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</si>
  <si>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</si>
  <si>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</si>
  <si>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</si>
  <si>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</si>
  <si>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</si>
  <si>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</si>
  <si>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</si>
  <si>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</si>
  <si>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</si>
  <si>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</si>
  <si>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</si>
  <si>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</si>
  <si>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</si>
  <si>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</si>
  <si>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</si>
  <si>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</si>
  <si>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</si>
  <si>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</si>
  <si>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</si>
  <si>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</si>
  <si>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</si>
  <si>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</si>
  <si>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</si>
  <si>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</si>
  <si>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</si>
  <si>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</si>
  <si>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</si>
  <si>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</si>
  <si>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</si>
  <si>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</si>
  <si>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</si>
  <si>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</si>
  <si>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</si>
  <si>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</si>
  <si>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</si>
  <si>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</si>
  <si>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</si>
  <si>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</si>
  <si>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</si>
  <si>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</si>
  <si>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</si>
  <si>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</si>
  <si>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</si>
  <si>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</si>
  <si>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</si>
  <si>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</si>
  <si>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</si>
  <si>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</si>
  <si>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</si>
  <si>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</si>
  <si>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</si>
  <si>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</si>
  <si>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</si>
  <si>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</si>
  <si>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</si>
  <si>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</si>
  <si>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</si>
  <si>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</si>
  <si>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</si>
  <si>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</si>
  <si>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</si>
  <si>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</si>
  <si>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</si>
  <si>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</si>
  <si>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</si>
  <si>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</si>
  <si>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</si>
  <si>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</si>
  <si>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</si>
  <si>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</si>
  <si>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</si>
  <si>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</si>
  <si>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</si>
  <si>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</si>
  <si>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</si>
  <si>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</si>
  <si>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</si>
  <si>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</si>
  <si>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</si>
  <si>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</si>
  <si>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</si>
  <si>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</si>
  <si>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</si>
  <si>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</si>
  <si>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</si>
  <si>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</si>
  <si>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</si>
  <si>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</si>
  <si>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</si>
  <si>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</si>
  <si>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</si>
  <si>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</si>
  <si>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</si>
  <si>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</si>
  <si>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</si>
  <si>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</si>
  <si>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</si>
  <si>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</si>
  <si>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</si>
  <si>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</si>
  <si>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</si>
  <si>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</si>
  <si>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</si>
  <si>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</si>
  <si>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</si>
  <si>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</si>
  <si>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</si>
  <si>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</si>
  <si>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</si>
  <si>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</si>
  <si>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</si>
  <si>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</si>
  <si>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</si>
  <si>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</si>
  <si>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</si>
  <si>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</si>
  <si>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</si>
  <si>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</si>
  <si>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</si>
  <si>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</si>
  <si>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</si>
  <si>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</si>
  <si>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</si>
  <si>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</si>
  <si>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</si>
  <si>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</si>
  <si>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</si>
  <si>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</si>
  <si>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</si>
  <si>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</si>
  <si>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</si>
  <si>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</si>
  <si>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</si>
  <si>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</si>
  <si>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</si>
  <si>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</si>
  <si>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</si>
  <si>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</si>
  <si>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</si>
  <si>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</si>
  <si>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</si>
  <si>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</si>
  <si>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</si>
  <si>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</si>
  <si>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</si>
  <si>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</si>
  <si>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</si>
  <si>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</si>
  <si>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</si>
  <si>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</si>
  <si>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</si>
  <si>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</si>
  <si>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</si>
  <si>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</si>
  <si>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</si>
  <si>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</si>
  <si>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</si>
  <si>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</si>
  <si>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</si>
  <si>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</si>
  <si>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</si>
  <si>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</si>
  <si>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</si>
  <si>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</si>
  <si>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</si>
  <si>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</si>
  <si>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</si>
  <si>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</si>
  <si>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</si>
  <si>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</si>
  <si>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</si>
  <si>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</si>
  <si>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</si>
  <si>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</si>
  <si>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</si>
  <si>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</si>
  <si>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</si>
  <si>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</si>
  <si>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</si>
  <si>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 xml:space="preserve">refs :MISIMU
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</si>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</sst>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16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3258,'-2'-99,"4"-109,4 176,1 0,17-49,-14 48,0-4,-1-1,-2 0,-2 0,-2 0,-1-43,-4 16,4-79,6 89,-4 33,1-47,-6-314,1 375,-1 3,0-1,-1 0,1-1,-1 1,-1 1,-3-9,3 8,0-2,0 0,1 4,0-1,0-5,0-5,-2-24,-17-64,13 72,2-2,1 0,-1-32,-11-80,17 110,1-21,-2 0,-10-58,5 67,3-2,5-76,1 29,-1 10,-4-101,-8 129,7 45,1-2,0 2,1-2,0 2,1 0,3-23,0 26,0 0,1 2,1-2,0 1,0 1,1 0,0 0,11-13,11-14,-28 34,0 1,0 0,0 0,1-1,-1 1,0 0,0 0,0-1,0 1,0 0,0-1,0 1,0 0,0 0,0-1,0 1,0 0,0-1,0 1,0 0,0-2,0 2,0 0,0 0,0 0,0 0,-1 0,1-1,0 1,0 0,0 0,0-2,-1 2,1 0,0 0,0 0,-1-1,1 1,0 0,-1 0,-17-7,-22 5,39 2,-9 0,0 1,0 1,0-1,0 3,0-2,1 1,-1 1,1 0,-14 7,2 0,0-3,-1-1,-27 4,-23 10,51-16,0-2,0 1,0-1,0-2,0-1,-40-3,-7-1,43 3,0-2,0-1,0 0,-43-17,-12 0,60 16,0-3,-37-16,-18-6,63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1,'0'4,"0"3,0 2,0 2,0-1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G14" sqref="G14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535</v>
      </c>
      <c r="G3" s="68">
        <v>48</v>
      </c>
      <c r="H3" s="52" t="s">
        <v>28</v>
      </c>
      <c r="I3" s="36" t="s">
        <v>536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.75" thickTop="1" x14ac:dyDescent="0.25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26</v>
      </c>
      <c r="G4" s="182">
        <f>G2/B14</f>
        <v>0.47142857142857142</v>
      </c>
      <c r="H4" s="183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25">
      <c r="A5" s="184" t="s">
        <v>23</v>
      </c>
      <c r="B5" s="184">
        <v>0.95</v>
      </c>
      <c r="C5" s="135">
        <v>1</v>
      </c>
      <c r="D5" s="36" t="s">
        <v>24</v>
      </c>
      <c r="E5" s="1"/>
      <c r="F5" s="71" t="s">
        <v>27</v>
      </c>
      <c r="G5" s="68">
        <v>0.14810000000000001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/>
      <c r="I12" s="15" t="s">
        <v>60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12</v>
      </c>
      <c r="H13" s="52" t="s">
        <v>28</v>
      </c>
      <c r="I13" s="36" t="s">
        <v>68</v>
      </c>
      <c r="J13" s="1"/>
      <c r="K13" s="13"/>
      <c r="L13" s="13"/>
      <c r="M13" s="13"/>
      <c r="N13" s="13"/>
      <c r="O13" s="1"/>
    </row>
    <row r="14" spans="1:15" x14ac:dyDescent="0.25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28</v>
      </c>
      <c r="I14" s="36" t="s">
        <v>67</v>
      </c>
      <c r="J14" s="1"/>
      <c r="K14" s="13"/>
      <c r="L14" s="13"/>
      <c r="M14" s="13"/>
      <c r="N14" s="13"/>
      <c r="O14" s="1"/>
    </row>
    <row r="15" spans="1:15" x14ac:dyDescent="0.25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444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25">
      <c r="A16" s="32" t="s">
        <v>48</v>
      </c>
      <c r="B16" s="45">
        <f>2.34*SQRT((G8*10^3)/(G13*G12))</f>
        <v>0.67214640535175874</v>
      </c>
      <c r="C16" s="81">
        <v>1</v>
      </c>
      <c r="D16" s="46" t="s">
        <v>52</v>
      </c>
      <c r="E16" s="1"/>
      <c r="F16" s="71" t="s">
        <v>445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25">
      <c r="A17" s="32" t="s">
        <v>49</v>
      </c>
      <c r="B17" s="45">
        <f>2.34*SQRT((G9*10^3)/(G$13*G$12))</f>
        <v>0.67214640535175874</v>
      </c>
      <c r="C17" s="83">
        <v>1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537</v>
      </c>
      <c r="J17" s="1"/>
      <c r="K17" s="13"/>
      <c r="L17" s="13"/>
      <c r="M17" s="13"/>
      <c r="N17" s="13"/>
      <c r="O17" s="1"/>
    </row>
    <row r="18" spans="1:15" x14ac:dyDescent="0.25">
      <c r="A18" s="32" t="s">
        <v>50</v>
      </c>
      <c r="B18" s="45">
        <f>2.34*SQRT((G10*10^3)/(G$14*G$12))</f>
        <v>1.1479085205260324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25">
      <c r="A19" s="32" t="s">
        <v>51</v>
      </c>
      <c r="B19" s="45">
        <f>2.34*SQRT((G11*10^3)/(G$14*G$12))</f>
        <v>0.28665069678955168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25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25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25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25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25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25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25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25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25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25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40" zoomScaleNormal="40" workbookViewId="0">
      <selection activeCell="T10" sqref="T10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15" t="s">
        <v>195</v>
      </c>
      <c r="N2" s="215"/>
      <c r="O2" s="215"/>
      <c r="P2" s="215"/>
      <c r="Q2" s="215"/>
      <c r="R2" s="215"/>
      <c r="S2" s="215"/>
      <c r="T2" s="215"/>
      <c r="U2" s="13"/>
      <c r="V2" s="13"/>
      <c r="W2" s="1"/>
      <c r="X2" s="13"/>
      <c r="Y2" s="13"/>
      <c r="Z2" s="13"/>
      <c r="AA2" s="216" t="s">
        <v>196</v>
      </c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8"/>
      <c r="AO2" s="13"/>
      <c r="AP2" s="13"/>
      <c r="AQ2" s="13"/>
      <c r="AR2" s="1"/>
    </row>
    <row r="3" spans="1:44" x14ac:dyDescent="0.25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15"/>
      <c r="N3" s="215"/>
      <c r="O3" s="215"/>
      <c r="P3" s="215"/>
      <c r="Q3" s="215"/>
      <c r="R3" s="215"/>
      <c r="S3" s="215"/>
      <c r="T3" s="215"/>
      <c r="U3" s="13"/>
      <c r="V3" s="13"/>
      <c r="W3" s="1"/>
      <c r="X3" s="13"/>
      <c r="Y3" s="13"/>
      <c r="Z3" s="13"/>
      <c r="AA3" s="219"/>
      <c r="AB3" s="220"/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1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414</v>
      </c>
      <c r="J4" s="38"/>
      <c r="K4" s="13"/>
      <c r="L4" s="13"/>
      <c r="M4" s="215"/>
      <c r="N4" s="215"/>
      <c r="O4" s="215"/>
      <c r="P4" s="215"/>
      <c r="Q4" s="215"/>
      <c r="R4" s="215"/>
      <c r="S4" s="215"/>
      <c r="T4" s="215"/>
      <c r="U4" s="13"/>
      <c r="V4" s="13"/>
      <c r="W4" s="1"/>
      <c r="X4" s="13"/>
      <c r="Y4" s="13"/>
      <c r="Z4" s="13"/>
      <c r="AA4" s="222"/>
      <c r="AB4" s="223"/>
      <c r="AC4" s="223"/>
      <c r="AD4" s="223"/>
      <c r="AE4" s="223"/>
      <c r="AF4" s="223"/>
      <c r="AG4" s="223"/>
      <c r="AH4" s="223"/>
      <c r="AI4" s="223"/>
      <c r="AJ4" s="223"/>
      <c r="AK4" s="223"/>
      <c r="AL4" s="223"/>
      <c r="AM4" s="223"/>
      <c r="AN4" s="224"/>
      <c r="AO4" s="13"/>
      <c r="AP4" s="13"/>
      <c r="AQ4" s="13"/>
      <c r="AR4" s="1"/>
    </row>
    <row r="5" spans="1:44" ht="15.75" thickBot="1" x14ac:dyDescent="0.3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34" t="s">
        <v>92</v>
      </c>
      <c r="G8" s="234"/>
      <c r="H8" s="235"/>
      <c r="I8" s="235"/>
      <c r="J8" s="38"/>
      <c r="K8" s="13"/>
      <c r="L8" s="241" t="s">
        <v>199</v>
      </c>
      <c r="M8" s="242"/>
      <c r="N8" s="245">
        <v>9.4E-7</v>
      </c>
      <c r="O8" s="13"/>
      <c r="P8" s="13"/>
      <c r="Q8" s="13"/>
      <c r="R8" s="247" t="s">
        <v>198</v>
      </c>
      <c r="S8" s="248"/>
      <c r="T8" s="251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3"/>
      <c r="M9" s="244"/>
      <c r="N9" s="246"/>
      <c r="O9" s="13"/>
      <c r="P9" s="13"/>
      <c r="Q9" s="13"/>
      <c r="R9" s="249"/>
      <c r="S9" s="250"/>
      <c r="T9" s="252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5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78" t="s">
        <v>126</v>
      </c>
      <c r="G11" s="179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6" t="s">
        <v>138</v>
      </c>
      <c r="G12" s="177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127</v>
      </c>
      <c r="B16" s="140">
        <f>G12/(MAX(M41:M491)*G22)</f>
        <v>2.2828822229051111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183</v>
      </c>
      <c r="B22" s="140">
        <f>MAX(T41:T491)</f>
        <v>4.4992888326934519E-6</v>
      </c>
      <c r="C22" s="80">
        <v>1</v>
      </c>
      <c r="D22" s="33" t="s">
        <v>202</v>
      </c>
      <c r="E22" s="1"/>
      <c r="F22" s="129" t="s">
        <v>418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416</v>
      </c>
      <c r="G23" s="68">
        <f>Clavettes!G12/Clavettes!G7</f>
        <v>0.08</v>
      </c>
      <c r="H23" s="69">
        <v>1</v>
      </c>
      <c r="I23" s="70" t="s">
        <v>417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13" t="s">
        <v>201</v>
      </c>
      <c r="B30" s="214"/>
      <c r="C30" s="211" t="str">
        <f>IF(ABS(C842)+ABS(D842)+ABS(E842)+ABS(G842)+ABS(H842)&lt;0.0000001,"PFD Verifié","Erreur probable")</f>
        <v>PFD Verifié</v>
      </c>
      <c r="D30" s="212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37" t="s">
        <v>210</v>
      </c>
      <c r="B31" s="238"/>
      <c r="C31" s="238"/>
      <c r="D31" s="239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40" t="str">
        <f>IF(ABS(P591)&lt;0.01*ABS(MAX(P41:P591)),"Constantes d'integration y' correctes","Constantes d'integration y' incorrectes")</f>
        <v>Constantes d'integration y' correctes</v>
      </c>
      <c r="B32" s="240"/>
      <c r="C32" s="240"/>
      <c r="D32" s="240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40" t="str">
        <f>IF(ABS(S591)&lt;0.01*ABS(MAX(S41:S591)),"Constantes d'integration z' correctes","Constantes d'integration z' incorrectes")</f>
        <v>Constantes d'integration z' correctes</v>
      </c>
      <c r="B33" s="240"/>
      <c r="C33" s="240"/>
      <c r="D33" s="240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36" t="s">
        <v>105</v>
      </c>
      <c r="B37" s="236"/>
      <c r="C37" s="236"/>
      <c r="D37" s="236"/>
      <c r="E37" s="236"/>
      <c r="F37" s="236"/>
      <c r="G37" s="236"/>
      <c r="H37" s="236"/>
      <c r="I37" s="236"/>
      <c r="J37" s="236"/>
      <c r="K37" s="236" t="s">
        <v>284</v>
      </c>
      <c r="L37" s="236"/>
      <c r="M37" s="236"/>
      <c r="N37" s="236" t="s">
        <v>173</v>
      </c>
      <c r="O37" s="236"/>
      <c r="P37" s="236"/>
      <c r="Q37" s="236"/>
      <c r="R37" s="236"/>
      <c r="S37" s="236"/>
      <c r="T37" s="236"/>
      <c r="U37" s="236"/>
      <c r="V37" s="236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25" t="s">
        <v>211</v>
      </c>
      <c r="AC79" s="226"/>
      <c r="AD79" s="226"/>
      <c r="AE79" s="226"/>
      <c r="AF79" s="226"/>
      <c r="AG79" s="226"/>
      <c r="AH79" s="226"/>
      <c r="AI79" s="226"/>
      <c r="AJ79" s="226"/>
      <c r="AK79" s="226"/>
      <c r="AL79" s="226"/>
      <c r="AM79" s="227"/>
      <c r="AR79" s="1"/>
    </row>
    <row r="80" spans="1:44" x14ac:dyDescent="0.25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28"/>
      <c r="AC80" s="229"/>
      <c r="AD80" s="229"/>
      <c r="AE80" s="229"/>
      <c r="AF80" s="229"/>
      <c r="AG80" s="229"/>
      <c r="AH80" s="229"/>
      <c r="AI80" s="229"/>
      <c r="AJ80" s="229"/>
      <c r="AK80" s="229"/>
      <c r="AL80" s="229"/>
      <c r="AM80" s="230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1"/>
      <c r="AC81" s="232"/>
      <c r="AD81" s="232"/>
      <c r="AE81" s="232"/>
      <c r="AF81" s="232"/>
      <c r="AG81" s="232"/>
      <c r="AH81" s="232"/>
      <c r="AI81" s="232"/>
      <c r="AJ81" s="232"/>
      <c r="AK81" s="232"/>
      <c r="AL81" s="232"/>
      <c r="AM81" s="233"/>
      <c r="AR81" s="1"/>
    </row>
    <row r="82" spans="1:44" x14ac:dyDescent="0.25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429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0" t="s">
        <v>121</v>
      </c>
      <c r="K593" s="191" t="s">
        <v>132</v>
      </c>
      <c r="L593" s="191" t="s">
        <v>133</v>
      </c>
      <c r="M593" s="191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6" priority="22" operator="containsText" text="Oui">
      <formula>NOT(ISERROR(SEARCH("Oui",B19)))</formula>
    </cfRule>
  </conditionalFormatting>
  <conditionalFormatting sqref="B17 B19 B21 B23">
    <cfRule type="containsText" dxfId="45" priority="20" operator="containsText" text="Non">
      <formula>NOT(ISERROR(SEARCH("Non",B17)))</formula>
    </cfRule>
    <cfRule type="containsText" dxfId="44" priority="21" operator="containsText" text="Oui">
      <formula>NOT(ISERROR(SEARCH("Oui",B17)))</formula>
    </cfRule>
  </conditionalFormatting>
  <conditionalFormatting sqref="B26">
    <cfRule type="cellIs" dxfId="43" priority="18" operator="equal">
      <formula>"Oui"</formula>
    </cfRule>
    <cfRule type="containsText" dxfId="42" priority="19" operator="containsText" text="Non">
      <formula>NOT(ISERROR(SEARCH("Non",B26)))</formula>
    </cfRule>
  </conditionalFormatting>
  <conditionalFormatting sqref="A32:D32">
    <cfRule type="cellIs" dxfId="41" priority="7" operator="equal">
      <formula>"Constantes d'integration y' incorrectes"</formula>
    </cfRule>
    <cfRule type="cellIs" dxfId="40" priority="9" operator="equal">
      <formula>"Constantes d'integration y' correctes"</formula>
    </cfRule>
    <cfRule type="cellIs" dxfId="39" priority="12" operator="equal">
      <formula>"Constantes d'integration incorrectes"</formula>
    </cfRule>
    <cfRule type="containsText" dxfId="3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7" priority="10" operator="equal">
      <formula>"Erreur probable"</formula>
    </cfRule>
    <cfRule type="cellIs" dxfId="36" priority="11" operator="equal">
      <formula>"PFD Verifié"</formula>
    </cfRule>
  </conditionalFormatting>
  <conditionalFormatting sqref="A33:D33">
    <cfRule type="cellIs" dxfId="35" priority="5" operator="equal">
      <formula>"Constantes d'integration z' incorrectes"</formula>
    </cfRule>
    <cfRule type="cellIs" dxfId="34" priority="6" operator="equal">
      <formula>"Constantes d'integration z' incorrectes"</formula>
    </cfRule>
    <cfRule type="cellIs" dxfId="33" priority="8" operator="equal">
      <formula>"Constantes d'integration z' correctes"</formula>
    </cfRule>
  </conditionalFormatting>
  <conditionalFormatting sqref="G592:H592 C592:E592">
    <cfRule type="cellIs" dxfId="32" priority="1" operator="greaterThan">
      <formula>0.00000001</formula>
    </cfRule>
    <cfRule type="cellIs" dxfId="3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28" sqref="D28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54" t="s">
        <v>430</v>
      </c>
      <c r="B1" s="254"/>
      <c r="C1" s="254"/>
      <c r="D1" s="254"/>
      <c r="E1" s="1"/>
      <c r="F1" s="254" t="s">
        <v>431</v>
      </c>
      <c r="G1" s="254"/>
      <c r="H1" s="254"/>
      <c r="I1" s="254"/>
      <c r="J1" s="1"/>
      <c r="K1" s="253" t="s">
        <v>319</v>
      </c>
      <c r="L1" s="253"/>
      <c r="M1" s="253"/>
      <c r="N1" s="253"/>
      <c r="O1" s="253"/>
      <c r="P1" s="253"/>
      <c r="Q1" s="1"/>
      <c r="R1" s="158"/>
      <c r="S1" s="158"/>
      <c r="T1" s="174"/>
      <c r="U1" s="174"/>
      <c r="V1" s="174"/>
      <c r="W1" s="174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25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25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25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25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25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25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25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25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.75" thickBot="1" x14ac:dyDescent="0.3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25">
      <c r="A13" s="193" t="s">
        <v>325</v>
      </c>
      <c r="B13">
        <f>B3/B6</f>
        <v>3.2758698480201541E-2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83" t="s">
        <v>288</v>
      </c>
      <c r="B14">
        <f>W21</f>
        <v>0.22679814068600221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25">
      <c r="A16" s="83" t="s">
        <v>291</v>
      </c>
      <c r="B16">
        <f>W23</f>
        <v>1.9424130151979846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25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83" t="s">
        <v>70</v>
      </c>
      <c r="B18" s="83">
        <f>IF(B3=0,B4,(IF(B17&lt;=B14,B4,B15*B4+B16*B3)))</f>
        <v>814.60406311061013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.75" thickBot="1" x14ac:dyDescent="0.3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3" t="s">
        <v>324</v>
      </c>
      <c r="R21" s="253"/>
      <c r="S21" t="e" cm="1">
        <f t="array" ref="S21">((INDEX(P4:P12,R19) - INDEX(P4:P12,R18))/(INDEX(K4:K12,R19) - INDEX(K4:K12,R18)))*(G13 - INDEX(K4:K12,R18)) + INDEX(P4:P12,R18)</f>
        <v>#N/A</v>
      </c>
      <c r="T21" s="1"/>
      <c r="U21" s="253" t="s">
        <v>324</v>
      </c>
      <c r="V21" s="253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25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3" t="s">
        <v>331</v>
      </c>
      <c r="R22" s="253"/>
      <c r="S22" t="e" cm="1">
        <f t="array" ref="S22">INDEX(N4:N12,R18)</f>
        <v>#N/A</v>
      </c>
      <c r="T22" s="1"/>
      <c r="U22" s="253" t="s">
        <v>331</v>
      </c>
      <c r="V22" s="253"/>
      <c r="W22" cm="1">
        <f t="array" ref="W22">INDEX(N4:N12,V18)</f>
        <v>0.56000000000000005</v>
      </c>
    </row>
    <row r="23" spans="1:23" x14ac:dyDescent="0.25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3" t="s">
        <v>332</v>
      </c>
      <c r="R23" s="253"/>
      <c r="S23" t="e" cm="1">
        <f t="array" ref="S23">((INDEX(O4:O12,R19) - INDEX(O4:O12,R18))/(INDEX(K4:K12,R19) - INDEX(K4:K12,R18)))*(G13 - INDEX(K4:K12,R18)) + INDEX(O4:O12,R18)</f>
        <v>#N/A</v>
      </c>
      <c r="T23" s="1"/>
      <c r="U23" s="253" t="s">
        <v>332</v>
      </c>
      <c r="V23" s="253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25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53" t="s">
        <v>318</v>
      </c>
      <c r="B29" s="253"/>
      <c r="C29" s="1"/>
    </row>
    <row r="30" spans="1:23" x14ac:dyDescent="0.25">
      <c r="A30" s="174" t="s">
        <v>317</v>
      </c>
      <c r="B30" s="174" t="s">
        <v>293</v>
      </c>
      <c r="C30" s="1"/>
    </row>
    <row r="31" spans="1:23" x14ac:dyDescent="0.25">
      <c r="A31" s="174">
        <v>0.9</v>
      </c>
      <c r="B31" s="174">
        <v>1</v>
      </c>
      <c r="C31" s="1"/>
    </row>
    <row r="32" spans="1:23" x14ac:dyDescent="0.25">
      <c r="A32" s="174">
        <v>0.95</v>
      </c>
      <c r="B32" s="174">
        <v>0.64</v>
      </c>
      <c r="C32" s="1"/>
    </row>
    <row r="33" spans="1:3" x14ac:dyDescent="0.25">
      <c r="A33" s="174">
        <v>0.96</v>
      </c>
      <c r="B33" s="174">
        <v>0.55000000000000004</v>
      </c>
      <c r="C33" s="1"/>
    </row>
    <row r="34" spans="1:3" x14ac:dyDescent="0.25">
      <c r="A34" s="174">
        <v>0.97</v>
      </c>
      <c r="B34" s="174">
        <v>0.47</v>
      </c>
      <c r="C34" s="1"/>
    </row>
    <row r="35" spans="1:3" x14ac:dyDescent="0.25">
      <c r="A35" s="174">
        <v>0.98</v>
      </c>
      <c r="B35" s="174">
        <v>0.37</v>
      </c>
      <c r="C35" s="1"/>
    </row>
    <row r="36" spans="1:3" x14ac:dyDescent="0.25">
      <c r="A36" s="174">
        <v>0.99</v>
      </c>
      <c r="B36" s="174">
        <v>0.25</v>
      </c>
      <c r="C36" s="1"/>
    </row>
    <row r="37" spans="1:3" x14ac:dyDescent="0.25">
      <c r="A37" s="174">
        <v>0.99199999999999999</v>
      </c>
      <c r="B37" s="174">
        <v>0.22</v>
      </c>
      <c r="C37" s="1"/>
    </row>
    <row r="38" spans="1:3" x14ac:dyDescent="0.25">
      <c r="A38" s="174">
        <v>0.99399999999999999</v>
      </c>
      <c r="B38" s="174">
        <v>0.19</v>
      </c>
      <c r="C38" s="1"/>
    </row>
    <row r="39" spans="1:3" x14ac:dyDescent="0.25">
      <c r="A39" s="174">
        <v>0.996</v>
      </c>
      <c r="B39" s="174">
        <v>0.16</v>
      </c>
      <c r="C39" s="1"/>
    </row>
    <row r="40" spans="1:3" x14ac:dyDescent="0.25">
      <c r="A40" s="174">
        <v>0.998</v>
      </c>
      <c r="B40" s="174">
        <v>0.12</v>
      </c>
      <c r="C40" s="1"/>
    </row>
    <row r="41" spans="1:3" x14ac:dyDescent="0.25">
      <c r="A41" s="174">
        <v>0.999</v>
      </c>
      <c r="B41" s="174">
        <v>9.2999999999999999E-2</v>
      </c>
      <c r="C41" s="1"/>
    </row>
    <row r="42" spans="1:3" x14ac:dyDescent="0.25">
      <c r="A42" s="174">
        <v>0.99919999999999998</v>
      </c>
      <c r="B42" s="174">
        <v>8.6999999999999994E-2</v>
      </c>
      <c r="C42" s="1"/>
    </row>
    <row r="43" spans="1:3" x14ac:dyDescent="0.25">
      <c r="A43" s="174">
        <v>0.99939999999999996</v>
      </c>
      <c r="B43" s="174">
        <v>0.08</v>
      </c>
      <c r="C43" s="1"/>
    </row>
    <row r="44" spans="1:3" x14ac:dyDescent="0.25">
      <c r="A44" s="174">
        <v>0.99950000000000006</v>
      </c>
      <c r="B44" s="174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30" priority="2" operator="lessThan">
      <formula>$H$26</formula>
    </cfRule>
  </conditionalFormatting>
  <conditionalFormatting sqref="C26">
    <cfRule type="cellIs" dxfId="2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40" zoomScaleNormal="40" workbookViewId="0">
      <selection activeCell="O31" sqref="O31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66" t="s">
        <v>271</v>
      </c>
      <c r="N2" s="267"/>
      <c r="O2" s="267"/>
      <c r="P2" s="267"/>
      <c r="Q2" s="267"/>
      <c r="R2" s="267"/>
      <c r="S2" s="267"/>
      <c r="T2" s="267"/>
      <c r="U2" s="268"/>
      <c r="V2" s="13"/>
      <c r="W2" s="13"/>
      <c r="X2" s="1"/>
      <c r="Y2" s="13"/>
      <c r="Z2" s="13"/>
      <c r="AA2" s="13"/>
      <c r="AB2" s="225" t="s">
        <v>196</v>
      </c>
      <c r="AC2" s="226"/>
      <c r="AD2" s="226"/>
      <c r="AE2" s="226"/>
      <c r="AF2" s="226"/>
      <c r="AG2" s="226"/>
      <c r="AH2" s="226"/>
      <c r="AI2" s="226"/>
      <c r="AJ2" s="227"/>
      <c r="AK2" s="13"/>
      <c r="AL2" s="13"/>
      <c r="AM2" s="13"/>
      <c r="AN2" s="1"/>
    </row>
    <row r="3" spans="1:40" ht="15.75" thickBot="1" x14ac:dyDescent="0.3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69"/>
      <c r="N3" s="270"/>
      <c r="O3" s="270"/>
      <c r="P3" s="270"/>
      <c r="Q3" s="270"/>
      <c r="R3" s="270"/>
      <c r="S3" s="270"/>
      <c r="T3" s="270"/>
      <c r="U3" s="271"/>
      <c r="V3" s="13"/>
      <c r="W3" s="13"/>
      <c r="X3" s="1"/>
      <c r="Y3" s="13"/>
      <c r="Z3" s="13"/>
      <c r="AA3" s="13"/>
      <c r="AB3" s="231"/>
      <c r="AC3" s="232"/>
      <c r="AD3" s="232"/>
      <c r="AE3" s="232"/>
      <c r="AF3" s="232"/>
      <c r="AG3" s="232"/>
      <c r="AH3" s="232"/>
      <c r="AI3" s="232"/>
      <c r="AJ3" s="233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72" t="s">
        <v>273</v>
      </c>
      <c r="M8" s="273"/>
      <c r="N8" s="273"/>
      <c r="O8" s="102">
        <v>1.34E-4</v>
      </c>
      <c r="P8" s="13"/>
      <c r="Q8" s="58"/>
      <c r="R8" s="274"/>
      <c r="S8" s="274"/>
      <c r="T8" s="274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427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276</v>
      </c>
      <c r="B20" s="152">
        <f>G17/(MAX(M54:M684)*G23)</f>
        <v>2.1290248760351127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419</v>
      </c>
      <c r="G23" s="185">
        <v>5.3</v>
      </c>
      <c r="H23" s="69">
        <v>1</v>
      </c>
      <c r="I23" s="70" t="s">
        <v>415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416</v>
      </c>
      <c r="G24" s="68">
        <f>Clavettes!G21/Clavettes!G16</f>
        <v>7.2727272727272738E-2</v>
      </c>
      <c r="H24" s="69">
        <v>1</v>
      </c>
      <c r="I24" s="70" t="s">
        <v>417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183</v>
      </c>
      <c r="B26" s="140">
        <f>MAX(T54:T684)</f>
        <v>1.3400003731342766E-4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72" t="s">
        <v>274</v>
      </c>
      <c r="M30" s="273"/>
      <c r="N30" s="273"/>
      <c r="O30" s="103">
        <v>-9.9999999999999995E-8</v>
      </c>
      <c r="P30" s="13"/>
      <c r="Q30" s="58"/>
      <c r="R30" s="274"/>
      <c r="S30" s="274"/>
      <c r="T30" s="274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8" t="s">
        <v>460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55"/>
      <c r="B33" s="255"/>
      <c r="C33" s="255"/>
      <c r="D33" s="255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55"/>
      <c r="B34" s="255"/>
      <c r="C34" s="255"/>
      <c r="D34" s="255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60" t="s">
        <v>200</v>
      </c>
      <c r="B35" s="261"/>
      <c r="C35" s="261"/>
      <c r="D35" s="262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64" t="s">
        <v>428</v>
      </c>
      <c r="B36" s="264"/>
      <c r="C36" s="265" t="str">
        <f>IF(C940+D940+E940+G940+H940&lt;0.0000001,"Oui","Non")</f>
        <v>Oui</v>
      </c>
      <c r="D36" s="265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60" t="s">
        <v>271</v>
      </c>
      <c r="B37" s="261"/>
      <c r="C37" s="261"/>
      <c r="D37" s="262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63" t="str" cm="1">
        <f t="array" ref="A38">IF(ABS(P939)&lt;0.01*MAX(ABS(P54:P939)),"constante y' valide","constante y' non valide")</f>
        <v>constante y' valide</v>
      </c>
      <c r="B38" s="263"/>
      <c r="C38" s="263"/>
      <c r="D38" s="263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63" t="str" cm="1">
        <f t="array" ref="A39">IF(ABS(S939)&lt;0.01*MAX(ABS(S54:S939)),"constante z' valide","constante z' non valide")</f>
        <v>constante z' valide</v>
      </c>
      <c r="B39" s="263"/>
      <c r="C39" s="263"/>
      <c r="D39" s="263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57" t="s">
        <v>259</v>
      </c>
      <c r="B40" s="258"/>
      <c r="C40" s="258"/>
      <c r="D40" s="259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56" t="s">
        <v>105</v>
      </c>
      <c r="D50" s="256"/>
      <c r="E50" s="256"/>
      <c r="F50" s="256"/>
      <c r="G50" s="256"/>
      <c r="H50" s="256"/>
      <c r="I50" s="256"/>
      <c r="J50" s="256"/>
      <c r="K50" s="256" t="s">
        <v>152</v>
      </c>
      <c r="L50" s="256"/>
      <c r="M50" s="256"/>
      <c r="N50" s="236" t="s">
        <v>173</v>
      </c>
      <c r="O50" s="236"/>
      <c r="P50" s="236"/>
      <c r="Q50" s="236"/>
      <c r="R50" s="236"/>
      <c r="S50" s="236"/>
      <c r="T50" s="236"/>
      <c r="U50" s="236"/>
      <c r="V50" s="236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25" t="s">
        <v>211</v>
      </c>
      <c r="AC103" s="226"/>
      <c r="AD103" s="226"/>
      <c r="AE103" s="226"/>
      <c r="AF103" s="226"/>
      <c r="AG103" s="226"/>
      <c r="AH103" s="226"/>
      <c r="AI103" s="226"/>
      <c r="AJ103" s="226"/>
      <c r="AK103" s="227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1"/>
      <c r="AC104" s="232"/>
      <c r="AD104" s="232"/>
      <c r="AE104" s="232"/>
      <c r="AF104" s="232"/>
      <c r="AG104" s="232"/>
      <c r="AH104" s="232"/>
      <c r="AI104" s="232"/>
      <c r="AJ104" s="232"/>
      <c r="AK104" s="233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25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429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25">
      <c r="A941" s="7"/>
      <c r="B941" s="189" t="s">
        <v>107</v>
      </c>
      <c r="C941" s="189" t="s">
        <v>71</v>
      </c>
      <c r="D941" s="189" t="s">
        <v>108</v>
      </c>
      <c r="E941" s="189" t="s">
        <v>109</v>
      </c>
      <c r="F941" s="189" t="s">
        <v>111</v>
      </c>
      <c r="G941" s="189" t="s">
        <v>110</v>
      </c>
      <c r="H941" s="189" t="s">
        <v>116</v>
      </c>
      <c r="I941" s="189" t="s">
        <v>120</v>
      </c>
      <c r="J941" s="189" t="s">
        <v>121</v>
      </c>
      <c r="K941" s="189" t="s">
        <v>132</v>
      </c>
      <c r="L941" s="189" t="s">
        <v>133</v>
      </c>
      <c r="M941" s="189" t="s">
        <v>134</v>
      </c>
      <c r="N941" s="189"/>
      <c r="O941" s="189" t="s">
        <v>167</v>
      </c>
      <c r="P941" s="189" t="s">
        <v>168</v>
      </c>
      <c r="Q941" s="189" t="s">
        <v>275</v>
      </c>
      <c r="R941" s="189" t="s">
        <v>169</v>
      </c>
      <c r="S941" s="189" t="s">
        <v>170</v>
      </c>
      <c r="T941" s="189" t="s">
        <v>171</v>
      </c>
      <c r="U941" s="189" t="s">
        <v>172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28" priority="17" operator="containsText" text="Oui">
      <formula>NOT(ISERROR(SEARCH("Oui",B23)))</formula>
    </cfRule>
  </conditionalFormatting>
  <conditionalFormatting sqref="B23 B25 B27">
    <cfRule type="containsText" dxfId="27" priority="15" operator="containsText" text="Non">
      <formula>NOT(ISERROR(SEARCH("Non",B23)))</formula>
    </cfRule>
    <cfRule type="containsText" dxfId="26" priority="16" operator="containsText" text="Oui">
      <formula>NOT(ISERROR(SEARCH("Oui",B23)))</formula>
    </cfRule>
  </conditionalFormatting>
  <conditionalFormatting sqref="B30">
    <cfRule type="cellIs" dxfId="25" priority="13" operator="equal">
      <formula>"Oui"</formula>
    </cfRule>
    <cfRule type="containsText" dxfId="24" priority="14" operator="containsText" text="Non">
      <formula>NOT(ISERROR(SEARCH("Non",B30)))</formula>
    </cfRule>
  </conditionalFormatting>
  <conditionalFormatting sqref="B21">
    <cfRule type="cellIs" dxfId="23" priority="11" operator="equal">
      <formula>"Non"</formula>
    </cfRule>
    <cfRule type="cellIs" dxfId="22" priority="12" operator="equal">
      <formula>"Oui"</formula>
    </cfRule>
  </conditionalFormatting>
  <conditionalFormatting sqref="A38:D38">
    <cfRule type="cellIs" dxfId="21" priority="5" operator="equal">
      <formula>"constante y' valide"</formula>
    </cfRule>
    <cfRule type="cellIs" dxfId="20" priority="9" operator="equal">
      <formula>"constante y' non valide"</formula>
    </cfRule>
    <cfRule type="cellIs" dxfId="19" priority="10" operator="equal">
      <formula>"""constante y' valide"""</formula>
    </cfRule>
  </conditionalFormatting>
  <conditionalFormatting sqref="A39:D39">
    <cfRule type="cellIs" dxfId="18" priority="6" operator="equal">
      <formula>"constante z' valide"</formula>
    </cfRule>
    <cfRule type="cellIs" dxfId="17" priority="7" operator="equal">
      <formula>"""constante z' valide"""</formula>
    </cfRule>
    <cfRule type="cellIs" dxfId="16" priority="8" operator="equal">
      <formula>"constante z' non valide"</formula>
    </cfRule>
  </conditionalFormatting>
  <conditionalFormatting sqref="C940:E940 G940:H940">
    <cfRule type="cellIs" dxfId="15" priority="3" operator="greaterThan">
      <formula>0.00000001</formula>
    </cfRule>
    <cfRule type="cellIs" dxfId="14" priority="4" operator="lessThan">
      <formula>0.00000001</formula>
    </cfRule>
  </conditionalFormatting>
  <conditionalFormatting sqref="C36:D36">
    <cfRule type="cellIs" dxfId="13" priority="1" operator="equal">
      <formula>"Oui"</formula>
    </cfRule>
    <cfRule type="cellIs" dxfId="12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24" sqref="F24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54" t="s">
        <v>541</v>
      </c>
      <c r="B1" s="254"/>
      <c r="C1" s="254"/>
      <c r="D1" s="254"/>
      <c r="E1" s="1"/>
      <c r="F1" s="206" t="s">
        <v>318</v>
      </c>
      <c r="G1" s="206"/>
      <c r="H1" s="1"/>
      <c r="I1" s="209"/>
      <c r="K1" s="275"/>
      <c r="L1" s="275"/>
      <c r="M1" s="275"/>
      <c r="N1" s="275"/>
      <c r="O1" s="275"/>
      <c r="P1" s="275"/>
      <c r="Q1" s="2"/>
      <c r="R1" s="208"/>
      <c r="S1" s="208"/>
      <c r="T1" s="208"/>
      <c r="U1" s="208"/>
      <c r="V1" s="208"/>
      <c r="W1" s="208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206" t="s">
        <v>317</v>
      </c>
      <c r="G2" s="206" t="s">
        <v>293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69" t="s">
        <v>84</v>
      </c>
      <c r="B3" s="69">
        <f>ABS('Arbre 7'!B15)</f>
        <v>317.43178827315302</v>
      </c>
      <c r="C3" s="69" t="s">
        <v>71</v>
      </c>
      <c r="D3" s="70" t="s">
        <v>286</v>
      </c>
      <c r="E3" s="1"/>
      <c r="F3" s="206">
        <v>0.9</v>
      </c>
      <c r="G3" s="206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69" t="s">
        <v>85</v>
      </c>
      <c r="B4" s="69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206">
        <v>0.95</v>
      </c>
      <c r="G4" s="206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69" t="s">
        <v>288</v>
      </c>
      <c r="B5" s="69">
        <v>1.1499999999999999</v>
      </c>
      <c r="C5" s="69"/>
      <c r="D5" s="70" t="s">
        <v>289</v>
      </c>
      <c r="E5" s="1"/>
      <c r="F5" s="206">
        <v>0.96</v>
      </c>
      <c r="G5" s="206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69" t="s">
        <v>290</v>
      </c>
      <c r="B6" s="69">
        <v>0.56999999999999995</v>
      </c>
      <c r="C6" s="69"/>
      <c r="D6" s="70" t="s">
        <v>296</v>
      </c>
      <c r="E6" s="1"/>
      <c r="F6" s="206">
        <v>0.97</v>
      </c>
      <c r="G6" s="206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69" t="s">
        <v>291</v>
      </c>
      <c r="B7" s="69">
        <v>0.55000000000000004</v>
      </c>
      <c r="C7" s="69"/>
      <c r="D7" s="70" t="s">
        <v>297</v>
      </c>
      <c r="E7" s="1"/>
      <c r="F7" s="206">
        <v>0.98</v>
      </c>
      <c r="G7" s="206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69" t="s">
        <v>81</v>
      </c>
      <c r="B8" s="69">
        <v>35500</v>
      </c>
      <c r="C8" s="69" t="s">
        <v>71</v>
      </c>
      <c r="D8" s="70" t="s">
        <v>298</v>
      </c>
      <c r="E8" s="1"/>
      <c r="F8" s="206">
        <v>0.99</v>
      </c>
      <c r="G8" s="206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69" t="s">
        <v>292</v>
      </c>
      <c r="B9" s="69">
        <v>21200</v>
      </c>
      <c r="C9" s="69" t="s">
        <v>71</v>
      </c>
      <c r="D9" s="70" t="s">
        <v>299</v>
      </c>
      <c r="E9" s="1"/>
      <c r="F9" s="206">
        <v>0.99199999999999999</v>
      </c>
      <c r="G9" s="206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69" t="s">
        <v>71</v>
      </c>
      <c r="B10" s="69">
        <f>'Arbre 7'!B3</f>
        <v>707.14285714285711</v>
      </c>
      <c r="C10" s="69" t="s">
        <v>2</v>
      </c>
      <c r="D10" s="70" t="s">
        <v>303</v>
      </c>
      <c r="E10" s="1"/>
      <c r="F10" s="206">
        <v>0.99399999999999999</v>
      </c>
      <c r="G10" s="206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69" t="s">
        <v>293</v>
      </c>
      <c r="B11" s="69">
        <v>1</v>
      </c>
      <c r="C11" s="69"/>
      <c r="D11" s="70" t="s">
        <v>300</v>
      </c>
      <c r="E11" s="1"/>
      <c r="F11" s="206">
        <v>0.996</v>
      </c>
      <c r="G11" s="206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69" t="s">
        <v>294</v>
      </c>
      <c r="B12" s="69">
        <v>1</v>
      </c>
      <c r="C12" s="69"/>
      <c r="D12" s="70" t="s">
        <v>301</v>
      </c>
      <c r="E12" s="1"/>
      <c r="F12" s="206">
        <v>0.998</v>
      </c>
      <c r="G12" s="206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69" t="s">
        <v>295</v>
      </c>
      <c r="B13" s="69">
        <v>1</v>
      </c>
      <c r="C13" s="69"/>
      <c r="D13" s="70" t="s">
        <v>302</v>
      </c>
      <c r="E13" s="1"/>
      <c r="F13" s="206">
        <v>0.999</v>
      </c>
      <c r="G13" s="206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.75" thickBot="1" x14ac:dyDescent="0.3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thickBot="1" x14ac:dyDescent="0.3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83" t="s">
        <v>304</v>
      </c>
      <c r="B16" s="83">
        <f>B3/B4</f>
        <v>0.15359634124497076</v>
      </c>
      <c r="C16" s="83"/>
      <c r="D16" s="85" t="s">
        <v>305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83" t="s">
        <v>70</v>
      </c>
      <c r="B17" s="83">
        <f>IF(B16&lt;=B5,B4,B6*B4+B7*B3)</f>
        <v>2066.6624328432481</v>
      </c>
      <c r="C17" s="83" t="s">
        <v>71</v>
      </c>
      <c r="D17" s="85" t="s">
        <v>315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thickBot="1" x14ac:dyDescent="0.3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thickBot="1" x14ac:dyDescent="0.3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69" t="s">
        <v>311</v>
      </c>
      <c r="B20" s="69">
        <f>((10^6)/(60*B10))*B22</f>
        <v>119458.76337114506</v>
      </c>
      <c r="C20" s="69" t="s">
        <v>308</v>
      </c>
      <c r="D20" s="85" t="s">
        <v>313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69" t="s">
        <v>312</v>
      </c>
      <c r="B21" s="69">
        <f>B11*B12*B13*B20</f>
        <v>119458.76337114506</v>
      </c>
      <c r="C21" s="69" t="s">
        <v>308</v>
      </c>
      <c r="D21" s="85" t="s">
        <v>314</v>
      </c>
      <c r="E21" s="1"/>
      <c r="K21" s="2"/>
      <c r="L21" s="2"/>
      <c r="M21" s="2"/>
      <c r="N21" s="2"/>
      <c r="O21" s="2"/>
      <c r="P21" s="2"/>
      <c r="Q21" s="275"/>
      <c r="R21" s="275"/>
      <c r="S21" s="2"/>
      <c r="T21" s="2"/>
      <c r="U21" s="2"/>
      <c r="V21" s="2"/>
      <c r="W21" s="2"/>
    </row>
    <row r="22" spans="1:23" x14ac:dyDescent="0.25">
      <c r="A22" s="69" t="s">
        <v>310</v>
      </c>
      <c r="B22" s="69">
        <f>(B8/B17)^3</f>
        <v>5068.4646744614402</v>
      </c>
      <c r="C22" s="69" t="s">
        <v>309</v>
      </c>
      <c r="D22" s="85" t="s">
        <v>313</v>
      </c>
      <c r="E22" s="1"/>
      <c r="K22" s="2"/>
      <c r="L22" s="2"/>
      <c r="M22" s="2"/>
      <c r="N22" s="2"/>
      <c r="O22" s="2"/>
      <c r="P22" s="2"/>
      <c r="Q22" s="275"/>
      <c r="R22" s="275"/>
      <c r="S22" s="2"/>
      <c r="T22" s="2"/>
      <c r="U22" s="2"/>
      <c r="V22" s="2"/>
      <c r="W22" s="2"/>
    </row>
    <row r="23" spans="1:23" x14ac:dyDescent="0.25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75"/>
      <c r="R23" s="275"/>
      <c r="S23" s="2"/>
      <c r="T23" s="2"/>
      <c r="U23" s="2"/>
      <c r="V23" s="2"/>
      <c r="W23" s="2"/>
    </row>
    <row r="24" spans="1:23" ht="15.75" thickBot="1" x14ac:dyDescent="0.3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69" t="s">
        <v>353</v>
      </c>
      <c r="B26" s="69">
        <f>B8/B17</f>
        <v>17.177454544988382</v>
      </c>
      <c r="C26" s="69" t="str">
        <f>IF(B26&lt;2,"NON","OUI")</f>
        <v>OUI</v>
      </c>
      <c r="D26" s="85" t="s">
        <v>352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25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11" priority="3" operator="equal">
      <formula>"NON"</formula>
    </cfRule>
    <cfRule type="cellIs" dxfId="10" priority="4" operator="equal">
      <formula>"OUI"</formula>
    </cfRule>
    <cfRule type="cellIs" dxfId="9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6" sqref="B6"/>
    </sheetView>
  </sheetViews>
  <sheetFormatPr baseColWidth="10" defaultRowHeight="15" x14ac:dyDescent="0.25"/>
  <cols>
    <col min="1" max="1" width="26.140625" customWidth="1"/>
    <col min="4" max="4" width="39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518</v>
      </c>
      <c r="B2" s="202">
        <v>3</v>
      </c>
      <c r="C2" s="202" t="s">
        <v>449</v>
      </c>
      <c r="D2" s="202" t="s">
        <v>510</v>
      </c>
      <c r="E2" s="1"/>
      <c r="F2" s="1"/>
    </row>
    <row r="3" spans="1:6" x14ac:dyDescent="0.25">
      <c r="A3" s="68" t="s">
        <v>338</v>
      </c>
      <c r="B3" s="202">
        <v>20</v>
      </c>
      <c r="C3" s="202" t="s">
        <v>28</v>
      </c>
      <c r="D3" s="202" t="s">
        <v>511</v>
      </c>
      <c r="E3" s="1"/>
      <c r="F3" s="1"/>
    </row>
    <row r="4" spans="1:6" x14ac:dyDescent="0.25">
      <c r="A4" s="68" t="s">
        <v>519</v>
      </c>
      <c r="B4" s="202">
        <f>'Résistance des engrenages'!G14*'Résistance des engrenages'!G16</f>
        <v>18</v>
      </c>
      <c r="C4" s="202" t="s">
        <v>28</v>
      </c>
      <c r="D4" s="202" t="s">
        <v>512</v>
      </c>
      <c r="E4" s="1"/>
      <c r="F4" s="1"/>
    </row>
    <row r="5" spans="1:6" x14ac:dyDescent="0.25">
      <c r="A5" s="68" t="s">
        <v>236</v>
      </c>
      <c r="B5" s="202">
        <f>ABS('Arbre 7'!B13)/B2</f>
        <v>534.53554119247678</v>
      </c>
      <c r="C5" s="202" t="s">
        <v>71</v>
      </c>
      <c r="D5" s="202" t="s">
        <v>514</v>
      </c>
      <c r="E5" s="1"/>
      <c r="F5" s="1"/>
    </row>
    <row r="6" spans="1:6" ht="15.75" thickBot="1" x14ac:dyDescent="0.3">
      <c r="A6" s="68" t="s">
        <v>71</v>
      </c>
      <c r="B6" s="202">
        <v>111</v>
      </c>
      <c r="C6" s="202" t="s">
        <v>2</v>
      </c>
      <c r="D6" s="202" t="s">
        <v>303</v>
      </c>
      <c r="E6" s="1"/>
      <c r="F6" s="1"/>
    </row>
    <row r="7" spans="1:6" ht="15.75" thickBot="1" x14ac:dyDescent="0.3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25">
      <c r="A8" s="74" t="s">
        <v>516</v>
      </c>
      <c r="B8" s="202">
        <f>B5/(B4*B3)</f>
        <v>1.4848209477568799</v>
      </c>
      <c r="C8" s="202" t="s">
        <v>515</v>
      </c>
      <c r="D8" s="202" t="s">
        <v>513</v>
      </c>
      <c r="E8" s="1"/>
      <c r="F8" s="1"/>
    </row>
    <row r="9" spans="1:6" x14ac:dyDescent="0.25">
      <c r="A9" s="74" t="s">
        <v>517</v>
      </c>
      <c r="B9" s="202">
        <f>(PI()*B6*B3/60)*10^-3</f>
        <v>0.11623892818282235</v>
      </c>
      <c r="C9" s="202" t="s">
        <v>452</v>
      </c>
      <c r="D9" s="202" t="s">
        <v>447</v>
      </c>
      <c r="E9" s="1"/>
      <c r="F9" s="1"/>
    </row>
    <row r="10" spans="1:6" ht="15.75" thickBot="1" x14ac:dyDescent="0.3">
      <c r="A10" s="74" t="s">
        <v>520</v>
      </c>
      <c r="B10" s="202">
        <f>B8*B9</f>
        <v>0.17259399551066218</v>
      </c>
      <c r="C10" s="202" t="s">
        <v>522</v>
      </c>
      <c r="D10" s="202" t="s">
        <v>521</v>
      </c>
      <c r="E10" s="1"/>
      <c r="F10" s="1"/>
    </row>
    <row r="11" spans="1:6" ht="15.75" thickBot="1" x14ac:dyDescent="0.3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25">
      <c r="A12" s="104" t="s">
        <v>530</v>
      </c>
      <c r="B12" s="1"/>
      <c r="C12" s="1"/>
      <c r="D12" s="1"/>
      <c r="E12" s="1"/>
      <c r="F12" s="1"/>
    </row>
    <row r="13" spans="1:6" x14ac:dyDescent="0.25">
      <c r="A13" s="104" t="s">
        <v>524</v>
      </c>
      <c r="B13">
        <v>5</v>
      </c>
      <c r="C13" s="204" t="s">
        <v>515</v>
      </c>
      <c r="D13" s="204" t="s">
        <v>527</v>
      </c>
      <c r="E13" s="1"/>
      <c r="F13" s="1"/>
    </row>
    <row r="14" spans="1:6" x14ac:dyDescent="0.25">
      <c r="A14" s="104" t="s">
        <v>523</v>
      </c>
      <c r="B14">
        <v>0.5</v>
      </c>
      <c r="C14" s="204" t="s">
        <v>452</v>
      </c>
      <c r="D14" s="204" t="s">
        <v>528</v>
      </c>
      <c r="E14" s="1"/>
      <c r="F14" s="1"/>
    </row>
    <row r="15" spans="1:6" ht="15.75" thickBot="1" x14ac:dyDescent="0.3">
      <c r="A15" s="104" t="s">
        <v>525</v>
      </c>
      <c r="B15">
        <v>1.7</v>
      </c>
      <c r="C15" s="204" t="s">
        <v>522</v>
      </c>
      <c r="D15" s="204" t="s">
        <v>529</v>
      </c>
      <c r="E15" s="1"/>
      <c r="F15" s="1"/>
    </row>
    <row r="16" spans="1:6" ht="15.75" thickBot="1" x14ac:dyDescent="0.3">
      <c r="A16" s="276" t="s">
        <v>351</v>
      </c>
      <c r="B16" s="277"/>
      <c r="C16" s="56" t="s">
        <v>354</v>
      </c>
      <c r="D16" s="56" t="s">
        <v>10</v>
      </c>
      <c r="E16" s="1"/>
      <c r="F16" s="1"/>
    </row>
    <row r="17" spans="1:6" x14ac:dyDescent="0.25">
      <c r="A17" s="278" t="s">
        <v>524</v>
      </c>
      <c r="B17" s="278"/>
      <c r="C17" t="str">
        <f>IF(B8&lt;B13,"OUI","NON")</f>
        <v>OUI</v>
      </c>
      <c r="D17" s="202" t="s">
        <v>526</v>
      </c>
      <c r="E17" s="1"/>
      <c r="F17" s="1"/>
    </row>
    <row r="18" spans="1:6" x14ac:dyDescent="0.25">
      <c r="A18" s="279" t="s">
        <v>523</v>
      </c>
      <c r="B18" s="279"/>
      <c r="C18" t="str">
        <f t="shared" ref="C18:C19" si="0">IF(B9&lt;B14,"OUI","NON")</f>
        <v>OUI</v>
      </c>
      <c r="D18" s="202" t="s">
        <v>526</v>
      </c>
      <c r="E18" s="1"/>
      <c r="F18" s="1"/>
    </row>
    <row r="19" spans="1:6" x14ac:dyDescent="0.25">
      <c r="A19" s="279" t="s">
        <v>525</v>
      </c>
      <c r="B19" s="279"/>
      <c r="C19" t="str">
        <f t="shared" si="0"/>
        <v>OUI</v>
      </c>
      <c r="D19" s="202" t="s">
        <v>526</v>
      </c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8" priority="1" operator="equal">
      <formula>"NON"</formula>
    </cfRule>
    <cfRule type="cellIs" dxfId="7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32" sqref="E32:G32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3" t="s">
        <v>425</v>
      </c>
      <c r="J1" s="253"/>
      <c r="K1" s="253"/>
      <c r="L1" s="253"/>
      <c r="M1" s="253"/>
      <c r="N1" s="253"/>
      <c r="O1" s="253"/>
      <c r="P1" s="1"/>
      <c r="Q1" s="253" t="s">
        <v>426</v>
      </c>
      <c r="R1" s="253"/>
      <c r="S1" s="253"/>
      <c r="T1" s="253"/>
      <c r="U1" s="253"/>
      <c r="V1" s="253"/>
      <c r="W1" s="253"/>
      <c r="X1" s="253"/>
      <c r="Y1" s="1"/>
    </row>
    <row r="2" spans="1:25" x14ac:dyDescent="0.25">
      <c r="A2" s="71" t="s">
        <v>337</v>
      </c>
      <c r="B2" s="174">
        <v>6007</v>
      </c>
      <c r="C2" s="186" t="s">
        <v>434</v>
      </c>
      <c r="D2" s="291" t="s">
        <v>539</v>
      </c>
      <c r="E2" s="291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339</v>
      </c>
      <c r="B3" s="207" t="s">
        <v>432</v>
      </c>
      <c r="C3" t="s">
        <v>433</v>
      </c>
      <c r="D3" s="292" t="s">
        <v>540</v>
      </c>
      <c r="E3" s="253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338</v>
      </c>
      <c r="B4">
        <v>35</v>
      </c>
      <c r="C4">
        <v>35</v>
      </c>
      <c r="D4" s="253">
        <v>30</v>
      </c>
      <c r="E4" s="253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126</v>
      </c>
      <c r="B5">
        <v>62</v>
      </c>
      <c r="C5">
        <v>55</v>
      </c>
      <c r="D5" s="253">
        <v>72</v>
      </c>
      <c r="E5" s="253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341</v>
      </c>
      <c r="B6">
        <f>'Arbre 6'!B3</f>
        <v>1500</v>
      </c>
      <c r="C6">
        <f>'Arbre 6'!B3</f>
        <v>1500</v>
      </c>
      <c r="D6" s="253">
        <f>'Arbre 7'!B3</f>
        <v>707.14285714285711</v>
      </c>
      <c r="E6" s="253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293"/>
      <c r="E7" s="293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307</v>
      </c>
      <c r="B8" s="1"/>
      <c r="C8" s="1"/>
      <c r="D8" s="293"/>
      <c r="E8" s="293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340</v>
      </c>
      <c r="B9">
        <f xml:space="preserve"> 0.5*(B4+B5)</f>
        <v>48.5</v>
      </c>
      <c r="C9">
        <f xml:space="preserve"> 0.5*(C4+C5)</f>
        <v>45</v>
      </c>
      <c r="D9" s="253">
        <f xml:space="preserve"> 0.5*(D4+D5)</f>
        <v>51</v>
      </c>
      <c r="E9" s="253"/>
      <c r="F9" s="70" t="s">
        <v>406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342</v>
      </c>
      <c r="B10">
        <v>14</v>
      </c>
      <c r="C10">
        <v>14</v>
      </c>
      <c r="D10" s="253">
        <v>20</v>
      </c>
      <c r="E10" s="253"/>
      <c r="F10" s="70" t="s">
        <v>407</v>
      </c>
      <c r="G10" s="70" t="s">
        <v>408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350</v>
      </c>
      <c r="B11">
        <f>4*B10</f>
        <v>56</v>
      </c>
      <c r="C11">
        <f>4*C10</f>
        <v>56</v>
      </c>
      <c r="D11" s="253">
        <f>4*D10</f>
        <v>80</v>
      </c>
      <c r="E11" s="253"/>
      <c r="F11" s="70" t="s">
        <v>409</v>
      </c>
      <c r="G11" s="70" t="s">
        <v>408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349</v>
      </c>
      <c r="B12">
        <v>320</v>
      </c>
      <c r="C12">
        <v>320</v>
      </c>
      <c r="D12" s="253">
        <v>320</v>
      </c>
      <c r="E12" s="253"/>
      <c r="F12" s="70" t="s">
        <v>410</v>
      </c>
      <c r="G12" s="70" t="s">
        <v>408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411</v>
      </c>
      <c r="B13">
        <f>B12/B10</f>
        <v>22.857142857142858</v>
      </c>
      <c r="C13">
        <f>C12/C10</f>
        <v>22.857142857142858</v>
      </c>
      <c r="D13" s="253">
        <f>D12/D10</f>
        <v>16</v>
      </c>
      <c r="E13" s="253"/>
      <c r="F13" s="70" t="s">
        <v>412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451</v>
      </c>
      <c r="B14">
        <v>68</v>
      </c>
      <c r="C14">
        <v>68</v>
      </c>
      <c r="D14" s="253">
        <v>100</v>
      </c>
      <c r="E14" s="253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316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347</v>
      </c>
      <c r="B17">
        <v>100</v>
      </c>
      <c r="C17">
        <v>100</v>
      </c>
      <c r="D17" s="253">
        <v>100</v>
      </c>
      <c r="E17" s="253"/>
      <c r="F17" s="70" t="s">
        <v>413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337</v>
      </c>
      <c r="B18" s="1"/>
      <c r="C18" s="1"/>
      <c r="D18" s="1"/>
      <c r="E18" s="1"/>
      <c r="F18" s="197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t="s">
        <v>442</v>
      </c>
      <c r="C26" t="s">
        <v>443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306</v>
      </c>
      <c r="B27" s="56" t="s">
        <v>440</v>
      </c>
      <c r="C27" s="56" t="s">
        <v>441</v>
      </c>
      <c r="D27" s="56" t="s">
        <v>104</v>
      </c>
      <c r="E27" s="289" t="s">
        <v>10</v>
      </c>
      <c r="F27" s="290"/>
      <c r="G27" s="290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435</v>
      </c>
      <c r="B28" s="85">
        <f>'Résistance des engrenages'!G2</f>
        <v>66</v>
      </c>
      <c r="C28" s="85">
        <f>'Résistance des engrenages'!G3</f>
        <v>48</v>
      </c>
      <c r="D28" s="85" t="s">
        <v>28</v>
      </c>
      <c r="E28" s="284"/>
      <c r="F28" s="284"/>
      <c r="G28" s="284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436</v>
      </c>
      <c r="B29" s="85">
        <f>'Arbre 6'!B8</f>
        <v>578.74524760689201</v>
      </c>
      <c r="C29" s="85">
        <f>'Arbre 7'!B10</f>
        <v>549.80798522654754</v>
      </c>
      <c r="D29" s="85" t="s">
        <v>71</v>
      </c>
      <c r="E29" s="284"/>
      <c r="F29" s="284"/>
      <c r="G29" s="284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437</v>
      </c>
      <c r="B30" s="85">
        <f>'Résistance des engrenages'!G15*'Résistance des engrenages'!G13</f>
        <v>12</v>
      </c>
      <c r="C30" s="85">
        <f>'Résistance des engrenages'!G16*'Résistance des engrenages'!G14</f>
        <v>18</v>
      </c>
      <c r="D30" s="85" t="s">
        <v>28</v>
      </c>
      <c r="E30" s="284"/>
      <c r="F30" s="284"/>
      <c r="G30" s="284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438</v>
      </c>
      <c r="B31" s="85">
        <f>1/'Résistance des engrenages'!G4</f>
        <v>2.1212121212121211</v>
      </c>
      <c r="C31" s="85">
        <f>1/'Résistance des engrenages'!G5</f>
        <v>6.7521944632005395</v>
      </c>
      <c r="D31" s="85" t="s">
        <v>17</v>
      </c>
      <c r="E31" s="284"/>
      <c r="F31" s="284"/>
      <c r="G31" s="284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439</v>
      </c>
      <c r="B32" s="85">
        <v>3</v>
      </c>
      <c r="C32" s="85">
        <v>3</v>
      </c>
      <c r="D32" s="85" t="s">
        <v>17</v>
      </c>
      <c r="E32" s="284"/>
      <c r="F32" s="284"/>
      <c r="G32" s="284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303</v>
      </c>
      <c r="B33" s="85">
        <f>'Arbre 6'!B3</f>
        <v>1500</v>
      </c>
      <c r="C33" s="85">
        <f>'Arbre 7'!B3</f>
        <v>707.14285714285711</v>
      </c>
      <c r="D33" s="85" t="s">
        <v>2</v>
      </c>
      <c r="E33" s="282"/>
      <c r="F33" s="282"/>
      <c r="G33" s="282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454</v>
      </c>
      <c r="B34" s="85">
        <v>1.5</v>
      </c>
      <c r="C34" s="85">
        <v>1.5</v>
      </c>
      <c r="D34" s="85" t="s">
        <v>17</v>
      </c>
      <c r="E34" s="284" t="s">
        <v>455</v>
      </c>
      <c r="F34" s="284"/>
      <c r="G34" s="284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83"/>
      <c r="F35" s="283"/>
      <c r="G35" s="283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307</v>
      </c>
      <c r="B36" s="56" t="s">
        <v>440</v>
      </c>
      <c r="C36" s="56" t="s">
        <v>441</v>
      </c>
      <c r="D36" s="56" t="s">
        <v>104</v>
      </c>
      <c r="E36" s="286" t="s">
        <v>10</v>
      </c>
      <c r="F36" s="287"/>
      <c r="G36" s="287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446</v>
      </c>
      <c r="B37" s="85">
        <f>(B29/(B30*B28))*((B31+1)/B31)*B32</f>
        <v>3.2256905034366818</v>
      </c>
      <c r="C37" s="85">
        <f>(C29/(C30*C28))*((C31+1)/C31)*C32</f>
        <v>2.1917866244395809</v>
      </c>
      <c r="D37" s="85" t="s">
        <v>137</v>
      </c>
      <c r="E37" s="288"/>
      <c r="F37" s="288"/>
      <c r="G37" s="288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447</v>
      </c>
      <c r="B38" s="85">
        <f>((B28/2)*10^-3)*B33*2*PI()/60</f>
        <v>5.1836278784231586</v>
      </c>
      <c r="C38" s="85">
        <f>((C28/2)*10^-3)*C33*2*PI()/60</f>
        <v>1.7772438440307972</v>
      </c>
      <c r="D38" s="85" t="s">
        <v>452</v>
      </c>
      <c r="E38" s="288"/>
      <c r="F38" s="288"/>
      <c r="G38" s="288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448</v>
      </c>
      <c r="B39" s="85">
        <f>B37/B38</f>
        <v>0.62228434970488766</v>
      </c>
      <c r="C39" s="85">
        <f>C37/C38</f>
        <v>1.2332503678665718</v>
      </c>
      <c r="D39" s="85" t="s">
        <v>453</v>
      </c>
      <c r="E39" s="284"/>
      <c r="F39" s="284"/>
      <c r="G39" s="284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456</v>
      </c>
      <c r="B40" s="85">
        <f>B39*B34</f>
        <v>0.93342652455733144</v>
      </c>
      <c r="C40" s="85">
        <f>C39*C34</f>
        <v>1.8498755517998577</v>
      </c>
      <c r="D40" s="85" t="s">
        <v>17</v>
      </c>
      <c r="E40" s="285" t="s">
        <v>457</v>
      </c>
      <c r="F40" s="285"/>
      <c r="G40" s="285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316</v>
      </c>
      <c r="B42" s="56" t="s">
        <v>8</v>
      </c>
      <c r="C42" s="56" t="s">
        <v>104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196" t="s">
        <v>450</v>
      </c>
      <c r="B43">
        <v>320</v>
      </c>
      <c r="C43" t="s">
        <v>449</v>
      </c>
      <c r="D43" s="3" t="s">
        <v>458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80" t="s">
        <v>459</v>
      </c>
      <c r="E44" s="281"/>
      <c r="F44" s="281"/>
      <c r="G44" s="28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17:E17"/>
    <mergeCell ref="D10:E10"/>
    <mergeCell ref="D11:E11"/>
    <mergeCell ref="D12:E12"/>
    <mergeCell ref="D13:E13"/>
    <mergeCell ref="D14:E14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9" x14ac:dyDescent="0.25">
      <c r="A1" s="7" t="s">
        <v>461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466</v>
      </c>
      <c r="H1" s="7" t="s">
        <v>221</v>
      </c>
      <c r="I1" s="7" t="s">
        <v>10</v>
      </c>
    </row>
    <row r="2" spans="1:9" x14ac:dyDescent="0.25">
      <c r="A2" s="295" t="s">
        <v>471</v>
      </c>
      <c r="B2" s="296"/>
      <c r="C2" s="296"/>
      <c r="D2" s="297"/>
      <c r="E2" s="1"/>
      <c r="F2" s="294" t="s">
        <v>483</v>
      </c>
      <c r="G2" s="294"/>
      <c r="H2" s="294"/>
      <c r="I2" s="294"/>
    </row>
    <row r="3" spans="1:9" x14ac:dyDescent="0.25">
      <c r="A3" s="68" t="s">
        <v>462</v>
      </c>
      <c r="B3" s="68">
        <f>'Résistance des engrenages'!B2*'Arbre 6'!G11*2*PI()/60/1000</f>
        <v>5.3407075111026492</v>
      </c>
      <c r="C3" s="69" t="s">
        <v>452</v>
      </c>
      <c r="D3" s="70" t="s">
        <v>463</v>
      </c>
      <c r="E3" s="1"/>
      <c r="F3" s="298" t="s">
        <v>484</v>
      </c>
      <c r="G3" s="299"/>
      <c r="H3" s="299"/>
      <c r="I3" s="300"/>
    </row>
    <row r="4" spans="1:9" x14ac:dyDescent="0.25">
      <c r="A4" s="68" t="s">
        <v>71</v>
      </c>
      <c r="B4" s="68">
        <f>'Résistance des engrenages'!B2</f>
        <v>1500</v>
      </c>
      <c r="C4" s="69" t="s">
        <v>2</v>
      </c>
      <c r="D4" s="70" t="s">
        <v>465</v>
      </c>
      <c r="E4" s="1"/>
      <c r="F4" s="68" t="s">
        <v>479</v>
      </c>
      <c r="G4" s="68" t="s">
        <v>467</v>
      </c>
      <c r="H4" s="69" t="s">
        <v>468</v>
      </c>
      <c r="I4" s="70" t="s">
        <v>470</v>
      </c>
    </row>
    <row r="5" spans="1:9" x14ac:dyDescent="0.25">
      <c r="A5" s="68" t="s">
        <v>126</v>
      </c>
      <c r="B5" s="68">
        <f>'Arbre 6'!G11</f>
        <v>34</v>
      </c>
      <c r="C5" s="69" t="s">
        <v>28</v>
      </c>
      <c r="D5" s="70" t="s">
        <v>464</v>
      </c>
      <c r="E5" s="1"/>
      <c r="F5" s="68" t="s">
        <v>338</v>
      </c>
      <c r="G5" s="68">
        <v>30</v>
      </c>
      <c r="H5" s="69" t="s">
        <v>28</v>
      </c>
      <c r="I5" s="70" t="s">
        <v>472</v>
      </c>
    </row>
    <row r="6" spans="1:9" x14ac:dyDescent="0.25">
      <c r="E6" s="1"/>
      <c r="F6" s="68" t="s">
        <v>126</v>
      </c>
      <c r="G6" s="68">
        <v>40</v>
      </c>
      <c r="H6" s="69" t="s">
        <v>28</v>
      </c>
      <c r="I6" s="70" t="s">
        <v>485</v>
      </c>
    </row>
    <row r="7" spans="1:9" x14ac:dyDescent="0.25">
      <c r="E7" s="1"/>
      <c r="F7" s="68" t="s">
        <v>469</v>
      </c>
      <c r="G7" s="68">
        <v>7</v>
      </c>
      <c r="H7" s="69" t="s">
        <v>28</v>
      </c>
      <c r="I7" s="70" t="s">
        <v>473</v>
      </c>
    </row>
    <row r="8" spans="1:9" x14ac:dyDescent="0.25">
      <c r="E8" s="1"/>
      <c r="F8" s="68" t="s">
        <v>474</v>
      </c>
      <c r="G8" s="68" t="s">
        <v>475</v>
      </c>
      <c r="H8" s="69"/>
      <c r="I8" s="70" t="s">
        <v>477</v>
      </c>
    </row>
    <row r="9" spans="1:9" x14ac:dyDescent="0.25">
      <c r="E9" s="1"/>
      <c r="F9" s="68"/>
      <c r="G9" s="68" t="s">
        <v>476</v>
      </c>
      <c r="H9" s="69"/>
      <c r="I9" s="70"/>
    </row>
    <row r="10" spans="1:9" x14ac:dyDescent="0.25">
      <c r="E10" s="1"/>
      <c r="F10" s="301" t="s">
        <v>486</v>
      </c>
      <c r="G10" s="301"/>
      <c r="H10" s="301"/>
      <c r="I10" s="301"/>
    </row>
    <row r="11" spans="1:9" x14ac:dyDescent="0.25">
      <c r="E11" s="1"/>
      <c r="F11" s="68" t="s">
        <v>480</v>
      </c>
      <c r="G11" s="68" t="s">
        <v>467</v>
      </c>
      <c r="H11" s="69" t="s">
        <v>468</v>
      </c>
      <c r="I11" s="70" t="s">
        <v>487</v>
      </c>
    </row>
    <row r="12" spans="1:9" x14ac:dyDescent="0.25">
      <c r="E12" s="1"/>
      <c r="F12" s="68" t="s">
        <v>338</v>
      </c>
      <c r="G12" s="68">
        <v>3.55</v>
      </c>
      <c r="H12" s="69" t="s">
        <v>28</v>
      </c>
      <c r="I12" s="70"/>
    </row>
    <row r="13" spans="1:9" x14ac:dyDescent="0.25">
      <c r="E13" s="1"/>
      <c r="F13" s="68" t="s">
        <v>488</v>
      </c>
      <c r="G13" s="68">
        <v>53</v>
      </c>
      <c r="H13" s="69" t="s">
        <v>28</v>
      </c>
      <c r="I13" s="70" t="s">
        <v>489</v>
      </c>
    </row>
    <row r="14" spans="1:9" x14ac:dyDescent="0.25">
      <c r="E14" s="1"/>
      <c r="F14" s="68" t="s">
        <v>490</v>
      </c>
      <c r="G14" s="68">
        <v>53</v>
      </c>
      <c r="H14" s="69" t="s">
        <v>28</v>
      </c>
      <c r="I14" s="70"/>
    </row>
    <row r="15" spans="1:9" x14ac:dyDescent="0.25">
      <c r="E15" s="1"/>
      <c r="F15" s="68" t="s">
        <v>491</v>
      </c>
      <c r="G15" s="68">
        <v>1.6</v>
      </c>
      <c r="H15" s="69" t="s">
        <v>492</v>
      </c>
      <c r="I15" s="70"/>
    </row>
    <row r="16" spans="1:9" x14ac:dyDescent="0.25">
      <c r="E16" s="1"/>
      <c r="F16" s="199" t="s">
        <v>493</v>
      </c>
      <c r="G16" s="199">
        <v>0.6</v>
      </c>
      <c r="H16" s="193" t="s">
        <v>28</v>
      </c>
      <c r="I16" s="70" t="s">
        <v>494</v>
      </c>
    </row>
    <row r="17" spans="5:9" x14ac:dyDescent="0.25">
      <c r="E17" s="1"/>
    </row>
    <row r="18" spans="5:9" x14ac:dyDescent="0.25">
      <c r="E18" s="1"/>
      <c r="F18" s="302" t="s">
        <v>478</v>
      </c>
      <c r="G18" s="303"/>
      <c r="H18" s="303"/>
      <c r="I18" s="304"/>
    </row>
    <row r="19" spans="5:9" x14ac:dyDescent="0.25">
      <c r="E19" s="1"/>
      <c r="F19" s="199" t="s">
        <v>495</v>
      </c>
      <c r="G19" t="s">
        <v>496</v>
      </c>
    </row>
    <row r="20" spans="5:9" x14ac:dyDescent="0.25">
      <c r="E20" s="1"/>
    </row>
    <row r="21" spans="5:9" x14ac:dyDescent="0.25">
      <c r="E21" s="1"/>
    </row>
    <row r="22" spans="5:9" x14ac:dyDescent="0.25">
      <c r="E22" s="1"/>
      <c r="F22" s="201" t="s">
        <v>481</v>
      </c>
      <c r="G22" s="201"/>
      <c r="H22" s="201"/>
      <c r="I22" s="201"/>
    </row>
    <row r="23" spans="5:9" x14ac:dyDescent="0.25">
      <c r="E23" s="1"/>
      <c r="F23" t="s">
        <v>484</v>
      </c>
    </row>
    <row r="24" spans="5:9" x14ac:dyDescent="0.25">
      <c r="E24" s="1"/>
      <c r="F24" t="s">
        <v>482</v>
      </c>
    </row>
    <row r="25" spans="5:9" x14ac:dyDescent="0.25">
      <c r="E25" s="1"/>
    </row>
    <row r="26" spans="5:9" x14ac:dyDescent="0.25">
      <c r="E26" s="1"/>
    </row>
    <row r="27" spans="5:9" x14ac:dyDescent="0.25">
      <c r="E27" s="1"/>
      <c r="F27" t="s">
        <v>486</v>
      </c>
    </row>
    <row r="28" spans="5:9" x14ac:dyDescent="0.25">
      <c r="E28" s="1"/>
    </row>
    <row r="29" spans="5:9" x14ac:dyDescent="0.25">
      <c r="E29" s="1"/>
    </row>
    <row r="30" spans="5:9" x14ac:dyDescent="0.25">
      <c r="E30" s="1"/>
    </row>
    <row r="31" spans="5:9" x14ac:dyDescent="0.25">
      <c r="E31" s="1"/>
    </row>
    <row r="32" spans="5:9" x14ac:dyDescent="0.25">
      <c r="E32" s="1"/>
    </row>
    <row r="33" spans="5:5" x14ac:dyDescent="0.25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abSelected="1" zoomScale="85" zoomScaleNormal="85" workbookViewId="0">
      <selection activeCell="C30" sqref="C30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394</v>
      </c>
      <c r="J2" s="159"/>
      <c r="K2" s="60" t="s">
        <v>386</v>
      </c>
      <c r="L2" s="305" t="s">
        <v>367</v>
      </c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305"/>
      <c r="M3" s="305"/>
      <c r="N3" s="305"/>
      <c r="O3" s="305"/>
      <c r="P3" s="305"/>
      <c r="Q3" s="305"/>
      <c r="R3" s="305"/>
      <c r="S3" s="305"/>
      <c r="T3" s="305"/>
      <c r="U3" s="305"/>
      <c r="V3" s="305"/>
      <c r="W3" s="305"/>
      <c r="X3" s="305"/>
      <c r="Y3" s="305"/>
      <c r="Z3" s="305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422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305" t="s">
        <v>368</v>
      </c>
      <c r="N6" s="305"/>
      <c r="O6" s="305"/>
      <c r="P6" s="305"/>
      <c r="Q6" s="13"/>
      <c r="R6" s="13"/>
      <c r="S6" s="13"/>
      <c r="T6" s="13"/>
      <c r="U6" s="13"/>
      <c r="V6" s="305" t="s">
        <v>369</v>
      </c>
      <c r="W6" s="305"/>
      <c r="X6" s="305"/>
      <c r="Y6" s="305"/>
      <c r="Z6" s="13"/>
      <c r="AA6" s="13"/>
      <c r="AB6" s="13"/>
      <c r="AC6" s="13"/>
      <c r="AD6" s="13"/>
      <c r="AE6" s="305" t="s">
        <v>390</v>
      </c>
      <c r="AF6" s="305"/>
      <c r="AG6" s="305"/>
      <c r="AH6" s="305"/>
      <c r="AI6" s="305"/>
      <c r="AJ6" s="13"/>
      <c r="AK6" s="13"/>
      <c r="AL6" s="13"/>
      <c r="AM6" s="1"/>
    </row>
    <row r="7" spans="1:39" x14ac:dyDescent="0.25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305"/>
      <c r="N7" s="305"/>
      <c r="O7" s="305"/>
      <c r="P7" s="305"/>
      <c r="Q7" s="13"/>
      <c r="R7" s="13"/>
      <c r="S7" s="13"/>
      <c r="T7" s="13"/>
      <c r="U7" s="13"/>
      <c r="V7" s="305"/>
      <c r="W7" s="305"/>
      <c r="X7" s="305"/>
      <c r="Y7" s="305"/>
      <c r="Z7" s="13"/>
      <c r="AA7" s="13"/>
      <c r="AB7" s="13"/>
      <c r="AC7" s="13"/>
      <c r="AD7" s="13"/>
      <c r="AE7" s="305"/>
      <c r="AF7" s="305"/>
      <c r="AG7" s="305"/>
      <c r="AH7" s="305"/>
      <c r="AI7" s="305"/>
      <c r="AJ7" s="13"/>
      <c r="AK7" s="13"/>
      <c r="AL7" s="13"/>
      <c r="AM7" s="1"/>
    </row>
    <row r="8" spans="1:39" ht="30" x14ac:dyDescent="0.25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397</v>
      </c>
      <c r="E8" s="1"/>
      <c r="F8" s="68" t="s">
        <v>379</v>
      </c>
      <c r="G8" s="162">
        <v>3.5999999999999997E-2</v>
      </c>
      <c r="H8" s="69" t="s">
        <v>28</v>
      </c>
      <c r="I8" s="70" t="s">
        <v>423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542</v>
      </c>
      <c r="B11" s="164">
        <f>INT(B8)+1+G5</f>
        <v>28</v>
      </c>
      <c r="C11" s="83" t="s">
        <v>28</v>
      </c>
      <c r="D11" s="85" t="s">
        <v>395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420</v>
      </c>
      <c r="G12" s="72">
        <v>0.4</v>
      </c>
      <c r="H12" s="69" t="s">
        <v>28</v>
      </c>
      <c r="I12" s="163" t="s">
        <v>421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398</v>
      </c>
      <c r="E13" s="1"/>
      <c r="F13" s="68" t="s">
        <v>382</v>
      </c>
      <c r="G13" s="72"/>
      <c r="H13" s="69"/>
      <c r="I13" s="163" t="s">
        <v>538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542</v>
      </c>
      <c r="B16" s="164">
        <f>INT(B13)+1+G14</f>
        <v>39</v>
      </c>
      <c r="C16" s="83"/>
      <c r="D16" s="85" t="s">
        <v>395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542</v>
      </c>
      <c r="B17" s="164">
        <f>INT(B13)+1+G14</f>
        <v>39</v>
      </c>
      <c r="C17" s="83" t="s">
        <v>28</v>
      </c>
      <c r="D17" s="85" t="s">
        <v>396</v>
      </c>
      <c r="E17" s="1"/>
      <c r="F17" s="68" t="s">
        <v>379</v>
      </c>
      <c r="G17" s="73">
        <v>3.5999999999999997E-2</v>
      </c>
      <c r="H17" s="69" t="s">
        <v>28</v>
      </c>
      <c r="I17" s="70" t="s">
        <v>424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400</v>
      </c>
      <c r="B19" s="7" t="s">
        <v>401</v>
      </c>
      <c r="C19" s="7" t="s">
        <v>399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399</v>
      </c>
      <c r="B20" s="171" t="s">
        <v>405</v>
      </c>
      <c r="C20" s="172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.75" thickBot="1" x14ac:dyDescent="0.3">
      <c r="A21" s="307" t="s">
        <v>402</v>
      </c>
      <c r="B21" s="308" t="s">
        <v>404</v>
      </c>
      <c r="C21" s="309" t="s">
        <v>403</v>
      </c>
      <c r="D21" s="13"/>
      <c r="E21" s="1"/>
      <c r="F21" s="68" t="s">
        <v>420</v>
      </c>
      <c r="G21" s="68">
        <v>0.4</v>
      </c>
      <c r="H21" s="69" t="s">
        <v>28</v>
      </c>
      <c r="I21" s="163" t="s">
        <v>421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.75" thickBot="1" x14ac:dyDescent="0.3">
      <c r="A22" s="310" t="s">
        <v>543</v>
      </c>
      <c r="B22" s="311"/>
      <c r="C22" s="311"/>
      <c r="D22" s="312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25">
      <c r="A23" s="74" t="s">
        <v>546</v>
      </c>
      <c r="B23" s="74" t="str">
        <f>IF((B3/(B2/2))/(G5*B8)&lt;0.7*G23/G24,"Oui","Non")</f>
        <v>Oui</v>
      </c>
      <c r="C23" s="83">
        <v>1</v>
      </c>
      <c r="D23" s="210" t="s">
        <v>551</v>
      </c>
      <c r="E23" s="1"/>
      <c r="F23" s="199" t="s">
        <v>545</v>
      </c>
      <c r="G23" s="315">
        <v>310</v>
      </c>
      <c r="H23" s="193" t="s">
        <v>549</v>
      </c>
      <c r="I23" s="70" t="s">
        <v>550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25">
      <c r="A24" s="74" t="s">
        <v>547</v>
      </c>
      <c r="B24" s="74" t="str">
        <f>IF((B5/(B3/2))/(G14*B13)&lt;0.7*G23/G24,"Oui","Non")</f>
        <v>Oui</v>
      </c>
      <c r="C24" s="83">
        <v>1</v>
      </c>
      <c r="D24" s="210" t="s">
        <v>551</v>
      </c>
      <c r="E24" s="1"/>
      <c r="F24" s="68" t="s">
        <v>252</v>
      </c>
      <c r="G24" s="68">
        <v>3</v>
      </c>
      <c r="H24" s="69">
        <v>1</v>
      </c>
      <c r="I24" s="70" t="s">
        <v>548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60" x14ac:dyDescent="0.25">
      <c r="A25" s="13"/>
      <c r="B25" s="13"/>
      <c r="C25" s="13"/>
      <c r="D25" s="13"/>
      <c r="E25" s="1"/>
      <c r="F25" s="313" t="s">
        <v>544</v>
      </c>
      <c r="G25" s="314"/>
      <c r="H25" s="314"/>
      <c r="I25" s="314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05" t="s">
        <v>392</v>
      </c>
      <c r="AF37" s="305"/>
      <c r="AG37" s="305"/>
      <c r="AH37" s="305"/>
      <c r="AI37" s="305"/>
      <c r="AJ37" s="305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05"/>
      <c r="AF38" s="305"/>
      <c r="AG38" s="305"/>
      <c r="AH38" s="305"/>
      <c r="AI38" s="305"/>
      <c r="AJ38" s="305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2" priority="2" operator="equal">
      <formula>"Oui"</formula>
    </cfRule>
  </conditionalFormatting>
  <conditionalFormatting sqref="B23:B24">
    <cfRule type="cellIs" dxfId="0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25">
      <c r="A2" s="68" t="s">
        <v>498</v>
      </c>
      <c r="B2" s="68">
        <f>'Résistance des engrenages'!L3</f>
        <v>246.8752938390642</v>
      </c>
      <c r="C2" s="69" t="s">
        <v>499</v>
      </c>
      <c r="D2" s="70" t="s">
        <v>500</v>
      </c>
      <c r="E2" s="1"/>
      <c r="F2" s="306" t="s">
        <v>497</v>
      </c>
      <c r="G2" s="306"/>
      <c r="H2" s="306"/>
      <c r="I2" s="306"/>
      <c r="J2" s="1"/>
    </row>
    <row r="3" spans="1:10" x14ac:dyDescent="0.25">
      <c r="A3" s="1"/>
      <c r="B3" s="1"/>
      <c r="C3" s="1"/>
      <c r="D3" s="1"/>
      <c r="E3" s="1"/>
      <c r="F3" s="68" t="s">
        <v>508</v>
      </c>
      <c r="G3" s="68">
        <v>5</v>
      </c>
      <c r="H3" s="69">
        <v>1</v>
      </c>
      <c r="I3" s="70" t="s">
        <v>503</v>
      </c>
      <c r="J3" s="1"/>
    </row>
    <row r="4" spans="1:10" x14ac:dyDescent="0.25">
      <c r="A4" s="7" t="s">
        <v>501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504</v>
      </c>
      <c r="B5" s="74">
        <f>B2*1000</f>
        <v>246875.29383906419</v>
      </c>
      <c r="C5" s="83" t="s">
        <v>263</v>
      </c>
      <c r="D5" s="200"/>
      <c r="E5" s="1"/>
      <c r="F5" s="71" t="s">
        <v>138</v>
      </c>
      <c r="G5" s="146">
        <v>850</v>
      </c>
      <c r="H5" s="136" t="s">
        <v>137</v>
      </c>
      <c r="I5" s="30" t="s">
        <v>427</v>
      </c>
      <c r="J5" s="1"/>
    </row>
    <row r="6" spans="1:10" x14ac:dyDescent="0.25">
      <c r="A6" s="74" t="s">
        <v>505</v>
      </c>
      <c r="B6" s="74">
        <f>16*B5/(PI()*G4^3)</f>
        <v>80.468835003906463</v>
      </c>
      <c r="C6" s="83"/>
      <c r="D6" s="200"/>
      <c r="E6" s="1"/>
      <c r="F6" s="1"/>
      <c r="G6" s="1"/>
      <c r="H6" s="1"/>
      <c r="I6" s="1"/>
      <c r="J6" s="1"/>
    </row>
    <row r="7" spans="1:10" x14ac:dyDescent="0.25">
      <c r="A7" s="74" t="s">
        <v>506</v>
      </c>
      <c r="B7" s="74">
        <f>SQRT(3)*B6</f>
        <v>139.37611065264292</v>
      </c>
      <c r="C7" s="83" t="s">
        <v>137</v>
      </c>
      <c r="D7" s="200" t="s">
        <v>507</v>
      </c>
      <c r="E7" s="1"/>
    </row>
    <row r="8" spans="1:10" x14ac:dyDescent="0.25">
      <c r="A8" s="74" t="s">
        <v>502</v>
      </c>
      <c r="B8" s="74">
        <f>G5/B7</f>
        <v>6.0986061098978004</v>
      </c>
      <c r="C8" s="83"/>
      <c r="D8" s="200"/>
      <c r="E8" s="1"/>
    </row>
    <row r="9" spans="1:10" x14ac:dyDescent="0.25">
      <c r="A9" s="74" t="s">
        <v>509</v>
      </c>
      <c r="B9" t="str">
        <f>IF(B8&gt;G3,"Oui","Non")</f>
        <v>Oui</v>
      </c>
      <c r="C9" s="83">
        <v>1</v>
      </c>
      <c r="D9" s="200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6" priority="1" operator="equal">
      <formula>"Non"</formula>
    </cfRule>
    <cfRule type="cellIs" dxfId="5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B4" sqref="B4"/>
    </sheetView>
  </sheetViews>
  <sheetFormatPr baseColWidth="10" defaultRowHeight="15" x14ac:dyDescent="0.25"/>
  <cols>
    <col min="1" max="1" width="25.5703125" customWidth="1"/>
    <col min="4" max="4" width="38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338</v>
      </c>
      <c r="B2" s="203">
        <v>20</v>
      </c>
      <c r="C2" s="203" t="s">
        <v>28</v>
      </c>
      <c r="D2" s="203" t="s">
        <v>511</v>
      </c>
      <c r="E2" s="1"/>
      <c r="F2" s="1"/>
    </row>
    <row r="3" spans="1:6" x14ac:dyDescent="0.25">
      <c r="A3" s="68" t="s">
        <v>519</v>
      </c>
      <c r="B3" s="203">
        <f>1.6 * B2</f>
        <v>32</v>
      </c>
      <c r="C3" s="203" t="s">
        <v>28</v>
      </c>
      <c r="D3" s="203" t="s">
        <v>512</v>
      </c>
      <c r="E3" s="1"/>
      <c r="F3" s="1"/>
    </row>
    <row r="4" spans="1:6" ht="15.75" thickBot="1" x14ac:dyDescent="0.3">
      <c r="A4" s="68" t="s">
        <v>71</v>
      </c>
      <c r="B4" s="203">
        <f>'Résistance des engrenages'!B2*'Résistance des engrenages'!L2</f>
        <v>104.72785714285716</v>
      </c>
      <c r="C4" s="203" t="s">
        <v>2</v>
      </c>
      <c r="D4" s="203" t="s">
        <v>303</v>
      </c>
      <c r="E4" s="1"/>
      <c r="F4" s="1"/>
    </row>
    <row r="5" spans="1:6" ht="15.75" thickBot="1" x14ac:dyDescent="0.3">
      <c r="A5" s="57" t="s">
        <v>531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25">
      <c r="A6" s="205" t="s">
        <v>530</v>
      </c>
      <c r="B6" s="1"/>
      <c r="C6" s="1"/>
      <c r="D6" s="1"/>
      <c r="E6" s="1"/>
      <c r="F6" s="1"/>
    </row>
    <row r="7" spans="1:6" x14ac:dyDescent="0.25">
      <c r="A7" s="205" t="s">
        <v>524</v>
      </c>
      <c r="B7">
        <v>5</v>
      </c>
      <c r="C7" s="204" t="s">
        <v>515</v>
      </c>
      <c r="D7" s="204" t="s">
        <v>527</v>
      </c>
      <c r="E7" s="1"/>
      <c r="F7" s="1"/>
    </row>
    <row r="8" spans="1:6" x14ac:dyDescent="0.25">
      <c r="A8" s="205" t="s">
        <v>523</v>
      </c>
      <c r="B8">
        <v>0.5</v>
      </c>
      <c r="C8" s="204" t="s">
        <v>452</v>
      </c>
      <c r="D8" s="204" t="s">
        <v>528</v>
      </c>
      <c r="E8" s="1"/>
      <c r="F8" s="1"/>
    </row>
    <row r="9" spans="1:6" ht="15.75" thickBot="1" x14ac:dyDescent="0.3">
      <c r="A9" s="205" t="s">
        <v>525</v>
      </c>
      <c r="B9">
        <v>1.7</v>
      </c>
      <c r="C9" s="204" t="s">
        <v>522</v>
      </c>
      <c r="D9" s="204" t="s">
        <v>529</v>
      </c>
      <c r="E9" s="1"/>
      <c r="F9" s="1"/>
    </row>
    <row r="10" spans="1:6" ht="15.75" thickBot="1" x14ac:dyDescent="0.3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.75" thickBot="1" x14ac:dyDescent="0.3">
      <c r="A11" s="74" t="s">
        <v>533</v>
      </c>
      <c r="B11" s="203">
        <f>((PI()*B4*B2)/60)*10^-3</f>
        <v>0.10967075554206714</v>
      </c>
      <c r="C11" s="203" t="s">
        <v>515</v>
      </c>
      <c r="D11" s="203" t="s">
        <v>513</v>
      </c>
      <c r="E11" s="1"/>
      <c r="F11" s="1"/>
    </row>
    <row r="12" spans="1:6" ht="15.75" thickBot="1" x14ac:dyDescent="0.3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.75" thickBot="1" x14ac:dyDescent="0.3">
      <c r="A13" s="74" t="s">
        <v>534</v>
      </c>
      <c r="B13" s="203">
        <f>MIN(((B9*B3*B2)/B11),B7*B2*B3)</f>
        <v>3200</v>
      </c>
      <c r="C13" s="203" t="s">
        <v>71</v>
      </c>
      <c r="D13" s="203" t="s">
        <v>532</v>
      </c>
      <c r="E13" s="1"/>
      <c r="F13" s="1"/>
    </row>
    <row r="14" spans="1:6" ht="15.75" thickBot="1" x14ac:dyDescent="0.3">
      <c r="A14" s="276" t="s">
        <v>351</v>
      </c>
      <c r="B14" s="277"/>
      <c r="C14" s="56" t="s">
        <v>354</v>
      </c>
      <c r="D14" s="56" t="s">
        <v>10</v>
      </c>
      <c r="E14" s="1"/>
      <c r="F14" s="1"/>
    </row>
    <row r="15" spans="1:6" x14ac:dyDescent="0.25">
      <c r="A15" s="278" t="s">
        <v>524</v>
      </c>
      <c r="B15" s="278"/>
      <c r="D15" s="203" t="s">
        <v>526</v>
      </c>
      <c r="E15" s="1"/>
      <c r="F15" s="1"/>
    </row>
    <row r="16" spans="1:6" x14ac:dyDescent="0.25">
      <c r="A16" s="279" t="s">
        <v>523</v>
      </c>
      <c r="B16" s="279"/>
      <c r="C16" t="str">
        <f>IF(B11&lt;B8,"OUI","NON")</f>
        <v>OUI</v>
      </c>
      <c r="D16" s="203" t="s">
        <v>526</v>
      </c>
      <c r="E16" s="1"/>
      <c r="F16" s="1"/>
    </row>
    <row r="17" spans="1:6" x14ac:dyDescent="0.25">
      <c r="A17" s="279" t="s">
        <v>525</v>
      </c>
      <c r="B17" s="279"/>
      <c r="D17" s="203" t="s">
        <v>526</v>
      </c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4" priority="1" operator="equal">
      <formula>"NON"</formula>
    </cfRule>
    <cfRule type="cellIs" dxfId="3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2021-01-10T14:14:57Z</dcterms:modified>
</cp:coreProperties>
</file>