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15282771-FCD3-4CB7-B69C-C56A54D2403C}" xr6:coauthVersionLast="45" xr6:coauthVersionMax="45" xr10:uidLastSave="{00000000-0000-0000-0000-000000000000}"/>
  <bookViews>
    <workbookView xWindow="-120" yWindow="-120" windowWidth="29040" windowHeight="1584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<sst xmlns="http://schemas.openxmlformats.org/spreadsheetml/2006/main" count="1236" uniqueCount="552">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</sst>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32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8" fillId="12" borderId="6" xfId="11"/>
    <xf numFmtId="0" fontId="8" fillId="12" borderId="6" xfId="11" applyAlignment="1">
      <alignment horizontal="left"/>
    </xf>
    <xf numFmtId="0" fontId="6" fillId="5" borderId="51" xfId="3"/>
    <xf numFmtId="0" fontId="8" fillId="8" borderId="6" xfId="11" applyFill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51" xfId="3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21" fillId="7" borderId="3" xfId="5" applyFont="1" applyAlignment="1">
      <alignment horizontal="center"/>
    </xf>
    <xf numFmtId="0" fontId="21" fillId="7" borderId="71" xfId="5" applyFont="1" applyBorder="1" applyAlignment="1">
      <alignment horizontal="center"/>
    </xf>
    <xf numFmtId="0" fontId="1" fillId="7" borderId="70" xfId="5" applyFont="1" applyBorder="1" applyAlignment="1">
      <alignment horizontal="center"/>
    </xf>
    <xf numFmtId="0" fontId="1" fillId="7" borderId="72" xfId="5" applyFont="1" applyBorder="1" applyAlignment="1">
      <alignment horizontal="center"/>
    </xf>
    <xf numFmtId="0" fontId="12" fillId="7" borderId="71" xfId="5" applyFont="1" applyBorder="1" applyAlignment="1">
      <alignment horizontal="left"/>
    </xf>
    <xf numFmtId="0" fontId="12" fillId="7" borderId="70" xfId="5" applyFont="1" applyBorder="1" applyAlignment="1">
      <alignment horizontal="left"/>
    </xf>
    <xf numFmtId="0" fontId="12" fillId="7" borderId="72" xfId="5" applyFont="1" applyBorder="1" applyAlignment="1">
      <alignment horizontal="left"/>
    </xf>
    <xf numFmtId="0" fontId="21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6" fillId="8" borderId="51" xfId="3" applyFill="1"/>
    <xf numFmtId="0" fontId="6" fillId="5" borderId="28" xfId="3" applyBorder="1" applyAlignment="1">
      <alignment horizontal="center"/>
    </xf>
    <xf numFmtId="0" fontId="6" fillId="5" borderId="39" xfId="3" applyBorder="1" applyAlignment="1">
      <alignment horizontal="center"/>
    </xf>
    <xf numFmtId="0" fontId="6" fillId="5" borderId="29" xfId="3" applyBorder="1" applyAlignment="1">
      <alignment horizontal="center"/>
    </xf>
    <xf numFmtId="0" fontId="8" fillId="9" borderId="6" xfId="9"/>
    <xf numFmtId="0" fontId="6" fillId="5" borderId="51" xfId="3" applyAlignment="1">
      <alignment horizontal="center"/>
    </xf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3327,'-2'-101,"4"-112,4 181,1-1,17-50,-14 50,0-5,-1-1,-2 0,-2 1,-2-1,-1-44,-4 17,4-81,6 90,-4 35,1-49,-6-320,1 383,-1 3,0-1,-1 0,1-1,-1 1,-1 0,-3-8,3 8,0-2,0 0,1 4,0-1,0-6,0-4,-2-25,-17-65,13 73,2-1,1-1,-1-32,-11-83,17 114,1-22,-2-1,-10-58,5 68,3-2,5-78,1 30,-1 10,-4-103,-8 132,7 46,1-2,0 1,1-1,0 2,1-1,3-22,0 26,0-1,1 3,1-2,0 1,0 1,1-1,0 1,11-13,11-15,-28 35,0 1,0 0,0 0,1-1,-1 1,0 0,0 0,0-1,0 1,0 0,0-1,0 1,0 0,0 0,0-1,0 1,0 0,0-1,0 1,0 0,0-2,0 2,0 0,0 0,0 0,0 0,-1 0,1-1,0 1,0 0,0 0,0-2,-1 2,1 0,0 0,0 0,-1-1,1 1,0 0,-1 0,-17-7,-22 5,39 2,-9 0,0 1,0 1,0-1,0 3,0-2,1 1,-1 1,1 0,-14 7,2 1,0-4,-1-1,-27 4,-23 10,51-15,0-3,0 1,0-1,0-2,0-1,-40-3,-7-1,43 3,0-2,0-1,0-1,-43-16,-12 0,60 15,0-2,-37-16,-18-7,63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93,'0'-7,"0"-1,0-8,0-3,0-3,0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1,'0'9,"0"7,0 4,0 4,0-1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20"/>
  <sheetViews>
    <sheetView tabSelected="1" zoomScaleNormal="100" workbookViewId="0">
      <selection activeCell="I30" sqref="I30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517</v>
      </c>
      <c r="G3" s="68">
        <v>48</v>
      </c>
      <c r="H3" s="52" t="s">
        <v>28</v>
      </c>
      <c r="I3" s="36" t="s">
        <v>518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 t="s">
        <v>17</v>
      </c>
      <c r="I4" s="15" t="s">
        <v>33</v>
      </c>
      <c r="J4" s="1"/>
      <c r="K4" s="74" t="s">
        <v>536</v>
      </c>
      <c r="L4" s="13" t="str">
        <f>IF(((G2/G15)&gt;17)*AND((G3/G16)&gt;17)*AND((B14/G15)&gt;17)*AND((G3/G16)&gt;17)*AND((G17/G16)&gt;17),"Vérifié","Faux")</f>
        <v>Vérifié</v>
      </c>
      <c r="M4" s="83" t="s">
        <v>17</v>
      </c>
      <c r="N4" s="213" t="s">
        <v>537</v>
      </c>
      <c r="O4" s="1"/>
    </row>
    <row r="5" spans="1:15" x14ac:dyDescent="0.25">
      <c r="A5" s="184" t="s">
        <v>23</v>
      </c>
      <c r="B5" s="184">
        <v>0.95</v>
      </c>
      <c r="C5" s="135" t="s">
        <v>17</v>
      </c>
      <c r="D5" s="36" t="s">
        <v>24</v>
      </c>
      <c r="E5" s="1"/>
      <c r="F5" s="71" t="s">
        <v>27</v>
      </c>
      <c r="G5" s="68">
        <v>0.14810000000000001</v>
      </c>
      <c r="H5" s="135" t="s">
        <v>17</v>
      </c>
      <c r="I5" s="36" t="s">
        <v>34</v>
      </c>
      <c r="J5" s="1"/>
      <c r="K5" s="74" t="s">
        <v>539</v>
      </c>
      <c r="L5" s="13" t="str">
        <f>IF(G3+2*B15=G17,"Vérifié","Faux")</f>
        <v>Vérifié</v>
      </c>
      <c r="M5" s="83" t="s">
        <v>17</v>
      </c>
      <c r="N5" s="213" t="s">
        <v>538</v>
      </c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74" t="s">
        <v>540</v>
      </c>
      <c r="L6" s="13" t="str">
        <f>IF(INT((G3+B15)/G18)=(G3+B15)/G18,"Vérifié","Faux")</f>
        <v>Vérifié</v>
      </c>
      <c r="M6" s="83" t="s">
        <v>17</v>
      </c>
      <c r="N6" s="213" t="s">
        <v>535</v>
      </c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 t="s">
        <v>71</v>
      </c>
      <c r="I8" s="15" t="s">
        <v>61</v>
      </c>
      <c r="J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 t="s">
        <v>71</v>
      </c>
      <c r="I9" s="36" t="s">
        <v>62</v>
      </c>
      <c r="J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 t="s">
        <v>71</v>
      </c>
      <c r="I10" s="15" t="s">
        <v>63</v>
      </c>
      <c r="J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 t="s">
        <v>71</v>
      </c>
      <c r="I11" s="36" t="s">
        <v>64</v>
      </c>
      <c r="J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 t="s">
        <v>137</v>
      </c>
      <c r="I12" s="15" t="s">
        <v>60</v>
      </c>
      <c r="J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 t="s">
        <v>17</v>
      </c>
      <c r="I13" s="36" t="s">
        <v>68</v>
      </c>
      <c r="J13" s="1"/>
    </row>
    <row r="14" spans="1:15" x14ac:dyDescent="0.25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17</v>
      </c>
      <c r="I14" s="36" t="s">
        <v>67</v>
      </c>
      <c r="J14" s="1"/>
    </row>
    <row r="15" spans="1:15" x14ac:dyDescent="0.25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443</v>
      </c>
      <c r="G15" s="68">
        <v>1</v>
      </c>
      <c r="H15" s="52" t="s">
        <v>28</v>
      </c>
      <c r="I15" s="36" t="s">
        <v>68</v>
      </c>
      <c r="J15" s="1"/>
    </row>
    <row r="16" spans="1:15" x14ac:dyDescent="0.25">
      <c r="A16" s="32" t="s">
        <v>48</v>
      </c>
      <c r="B16" s="45">
        <f>2.34*SQRT((G8*10^3)/(G13*G12))</f>
        <v>0.67214640535175874</v>
      </c>
      <c r="C16" s="81" t="s">
        <v>17</v>
      </c>
      <c r="D16" s="46" t="s">
        <v>52</v>
      </c>
      <c r="E16" s="1"/>
      <c r="F16" s="71" t="s">
        <v>444</v>
      </c>
      <c r="G16" s="68">
        <v>1.5</v>
      </c>
      <c r="H16" s="37" t="s">
        <v>28</v>
      </c>
      <c r="I16" s="36" t="s">
        <v>67</v>
      </c>
      <c r="J16" s="1"/>
    </row>
    <row r="17" spans="1:10" x14ac:dyDescent="0.25">
      <c r="A17" s="32" t="s">
        <v>49</v>
      </c>
      <c r="B17" s="45">
        <f>2.34*SQRT((G9*10^3)/(G$13*G$12))</f>
        <v>0.67214640535175874</v>
      </c>
      <c r="C17" s="83" t="s">
        <v>17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519</v>
      </c>
      <c r="J17" s="1"/>
    </row>
    <row r="18" spans="1:10" x14ac:dyDescent="0.25">
      <c r="A18" s="32" t="s">
        <v>50</v>
      </c>
      <c r="B18" s="45">
        <f>2.34*SQRT((G10*10^3)/(G$14*G$12))</f>
        <v>1.1479085205260324</v>
      </c>
      <c r="C18" s="81" t="s">
        <v>17</v>
      </c>
      <c r="D18" s="46" t="s">
        <v>54</v>
      </c>
      <c r="E18" s="1"/>
      <c r="F18" s="68" t="s">
        <v>341</v>
      </c>
      <c r="G18" s="68">
        <v>3</v>
      </c>
      <c r="H18" s="69" t="s">
        <v>17</v>
      </c>
      <c r="I18" s="70" t="s">
        <v>492</v>
      </c>
      <c r="J18" s="1"/>
    </row>
    <row r="19" spans="1:10" x14ac:dyDescent="0.25">
      <c r="A19" s="32" t="s">
        <v>51</v>
      </c>
      <c r="B19" s="45">
        <f>2.34*SQRT((G11*10^3)/(G$14*G$12))</f>
        <v>0.28665069678955168</v>
      </c>
      <c r="C19" s="83" t="s">
        <v>17</v>
      </c>
      <c r="D19" s="47" t="s">
        <v>55</v>
      </c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</row>
  </sheetData>
  <phoneticPr fontId="2" type="noConversion"/>
  <conditionalFormatting sqref="L4:L6">
    <cfRule type="cellIs" dxfId="47" priority="1" operator="equal">
      <formula>FALSE</formula>
    </cfRule>
    <cfRule type="cellIs" dxfId="46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115" zoomScaleNormal="115" workbookViewId="0">
      <selection activeCell="C16" sqref="C1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21" t="s">
        <v>195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196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40" t="s">
        <v>92</v>
      </c>
      <c r="G8" s="240"/>
      <c r="H8" s="241"/>
      <c r="I8" s="241"/>
      <c r="J8" s="38"/>
      <c r="K8" s="13"/>
      <c r="L8" s="247" t="s">
        <v>199</v>
      </c>
      <c r="M8" s="248"/>
      <c r="N8" s="251">
        <v>9.4E-7</v>
      </c>
      <c r="O8" s="13"/>
      <c r="P8" s="13"/>
      <c r="Q8" s="13"/>
      <c r="R8" s="253" t="s">
        <v>198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 t="s">
        <v>17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 t="s">
        <v>17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2.2828822229051111</v>
      </c>
      <c r="C16" s="79" t="s">
        <v>17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 t="s">
        <v>17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4.4992888326934519E-6</v>
      </c>
      <c r="C22" s="80" t="s">
        <v>17</v>
      </c>
      <c r="D22" s="33" t="s">
        <v>202</v>
      </c>
      <c r="E22" s="1"/>
      <c r="F22" s="129" t="s">
        <v>418</v>
      </c>
      <c r="G22" s="130">
        <v>5</v>
      </c>
      <c r="H22" s="69" t="s">
        <v>17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 t="s">
        <v>17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9" t="s">
        <v>201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3" t="s">
        <v>210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2" t="s">
        <v>105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284</v>
      </c>
      <c r="L37" s="242"/>
      <c r="M37" s="242"/>
      <c r="N37" s="242" t="s">
        <v>173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211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428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4" sqref="D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60" t="s">
        <v>429</v>
      </c>
      <c r="B1" s="260"/>
      <c r="C1" s="260"/>
      <c r="D1" s="260"/>
      <c r="E1" s="1"/>
      <c r="F1" s="260" t="s">
        <v>430</v>
      </c>
      <c r="G1" s="260"/>
      <c r="H1" s="260"/>
      <c r="I1" s="260"/>
      <c r="J1" s="1"/>
      <c r="K1" s="259" t="s">
        <v>319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32" t="s">
        <v>325</v>
      </c>
      <c r="B13" s="74">
        <f>B3/B6</f>
        <v>3.2758698480201541E-2</v>
      </c>
      <c r="C13" s="83"/>
      <c r="D13" s="213" t="s">
        <v>328</v>
      </c>
      <c r="E13" s="1"/>
      <c r="F13" s="32" t="s">
        <v>325</v>
      </c>
      <c r="G13" s="32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32" t="s">
        <v>288</v>
      </c>
      <c r="B14" s="74">
        <f>W21</f>
        <v>0.22679814068600221</v>
      </c>
      <c r="C14" s="83"/>
      <c r="D14" s="213" t="s">
        <v>289</v>
      </c>
      <c r="E14" s="1"/>
      <c r="F14" s="32" t="s">
        <v>288</v>
      </c>
      <c r="G14" s="32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32" t="s">
        <v>290</v>
      </c>
      <c r="B15" s="74">
        <f>W22</f>
        <v>0.56000000000000005</v>
      </c>
      <c r="C15" s="83"/>
      <c r="D15" s="213" t="s">
        <v>296</v>
      </c>
      <c r="E15" s="1"/>
      <c r="F15" s="32" t="s">
        <v>290</v>
      </c>
      <c r="G15" s="32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25">
      <c r="A16" s="32" t="s">
        <v>291</v>
      </c>
      <c r="B16" s="74">
        <f>W23</f>
        <v>1.9424130151979846</v>
      </c>
      <c r="C16" s="83"/>
      <c r="D16" s="213" t="s">
        <v>297</v>
      </c>
      <c r="E16" s="1"/>
      <c r="F16" s="32" t="s">
        <v>291</v>
      </c>
      <c r="G16" s="32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25">
      <c r="A17" s="32" t="s">
        <v>304</v>
      </c>
      <c r="B17" s="32">
        <f>B3/B4</f>
        <v>1.1301516271636742</v>
      </c>
      <c r="C17" s="83"/>
      <c r="D17" s="213" t="s">
        <v>305</v>
      </c>
      <c r="E17" s="1"/>
      <c r="F17" s="32" t="s">
        <v>304</v>
      </c>
      <c r="G17" s="32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32" t="s">
        <v>70</v>
      </c>
      <c r="B18" s="32">
        <f>IF(B3=0,B4,(IF(B17&lt;=B14,B4,B15*B4+B16*B3)))</f>
        <v>814.60406311061013</v>
      </c>
      <c r="C18" s="83" t="s">
        <v>71</v>
      </c>
      <c r="D18" s="213" t="s">
        <v>315</v>
      </c>
      <c r="E18" s="1"/>
      <c r="F18" s="32" t="s">
        <v>70</v>
      </c>
      <c r="G18" s="32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9" t="s">
        <v>324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324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9" t="s">
        <v>331</v>
      </c>
      <c r="R22" s="259"/>
      <c r="S22" t="e" cm="1">
        <f t="array" ref="S22">INDEX(N4:N12,R18)</f>
        <v>#N/A</v>
      </c>
      <c r="T22" s="1"/>
      <c r="U22" s="259" t="s">
        <v>331</v>
      </c>
      <c r="V22" s="259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9" t="s">
        <v>332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332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9" t="s">
        <v>318</v>
      </c>
      <c r="B29" s="259"/>
      <c r="C29" s="1"/>
    </row>
    <row r="30" spans="1:23" x14ac:dyDescent="0.25">
      <c r="A30" s="174" t="s">
        <v>317</v>
      </c>
      <c r="B30" s="174" t="s">
        <v>293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25" zoomScale="115" zoomScaleNormal="115" workbookViewId="0">
      <selection activeCell="H24" sqref="H24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1" t="s">
        <v>271</v>
      </c>
      <c r="N2" s="262"/>
      <c r="O2" s="262"/>
      <c r="P2" s="262"/>
      <c r="Q2" s="262"/>
      <c r="R2" s="262"/>
      <c r="S2" s="262"/>
      <c r="T2" s="262"/>
      <c r="U2" s="263"/>
      <c r="V2" s="13"/>
      <c r="W2" s="13"/>
      <c r="X2" s="1"/>
      <c r="Y2" s="13"/>
      <c r="Z2" s="13"/>
      <c r="AA2" s="13"/>
      <c r="AB2" s="231" t="s">
        <v>196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4"/>
      <c r="N3" s="265"/>
      <c r="O3" s="265"/>
      <c r="P3" s="265"/>
      <c r="Q3" s="265"/>
      <c r="R3" s="265"/>
      <c r="S3" s="265"/>
      <c r="T3" s="265"/>
      <c r="U3" s="266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67" t="s">
        <v>273</v>
      </c>
      <c r="M8" s="268"/>
      <c r="N8" s="268"/>
      <c r="O8" s="102">
        <v>1.34E-4</v>
      </c>
      <c r="P8" s="13"/>
      <c r="Q8" s="58"/>
      <c r="R8" s="269"/>
      <c r="S8" s="269"/>
      <c r="T8" s="26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 t="s">
        <v>17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426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2.1290248760351127</v>
      </c>
      <c r="C20" s="82" t="s">
        <v>17</v>
      </c>
      <c r="D20" s="35" t="s">
        <v>129</v>
      </c>
      <c r="E20" s="1"/>
      <c r="F20" s="71" t="s">
        <v>142</v>
      </c>
      <c r="G20" s="146" t="s">
        <v>140</v>
      </c>
      <c r="H20" s="135" t="s">
        <v>17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 t="s">
        <v>17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 t="s">
        <v>17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1.3400003731342766E-4</v>
      </c>
      <c r="C26" s="82" t="s">
        <v>17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67" t="s">
        <v>274</v>
      </c>
      <c r="M30" s="268"/>
      <c r="N30" s="268"/>
      <c r="O30" s="103">
        <v>-9.9999999999999995E-8</v>
      </c>
      <c r="P30" s="13"/>
      <c r="Q30" s="58"/>
      <c r="R30" s="269"/>
      <c r="S30" s="269"/>
      <c r="T30" s="26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7" t="s">
        <v>459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70"/>
      <c r="B33" s="270"/>
      <c r="C33" s="270"/>
      <c r="D33" s="27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70"/>
      <c r="B34" s="270"/>
      <c r="C34" s="270"/>
      <c r="D34" s="27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75" t="s">
        <v>200</v>
      </c>
      <c r="B35" s="276"/>
      <c r="C35" s="276"/>
      <c r="D35" s="27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9" t="s">
        <v>427</v>
      </c>
      <c r="B36" s="279"/>
      <c r="C36" s="280" t="str">
        <f>IF(C940+D940+E940+G940+H940&lt;0.0000001,"Oui","Non")</f>
        <v>Oui</v>
      </c>
      <c r="D36" s="28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75" t="s">
        <v>271</v>
      </c>
      <c r="B37" s="276"/>
      <c r="C37" s="276"/>
      <c r="D37" s="27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78" t="str" cm="1">
        <f t="array" ref="A38">IF(ABS(P939)&lt;0.01*MAX(ABS(P54:P939)),"constante y' valide","constante y' non valide")</f>
        <v>constante y' valide</v>
      </c>
      <c r="B38" s="278"/>
      <c r="C38" s="278"/>
      <c r="D38" s="27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78" t="str" cm="1">
        <f t="array" ref="A39">IF(ABS(S939)&lt;0.01*MAX(ABS(S54:S939)),"constante z' valide","constante z' non valide")</f>
        <v>constante z' valide</v>
      </c>
      <c r="B39" s="278"/>
      <c r="C39" s="278"/>
      <c r="D39" s="27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72" t="s">
        <v>259</v>
      </c>
      <c r="B40" s="273"/>
      <c r="C40" s="273"/>
      <c r="D40" s="27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71" t="s">
        <v>105</v>
      </c>
      <c r="D50" s="271"/>
      <c r="E50" s="271"/>
      <c r="F50" s="271"/>
      <c r="G50" s="271"/>
      <c r="H50" s="271"/>
      <c r="I50" s="271"/>
      <c r="J50" s="271"/>
      <c r="K50" s="271" t="s">
        <v>152</v>
      </c>
      <c r="L50" s="271"/>
      <c r="M50" s="271"/>
      <c r="N50" s="242" t="s">
        <v>173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211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428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Normal="100" workbookViewId="0">
      <selection activeCell="I21" sqref="I2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81" t="s">
        <v>522</v>
      </c>
      <c r="B1" s="282"/>
      <c r="C1" s="282"/>
      <c r="D1" s="283"/>
      <c r="E1" s="1"/>
      <c r="F1" s="202" t="s">
        <v>318</v>
      </c>
      <c r="G1" s="202"/>
      <c r="H1" s="1"/>
      <c r="I1" s="205"/>
      <c r="K1" s="284"/>
      <c r="L1" s="284"/>
      <c r="M1" s="284"/>
      <c r="N1" s="284"/>
      <c r="O1" s="284"/>
      <c r="P1" s="284"/>
      <c r="Q1" s="2"/>
      <c r="R1" s="204"/>
      <c r="S1" s="204"/>
      <c r="T1" s="204"/>
      <c r="U1" s="204"/>
      <c r="V1" s="204"/>
      <c r="W1" s="20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2" t="s">
        <v>317</v>
      </c>
      <c r="G2" s="202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71" t="s">
        <v>84</v>
      </c>
      <c r="B3" s="71">
        <f>ABS('Arbre 7'!B15)</f>
        <v>317.43178827315302</v>
      </c>
      <c r="C3" s="69" t="s">
        <v>71</v>
      </c>
      <c r="D3" s="70" t="s">
        <v>286</v>
      </c>
      <c r="E3" s="1"/>
      <c r="F3" s="202">
        <v>0.9</v>
      </c>
      <c r="G3" s="202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71" t="s">
        <v>85</v>
      </c>
      <c r="B4" s="71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2">
        <v>0.95</v>
      </c>
      <c r="G4" s="202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71" t="s">
        <v>288</v>
      </c>
      <c r="B5" s="71">
        <v>1.1499999999999999</v>
      </c>
      <c r="C5" s="69"/>
      <c r="D5" s="70" t="s">
        <v>289</v>
      </c>
      <c r="E5" s="1"/>
      <c r="F5" s="202">
        <v>0.96</v>
      </c>
      <c r="G5" s="202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71" t="s">
        <v>290</v>
      </c>
      <c r="B6" s="71">
        <v>0.56999999999999995</v>
      </c>
      <c r="C6" s="69"/>
      <c r="D6" s="70" t="s">
        <v>296</v>
      </c>
      <c r="E6" s="1"/>
      <c r="F6" s="202">
        <v>0.97</v>
      </c>
      <c r="G6" s="202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71" t="s">
        <v>291</v>
      </c>
      <c r="B7" s="71">
        <v>0.55000000000000004</v>
      </c>
      <c r="C7" s="69"/>
      <c r="D7" s="70" t="s">
        <v>297</v>
      </c>
      <c r="E7" s="1"/>
      <c r="F7" s="202">
        <v>0.98</v>
      </c>
      <c r="G7" s="202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71" t="s">
        <v>81</v>
      </c>
      <c r="B8" s="71">
        <v>35500</v>
      </c>
      <c r="C8" s="69" t="s">
        <v>71</v>
      </c>
      <c r="D8" s="70" t="s">
        <v>298</v>
      </c>
      <c r="E8" s="1"/>
      <c r="F8" s="202">
        <v>0.99</v>
      </c>
      <c r="G8" s="202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71" t="s">
        <v>292</v>
      </c>
      <c r="B9" s="71">
        <v>21200</v>
      </c>
      <c r="C9" s="69" t="s">
        <v>71</v>
      </c>
      <c r="D9" s="70" t="s">
        <v>299</v>
      </c>
      <c r="E9" s="1"/>
      <c r="F9" s="202">
        <v>0.99199999999999999</v>
      </c>
      <c r="G9" s="202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71" t="s">
        <v>71</v>
      </c>
      <c r="B10" s="71">
        <f>'Arbre 7'!B3</f>
        <v>707.14285714285711</v>
      </c>
      <c r="C10" s="69" t="s">
        <v>2</v>
      </c>
      <c r="D10" s="70" t="s">
        <v>303</v>
      </c>
      <c r="E10" s="1"/>
      <c r="F10" s="202">
        <v>0.99399999999999999</v>
      </c>
      <c r="G10" s="202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71" t="s">
        <v>293</v>
      </c>
      <c r="B11" s="71">
        <v>1</v>
      </c>
      <c r="C11" s="69"/>
      <c r="D11" s="70" t="s">
        <v>300</v>
      </c>
      <c r="E11" s="1"/>
      <c r="F11" s="202">
        <v>0.996</v>
      </c>
      <c r="G11" s="202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71" t="s">
        <v>294</v>
      </c>
      <c r="B12" s="71">
        <v>1</v>
      </c>
      <c r="C12" s="69"/>
      <c r="D12" s="70" t="s">
        <v>301</v>
      </c>
      <c r="E12" s="1"/>
      <c r="F12" s="202">
        <v>0.998</v>
      </c>
      <c r="G12" s="202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71" t="s">
        <v>295</v>
      </c>
      <c r="B13" s="71">
        <v>1</v>
      </c>
      <c r="C13" s="69"/>
      <c r="D13" s="70" t="s">
        <v>302</v>
      </c>
      <c r="E13" s="1"/>
      <c r="F13" s="202">
        <v>0.999</v>
      </c>
      <c r="G13" s="202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32" t="s">
        <v>304</v>
      </c>
      <c r="B16" s="32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32" t="s">
        <v>70</v>
      </c>
      <c r="B17" s="32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32" t="s">
        <v>311</v>
      </c>
      <c r="B20" s="32">
        <f>((10^6)/(60*B10))*B22</f>
        <v>119458.76337114506</v>
      </c>
      <c r="C20" s="83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2" t="s">
        <v>312</v>
      </c>
      <c r="B21" s="32">
        <f>B11*B12*B13*B20</f>
        <v>119458.76337114506</v>
      </c>
      <c r="C21" s="83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84"/>
      <c r="R21" s="284"/>
      <c r="S21" s="2"/>
      <c r="T21" s="2"/>
      <c r="U21" s="2"/>
      <c r="V21" s="2"/>
      <c r="W21" s="2"/>
    </row>
    <row r="22" spans="1:23" x14ac:dyDescent="0.25">
      <c r="A22" s="32" t="s">
        <v>310</v>
      </c>
      <c r="B22" s="32">
        <f>(B8/B17)^3</f>
        <v>5068.4646744614402</v>
      </c>
      <c r="C22" s="83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84"/>
      <c r="R22" s="284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4"/>
      <c r="R23" s="284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32" t="s">
        <v>353</v>
      </c>
      <c r="B26" s="32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O3" sqref="O3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500</v>
      </c>
      <c r="B2" s="68">
        <v>3</v>
      </c>
      <c r="C2" s="69" t="s">
        <v>448</v>
      </c>
      <c r="D2" s="70" t="s">
        <v>492</v>
      </c>
      <c r="E2" s="1"/>
      <c r="F2" s="1"/>
    </row>
    <row r="3" spans="1:6" x14ac:dyDescent="0.25">
      <c r="A3" s="68" t="s">
        <v>338</v>
      </c>
      <c r="B3" s="68">
        <v>20</v>
      </c>
      <c r="C3" s="69" t="s">
        <v>28</v>
      </c>
      <c r="D3" s="70" t="s">
        <v>493</v>
      </c>
      <c r="E3" s="1"/>
      <c r="F3" s="1"/>
    </row>
    <row r="4" spans="1:6" x14ac:dyDescent="0.25">
      <c r="A4" s="68" t="s">
        <v>501</v>
      </c>
      <c r="B4" s="68">
        <f>'Résistance des engrenages'!G14*'Résistance des engrenages'!G16</f>
        <v>18</v>
      </c>
      <c r="C4" s="69" t="s">
        <v>28</v>
      </c>
      <c r="D4" s="70" t="s">
        <v>494</v>
      </c>
      <c r="E4" s="1"/>
      <c r="F4" s="1"/>
    </row>
    <row r="5" spans="1:6" x14ac:dyDescent="0.25">
      <c r="A5" s="68" t="s">
        <v>236</v>
      </c>
      <c r="B5" s="68">
        <f>ABS('Arbre 7'!B13)/B2</f>
        <v>534.53554119247678</v>
      </c>
      <c r="C5" s="69" t="s">
        <v>71</v>
      </c>
      <c r="D5" s="70" t="s">
        <v>496</v>
      </c>
      <c r="E5" s="1"/>
      <c r="F5" s="1"/>
    </row>
    <row r="6" spans="1:6" ht="15.75" thickBot="1" x14ac:dyDescent="0.3">
      <c r="A6" s="68" t="s">
        <v>71</v>
      </c>
      <c r="B6" s="68">
        <v>111</v>
      </c>
      <c r="C6" s="69" t="s">
        <v>2</v>
      </c>
      <c r="D6" s="70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498</v>
      </c>
      <c r="B8" s="74">
        <f>B5/(B4*B3)</f>
        <v>1.4848209477568799</v>
      </c>
      <c r="C8" s="83" t="s">
        <v>497</v>
      </c>
      <c r="D8" s="213" t="s">
        <v>495</v>
      </c>
      <c r="E8" s="1"/>
      <c r="F8" s="1"/>
    </row>
    <row r="9" spans="1:6" x14ac:dyDescent="0.25">
      <c r="A9" s="74" t="s">
        <v>499</v>
      </c>
      <c r="B9" s="74">
        <f>(PI()*B6*B3/60)*10^-3</f>
        <v>0.11623892818282235</v>
      </c>
      <c r="C9" s="83" t="s">
        <v>451</v>
      </c>
      <c r="D9" s="213" t="s">
        <v>446</v>
      </c>
      <c r="E9" s="1"/>
      <c r="F9" s="1"/>
    </row>
    <row r="10" spans="1:6" ht="15.75" thickBot="1" x14ac:dyDescent="0.3">
      <c r="A10" s="74" t="s">
        <v>502</v>
      </c>
      <c r="B10" s="74">
        <f>B8*B9</f>
        <v>0.17259399551066218</v>
      </c>
      <c r="C10" s="83" t="s">
        <v>504</v>
      </c>
      <c r="D10" s="213" t="s">
        <v>503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74" t="s">
        <v>512</v>
      </c>
      <c r="B12" s="1"/>
      <c r="C12" s="1"/>
      <c r="D12" s="1"/>
      <c r="E12" s="1"/>
      <c r="F12" s="1"/>
    </row>
    <row r="13" spans="1:6" x14ac:dyDescent="0.25">
      <c r="A13" s="74" t="s">
        <v>506</v>
      </c>
      <c r="B13" s="74">
        <v>5</v>
      </c>
      <c r="C13" s="83" t="s">
        <v>497</v>
      </c>
      <c r="D13" s="213" t="s">
        <v>509</v>
      </c>
      <c r="E13" s="1"/>
      <c r="F13" s="1"/>
    </row>
    <row r="14" spans="1:6" x14ac:dyDescent="0.25">
      <c r="A14" s="74" t="s">
        <v>505</v>
      </c>
      <c r="B14" s="74">
        <v>0.5</v>
      </c>
      <c r="C14" s="83" t="s">
        <v>451</v>
      </c>
      <c r="D14" s="213" t="s">
        <v>510</v>
      </c>
      <c r="E14" s="1"/>
      <c r="F14" s="1"/>
    </row>
    <row r="15" spans="1:6" ht="15.75" thickBot="1" x14ac:dyDescent="0.3">
      <c r="A15" s="74" t="s">
        <v>507</v>
      </c>
      <c r="B15" s="74">
        <v>1.7</v>
      </c>
      <c r="C15" s="83" t="s">
        <v>504</v>
      </c>
      <c r="D15" s="213" t="s">
        <v>511</v>
      </c>
      <c r="E15" s="1"/>
      <c r="F15" s="1"/>
    </row>
    <row r="16" spans="1:6" ht="15.75" thickBot="1" x14ac:dyDescent="0.3">
      <c r="A16" s="285" t="s">
        <v>351</v>
      </c>
      <c r="B16" s="286"/>
      <c r="C16" s="56" t="s">
        <v>354</v>
      </c>
      <c r="D16" s="56" t="s">
        <v>10</v>
      </c>
      <c r="E16" s="1"/>
      <c r="F16" s="1"/>
    </row>
    <row r="17" spans="1:6" x14ac:dyDescent="0.25">
      <c r="A17" s="287" t="s">
        <v>506</v>
      </c>
      <c r="B17" s="287"/>
      <c r="C17" t="str">
        <f>IF(B8&lt;B13,"OUI","NON")</f>
        <v>OUI</v>
      </c>
      <c r="D17" s="200" t="s">
        <v>508</v>
      </c>
      <c r="E17" s="1"/>
      <c r="F17" s="1"/>
    </row>
    <row r="18" spans="1:6" x14ac:dyDescent="0.25">
      <c r="A18" s="287" t="s">
        <v>505</v>
      </c>
      <c r="B18" s="287"/>
      <c r="C18" t="str">
        <f t="shared" ref="C18:C19" si="0">IF(B9&lt;B14,"OUI","NON")</f>
        <v>OUI</v>
      </c>
      <c r="D18" s="200" t="s">
        <v>508</v>
      </c>
      <c r="E18" s="1"/>
      <c r="F18" s="1"/>
    </row>
    <row r="19" spans="1:6" x14ac:dyDescent="0.25">
      <c r="A19" s="287" t="s">
        <v>507</v>
      </c>
      <c r="B19" s="287"/>
      <c r="C19" t="str">
        <f t="shared" si="0"/>
        <v>OUI</v>
      </c>
      <c r="D19" s="200" t="s">
        <v>508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opLeftCell="A16" zoomScaleNormal="100" workbookViewId="0">
      <selection activeCell="F48" sqref="F48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9" t="s">
        <v>424</v>
      </c>
      <c r="J1" s="259"/>
      <c r="K1" s="259"/>
      <c r="L1" s="259"/>
      <c r="M1" s="259"/>
      <c r="N1" s="259"/>
      <c r="O1" s="259"/>
      <c r="P1" s="1"/>
      <c r="Q1" s="259" t="s">
        <v>425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25">
      <c r="A2" s="71" t="s">
        <v>337</v>
      </c>
      <c r="B2" s="174">
        <v>6007</v>
      </c>
      <c r="C2" s="186" t="s">
        <v>433</v>
      </c>
      <c r="D2" s="291" t="s">
        <v>520</v>
      </c>
      <c r="E2" s="291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s="203" t="s">
        <v>431</v>
      </c>
      <c r="C3" t="s">
        <v>432</v>
      </c>
      <c r="D3" s="292" t="s">
        <v>521</v>
      </c>
      <c r="E3" s="259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 s="259">
        <v>30</v>
      </c>
      <c r="E4" s="259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 s="259">
        <v>72</v>
      </c>
      <c r="E5" s="259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3"/>
      <c r="E7" s="293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293"/>
      <c r="E8" s="293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 s="215">
        <f xml:space="preserve"> 0.5*(B4+B5)</f>
        <v>48.5</v>
      </c>
      <c r="C9" s="215">
        <f xml:space="preserve"> 0.5*(C4+C5)</f>
        <v>45</v>
      </c>
      <c r="D9" s="319">
        <f xml:space="preserve"> 0.5*(D4+D5)</f>
        <v>51</v>
      </c>
      <c r="E9" s="319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 s="215">
        <v>14</v>
      </c>
      <c r="C10" s="215">
        <v>14</v>
      </c>
      <c r="D10" s="319">
        <v>20</v>
      </c>
      <c r="E10" s="319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 s="215">
        <f>4*B10</f>
        <v>56</v>
      </c>
      <c r="C11" s="215">
        <f>4*C10</f>
        <v>56</v>
      </c>
      <c r="D11" s="319">
        <f>4*D10</f>
        <v>80</v>
      </c>
      <c r="E11" s="319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 s="215">
        <v>320</v>
      </c>
      <c r="C12" s="215">
        <v>320</v>
      </c>
      <c r="D12" s="319">
        <v>320</v>
      </c>
      <c r="E12" s="319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411</v>
      </c>
      <c r="B13" s="215">
        <f>B12/B10</f>
        <v>22.857142857142858</v>
      </c>
      <c r="C13" s="215">
        <f>C12/C10</f>
        <v>22.857142857142858</v>
      </c>
      <c r="D13" s="319">
        <f>D12/D10</f>
        <v>16</v>
      </c>
      <c r="E13" s="319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450</v>
      </c>
      <c r="B14" s="215">
        <v>68</v>
      </c>
      <c r="C14" s="215">
        <v>68</v>
      </c>
      <c r="D14" s="319">
        <v>100</v>
      </c>
      <c r="E14" s="319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 s="215">
        <v>100</v>
      </c>
      <c r="C17" s="215">
        <v>100</v>
      </c>
      <c r="D17" s="319">
        <v>100</v>
      </c>
      <c r="E17" s="319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156"/>
      <c r="B18" s="1"/>
      <c r="C18" s="1"/>
      <c r="D18" s="1"/>
      <c r="E18" s="1"/>
      <c r="F18" s="196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s="68" t="s">
        <v>441</v>
      </c>
      <c r="C26" s="68" t="s">
        <v>442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439</v>
      </c>
      <c r="C27" s="56" t="s">
        <v>440</v>
      </c>
      <c r="D27" s="56" t="s">
        <v>104</v>
      </c>
      <c r="E27" s="289" t="s">
        <v>10</v>
      </c>
      <c r="F27" s="290"/>
      <c r="G27" s="290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434</v>
      </c>
      <c r="B28" s="68">
        <f>'Résistance des engrenages'!G2</f>
        <v>66</v>
      </c>
      <c r="C28" s="68">
        <f>'Résistance des engrenages'!G3</f>
        <v>48</v>
      </c>
      <c r="D28" s="69" t="s">
        <v>28</v>
      </c>
      <c r="E28" s="318"/>
      <c r="F28" s="318"/>
      <c r="G28" s="318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435</v>
      </c>
      <c r="B29" s="68">
        <f>'Arbre 6'!B8</f>
        <v>578.74524760689201</v>
      </c>
      <c r="C29" s="68">
        <f>'Arbre 7'!B10</f>
        <v>549.80798522654754</v>
      </c>
      <c r="D29" s="69" t="s">
        <v>71</v>
      </c>
      <c r="E29" s="318"/>
      <c r="F29" s="318"/>
      <c r="G29" s="318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436</v>
      </c>
      <c r="B30" s="68">
        <f>'Résistance des engrenages'!G15*'Résistance des engrenages'!G13</f>
        <v>12</v>
      </c>
      <c r="C30" s="68">
        <f>'Résistance des engrenages'!G16*'Résistance des engrenages'!G14</f>
        <v>18</v>
      </c>
      <c r="D30" s="69" t="s">
        <v>28</v>
      </c>
      <c r="E30" s="318"/>
      <c r="F30" s="318"/>
      <c r="G30" s="318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437</v>
      </c>
      <c r="B31" s="68">
        <f>1/'Résistance des engrenages'!G4</f>
        <v>2.1212121212121211</v>
      </c>
      <c r="C31" s="68">
        <f>1/'Résistance des engrenages'!G5</f>
        <v>6.7521944632005395</v>
      </c>
      <c r="D31" s="69" t="s">
        <v>17</v>
      </c>
      <c r="E31" s="318"/>
      <c r="F31" s="318"/>
      <c r="G31" s="318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438</v>
      </c>
      <c r="B32" s="68">
        <v>3</v>
      </c>
      <c r="C32" s="68">
        <v>3</v>
      </c>
      <c r="D32" s="69" t="s">
        <v>17</v>
      </c>
      <c r="E32" s="318"/>
      <c r="F32" s="318"/>
      <c r="G32" s="318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68">
        <f>'Arbre 6'!B3</f>
        <v>1500</v>
      </c>
      <c r="C33" s="68">
        <f>'Arbre 7'!B3</f>
        <v>707.14285714285711</v>
      </c>
      <c r="D33" s="69" t="s">
        <v>2</v>
      </c>
      <c r="E33" s="318"/>
      <c r="F33" s="318"/>
      <c r="G33" s="318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453</v>
      </c>
      <c r="B34" s="68">
        <v>1.5</v>
      </c>
      <c r="C34" s="68">
        <v>1.5</v>
      </c>
      <c r="D34" s="69" t="s">
        <v>17</v>
      </c>
      <c r="E34" s="318" t="s">
        <v>454</v>
      </c>
      <c r="F34" s="318"/>
      <c r="G34" s="318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96"/>
      <c r="F35" s="296"/>
      <c r="G35" s="296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439</v>
      </c>
      <c r="C36" s="56" t="s">
        <v>440</v>
      </c>
      <c r="D36" s="56" t="s">
        <v>104</v>
      </c>
      <c r="E36" s="298" t="s">
        <v>10</v>
      </c>
      <c r="F36" s="299"/>
      <c r="G36" s="299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445</v>
      </c>
      <c r="B37" s="215">
        <f>(B29/(B30*B28))*((B31+1)/B31)*B32</f>
        <v>3.2256905034366818</v>
      </c>
      <c r="C37" s="215">
        <f>(C29/(C30*C28))*((C31+1)/C31)*C32</f>
        <v>2.1917866244395809</v>
      </c>
      <c r="D37" s="83" t="s">
        <v>137</v>
      </c>
      <c r="E37" s="300"/>
      <c r="F37" s="300"/>
      <c r="G37" s="300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446</v>
      </c>
      <c r="B38" s="215">
        <f>((B28/2)*10^-3)*B33*2*PI()/60</f>
        <v>5.1836278784231586</v>
      </c>
      <c r="C38" s="215">
        <f>((C28/2)*10^-3)*C33*2*PI()/60</f>
        <v>1.7772438440307972</v>
      </c>
      <c r="D38" s="83" t="s">
        <v>451</v>
      </c>
      <c r="E38" s="300"/>
      <c r="F38" s="300"/>
      <c r="G38" s="300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447</v>
      </c>
      <c r="B39" s="215">
        <f>B37/B38</f>
        <v>0.62228434970488766</v>
      </c>
      <c r="C39" s="215">
        <f>C37/C38</f>
        <v>1.2332503678665718</v>
      </c>
      <c r="D39" s="83" t="s">
        <v>452</v>
      </c>
      <c r="E39" s="288"/>
      <c r="F39" s="288"/>
      <c r="G39" s="288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455</v>
      </c>
      <c r="B40" s="215">
        <f>B39*B34</f>
        <v>0.93342652455733144</v>
      </c>
      <c r="C40" s="215">
        <f>C39*C34</f>
        <v>1.8498755517998577</v>
      </c>
      <c r="D40" s="83" t="s">
        <v>17</v>
      </c>
      <c r="E40" s="297" t="s">
        <v>456</v>
      </c>
      <c r="F40" s="297"/>
      <c r="G40" s="297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215" t="s">
        <v>449</v>
      </c>
      <c r="B43" s="215">
        <v>320</v>
      </c>
      <c r="C43" s="83" t="s">
        <v>448</v>
      </c>
      <c r="D43" s="3" t="s">
        <v>457</v>
      </c>
      <c r="E43" s="214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94" t="s">
        <v>458</v>
      </c>
      <c r="E44" s="295"/>
      <c r="F44" s="295"/>
      <c r="G44" s="295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460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465</v>
      </c>
      <c r="H1" s="7" t="s">
        <v>221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302" t="s">
        <v>470</v>
      </c>
      <c r="B2" s="303"/>
      <c r="C2" s="303"/>
      <c r="D2" s="304"/>
      <c r="E2" s="1"/>
      <c r="F2" s="301" t="s">
        <v>475</v>
      </c>
      <c r="G2" s="301"/>
      <c r="H2" s="301"/>
      <c r="I2" s="301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461</v>
      </c>
      <c r="B3" s="68">
        <f>'Résistance des engrenages'!B2*'Arbre 6'!G11*2*PI()/60/1000</f>
        <v>5.3407075111026492</v>
      </c>
      <c r="C3" s="69" t="s">
        <v>451</v>
      </c>
      <c r="D3" s="70" t="s">
        <v>462</v>
      </c>
      <c r="E3" s="1"/>
      <c r="F3" s="305" t="s">
        <v>476</v>
      </c>
      <c r="G3" s="306"/>
      <c r="H3" s="306"/>
      <c r="I3" s="307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464</v>
      </c>
      <c r="E4" s="1"/>
      <c r="F4" s="68" t="s">
        <v>473</v>
      </c>
      <c r="G4" s="68" t="s">
        <v>466</v>
      </c>
      <c r="H4" s="69" t="s">
        <v>467</v>
      </c>
      <c r="I4" s="70" t="s">
        <v>469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126</v>
      </c>
      <c r="B5" s="68">
        <f>'Arbre 6'!G11</f>
        <v>34</v>
      </c>
      <c r="C5" s="69" t="s">
        <v>28</v>
      </c>
      <c r="D5" s="70" t="s">
        <v>463</v>
      </c>
      <c r="E5" s="1"/>
      <c r="F5" s="68" t="s">
        <v>338</v>
      </c>
      <c r="G5" s="68">
        <v>35</v>
      </c>
      <c r="H5" s="69" t="s">
        <v>28</v>
      </c>
      <c r="I5" s="70" t="s">
        <v>471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126</v>
      </c>
      <c r="G6" s="68">
        <v>45</v>
      </c>
      <c r="H6" s="69" t="s">
        <v>28</v>
      </c>
      <c r="I6" s="70" t="s">
        <v>477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468</v>
      </c>
      <c r="G7" s="68">
        <v>7</v>
      </c>
      <c r="H7" s="69" t="s">
        <v>28</v>
      </c>
      <c r="I7" s="70" t="s">
        <v>472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541</v>
      </c>
      <c r="G8" s="68" t="s">
        <v>542</v>
      </c>
      <c r="H8" s="69"/>
      <c r="I8" s="70" t="s">
        <v>550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474</v>
      </c>
      <c r="G9" s="68" t="s">
        <v>466</v>
      </c>
      <c r="H9" s="69" t="s">
        <v>467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338</v>
      </c>
      <c r="G10" s="68">
        <v>34</v>
      </c>
      <c r="H10" s="69" t="s">
        <v>28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126</v>
      </c>
      <c r="G11" s="68">
        <v>40</v>
      </c>
      <c r="H11" s="69" t="s">
        <v>28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28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541</v>
      </c>
      <c r="G13" s="72" t="s">
        <v>545</v>
      </c>
      <c r="H13" s="69"/>
      <c r="I13" s="70" t="s">
        <v>551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08" t="s">
        <v>478</v>
      </c>
      <c r="G17" s="308"/>
      <c r="H17" s="308"/>
      <c r="I17" s="308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543</v>
      </c>
      <c r="G18" s="68" t="s">
        <v>544</v>
      </c>
      <c r="H18" s="69" t="s">
        <v>546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338</v>
      </c>
      <c r="G19" s="68">
        <v>55</v>
      </c>
      <c r="H19" s="69" t="s">
        <v>28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126</v>
      </c>
      <c r="G20" s="68">
        <v>65</v>
      </c>
      <c r="H20" s="69" t="s">
        <v>28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28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541</v>
      </c>
      <c r="G22" s="72" t="s">
        <v>548</v>
      </c>
      <c r="H22" s="69"/>
      <c r="I22" s="70" t="s">
        <v>549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338</v>
      </c>
      <c r="G23" s="68">
        <v>80</v>
      </c>
      <c r="H23" s="69"/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126</v>
      </c>
      <c r="G24" s="68">
        <v>90</v>
      </c>
      <c r="H24" s="69"/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/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541</v>
      </c>
      <c r="G26" s="72" t="s">
        <v>547</v>
      </c>
      <c r="H26" s="69"/>
      <c r="I26" s="70" t="s">
        <v>549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12" t="s">
        <v>367</v>
      </c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  <c r="Y3" s="312"/>
      <c r="Z3" s="312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534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12" t="s">
        <v>368</v>
      </c>
      <c r="N6" s="312"/>
      <c r="O6" s="312"/>
      <c r="P6" s="312"/>
      <c r="Q6" s="13"/>
      <c r="R6" s="13"/>
      <c r="S6" s="13"/>
      <c r="T6" s="13"/>
      <c r="U6" s="13"/>
      <c r="V6" s="312" t="s">
        <v>369</v>
      </c>
      <c r="W6" s="312"/>
      <c r="X6" s="312"/>
      <c r="Y6" s="312"/>
      <c r="Z6" s="13"/>
      <c r="AA6" s="13"/>
      <c r="AB6" s="13"/>
      <c r="AC6" s="13"/>
      <c r="AD6" s="13"/>
      <c r="AE6" s="312" t="s">
        <v>390</v>
      </c>
      <c r="AF6" s="312"/>
      <c r="AG6" s="312"/>
      <c r="AH6" s="312"/>
      <c r="AI6" s="312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12"/>
      <c r="N7" s="312"/>
      <c r="O7" s="312"/>
      <c r="P7" s="312"/>
      <c r="Q7" s="13"/>
      <c r="R7" s="13"/>
      <c r="S7" s="13"/>
      <c r="T7" s="13"/>
      <c r="U7" s="13"/>
      <c r="V7" s="312"/>
      <c r="W7" s="312"/>
      <c r="X7" s="312"/>
      <c r="Y7" s="312"/>
      <c r="Z7" s="13"/>
      <c r="AA7" s="13"/>
      <c r="AB7" s="13"/>
      <c r="AC7" s="13"/>
      <c r="AD7" s="13"/>
      <c r="AE7" s="312"/>
      <c r="AF7" s="312"/>
      <c r="AG7" s="312"/>
      <c r="AH7" s="312"/>
      <c r="AI7" s="312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422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523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533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523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523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423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07" t="s">
        <v>402</v>
      </c>
      <c r="B21" s="208" t="s">
        <v>404</v>
      </c>
      <c r="C21" s="209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09" t="s">
        <v>524</v>
      </c>
      <c r="B22" s="310"/>
      <c r="C22" s="310"/>
      <c r="D22" s="311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527</v>
      </c>
      <c r="B23" s="74" t="str">
        <f>IF((B3/(B2/2))/(G5*B8)&lt;0.7*G23/G24,"Oui","Non")</f>
        <v>Oui</v>
      </c>
      <c r="C23" s="83">
        <v>1</v>
      </c>
      <c r="D23" s="206" t="s">
        <v>532</v>
      </c>
      <c r="E23" s="1"/>
      <c r="F23" s="198" t="s">
        <v>526</v>
      </c>
      <c r="G23" s="212">
        <v>310</v>
      </c>
      <c r="H23" s="193" t="s">
        <v>530</v>
      </c>
      <c r="I23" s="70" t="s">
        <v>531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528</v>
      </c>
      <c r="B24" s="74" t="str">
        <f>IF((B5/(B3/2))/(G14*B13)&lt;0.7*G23/G24,"Oui","Non")</f>
        <v>Oui</v>
      </c>
      <c r="C24" s="83">
        <v>1</v>
      </c>
      <c r="D24" s="206" t="s">
        <v>532</v>
      </c>
      <c r="E24" s="1"/>
      <c r="F24" s="68" t="s">
        <v>252</v>
      </c>
      <c r="G24" s="68">
        <v>3</v>
      </c>
      <c r="H24" s="69">
        <v>1</v>
      </c>
      <c r="I24" s="70" t="s">
        <v>529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0" t="s">
        <v>525</v>
      </c>
      <c r="G25" s="211"/>
      <c r="H25" s="211"/>
      <c r="I25" s="211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2" t="s">
        <v>392</v>
      </c>
      <c r="AF37" s="312"/>
      <c r="AG37" s="312"/>
      <c r="AH37" s="312"/>
      <c r="AI37" s="312"/>
      <c r="AJ37" s="312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2"/>
      <c r="AF38" s="312"/>
      <c r="AG38" s="312"/>
      <c r="AH38" s="312"/>
      <c r="AI38" s="312"/>
      <c r="AJ38" s="312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C9" sqref="C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480</v>
      </c>
      <c r="B2" s="68">
        <f>'Résistance des engrenages'!L3</f>
        <v>246.8752938390642</v>
      </c>
      <c r="C2" s="69" t="s">
        <v>481</v>
      </c>
      <c r="D2" s="70" t="s">
        <v>482</v>
      </c>
      <c r="E2" s="1"/>
      <c r="F2" s="313" t="s">
        <v>479</v>
      </c>
      <c r="G2" s="313"/>
      <c r="H2" s="313"/>
      <c r="I2" s="313"/>
      <c r="J2" s="1"/>
    </row>
    <row r="3" spans="1:10" x14ac:dyDescent="0.25">
      <c r="A3" s="1"/>
      <c r="B3" s="1"/>
      <c r="C3" s="1"/>
      <c r="D3" s="1"/>
      <c r="E3" s="1"/>
      <c r="F3" s="68" t="s">
        <v>490</v>
      </c>
      <c r="G3" s="68">
        <v>5</v>
      </c>
      <c r="H3" s="69" t="s">
        <v>17</v>
      </c>
      <c r="I3" s="70" t="s">
        <v>485</v>
      </c>
      <c r="J3" s="1"/>
    </row>
    <row r="4" spans="1:10" x14ac:dyDescent="0.25">
      <c r="A4" s="7" t="s">
        <v>483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486</v>
      </c>
      <c r="B5" s="74">
        <f>B2*1000</f>
        <v>246875.29383906419</v>
      </c>
      <c r="C5" s="83" t="s">
        <v>263</v>
      </c>
      <c r="D5" s="199"/>
      <c r="E5" s="1"/>
      <c r="F5" s="71" t="s">
        <v>138</v>
      </c>
      <c r="G5" s="146">
        <v>850</v>
      </c>
      <c r="H5" s="136" t="s">
        <v>137</v>
      </c>
      <c r="I5" s="30" t="s">
        <v>426</v>
      </c>
      <c r="J5" s="1"/>
    </row>
    <row r="6" spans="1:10" x14ac:dyDescent="0.25">
      <c r="A6" s="74" t="s">
        <v>487</v>
      </c>
      <c r="B6" s="74">
        <f>16*B5/(PI()*G4^3)</f>
        <v>80.468835003906463</v>
      </c>
      <c r="C6" s="83"/>
      <c r="D6" s="199"/>
      <c r="E6" s="1"/>
      <c r="F6" s="1"/>
      <c r="G6" s="1"/>
      <c r="H6" s="1"/>
      <c r="I6" s="1"/>
      <c r="J6" s="1"/>
    </row>
    <row r="7" spans="1:10" x14ac:dyDescent="0.25">
      <c r="A7" s="74" t="s">
        <v>488</v>
      </c>
      <c r="B7" s="74">
        <f>SQRT(3)*B6</f>
        <v>139.37611065264292</v>
      </c>
      <c r="C7" s="83" t="s">
        <v>137</v>
      </c>
      <c r="D7" s="199" t="s">
        <v>489</v>
      </c>
      <c r="E7" s="1"/>
    </row>
    <row r="8" spans="1:10" x14ac:dyDescent="0.25">
      <c r="A8" s="74" t="s">
        <v>484</v>
      </c>
      <c r="B8" s="74">
        <f>G5/B7</f>
        <v>6.0986061098978004</v>
      </c>
      <c r="C8" s="83"/>
      <c r="D8" s="199"/>
      <c r="E8" s="1"/>
    </row>
    <row r="9" spans="1:10" x14ac:dyDescent="0.25">
      <c r="A9" s="74" t="s">
        <v>491</v>
      </c>
      <c r="B9" t="str">
        <f>IF(B8&gt;G3,"Oui","Non")</f>
        <v>Oui</v>
      </c>
      <c r="C9" s="83" t="s">
        <v>17</v>
      </c>
      <c r="D9" s="199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E18"/>
  <sheetViews>
    <sheetView workbookViewId="0">
      <selection activeCell="G10" sqref="G10"/>
    </sheetView>
  </sheetViews>
  <sheetFormatPr baseColWidth="10" defaultRowHeight="15" x14ac:dyDescent="0.25"/>
  <cols>
    <col min="1" max="1" width="25.5703125" customWidth="1"/>
    <col min="4" max="4" width="41.28515625" customWidth="1"/>
    <col min="5" max="5" width="4" customWidth="1"/>
  </cols>
  <sheetData>
    <row r="1" spans="1:5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</row>
    <row r="2" spans="1:5" x14ac:dyDescent="0.25">
      <c r="A2" s="68" t="s">
        <v>338</v>
      </c>
      <c r="B2" s="68">
        <v>25</v>
      </c>
      <c r="C2" s="69" t="s">
        <v>28</v>
      </c>
      <c r="D2" s="70" t="s">
        <v>493</v>
      </c>
      <c r="E2" s="1"/>
    </row>
    <row r="3" spans="1:5" x14ac:dyDescent="0.25">
      <c r="A3" s="68" t="s">
        <v>501</v>
      </c>
      <c r="B3" s="68">
        <f>1.6 * B2</f>
        <v>40</v>
      </c>
      <c r="C3" s="69" t="s">
        <v>28</v>
      </c>
      <c r="D3" s="70" t="s">
        <v>494</v>
      </c>
      <c r="E3" s="1"/>
    </row>
    <row r="4" spans="1:5" ht="15.75" thickBot="1" x14ac:dyDescent="0.3">
      <c r="A4" s="68" t="s">
        <v>71</v>
      </c>
      <c r="B4" s="68">
        <f>'Résistance des engrenages'!B2*'Résistance des engrenages'!L2</f>
        <v>104.72785714285716</v>
      </c>
      <c r="C4" s="69" t="s">
        <v>2</v>
      </c>
      <c r="D4" s="70" t="s">
        <v>303</v>
      </c>
      <c r="E4" s="1"/>
    </row>
    <row r="5" spans="1:5" ht="15.75" thickBot="1" x14ac:dyDescent="0.3">
      <c r="A5" s="57" t="s">
        <v>513</v>
      </c>
      <c r="B5" s="56" t="s">
        <v>8</v>
      </c>
      <c r="C5" s="56" t="s">
        <v>104</v>
      </c>
      <c r="D5" s="56" t="s">
        <v>10</v>
      </c>
      <c r="E5" s="1"/>
    </row>
    <row r="6" spans="1:5" ht="15.75" thickBot="1" x14ac:dyDescent="0.3">
      <c r="A6" s="315" t="s">
        <v>512</v>
      </c>
      <c r="B6" s="316"/>
      <c r="C6" s="316"/>
      <c r="D6" s="317"/>
      <c r="E6" s="1"/>
    </row>
    <row r="7" spans="1:5" x14ac:dyDescent="0.25">
      <c r="A7" s="74" t="s">
        <v>506</v>
      </c>
      <c r="B7" s="74">
        <v>5</v>
      </c>
      <c r="C7" s="83" t="s">
        <v>497</v>
      </c>
      <c r="D7" s="213" t="s">
        <v>509</v>
      </c>
      <c r="E7" s="1"/>
    </row>
    <row r="8" spans="1:5" x14ac:dyDescent="0.25">
      <c r="A8" s="74" t="s">
        <v>505</v>
      </c>
      <c r="B8" s="74">
        <v>0.5</v>
      </c>
      <c r="C8" s="83" t="s">
        <v>451</v>
      </c>
      <c r="D8" s="213" t="s">
        <v>510</v>
      </c>
      <c r="E8" s="1"/>
    </row>
    <row r="9" spans="1:5" ht="15.75" thickBot="1" x14ac:dyDescent="0.3">
      <c r="A9" s="74" t="s">
        <v>507</v>
      </c>
      <c r="B9" s="74">
        <v>1.7</v>
      </c>
      <c r="C9" s="83" t="s">
        <v>504</v>
      </c>
      <c r="D9" s="213" t="s">
        <v>511</v>
      </c>
      <c r="E9" s="1"/>
    </row>
    <row r="10" spans="1:5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</row>
    <row r="11" spans="1:5" ht="15.75" thickBot="1" x14ac:dyDescent="0.3">
      <c r="A11" s="74" t="s">
        <v>515</v>
      </c>
      <c r="B11" s="74">
        <f>((PI()*B4*B2)/60)*10^-3</f>
        <v>0.13708844442758392</v>
      </c>
      <c r="C11" s="201" t="s">
        <v>497</v>
      </c>
      <c r="D11" s="201" t="s">
        <v>495</v>
      </c>
      <c r="E11" s="1"/>
    </row>
    <row r="12" spans="1:5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</row>
    <row r="13" spans="1:5" ht="15.75" thickBot="1" x14ac:dyDescent="0.3">
      <c r="A13" s="74" t="s">
        <v>516</v>
      </c>
      <c r="B13" s="74">
        <f>MIN(((B9*B3*B2)/B11),B7*B2*B3)</f>
        <v>5000</v>
      </c>
      <c r="C13" s="201" t="s">
        <v>71</v>
      </c>
      <c r="D13" s="201" t="s">
        <v>514</v>
      </c>
      <c r="E13" s="1"/>
    </row>
    <row r="14" spans="1:5" ht="15.75" thickBot="1" x14ac:dyDescent="0.3">
      <c r="A14" s="285" t="s">
        <v>351</v>
      </c>
      <c r="B14" s="286"/>
      <c r="C14" s="56" t="s">
        <v>354</v>
      </c>
      <c r="D14" s="56" t="s">
        <v>10</v>
      </c>
      <c r="E14" s="1"/>
    </row>
    <row r="15" spans="1:5" x14ac:dyDescent="0.25">
      <c r="A15" s="314"/>
      <c r="B15" s="314"/>
      <c r="C15" s="13"/>
      <c r="D15" s="216"/>
      <c r="E15" s="1"/>
    </row>
    <row r="16" spans="1:5" x14ac:dyDescent="0.25">
      <c r="A16" s="287" t="s">
        <v>505</v>
      </c>
      <c r="B16" s="287"/>
      <c r="C16" t="str">
        <f>IF(B11&lt;B8,"OUI","NON")</f>
        <v>OUI</v>
      </c>
      <c r="D16" s="201" t="s">
        <v>508</v>
      </c>
      <c r="E16" s="1"/>
    </row>
    <row r="17" spans="1:5" x14ac:dyDescent="0.25">
      <c r="A17" s="314"/>
      <c r="B17" s="314"/>
      <c r="C17" s="13"/>
      <c r="D17" s="216"/>
      <c r="E17" s="1"/>
    </row>
    <row r="18" spans="1:5" x14ac:dyDescent="0.25">
      <c r="A18" s="1"/>
      <c r="B18" s="1"/>
      <c r="C18" s="1"/>
      <c r="D18" s="1"/>
      <c r="E18" s="1"/>
    </row>
  </sheetData>
  <mergeCells count="5">
    <mergeCell ref="A14:B14"/>
    <mergeCell ref="A15:B15"/>
    <mergeCell ref="A16:B16"/>
    <mergeCell ref="A17:B17"/>
    <mergeCell ref="A6:D6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2021-01-10T21:44:41Z</dcterms:modified>
</cp:coreProperties>
</file>